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updateLinks="never" codeName="ThisWorkbook" defaultThemeVersion="124226"/>
  <mc:AlternateContent xmlns:mc="http://schemas.openxmlformats.org/markup-compatibility/2006">
    <mc:Choice Requires="x15">
      <x15ac:absPath xmlns:x15ac="http://schemas.microsoft.com/office/spreadsheetml/2010/11/ac" url="D:\New folder (2)\Job\Simulador Hipotecario\"/>
    </mc:Choice>
  </mc:AlternateContent>
  <xr:revisionPtr revIDLastSave="0" documentId="13_ncr:1_{C1E1692A-DF9C-4E69-BA76-F6B6D7DB503E}" xr6:coauthVersionLast="47" xr6:coauthVersionMax="47" xr10:uidLastSave="{00000000-0000-0000-0000-000000000000}"/>
  <workbookProtection workbookAlgorithmName="SHA-512" workbookHashValue="8Ai6HDxhxFLlTGvWRESFIenDUdwmP1LfJ7m3P2fljnctm7HSYWeJIEdCkbSr6hvGpdQT46cDH6F23L3k4dd5YQ==" workbookSaltValue="8kO4TBMweZuygUUooIh5GA==" workbookSpinCount="100000" lockStructure="1"/>
  <bookViews>
    <workbookView xWindow="-110" yWindow="-110" windowWidth="19420" windowHeight="11500" tabRatio="859" xr2:uid="{00000000-000D-0000-FFFF-FFFF00000000}"/>
  </bookViews>
  <sheets>
    <sheet name="Simulador" sheetId="7" r:id="rId1"/>
    <sheet name="COFINAVIT" sheetId="20" state="hidden" r:id="rId2"/>
    <sheet name="Notariales" sheetId="43" state="hidden" r:id="rId3"/>
    <sheet name="Tabla Notaría" sheetId="36" r:id="rId4"/>
    <sheet name="Oferta Vinculante" sheetId="34" r:id="rId5"/>
    <sheet name="CLAUSULADO ANTICIPADO" sheetId="51" state="hidden" r:id="rId6"/>
    <sheet name="Nuevos % Notarios" sheetId="50" state="hidden" r:id="rId7"/>
    <sheet name="Sheet1" sheetId="35" state="hidden" r:id="rId8"/>
    <sheet name="Tabla Parámetros" sheetId="9" state="hidden" r:id="rId9"/>
    <sheet name="Estados y Datos Notariales" sheetId="8" state="hidden" r:id="rId10"/>
    <sheet name="Rangos Puebla" sheetId="48" state="hidden" r:id="rId11"/>
    <sheet name="Tabla Fijos" sheetId="13" state="hidden" r:id="rId12"/>
    <sheet name="Tabla de Pagos Crecientes" sheetId="46" state="hidden" r:id="rId13"/>
    <sheet name="Aforos" sheetId="41" state="hidden" r:id="rId14"/>
    <sheet name="Pago x mil" sheetId="11" state="hidden" r:id="rId15"/>
    <sheet name="Fecha Pago" sheetId="12" state="hidden" r:id="rId16"/>
    <sheet name="CAT" sheetId="10" state="hidden" r:id="rId17"/>
    <sheet name="CAT Flujo Cero" sheetId="26" state="hidden" r:id="rId18"/>
    <sheet name="Tabla Fijos CAT" sheetId="39" state="hidden" r:id="rId19"/>
    <sheet name="Tabla Construcción Fijos" sheetId="28" state="hidden" r:id="rId20"/>
    <sheet name="Tabla Construcción Fijos CAT" sheetId="40" state="hidden" r:id="rId21"/>
    <sheet name="Tabla Construcción Crecientes" sheetId="30" state="hidden" r:id="rId22"/>
    <sheet name="Tabla Construcción CAT crecient" sheetId="37" state="hidden" r:id="rId23"/>
    <sheet name="CVTO Crecientes" sheetId="33" state="hidden" r:id="rId24"/>
    <sheet name="CVTO Fijos" sheetId="32" state="hidden" r:id="rId25"/>
    <sheet name="Ecotecnologias" sheetId="19" state="hidden" r:id="rId26"/>
    <sheet name="AportPat" sheetId="23" state="hidden" r:id="rId27"/>
    <sheet name="Tabla de Incrementos" sheetId="47" state="hidden" r:id="rId28"/>
    <sheet name="Fovissste" sheetId="45" state="hidden" r:id="rId29"/>
    <sheet name="AportPatFov" sheetId="44" state="hidden" r:id="rId30"/>
  </sheets>
  <externalReferences>
    <externalReference r:id="rId31"/>
    <externalReference r:id="rId32"/>
    <externalReference r:id="rId33"/>
    <externalReference r:id="rId34"/>
    <externalReference r:id="rId35"/>
    <externalReference r:id="rId36"/>
  </externalReferences>
  <definedNames>
    <definedName name="_AutoExport" localSheetId="26">AportPat!$E$2</definedName>
    <definedName name="_Factor_Tarifa" localSheetId="8">'Tabla Parámetros'!$F$7</definedName>
    <definedName name="_xlnm._FilterDatabase" localSheetId="6" hidden="1">'Nuevos % Notarios'!$D$22:$E$397</definedName>
    <definedName name="_Inciso_Apoyo" localSheetId="4">'Oferta Vinculante'!$M$44</definedName>
    <definedName name="_Inciso_Cofinavit" localSheetId="4">'Oferta Vinculante'!$M$38</definedName>
    <definedName name="_Inciso_Gravamen_Separado" localSheetId="4">'Oferta Vinculante'!$M$29</definedName>
    <definedName name="_Inciso_Vigilancia" localSheetId="4">'Oferta Vinculante'!$M$25</definedName>
    <definedName name="_Leyenda_Tarifa" localSheetId="8">'Tabla Parámetros'!#REF!</definedName>
    <definedName name="_Leyenda_Tope" localSheetId="8">'Tabla Parámetros'!$F$12</definedName>
    <definedName name="_MILLAR" localSheetId="8">'Tabla Parámetros'!$B$8</definedName>
    <definedName name="_Mínimo" localSheetId="8">'Tabla Parámetros'!$F$5</definedName>
    <definedName name="_Monto_por_Tarifa" localSheetId="8">'Tabla Parámetros'!$F$8</definedName>
    <definedName name="_Tarifa_al_Millar" localSheetId="8">'Tabla Parámetros'!$F$4</definedName>
    <definedName name="_Tarifas_Avalúo" localSheetId="8">'Tabla Parámetros'!$A$9:$C$14</definedName>
    <definedName name="_Tope_Mínimo?" localSheetId="8">'Tabla Parámetros'!$F$11</definedName>
    <definedName name="A" localSheetId="17">[1]Productos!$B$7</definedName>
    <definedName name="A">[2]Productos!$B$7</definedName>
    <definedName name="Adquisición">'Tabla Parámetros'!$C$30:$C$35</definedName>
    <definedName name="Aforo" localSheetId="4">'Oferta Vinculante'!$M$13</definedName>
    <definedName name="Aforo_3_Fovissste" localSheetId="17">[1]Layout!$AF$4</definedName>
    <definedName name="Aforo_3_Fovissste" localSheetId="23">#REF!</definedName>
    <definedName name="Aforo_3_Fovissste" localSheetId="24">#REF!</definedName>
    <definedName name="Aforo_3_Fovissste" localSheetId="22">#REF!</definedName>
    <definedName name="Aforo_3_Fovissste" localSheetId="20">#REF!</definedName>
    <definedName name="Aforo_3_Fovissste" localSheetId="18">#REF!</definedName>
    <definedName name="Aforo_3_Fovissste">#REF!</definedName>
    <definedName name="Aforo_Accesible" localSheetId="17">'[1]Pass-Throughs'!$B$21</definedName>
    <definedName name="Aforo_Accesible">'[2]Pass-Throughs'!$B$21</definedName>
    <definedName name="Aforo_Máximo" localSheetId="17">[1]Layout!$AF$6</definedName>
    <definedName name="Aforo_Máximo" localSheetId="23">#REF!</definedName>
    <definedName name="Aforo_Máximo" localSheetId="24">#REF!</definedName>
    <definedName name="Aforo_Máximo" localSheetId="22">#REF!</definedName>
    <definedName name="Aforo_Máximo" localSheetId="20">#REF!</definedName>
    <definedName name="Aforo_Máximo" localSheetId="18">#REF!</definedName>
    <definedName name="Aforo_Máximo">#REF!</definedName>
    <definedName name="Aforo_Máximo_2" localSheetId="17">[1]Layout!$AG$6</definedName>
    <definedName name="Aforo_Máximo_2" localSheetId="23">#REF!</definedName>
    <definedName name="Aforo_Máximo_2" localSheetId="24">#REF!</definedName>
    <definedName name="Aforo_Máximo_2" localSheetId="22">#REF!</definedName>
    <definedName name="Aforo_Máximo_2" localSheetId="20">#REF!</definedName>
    <definedName name="Aforo_Máximo_2" localSheetId="18">#REF!</definedName>
    <definedName name="Aforo_Máximo_2">#REF!</definedName>
    <definedName name="Aforo_Máximo_A_Usar_Apoyo" localSheetId="17">'[1]PASO6 APOYO'!$M$5</definedName>
    <definedName name="Aforo_Máximo_A_Usar_Apoyo">'[2]PASO6 APOYO'!$M$5</definedName>
    <definedName name="Aforo_Máximo_A_Usar_Tradicional" localSheetId="17">'[1]PASO7 TRAD'!$O$6</definedName>
    <definedName name="Aforo_Máximo_A_Usar_Tradicional">'[2]PASO7 TRAD'!$O$6</definedName>
    <definedName name="Aforo_Máximo_del_Layout" localSheetId="17">[1]Layout!$AF$8</definedName>
    <definedName name="Aforo_Máximo_del_Layout" localSheetId="23">#REF!</definedName>
    <definedName name="Aforo_Máximo_del_Layout" localSheetId="24">#REF!</definedName>
    <definedName name="Aforo_Máximo_del_Layout" localSheetId="22">#REF!</definedName>
    <definedName name="Aforo_Máximo_del_Layout" localSheetId="20">#REF!</definedName>
    <definedName name="Aforo_Máximo_del_Layout" localSheetId="18">#REF!</definedName>
    <definedName name="Aforo_Máximo_del_Layout">#REF!</definedName>
    <definedName name="Aforo3_Cofin" localSheetId="17">'[1]Rango de Vivienda'!$B$5</definedName>
    <definedName name="Aforo3_Cofin">'[2]Rango de Vivienda'!$B$5</definedName>
    <definedName name="Alia2_" localSheetId="17">'[1]Esquema Especial'!$B$5</definedName>
    <definedName name="Alia2_">'[2]Esquema Especial'!$B$5</definedName>
    <definedName name="Amplio" localSheetId="17">[1]Tipo_Seguro!$D$7</definedName>
    <definedName name="Amplio">[2]Tipo_Seguro!$D$7</definedName>
    <definedName name="Anterior" localSheetId="15">'Fecha Pago'!1048576:1048576</definedName>
    <definedName name="Anualidades_Remanente_SSV" localSheetId="17">[1]Validaciones!$E$12</definedName>
    <definedName name="Anualidades_Remanente_SSV">[2]Validaciones!$E$12</definedName>
    <definedName name="Año_Cotización" localSheetId="17">'[1]Fecha Pago'!$D$10</definedName>
    <definedName name="Año_Cotización">'[2]Fecha Pago'!$D$10</definedName>
    <definedName name="Año_Fecha_Cotización" localSheetId="17">'[1]Fecha Pago'!$B$5</definedName>
    <definedName name="Año_Fecha_Cotización">'[2]Fecha Pago'!$B$5</definedName>
    <definedName name="AObD">#REF!</definedName>
    <definedName name="AObT" localSheetId="17">'[1]Crédito Banorte'!$O$78</definedName>
    <definedName name="AObT">'[2]Crédito Banorte'!$O$78</definedName>
    <definedName name="AOp" localSheetId="17">'[1]Crédito Banorte'!$O$81</definedName>
    <definedName name="AOp">'[2]Crédito Banorte'!$O$81</definedName>
    <definedName name="Aplica_IVA?" localSheetId="17">[1]IVA!$B$30</definedName>
    <definedName name="Aplica_IVA?">[2]IVA!$B$30</definedName>
    <definedName name="Aplica_Seguro_de_Daños?" localSheetId="17">[1]Destinos!$L$28</definedName>
    <definedName name="Aplica_Seguro_de_Daños?">[2]Destinos!$L$28</definedName>
    <definedName name="Aport_obligatoria_antes_de_adicional" localSheetId="17">'[1]Crédito Banorte'!$C$59</definedName>
    <definedName name="Aport_obligatoria_antes_de_adicional">'[2]Crédito Banorte'!$C$59</definedName>
    <definedName name="Aportación_Adicional" localSheetId="17">'[1]Crédito Banorte'!$C$56</definedName>
    <definedName name="Aportación_Adicional">'[2]Crédito Banorte'!$C$56</definedName>
    <definedName name="Aportación_Cliente_obligatoria" localSheetId="17">'[1]Crédito Banorte'!$O$83</definedName>
    <definedName name="Aportación_Cliente_obligatoria">'[2]Crédito Banorte'!$O$83</definedName>
    <definedName name="Aportación_Cliente_obligatoria_Antes_De_Método_Alterno">#REF!</definedName>
    <definedName name="Aportación_Obligada_Tentativa" localSheetId="1">COFINAVIT!$N$24</definedName>
    <definedName name="Aportación_Opcional" localSheetId="1">COFINAVIT!$E$15</definedName>
    <definedName name="Aportación_Patronal" localSheetId="17">[1]Layout!$AS$6</definedName>
    <definedName name="Aportación_Patronal" localSheetId="23">#REF!</definedName>
    <definedName name="Aportación_Patronal" localSheetId="24">#REF!</definedName>
    <definedName name="Aportación_Patronal" localSheetId="22">#REF!</definedName>
    <definedName name="Aportación_Patronal" localSheetId="20">#REF!</definedName>
    <definedName name="Aportación_Patronal" localSheetId="18">#REF!</definedName>
    <definedName name="Aportación_Patronal">#REF!</definedName>
    <definedName name="Aportación_Sobrante" localSheetId="1">COFINAVIT!$N$27</definedName>
    <definedName name="Aportaciones" localSheetId="26">AportPat!$L$4:$L$243</definedName>
    <definedName name="Apoyo_Infonavit" localSheetId="17">'[1]Esquema Especial'!$B$2</definedName>
    <definedName name="Apoyo_Infonavit">'[2]Esquema Especial'!$B$2</definedName>
    <definedName name="_xlnm.Print_Area" localSheetId="4">'Oferta Vinculante'!$A$2:$E$166</definedName>
    <definedName name="_xlnm.Print_Area" localSheetId="0">Simulador!$B$1:$R$635</definedName>
    <definedName name="_xlnm.Print_Area" localSheetId="3">'Tabla Notaría'!$A$1:$F$313</definedName>
    <definedName name="Avalúo" localSheetId="1">COFINAVIT!$E$5</definedName>
    <definedName name="Avalúo_Ajustado" localSheetId="1">COFINAVIT!$N$16</definedName>
    <definedName name="Avalúo_Cotización_Contado" localSheetId="17">'[1]Ajustes Subrogación'!$C$9</definedName>
    <definedName name="Avalúo_Cotización_Contado">'[2]Ajustes Subrogación'!$C$9</definedName>
    <definedName name="Avalúo_Cotización_Financiado" localSheetId="17">'[1]Ajustes Subrogación'!$B$9</definedName>
    <definedName name="Avalúo_Cotización_Financiado">'[2]Ajustes Subrogación'!$B$9</definedName>
    <definedName name="Avalúo_goalseek_ingreso" localSheetId="17">'[1]PASO7 TRAD'!$D$38</definedName>
    <definedName name="Avalúo_goalseek_ingreso">'[2]PASO7 TRAD'!$D$38</definedName>
    <definedName name="Avalúo_goalseek_pago" localSheetId="17">'[1]PASO7 TRAD'!$C$38</definedName>
    <definedName name="Avalúo_goalseek_pago">'[2]PASO7 TRAD'!$C$38</definedName>
    <definedName name="Avalúo_Máximo" localSheetId="17">'[1]PASO7 TRAD'!$O$9</definedName>
    <definedName name="Avalúo_Máximo">'[2]PASO7 TRAD'!$O$9</definedName>
    <definedName name="Avalúo_Mínimo" localSheetId="17">'[1]PASO7 TRAD'!$N$9</definedName>
    <definedName name="Avalúo_Mínimo">'[2]PASO7 TRAD'!$N$9</definedName>
    <definedName name="Avalúo_Tradicional_Definitivo" localSheetId="17">'[1]PASO7 TRAD'!$O$36</definedName>
    <definedName name="Avalúo_Tradicional_Definitivo">'[2]PASO7 TRAD'!$O$36</definedName>
    <definedName name="B" localSheetId="17">[1]Productos!$B$10</definedName>
    <definedName name="B">[2]Productos!$B$10</definedName>
    <definedName name="C_" localSheetId="17">[1]Productos!$B$11</definedName>
    <definedName name="C_">[2]Productos!$B$11</definedName>
    <definedName name="Cálculo_Interés_CAT" localSheetId="4">'Oferta Vinculante'!$M$15</definedName>
    <definedName name="Capacidad_Crédito_Cónyuge_Fovissste" localSheetId="17">'[1]PASO6 FOVISSSTE'!$G$23</definedName>
    <definedName name="Capacidad_Crédito_Cónyuge_Fovissste">'[2]PASO6 FOVISSSTE'!$G$23</definedName>
    <definedName name="Capacidad_Crédito_Titular_Fovissste" localSheetId="17">'[1]PASO6 FOVISSSTE'!$E$23</definedName>
    <definedName name="Capacidad_Crédito_Titular_Fovissste">'[2]PASO6 FOVISSSTE'!$E$23</definedName>
    <definedName name="Capacidad_de_Pago" localSheetId="17">'[1]Crédito Banorte'!$D$4</definedName>
    <definedName name="Capacidad_de_Pago">'[2]Crédito Banorte'!$D$4</definedName>
    <definedName name="Captura.Aforo">[3]Carátula!$H$10</definedName>
    <definedName name="Captura.Aplica_Com_Apertura?">[3]Carátula!$H$16</definedName>
    <definedName name="Captura.AportaciónAdicional">[3]Carátula!$H$25</definedName>
    <definedName name="Captura.Cofinavit.Programa">[3]Carátula!$K$5</definedName>
    <definedName name="Captura.Com_Apertura_Financiada?">[3]Carátula!$H$17</definedName>
    <definedName name="Captura.Crédito_Cónyuge">[3]Carátula!$L$10</definedName>
    <definedName name="Captura.Crédito_Titular">[3]Carátula!$K$10</definedName>
    <definedName name="Captura.CréditoSolicitado">[3]Carátula!$H$11</definedName>
    <definedName name="Captura.Descuento_Crédito_Cónyuge">[3]Carátula!$L$11</definedName>
    <definedName name="Captura.Descuento_Crédito_Titular">[3]Carátula!$K$11</definedName>
    <definedName name="Captura.Descuento_EcoTec_Titular">[3]Carátula!$K$12</definedName>
    <definedName name="Captura.Ingreso_Cónyuge">[3]Carátula!$L$8</definedName>
    <definedName name="Captura.Ingreso_Mensual_Bruto_Titular">[3]Carátula!$H$12</definedName>
    <definedName name="Captura.Programa">[3]Carátula!$H$5</definedName>
    <definedName name="Captura.Subcuenta_Cónyuge">[3]Carátula!$L$9</definedName>
    <definedName name="Captura.Subcuenta_Titular">[3]Carátula!$K$9</definedName>
    <definedName name="Captura.Tasa">[3]Carátula!$H$3</definedName>
    <definedName name="Captura.ValorVivienda">[3]Carátula!$H$8</definedName>
    <definedName name="Captura_Aportación_Adicional" localSheetId="17">[1]Cotización!$G$103</definedName>
    <definedName name="Captura_Aportación_Adicional">[2]Cotización!$G$102</definedName>
    <definedName name="Captura_Descuento_ecotecnologías" localSheetId="17">'[1]PASO6 COFINAVIT'!$E$27</definedName>
    <definedName name="Captura_Descuento_ecotecnologías">'[2]PASO6 COFINAVIT'!$E$27</definedName>
    <definedName name="Captura_Incompleta" localSheetId="17">[1]Validaciones!$C$30</definedName>
    <definedName name="Captura_Incompleta">[2]Validaciones!$C$30</definedName>
    <definedName name="Casa" localSheetId="17">[1]Destinos!$A$7</definedName>
    <definedName name="Casa">[2]Destinos!$A$7</definedName>
    <definedName name="CAT" localSheetId="17">'[1]Tabla Cliente'!$Y$25</definedName>
    <definedName name="CAT">'[2]Tabla Cliente'!$Y$25</definedName>
    <definedName name="CAT_Apoyo_Infonavit" localSheetId="17">'[1]CAT Apoyo Infonavit'!$Q$6</definedName>
    <definedName name="CAT_Apoyo_Infonavit">'[2]CAT Apoyo Infonavit'!$Q$6</definedName>
    <definedName name="CAT_Construcción_Pagos_Crecientes" localSheetId="17">'[1]CAT Construcción'!$T$6</definedName>
    <definedName name="CAT_Construcción_Pagos_Crecientes">'[2]CAT Construcción'!$T$6</definedName>
    <definedName name="CAT_Construcción_Tradicional" localSheetId="17">'[1]CAT Construcción'!$Q$6</definedName>
    <definedName name="CAT_Construcción_Tradicional">'[2]CAT Construcción'!$Q$6</definedName>
    <definedName name="CAT_Pagos_Crecientes" localSheetId="17">'[1]CAT Pagos Crecientes'!$Q$6</definedName>
    <definedName name="CAT_Pagos_Crecientes">'[2]CAT Pagos Crecientes'!$Q$6</definedName>
    <definedName name="CAT_Tradicional" localSheetId="17">'[1]CAT Tabla Tradicional'!$Q$6</definedName>
    <definedName name="CAT_Tradicional">'[2]CAT Tabla Tradicional'!$Q$6</definedName>
    <definedName name="Catálogo_Aclaraciones" localSheetId="17">[1]Aclaraciones!$A$24:$H$48</definedName>
    <definedName name="Catálogo_Aclaraciones">[2]Aclaraciones!$A$24:$H$48</definedName>
    <definedName name="Catálogo_Destinos" localSheetId="17">[1]Destinos!$A$5:$Q$16</definedName>
    <definedName name="Catálogo_Destinos">[2]Destinos!$A$5:$Q$16</definedName>
    <definedName name="Catálogo_General_Aclaraciones" localSheetId="17">[1]Aclaraciones!$A$10:$E$19</definedName>
    <definedName name="Catálogo_General_Aclaraciones">[2]Aclaraciones!$A$10:$E$19</definedName>
    <definedName name="Catálogo_Productos" localSheetId="17">[1]Productos!$B$5:$H$8</definedName>
    <definedName name="Catálogo_Productos">[2]Productos!$B$5:$H$8</definedName>
    <definedName name="CD" localSheetId="17">'[1]Crédito Banorte'!$O$86</definedName>
    <definedName name="CD">'[2]Crédito Banorte'!$O$86</definedName>
    <definedName name="Código" localSheetId="17">[1]Layout!$B$8</definedName>
    <definedName name="Código" localSheetId="23">#REF!</definedName>
    <definedName name="Código" localSheetId="24">#REF!</definedName>
    <definedName name="Código" localSheetId="22">#REF!</definedName>
    <definedName name="Código" localSheetId="20">#REF!</definedName>
    <definedName name="Código" localSheetId="18">#REF!</definedName>
    <definedName name="Código">#REF!</definedName>
    <definedName name="Código_Cotiza_en" localSheetId="17">[1]DondeCotiza!$D$3</definedName>
    <definedName name="Código_Cotiza_en">[2]DondeCotiza!$D$3</definedName>
    <definedName name="Código_Destino" localSheetId="17">[1]Destinos!$C$4</definedName>
    <definedName name="Código_Destino">[2]Destinos!$C$4</definedName>
    <definedName name="Código_Esquema_Especial" localSheetId="17">'[1]Esquema Especial'!$D$7</definedName>
    <definedName name="Código_Esquema_Especial">'[2]Esquema Especial'!$D$7</definedName>
    <definedName name="CODIGO_PRODUCTO" localSheetId="23">#REF!</definedName>
    <definedName name="CODIGO_PRODUCTO" localSheetId="24">#REF!</definedName>
    <definedName name="CODIGO_PRODUCTO" localSheetId="22">#REF!</definedName>
    <definedName name="CODIGO_PRODUCTO" localSheetId="20">#REF!</definedName>
    <definedName name="CODIGO_PRODUCTO" localSheetId="18">#REF!</definedName>
    <definedName name="CODIGO_PRODUCTO">#REF!</definedName>
    <definedName name="Código_Producto" localSheetId="17">[1]Productos!$D$4</definedName>
    <definedName name="Código_Producto">[2]Productos!$D$4</definedName>
    <definedName name="Código_Rango_de_Vivienda" localSheetId="17">'[1]Pass-Throughs'!$B$28</definedName>
    <definedName name="Código_Rango_de_Vivienda">'[2]Pass-Throughs'!$B$28</definedName>
    <definedName name="COFFEE_Cofinavit">[3]COFFEE!$A:$D</definedName>
    <definedName name="COFFEE_Generales">[3]COFFEE!$A:$D</definedName>
    <definedName name="COFI.UMBRAL_INCREMENTO_110" localSheetId="17">'[1]Rango de Vivienda'!$B$4</definedName>
    <definedName name="COFI.UMBRAL_INCREMENTO_110">'[2]Rango de Vivienda'!$B$4</definedName>
    <definedName name="Cofinavit" localSheetId="17">'[1]Esquema Especial'!$B$3</definedName>
    <definedName name="Cofinavit">'[2]Esquema Especial'!$B$3</definedName>
    <definedName name="Cofinavit_AG" localSheetId="17">'[1]Esquema Especial'!$B$4</definedName>
    <definedName name="Cofinavit_AG">'[2]Esquema Especial'!$B$4</definedName>
    <definedName name="COI" localSheetId="17">'[1]Crédito Banorte'!$C$55</definedName>
    <definedName name="COI">'[2]Crédito Banorte'!$C$55</definedName>
    <definedName name="Columna_Layout" localSheetId="17">[1]Layout!$52:$52</definedName>
    <definedName name="Columna_Layout" localSheetId="23">#REF!</definedName>
    <definedName name="Columna_Layout" localSheetId="24">#REF!</definedName>
    <definedName name="Columna_Layout" localSheetId="22">#REF!</definedName>
    <definedName name="Columna_Layout" localSheetId="20">#REF!</definedName>
    <definedName name="Columna_Layout" localSheetId="18">#REF!</definedName>
    <definedName name="Columna_Layout">#REF!</definedName>
    <definedName name="Com_Ap_goalseek_ingreso" localSheetId="17">'[1]PASO7 TRAD'!$D$39</definedName>
    <definedName name="Com_Ap_goalseek_ingreso">'[2]PASO7 TRAD'!$D$39</definedName>
    <definedName name="Com_Ap_goalseek_pago" localSheetId="17">'[1]PASO7 TRAD'!$C$39</definedName>
    <definedName name="Com_Ap_goalseek_pago">'[2]PASO7 TRAD'!$C$39</definedName>
    <definedName name="Com_Av_goalseek_ingreso" localSheetId="17">'[1]PASO7 TRAD'!$D$40</definedName>
    <definedName name="Com_Av_goalseek_ingreso">'[2]PASO7 TRAD'!$D$40</definedName>
    <definedName name="Com_Av_goalseek_pago" localSheetId="17">'[1]PASO7 TRAD'!$C$40</definedName>
    <definedName name="Com_Av_goalseek_pago">'[2]PASO7 TRAD'!$C$40</definedName>
    <definedName name="Com_inv_goalseek_ingreso" localSheetId="17">'[1]PASO7 TRAD'!$D$42</definedName>
    <definedName name="Com_inv_goalseek_ingreso">'[2]PASO7 TRAD'!$D$42</definedName>
    <definedName name="Com_inv_goalseek_pago" localSheetId="17">'[1]PASO7 TRAD'!$C$42</definedName>
    <definedName name="Com_inv_goalseek_pago">'[2]PASO7 TRAD'!$C$42</definedName>
    <definedName name="Combinación_Ocultar_columnas" localSheetId="17">[1]Layout!$BF$8</definedName>
    <definedName name="Combinación_Ocultar_columnas" localSheetId="23">#REF!</definedName>
    <definedName name="Combinación_Ocultar_columnas" localSheetId="24">#REF!</definedName>
    <definedName name="Combinación_Ocultar_columnas" localSheetId="22">#REF!</definedName>
    <definedName name="Combinación_Ocultar_columnas" localSheetId="20">#REF!</definedName>
    <definedName name="Combinación_Ocultar_columnas" localSheetId="18">#REF!</definedName>
    <definedName name="Combinación_Ocultar_columnas">#REF!</definedName>
    <definedName name="COMBO_SI_NO" localSheetId="17">[1]Tipo_Seguro!$E$12:$E$13</definedName>
    <definedName name="COMBO_SI_NO">[2]Tipo_Seguro!$E$12:$E$13</definedName>
    <definedName name="COMBO_TIPO_SEGURO" localSheetId="17">[1]Tipo_Seguro!$E$7:$E$9</definedName>
    <definedName name="COMBO_TIPO_SEGURO">[2]Tipo_Seguro!$E$7:$E$9</definedName>
    <definedName name="COMBO_TIPO_SEGURO_AMPLIO_BASICO" localSheetId="17">[1]Tipo_Seguro!$E$7:$E$8</definedName>
    <definedName name="COMBO_TIPO_SEGURO_AMPLIO_BASICO">[2]Tipo_Seguro!$E$7:$E$8</definedName>
    <definedName name="Comisión_Apertura" localSheetId="17">'[1]Gastos Iniciales'!$D$21</definedName>
    <definedName name="Comisión_Apertura">'[2]Gastos Iniciales'!$D$21</definedName>
    <definedName name="Comisión_Apertura_sin_IVA" localSheetId="17">'[1]Gastos Iniciales'!$B$21</definedName>
    <definedName name="Comisión_Apertura_sin_IVA">'[2]Gastos Iniciales'!$B$21</definedName>
    <definedName name="Comisión_Avalúo" localSheetId="17">'[1]Gastos Iniciales'!$D$19</definedName>
    <definedName name="Comisión_Avalúo">'[2]Gastos Iniciales'!$D$19</definedName>
    <definedName name="Comisión_Avalúo_sin_IVA" localSheetId="17">'[1]Gastos Iniciales'!$B$19</definedName>
    <definedName name="Comisión_Avalúo_sin_IVA">'[2]Gastos Iniciales'!$B$19</definedName>
    <definedName name="COMISIÓN_CRÉDITO" localSheetId="1">COFINAVIT!$K$23</definedName>
    <definedName name="Comisión_Dif" localSheetId="14">'Pago x mil'!$E$19:$I$19</definedName>
    <definedName name="Comisión_Diferida" localSheetId="17">[1]Layout!$W$8</definedName>
    <definedName name="Comisión_Diferida" localSheetId="23">#REF!</definedName>
    <definedName name="Comisión_Diferida" localSheetId="24">#REF!</definedName>
    <definedName name="Comisión_Diferida" localSheetId="22">#REF!</definedName>
    <definedName name="Comisión_Diferida" localSheetId="20">#REF!</definedName>
    <definedName name="Comisión_Diferida" localSheetId="18">#REF!</definedName>
    <definedName name="Comisión_Diferida">#REF!</definedName>
    <definedName name="Comisión_Investigación_sin_IVA" localSheetId="17">'[1]Gastos Iniciales'!$B$20</definedName>
    <definedName name="Comisión_Investigación_sin_IVA">'[2]Gastos Iniciales'!$B$20</definedName>
    <definedName name="Comisión_Ministración" localSheetId="23">#REF!</definedName>
    <definedName name="Comisión_Ministración" localSheetId="24">#REF!</definedName>
    <definedName name="Comisión_Ministración" localSheetId="22">#REF!</definedName>
    <definedName name="Comisión_Ministración" localSheetId="20">#REF!</definedName>
    <definedName name="Comisión_Ministración" localSheetId="18">#REF!</definedName>
    <definedName name="Comisión_Ministración">#REF!</definedName>
    <definedName name="Comisión_Ministración_Layout" localSheetId="17">[1]Layout!$AA$8</definedName>
    <definedName name="Comisión_Ministración_Layout" localSheetId="23">#REF!</definedName>
    <definedName name="Comisión_Ministración_Layout" localSheetId="24">#REF!</definedName>
    <definedName name="Comisión_Ministración_Layout" localSheetId="22">#REF!</definedName>
    <definedName name="Comisión_Ministración_Layout" localSheetId="20">#REF!</definedName>
    <definedName name="Comisión_Ministración_Layout" localSheetId="18">#REF!</definedName>
    <definedName name="Comisión_Ministración_Layout">#REF!</definedName>
    <definedName name="Comisión_por_Apertura_Contado" localSheetId="17">'[1]Ajustes Subrogación'!$C$8</definedName>
    <definedName name="Comisión_por_Apertura_Contado">'[2]Ajustes Subrogación'!$C$8</definedName>
    <definedName name="Comisión_por_Apertura_Financiada" localSheetId="17">'[1]Ajustes Subrogación'!$B$8</definedName>
    <definedName name="Comisión_por_Apertura_Financiada">'[2]Ajustes Subrogación'!$B$8</definedName>
    <definedName name="Comisión_por_Investigación_CAT" localSheetId="23">#REF!</definedName>
    <definedName name="Comisión_por_Investigación_CAT" localSheetId="24">#REF!</definedName>
    <definedName name="Comisión_por_Investigación_CAT" localSheetId="22">#REF!</definedName>
    <definedName name="Comisión_por_Investigación_CAT" localSheetId="20">#REF!</definedName>
    <definedName name="Comisión_por_Investigación_CAT" localSheetId="18">#REF!</definedName>
    <definedName name="Comisión_por_Investigación_CAT">#REF!</definedName>
    <definedName name="Comp_Pago_Por_Mil" localSheetId="17">[1]Cotización!$157:$157</definedName>
    <definedName name="Comp_Pago_Por_Mil">[2]Cotización!$156:$156</definedName>
    <definedName name="Comp_Pago_Total" localSheetId="17">[1]Cotización!$171:$171</definedName>
    <definedName name="Comp_Pago_Total">[2]Cotización!$170:$170</definedName>
    <definedName name="Comp_Tasa_Interés" localSheetId="17">[1]Cotización!$153:$153</definedName>
    <definedName name="Comp_Tasa_Interés">[2]Cotización!$152:$152</definedName>
    <definedName name="Comportamiento_Tasa_Fuerte" localSheetId="17">[1]Aclaraciones!$B$6</definedName>
    <definedName name="Comportamiento_Tasa_Fuerte">[2]Aclaraciones!$B$6</definedName>
    <definedName name="Compra_Venta_Termino_Obra">'Tabla Parámetros'!$C$49:$C$50</definedName>
    <definedName name="Constante_para_Salario_Mínimo_Mensual" localSheetId="17">'[1]UDIS y SM'!$B$12</definedName>
    <definedName name="Constante_para_Salario_Mínimo_Mensual">'[2]UDIS y SM'!$B$12</definedName>
    <definedName name="Construcción" localSheetId="17">[1]Destinos!$A$10</definedName>
    <definedName name="Construcción" localSheetId="2">'[4]Tabla Parámetros'!$C$43:$C$44</definedName>
    <definedName name="Construcción">'Tabla Parámetros'!$C$43:$C$44</definedName>
    <definedName name="Contado" localSheetId="17">[1]Comisiones!$A$3</definedName>
    <definedName name="Contado">[2]Comisiones!$A$3</definedName>
    <definedName name="Contenido_Notarial" localSheetId="4">'Oferta Vinculante'!$M$19</definedName>
    <definedName name="Conyugal" localSheetId="17">'[1]Tipo de Crédito'!$A$2</definedName>
    <definedName name="Conyugal">'[2]Tipo de Crédito'!$A$2</definedName>
    <definedName name="Cotiza_en" localSheetId="17">[1]DondeCotiza!$B$3</definedName>
    <definedName name="Cotiza_en">[2]DondeCotiza!$B$3</definedName>
    <definedName name="Cotización_Nombre_Completo_Destino_Producto" localSheetId="17">[1]Cotización!$D$12</definedName>
    <definedName name="Cotización_Nombre_Completo_Destino_Producto">[2]Cotización!$D$12</definedName>
    <definedName name="CPD" localSheetId="17">'[1]Crédito Banorte'!$O$73</definedName>
    <definedName name="CPD">'[2]Crédito Banorte'!$O$73</definedName>
    <definedName name="CPDC" localSheetId="17">'[1]Crédito Banorte'!$O$74</definedName>
    <definedName name="CPDC">'[2]Crédito Banorte'!$O$74</definedName>
    <definedName name="CPI" localSheetId="17">'[1]Crédito Banorte'!$O$70</definedName>
    <definedName name="CPI">'[2]Crédito Banorte'!$O$70</definedName>
    <definedName name="CPIC" localSheetId="17">'[1]Crédito Banorte'!$O$71</definedName>
    <definedName name="CPIC">'[2]Crédito Banorte'!$O$71</definedName>
    <definedName name="Crédito_a_Otorgar_Cónyuge" localSheetId="17">[1]Validaciones!$D$9</definedName>
    <definedName name="Crédito_a_Otorgar_Cónyuge">[2]Validaciones!$D$9</definedName>
    <definedName name="Crédito_a_Otorgar_Titular" localSheetId="17">[1]Validaciones!$C$9</definedName>
    <definedName name="Crédito_a_Otorgar_Titular">[2]Validaciones!$C$9</definedName>
    <definedName name="Crédito_Apoyo" localSheetId="17">'[1]PASO6 APOYO'!$F$11</definedName>
    <definedName name="Crédito_Apoyo">'[2]PASO6 APOYO'!$F$11</definedName>
    <definedName name="Crédito_Banorte" localSheetId="17">'[1]Crédito Banorte'!$O$88</definedName>
    <definedName name="Crédito_Banorte">'[2]Crédito Banorte'!$O$88</definedName>
    <definedName name="Crédito_Banorte_Anterior" localSheetId="17">'[1]Crédito Banorte'!$D$62</definedName>
    <definedName name="Crédito_Banorte_Anterior">'[2]Crédito Banorte'!$D$62</definedName>
    <definedName name="Crédito_Banorte_Antes_De_Método_Alterno">#REF!</definedName>
    <definedName name="Crédito_Banorte_Antes_de_Opcional" localSheetId="17">'[1]Crédito Banorte'!$C$60</definedName>
    <definedName name="Crédito_Banorte_Antes_de_Opcional">'[2]Crédito Banorte'!$C$60</definedName>
    <definedName name="Crédito_Banorte_Definitivo" localSheetId="1">COFINAVIT!$N$29</definedName>
    <definedName name="Crédito_Banorte_Máximo" localSheetId="1">COFINAVIT!$N$21</definedName>
    <definedName name="Crédito_Banorte_Mayo2014" localSheetId="17">'[1]Crédito Banorte'!$G$65</definedName>
    <definedName name="Crédito_Banorte_Mayo2014">'[2]Crédito Banorte'!$G$65</definedName>
    <definedName name="Crédito_Banorte_Mínimo" localSheetId="1">COFINAVIT!$E$4</definedName>
    <definedName name="Crédito_Banorte_Tentativo" localSheetId="1">COFINAVIT!$N$22</definedName>
    <definedName name="Crédito_Cónyuge" localSheetId="1">COFINAVIT!$E$13</definedName>
    <definedName name="Crédito_Cónyuge_Cofinavit" localSheetId="17">'[1]PASO6 COFINAVIT'!$G$24</definedName>
    <definedName name="Crédito_Cónyuge_Cofinavit">'[2]PASO6 COFINAVIT'!$G$24</definedName>
    <definedName name="Crédito_goalseek_final" localSheetId="17">'[1]Crédito Banorte'!$E$9</definedName>
    <definedName name="Crédito_goalseek_final">'[2]Crédito Banorte'!$E$9</definedName>
    <definedName name="Crédito_goalseek_por_ingreso" localSheetId="17">'[1]PASO7 TRAD'!$D$37</definedName>
    <definedName name="Crédito_goalseek_por_ingreso">'[2]PASO7 TRAD'!$D$37</definedName>
    <definedName name="Crédito_goalseek_por_pago" localSheetId="17">'[1]PASO7 TRAD'!$C$37</definedName>
    <definedName name="Crédito_goalseek_por_pago">'[2]PASO7 TRAD'!$C$37</definedName>
    <definedName name="Crédito_Institución" localSheetId="1">COFINAVIT!$N$8</definedName>
    <definedName name="Crédito_Máximo" localSheetId="17">'[1]PASO7 TRAD'!$O$10</definedName>
    <definedName name="Crédito_Máximo">'[2]PASO7 TRAD'!$O$10</definedName>
    <definedName name="Crédito_Mínimo" localSheetId="17">'[1]PASO7 TRAD'!$N$10</definedName>
    <definedName name="Crédito_Mínimo">'[2]PASO7 TRAD'!$N$10</definedName>
    <definedName name="Crédito_por_capacidad_de_pago" localSheetId="17">'[1]Crédito Banorte'!$C$69</definedName>
    <definedName name="Crédito_por_capacidad_de_pago">'[2]Crédito Banorte'!$C$69</definedName>
    <definedName name="Crédito_por_despeje_con_pago_creciente" localSheetId="17">'[1]Crédito Banorte'!$D$45</definedName>
    <definedName name="Crédito_por_despeje_con_pago_creciente">'[2]Crédito Banorte'!$D$45</definedName>
    <definedName name="Crédito_por_despeje_sin_pago_creciente" localSheetId="17">'[1]Crédito Banorte'!$D$31</definedName>
    <definedName name="Crédito_por_despeje_sin_pago_creciente">'[2]Crédito Banorte'!$D$31</definedName>
    <definedName name="Crédito_por_Diferencia" localSheetId="1">COFINAVIT!$N$19</definedName>
    <definedName name="Crédito_por_fórmula" localSheetId="17">'[1]Crédito Banorte'!$D$9</definedName>
    <definedName name="Crédito_por_fórmula">'[2]Crédito Banorte'!$D$9</definedName>
    <definedName name="Crédito_por_Ingreso" localSheetId="1">COFINAVIT!$N$18</definedName>
    <definedName name="Crédito_según_Aforo" localSheetId="17">'[1]Crédito Banorte'!$C$71</definedName>
    <definedName name="Crédito_según_Aforo">'[2]Crédito Banorte'!$C$71</definedName>
    <definedName name="Crédito_Titular" localSheetId="1">COFINAVIT!$E$8</definedName>
    <definedName name="Crédito_Titular_Cofinavit" localSheetId="17">'[1]PASO6 COFINAVIT'!$E$24</definedName>
    <definedName name="Crédito_Titular_Cofinavit">'[2]PASO6 COFINAVIT'!$E$24</definedName>
    <definedName name="Crédito_Tradicional" localSheetId="17">'[1]PASO7 TRAD'!$F$10</definedName>
    <definedName name="Crédito_Tradicional">'[2]PASO7 TRAD'!$F$10</definedName>
    <definedName name="Crédito_Tradicional_Definitivo" localSheetId="17">'[1]PASO7 TRAD'!$O$35</definedName>
    <definedName name="Crédito_Tradicional_Definitivo">'[2]PASO7 TRAD'!$O$35</definedName>
    <definedName name="CT" localSheetId="17">'[1]Crédito Banorte'!$O$76</definedName>
    <definedName name="CT">'[2]Crédito Banorte'!$O$76</definedName>
    <definedName name="CVTO" localSheetId="17">[1]Destinos!$A$15</definedName>
    <definedName name="CVTO">[2]Destinos!$A$15</definedName>
    <definedName name="D" localSheetId="17">[1]Productos!$B$12</definedName>
    <definedName name="D">[2]Productos!$B$12</definedName>
    <definedName name="Db.\Constantes" localSheetId="26">AportPat!$B$6</definedName>
    <definedName name="Db.Variantes" localSheetId="17">[1]Variantes!$A$7:$D$25</definedName>
    <definedName name="Db.Variantes">[2]Variantes!$A$7:$C$14</definedName>
    <definedName name="DDDD">COFINAVIT!$N$22</definedName>
    <definedName name="Descuento_Cónyuge" localSheetId="1">COFINAVIT!$E$14</definedName>
    <definedName name="Descuento_Cónyuge_Cofinavit" localSheetId="17">'[1]PASO6 COFINAVIT'!$G$25</definedName>
    <definedName name="Descuento_Cónyuge_Cofinavit">'[2]PASO6 COFINAVIT'!$G$25</definedName>
    <definedName name="Descuento_Cónyuge_Fovissste" localSheetId="17">'[1]PASO6 FOVISSSTE'!$G$25</definedName>
    <definedName name="Descuento_Cónyuge_Fovissste">'[2]PASO6 FOVISSSTE'!$G$25</definedName>
    <definedName name="Descuento_ecotecnologías" localSheetId="17">[1]Validaciones!$C$62</definedName>
    <definedName name="Descuento_ecotecnologías">[2]Validaciones!$C$62</definedName>
    <definedName name="Descuento_en_tasa" localSheetId="17">[1]Layout!$I$8</definedName>
    <definedName name="Descuento_en_tasa" localSheetId="23">#REF!</definedName>
    <definedName name="Descuento_en_tasa" localSheetId="24">#REF!</definedName>
    <definedName name="Descuento_en_tasa" localSheetId="22">#REF!</definedName>
    <definedName name="Descuento_en_tasa" localSheetId="20">#REF!</definedName>
    <definedName name="Descuento_en_tasa" localSheetId="18">#REF!</definedName>
    <definedName name="Descuento_en_tasa">#REF!</definedName>
    <definedName name="Descuento_Titular" localSheetId="1">COFINAVIT!$E$9</definedName>
    <definedName name="Descuento_Titular_Cofinavit" localSheetId="17">'[1]PASO6 COFINAVIT'!$E$25</definedName>
    <definedName name="Descuento_Titular_Cofinavit">'[2]PASO6 COFINAVIT'!$E$25</definedName>
    <definedName name="Descuento_Titular_Fovissste" localSheetId="17">'[1]PASO6 FOVISSSTE'!$E$25</definedName>
    <definedName name="Descuento_Titular_Fovissste">'[2]PASO6 FOVISSSTE'!$E$25</definedName>
    <definedName name="Descuento_Total" localSheetId="1">COFINAVIT!$N$9</definedName>
    <definedName name="Destino" localSheetId="17">[1]Destinos!$A$4</definedName>
    <definedName name="Destino">[2]Destinos!$A$4</definedName>
    <definedName name="Destino.Aplica_Daños?" localSheetId="17">[1]Destinos!$M$4</definedName>
    <definedName name="Destino.Aplica_Daños?">[2]Destinos!$M$4</definedName>
    <definedName name="Destino.Aplican_Productos?" localSheetId="17">[1]Destinos!$F$4</definedName>
    <definedName name="Destino.Aplican_Productos?">[2]Destinos!$F$4</definedName>
    <definedName name="Destino.Financía_Gastos_Iniciales?" localSheetId="17">[1]Destinos!$N$4</definedName>
    <definedName name="Destino.Financía_Gastos_Iniciales?">[2]Destinos!$N$4</definedName>
    <definedName name="Destino.Gravamen_se_cancela_aparte?" localSheetId="17">[1]Destinos!$O$4</definedName>
    <definedName name="Destino.Gravamen_se_cancela_aparte?">[2]Destinos!$O$4</definedName>
    <definedName name="Destino.Id_Tipo_Cobro_GN" localSheetId="17">[1]Destinos!$K$4</definedName>
    <definedName name="Destino.Id_Tipo_Cobro_GN">[2]Destinos!$K$4</definedName>
    <definedName name="Destino.Ignora_Rangos_Vivienda" localSheetId="17">[1]Destinos!$E$4</definedName>
    <definedName name="Destino.Ignora_Rangos_Vivienda">[2]Destinos!$E$4</definedName>
    <definedName name="Destino.Importa_Destino_Anterior?" localSheetId="17">[1]Destinos!$L$4</definedName>
    <definedName name="Destino.Importa_Destino_Anterior?">[2]Destinos!$L$4</definedName>
    <definedName name="Destino.Índice_Ajustado" localSheetId="17">[1]Destinos!$H$4</definedName>
    <definedName name="Destino.Índice_Ajustado">[2]Destinos!$H$4</definedName>
    <definedName name="Destino.Nombre" localSheetId="17">[1]Destinos!$B$4</definedName>
    <definedName name="Destino.Nombre">[2]Destinos!$B$4</definedName>
    <definedName name="Destino.Requiere_Vigilancia?" localSheetId="17">[1]Destinos!$P$4</definedName>
    <definedName name="Destino.Requiere_Vigilancia?">[2]Destinos!$P$4</definedName>
    <definedName name="Destino.Tasa_Interés" localSheetId="17">[1]Destinos!$G$4</definedName>
    <definedName name="Destino.Tasa_Interés">[2]Destinos!$G$4</definedName>
    <definedName name="Destino_anterior_causa_IVA" localSheetId="17">[1]IVA!$E$23</definedName>
    <definedName name="Destino_anterior_causa_IVA">[2]IVA!$E$23</definedName>
    <definedName name="Destino_Anterior_Causa_IVA?" localSheetId="17">[1]IVA!$E$27</definedName>
    <definedName name="Destino_Anterior_Causa_IVA?">[2]IVA!$E$27</definedName>
    <definedName name="Destino_con_IVA_condicional?" localSheetId="17">[1]IVA!$E$20</definedName>
    <definedName name="Destino_con_IVA_condicional?">[2]IVA!$E$20</definedName>
    <definedName name="Destino_con_IVA_directo?" localSheetId="17">[1]IVA!$B$20</definedName>
    <definedName name="Destino_con_IVA_directo?">[2]IVA!$B$20</definedName>
    <definedName name="Destino_Devuelve_Efectivo" localSheetId="17">[1]Destinos!$J$4</definedName>
    <definedName name="Destino_Devuelve_Efectivo">[2]Destinos!$J$4</definedName>
    <definedName name="Destino_Soporta_Ministraciones" localSheetId="17">[1]Destinos!$I$4</definedName>
    <definedName name="Destino_Soporta_Ministraciones">[2]Destinos!$I$4</definedName>
    <definedName name="Destino_Soporta_Programas_Especiales?" localSheetId="17">[1]Destinos!$D$4</definedName>
    <definedName name="Destino_Soporta_Programas_Especiales?">[2]Destinos!$D$4</definedName>
    <definedName name="Destinos_Con_IVA_Condicional" localSheetId="17">[1]IVA!$E$17:$E$18</definedName>
    <definedName name="Destinos_Con_IVA_Condicional">[2]IVA!$E$17:$E$18</definedName>
    <definedName name="Destinos_Con_IVA_Directo" localSheetId="17">[1]IVA!$B$17:$B$18</definedName>
    <definedName name="Destinos_Con_IVA_Directo">[2]IVA!$B$17:$B$18</definedName>
    <definedName name="Día_Cotización" localSheetId="17">'[1]Fecha Pago'!$B$10</definedName>
    <definedName name="Día_Cotización">'[2]Fecha Pago'!$B$10</definedName>
    <definedName name="Día_máximo" localSheetId="17">'[1]Fecha Pago'!$G$11</definedName>
    <definedName name="Día_máximo">'[2]Fecha Pago'!$G$11</definedName>
    <definedName name="Día_Primer_Pago" localSheetId="17">'[1]Fecha Pago'!$B$6</definedName>
    <definedName name="Día_Primer_Pago">'[2]Fecha Pago'!$B$6</definedName>
    <definedName name="Días_PMT" localSheetId="17">[1]Layout!$L$8</definedName>
    <definedName name="Días_PMT" localSheetId="23">#REF!</definedName>
    <definedName name="Días_PMT" localSheetId="24">#REF!</definedName>
    <definedName name="Días_PMT" localSheetId="22">#REF!</definedName>
    <definedName name="Días_PMT" localSheetId="20">#REF!</definedName>
    <definedName name="Días_PMT" localSheetId="18">#REF!</definedName>
    <definedName name="Días_PMT">#REF!</definedName>
    <definedName name="Duración_Intereses" localSheetId="17">'[1]Fecha Pago'!$L:$L</definedName>
    <definedName name="Duración_Intereses">'[2]Fecha Pago'!$L:$L</definedName>
    <definedName name="E" localSheetId="17">[1]Productos!$B$8</definedName>
    <definedName name="E">[2]Productos!$B$8</definedName>
    <definedName name="Enganche" localSheetId="17">'[1]Salida Cotización'!$D$4</definedName>
    <definedName name="Enganche">'[2]Salida Cotización'!$D$4</definedName>
    <definedName name="Esquema" localSheetId="4">'Oferta Vinculante'!#REF!</definedName>
    <definedName name="Esquema_Especial" localSheetId="17">'[1]Esquema Especial'!$B$1</definedName>
    <definedName name="Esquema_Especial">'[2]Esquema Especial'!$B$1</definedName>
    <definedName name="Estado" localSheetId="17">'[1]GASNOT GLUE'!$B$6</definedName>
    <definedName name="Estado">'[2]GASNOT GLUE'!$B$6</definedName>
    <definedName name="Estados" localSheetId="17">'[1]Datos Generales'!$B$2:$B$33</definedName>
    <definedName name="Estados">'[2]Datos Generales'!$B$2:$B$33</definedName>
    <definedName name="Etiqueta_Aclaración_Aportación_Adicional" localSheetId="17">'[1]Crédito Banorte'!$O$102</definedName>
    <definedName name="Etiqueta_Aclaración_Aportación_Adicional">'[2]Crédito Banorte'!$O$102</definedName>
    <definedName name="Etiqueta_Años" localSheetId="17">[1]Plazos!$J$21</definedName>
    <definedName name="Etiqueta_Años">[2]Plazos!$J$21</definedName>
    <definedName name="Etiqueta_Aportación_Opcional_Cofinanciamiento" localSheetId="17">'[1]Crédito Banorte'!$O$101</definedName>
    <definedName name="Etiqueta_Aportación_Opcional_Cofinanciamiento">'[2]Crédito Banorte'!$O$101</definedName>
    <definedName name="Etiqueta_Avalúo_para_Leyenda" localSheetId="17">'[1]Ajustes Subrogación'!$B$13</definedName>
    <definedName name="Etiqueta_Avalúo_para_Leyenda">'[2]Ajustes Subrogación'!$B$13</definedName>
    <definedName name="Etiqueta_Crédito_Banorte_Cofinanciamiento" localSheetId="17">'[1]Crédito Banorte'!$O$98</definedName>
    <definedName name="Etiqueta_Crédito_Banorte_Cofinanciamiento">'[2]Crédito Banorte'!$O$98</definedName>
    <definedName name="Etiqueta_Meses_de_más" localSheetId="17">[1]Plazos!$J$20</definedName>
    <definedName name="Etiqueta_Meses_de_más">[2]Plazos!$J$20</definedName>
    <definedName name="Etiqueta_Monto_de_Recursos_Extra" localSheetId="17">'[1]Crédito Banorte'!$O$99</definedName>
    <definedName name="Etiqueta_Monto_de_Recursos_Extra">'[2]Crédito Banorte'!$O$99</definedName>
    <definedName name="Etiqueta_Neto_Gastos_Originación" localSheetId="17">'[1]Crédito Banorte'!$O$105</definedName>
    <definedName name="Etiqueta_Neto_Gastos_Originación">'[2]Crédito Banorte'!$O$105</definedName>
    <definedName name="Etiqueta_VSM_Mensual" localSheetId="17">'[1]UDIS y SM'!$B$10</definedName>
    <definedName name="Etiqueta_VSM_Mensual">'[2]UDIS y SM'!$B$10</definedName>
    <definedName name="Etiquetas" localSheetId="17">[1]Etiquetas!$A$4:$H$24</definedName>
    <definedName name="Etiquetas">[2]Etiquetas!$A$4:$H$24</definedName>
    <definedName name="Existe_Recurso_Extra?" localSheetId="17">'[1]Crédito Banorte'!$O$92</definedName>
    <definedName name="Existe_Recurso_Extra?">'[2]Crédito Banorte'!$O$92</definedName>
    <definedName name="F_" localSheetId="17">[1]Productos!$B$13</definedName>
    <definedName name="F_">[2]Productos!$B$13</definedName>
    <definedName name="Factor_Daños" localSheetId="8">'Tabla Parámetros'!$F$26</definedName>
    <definedName name="FACTOR_INCREMENTO_AVALÚO" localSheetId="1">COFINAVIT!$K$16</definedName>
    <definedName name="Factor_IVA_Comisiones" localSheetId="17">[1]IVA!$B$32</definedName>
    <definedName name="Factor_IVA_Comisiones">[2]IVA!$B$32</definedName>
    <definedName name="Factor_Pago_15_IVA_Fr" localSheetId="17">'[1]Pago Creciente'!$A$3</definedName>
    <definedName name="Factor_Pago_15_IVA_Fr">'[2]Pago Creciente'!$A$3</definedName>
    <definedName name="Factor_Pago_15_IVA_No_Fr" localSheetId="17">'[1]Pago Creciente'!$A$4</definedName>
    <definedName name="Factor_Pago_15_IVA_No_Fr">'[2]Pago Creciente'!$A$4</definedName>
    <definedName name="Factor_Pago_15_sin_IVA" localSheetId="17">'[1]Pago Creciente'!$A$1</definedName>
    <definedName name="Factor_Pago_15_sin_IVA">'[2]Pago Creciente'!$A$1</definedName>
    <definedName name="Factor_Pago_15_sin_IVA_Accesible" localSheetId="17">'[1]Pago Creciente'!$B$1</definedName>
    <definedName name="Factor_Pago_15_sin_IVA_Accesible">'[2]Pago Creciente'!$B$1</definedName>
    <definedName name="Factor_Pago_15_sin_IVA_Accesible_Plus" localSheetId="17">'[1]Pago Creciente'!$C$1</definedName>
    <definedName name="Factor_Pago_15_sin_IVA_Accesible_Plus">'[2]Pago Creciente'!$C$1</definedName>
    <definedName name="Factor_Pago_15_sin_IVA_Mas_por_Menos" localSheetId="17">'[1]Pago Creciente'!$D$1</definedName>
    <definedName name="Factor_Pago_15_sin_IVA_Mas_por_Menos">'[2]Pago Creciente'!$D$1</definedName>
    <definedName name="Factor_Pago_20_IVA_Fr" localSheetId="17">'[1]Pago Creciente'!$A$5</definedName>
    <definedName name="Factor_Pago_20_IVA_Fr">'[2]Pago Creciente'!$A$5</definedName>
    <definedName name="Factor_Pago_20_IVA_No_Fr" localSheetId="17">'[1]Pago Creciente'!$A$6</definedName>
    <definedName name="Factor_Pago_20_IVA_No_Fr">'[2]Pago Creciente'!$A$6</definedName>
    <definedName name="Factor_Pago_20_sin_IVA" localSheetId="17">'[1]Pago Creciente'!$A$2</definedName>
    <definedName name="Factor_Pago_20_sin_IVA">'[2]Pago Creciente'!$A$2</definedName>
    <definedName name="Factor_Pago_20_sin_IVA_Accesible" localSheetId="17">'[1]Pago Creciente'!$B$2</definedName>
    <definedName name="Factor_Pago_20_sin_IVA_Accesible">'[2]Pago Creciente'!$B$2</definedName>
    <definedName name="Factor_Pago_20_sin_IVA_Accesible_Plus" localSheetId="17">'[1]Pago Creciente'!$C$2</definedName>
    <definedName name="Factor_Pago_20_sin_IVA_Accesible_Plus">'[2]Pago Creciente'!$C$2</definedName>
    <definedName name="Factor_Pago_20_sin_IVA_Mas_por_Menos" localSheetId="17">'[1]Pago Creciente'!$D$2</definedName>
    <definedName name="Factor_Pago_20_sin_IVA_Mas_por_Menos">'[2]Pago Creciente'!$D$2</definedName>
    <definedName name="Factor_Pago_por_Mil_con_IVA" localSheetId="17">'[1]Pago Creciente'!$A$9</definedName>
    <definedName name="Factor_Pago_por_Mil_con_IVA">'[2]Pago Creciente'!$A$9</definedName>
    <definedName name="Factor_Pago_por_Mil_sin_IVA" localSheetId="17">[1]Layout!$M$6</definedName>
    <definedName name="Factor_Pago_por_Mil_sin_IVA" localSheetId="23">#REF!</definedName>
    <definedName name="Factor_Pago_por_Mil_sin_IVA" localSheetId="24">#REF!</definedName>
    <definedName name="Factor_Pago_por_Mil_sin_IVA" localSheetId="22">#REF!</definedName>
    <definedName name="Factor_Pago_por_Mil_sin_IVA" localSheetId="20">#REF!</definedName>
    <definedName name="Factor_Pago_por_Mil_sin_IVA" localSheetId="18">#REF!</definedName>
    <definedName name="Factor_Pago_por_Mil_sin_IVA">#REF!</definedName>
    <definedName name="Factor_para_Crédito_a_Otorgar" localSheetId="17">[1]Validaciones!$A$9</definedName>
    <definedName name="Factor_para_Crédito_a_Otorgar">[2]Validaciones!$A$9</definedName>
    <definedName name="FACTOR_SMM" localSheetId="1">COFINAVIT!$K$4</definedName>
    <definedName name="FAP" localSheetId="17">[1]Productos!#REF!</definedName>
    <definedName name="FAP" localSheetId="23">[2]Productos!#REF!</definedName>
    <definedName name="FAP" localSheetId="24">[2]Productos!#REF!</definedName>
    <definedName name="FAP" localSheetId="22">[2]Productos!#REF!</definedName>
    <definedName name="FAP" localSheetId="20">[2]Productos!#REF!</definedName>
    <definedName name="FAP" localSheetId="18">[2]Productos!#REF!</definedName>
    <definedName name="FAP">[2]Productos!#REF!</definedName>
    <definedName name="Fecha_Cotización" localSheetId="17">'[1]Fecha Pago'!$B$2</definedName>
    <definedName name="Fecha_Cotización">'[2]Fecha Pago'!$B$2</definedName>
    <definedName name="Fecha_Diferente" localSheetId="17">'[1]Fecha Pago'!$D$6</definedName>
    <definedName name="Fecha_Diferente">'[2]Fecha Pago'!$D$6</definedName>
    <definedName name="Fechas_de_Pago" localSheetId="17">'[1]Fecha Pago'!$K:$K</definedName>
    <definedName name="Fechas_de_Pago">'[2]Fecha Pago'!$K:$K</definedName>
    <definedName name="Financiada" localSheetId="17">[1]Comisiones!$A$2</definedName>
    <definedName name="Financiada">[2]Comisiones!$A$2</definedName>
    <definedName name="Financiado" localSheetId="17">[1]Comisiones!$A$2</definedName>
    <definedName name="Financiado">[2]Comisiones!$A$2</definedName>
    <definedName name="Financiados" localSheetId="17">[1]Comisiones!$A$2</definedName>
    <definedName name="Financiados">[2]Comisiones!$A$2</definedName>
    <definedName name="Flujo_Cero_Parcial" localSheetId="17">'CAT Flujo Cero'!$E$9</definedName>
    <definedName name="Flujo_Cero_Parcial">'[2]CAT Flujo Cero'!$E$9</definedName>
    <definedName name="Forma_Pago_Comisión_Apertura" localSheetId="17">[1]Comisiones!$B$1</definedName>
    <definedName name="Forma_Pago_Comisión_Apertura">[2]Comisiones!$B$1</definedName>
    <definedName name="Forma_Pago_Gastos_Iniciales" localSheetId="17">'[1]Gastos Iniciales'!$B$8</definedName>
    <definedName name="Forma_Pago_Gastos_Iniciales">'[2]Gastos Iniciales'!$B$8</definedName>
    <definedName name="FOVISSSTE" localSheetId="17">[1]DondeCotiza!$B$9</definedName>
    <definedName name="FOVISSSTE">[2]DondeCotiza!$B$9</definedName>
    <definedName name="FPM" localSheetId="17">[1]Productos!#REF!</definedName>
    <definedName name="FPM" localSheetId="23">[2]Productos!#REF!</definedName>
    <definedName name="FPM" localSheetId="24">[2]Productos!#REF!</definedName>
    <definedName name="FPM" localSheetId="22">[2]Productos!#REF!</definedName>
    <definedName name="FPM" localSheetId="20">[2]Productos!#REF!</definedName>
    <definedName name="FPM" localSheetId="18">[2]Productos!#REF!</definedName>
    <definedName name="FPM">[2]Productos!#REF!</definedName>
    <definedName name="Fragmento_Desglose_Factores_Incremento_MxM" localSheetId="17">[1]Productos!#REF!</definedName>
    <definedName name="Fragmento_Desglose_Factores_Incremento_MxM" localSheetId="23">[2]Productos!#REF!</definedName>
    <definedName name="Fragmento_Desglose_Factores_Incremento_MxM" localSheetId="24">[2]Productos!#REF!</definedName>
    <definedName name="Fragmento_Desglose_Factores_Incremento_MxM" localSheetId="22">[2]Productos!#REF!</definedName>
    <definedName name="Fragmento_Desglose_Factores_Incremento_MxM" localSheetId="20">[2]Productos!#REF!</definedName>
    <definedName name="Fragmento_Desglose_Factores_Incremento_MxM" localSheetId="18">[2]Productos!#REF!</definedName>
    <definedName name="Fragmento_Desglose_Factores_Incremento_MxM">[2]Productos!#REF!</definedName>
    <definedName name="Fragmento_Desglose_Tasas_MxM" localSheetId="17">[1]Tasas!$A$25</definedName>
    <definedName name="Fragmento_Desglose_Tasas_MxM">[2]Tasas!$A$25</definedName>
    <definedName name="Frecuencia" localSheetId="26">AportPat!$E$10</definedName>
    <definedName name="Frecuencia_Anualidades" localSheetId="17">[1]Layout!$AV$8</definedName>
    <definedName name="Frecuencia_Anualidades" localSheetId="23">#REF!</definedName>
    <definedName name="Frecuencia_Anualidades" localSheetId="24">#REF!</definedName>
    <definedName name="Frecuencia_Anualidades" localSheetId="22">#REF!</definedName>
    <definedName name="Frecuencia_Anualidades" localSheetId="20">#REF!</definedName>
    <definedName name="Frecuencia_Anualidades" localSheetId="18">#REF!</definedName>
    <definedName name="Frecuencia_Anualidades">#REF!</definedName>
    <definedName name="Frecuencia_Aportación_Patronal" localSheetId="17">[1]Layout!$AR$8</definedName>
    <definedName name="Frecuencia_Aportación_Patronal" localSheetId="23">#REF!</definedName>
    <definedName name="Frecuencia_Aportación_Patronal" localSheetId="24">#REF!</definedName>
    <definedName name="Frecuencia_Aportación_Patronal" localSheetId="22">#REF!</definedName>
    <definedName name="Frecuencia_Aportación_Patronal" localSheetId="20">#REF!</definedName>
    <definedName name="Frecuencia_Aportación_Patronal" localSheetId="18">#REF!</definedName>
    <definedName name="Frecuencia_Aportación_Patronal">#REF!</definedName>
    <definedName name="Frontera" localSheetId="17">[1]IVA!$A$6</definedName>
    <definedName name="Frontera">[2]IVA!$A$6</definedName>
    <definedName name="gastos">[5]Adm!$AG$5:$AG$8</definedName>
    <definedName name="Gastos_not_goalseek_ingreso" localSheetId="17">'[1]PASO7 TRAD'!$D$41</definedName>
    <definedName name="Gastos_not_goalseek_ingreso">'[2]PASO7 TRAD'!$D$41</definedName>
    <definedName name="Gastos_not_goalseek_pago" localSheetId="17">'[1]PASO7 TRAD'!$C$41</definedName>
    <definedName name="Gastos_not_goalseek_pago">'[2]PASO7 TRAD'!$C$41</definedName>
    <definedName name="Gastos_Originación" localSheetId="17">'[1]Salida Cotización'!$D$7</definedName>
    <definedName name="Gastos_Originación">'[2]Salida Cotización'!$D$7</definedName>
    <definedName name="GI.Monto_CAv_Contado" localSheetId="17">'[1]Gastos Iniciales'!$H$19</definedName>
    <definedName name="GI.Monto_CAv_Contado">'[2]Gastos Iniciales'!$H$19</definedName>
    <definedName name="GI.Monto_CAv_Financiar" localSheetId="17">'[1]Gastos Iniciales'!$G$19</definedName>
    <definedName name="GI.Monto_CAv_Financiar">'[2]Gastos Iniciales'!$G$19</definedName>
    <definedName name="GI.Monto_CInv_Contado" localSheetId="17">'[1]Gastos Iniciales'!$H$20</definedName>
    <definedName name="GI.Monto_CInv_Contado">'[2]Gastos Iniciales'!$H$20</definedName>
    <definedName name="GI.Monto_CInv_Financiar" localSheetId="17">'[1]Gastos Iniciales'!$G$20</definedName>
    <definedName name="GI.Monto_CInv_Financiar">'[2]Gastos Iniciales'!$G$20</definedName>
    <definedName name="GI.Monto_Financiar_Total" localSheetId="17">'[1]Gastos Iniciales'!$G$22</definedName>
    <definedName name="GI.Monto_Financiar_Total">'[2]Gastos Iniciales'!$G$22</definedName>
    <definedName name="GI.Monto_GN_Contado" localSheetId="17">'[1]Gastos Iniciales'!$H$18</definedName>
    <definedName name="GI.Monto_GN_Contado">'[2]Gastos Iniciales'!$H$18</definedName>
    <definedName name="GI.Monto_GN_Financiar" localSheetId="17">'[1]Gastos Iniciales'!$G$18</definedName>
    <definedName name="GI.Monto_GN_Financiar">'[2]Gastos Iniciales'!$G$18</definedName>
    <definedName name="Hay_Daños?" localSheetId="17">[1]Tipo_Seguro!$F$40</definedName>
    <definedName name="Hay_Daños?">[2]Tipo_Seguro!$F$40</definedName>
    <definedName name="Hay_Vida?" localSheetId="17">[1]Tipo_Seguro!$F$39</definedName>
    <definedName name="Hay_Vida?">[2]Tipo_Seguro!$F$39</definedName>
    <definedName name="high">'Tabla Parámetros'!$F$30:$F$41</definedName>
    <definedName name="Hipoteca_Fuerte">'Tabla Parámetros'!$AG$9:$AG$11</definedName>
    <definedName name="i.Aclaración_Tasa" localSheetId="4">'Oferta Vinculante'!$J$35</definedName>
    <definedName name="i.Apertura_Sin_IVA" localSheetId="14">'Pago x mil'!$B$17</definedName>
    <definedName name="i.Aplica_IVA?" localSheetId="14">'Pago x mil'!$B$12</definedName>
    <definedName name="i.Avalúo_con_IVA" localSheetId="14">'Pago x mil'!$B$18</definedName>
    <definedName name="i.CAT" localSheetId="4">'Oferta Vinculante'!$J$30</definedName>
    <definedName name="i.Com_Inv_Etiqueta" localSheetId="4">'Oferta Vinculante'!$J$15</definedName>
    <definedName name="i.Comisión_Apertura" localSheetId="4">'Oferta Vinculante'!#REF!</definedName>
    <definedName name="i.Comisión_Autorización" localSheetId="4">'Oferta Vinculante'!$J$16</definedName>
    <definedName name="i.Comisión_Diferida" localSheetId="14">'Pago x mil'!$B$11</definedName>
    <definedName name="i.Comisión_Investigación" localSheetId="4">'Oferta Vinculante'!$J$14</definedName>
    <definedName name="i.Comisión_Supervisión_Obra" localSheetId="4">'Oferta Vinculante'!$J$13</definedName>
    <definedName name="i.Destino" localSheetId="4">'Oferta Vinculante'!$J$7</definedName>
    <definedName name="i.Días_PMT" localSheetId="14">'Pago x mil'!$B$4</definedName>
    <definedName name="i.Días_PMT" localSheetId="8">'Tabla Parámetros'!$B$4</definedName>
    <definedName name="i.Etiqueta_Apertura" localSheetId="14">'Pago x mil'!$B$20</definedName>
    <definedName name="i.Etiqueta_Monto" localSheetId="3">'Tabla Notaría'!#REF!</definedName>
    <definedName name="i.Etiqueta_Seguro" localSheetId="14">'Pago x mil'!$B$16</definedName>
    <definedName name="i.Etiqueta_Tasa" localSheetId="3">'Tabla Notaría'!#REF!</definedName>
    <definedName name="i.Etiqueta_Tasas_Interés" localSheetId="4">'Oferta Vinculante'!$J$10</definedName>
    <definedName name="i.Factor_Seguro_Daños" localSheetId="14">'Pago x mil'!$B$10</definedName>
    <definedName name="i.Factor_Seguro_Vida" localSheetId="14">'Pago x mil'!$B$9</definedName>
    <definedName name="i.Fecha_Cotización" localSheetId="4">'Oferta Vinculante'!$J$5</definedName>
    <definedName name="i.Gastos_Notariales" localSheetId="14">'Pago x mil'!$B$19</definedName>
    <definedName name="i.Importe_Solicitado" localSheetId="4">'Oferta Vinculante'!$J$8</definedName>
    <definedName name="i.Iva" localSheetId="8">'Tabla Parámetros'!$B$16</definedName>
    <definedName name="i.IVA_Intereses" localSheetId="14">'Pago x mil'!$B$8</definedName>
    <definedName name="i.Monto_Total_Crédito" localSheetId="14">'Pago x mil'!$B$6</definedName>
    <definedName name="i.Nombre_Producto" localSheetId="14">'Pago x mil'!$B$14</definedName>
    <definedName name="i.Nomenclatura_Notarial" localSheetId="4">'Oferta Vinculante'!$J$32</definedName>
    <definedName name="i.Plazo_Crédito" localSheetId="14">'Pago x mil'!$B$5</definedName>
    <definedName name="i.Plazo_Crédito" localSheetId="8">'Tabla Parámetros'!$B$5</definedName>
    <definedName name="i.Plazo_en_Años" localSheetId="4">'Oferta Vinculante'!$J$12</definedName>
    <definedName name="i.Producto_Multitasa?" localSheetId="14">'Pago x mil'!$B$26</definedName>
    <definedName name="i.Relación_Ingreso_Pago" localSheetId="14">'Pago x mil'!$B$7</definedName>
    <definedName name="i.Tasa_Ordinaria" localSheetId="4">'Oferta Vinculante'!$J$11</definedName>
    <definedName name="i.Tasas_Gémini" localSheetId="14">'Pago x mil'!$B$22:$B$26</definedName>
    <definedName name="i.Tasas_Gémini" localSheetId="8">'Tabla Parámetros'!$B$22:$B$26</definedName>
    <definedName name="I.V.A." localSheetId="14">'Pago x mil'!$E$16:$I$16</definedName>
    <definedName name="i.Valor_Avalúo" localSheetId="8">'Tabla Parámetros'!$B$5</definedName>
    <definedName name="i.Valor_Garantía" localSheetId="4">'Oferta Vinculante'!$J$9</definedName>
    <definedName name="i.Valor_Vivienda" localSheetId="14">'Pago x mil'!$B$15</definedName>
    <definedName name="IAD" localSheetId="17">'[1]Crédito Banorte'!$O$64</definedName>
    <definedName name="IAD">'[2]Crédito Banorte'!$O$64</definedName>
    <definedName name="Id" localSheetId="26">AportPat!$B$1</definedName>
    <definedName name="IMB" localSheetId="17">'[1]Crédito Banorte'!$D$2</definedName>
    <definedName name="IMB">'[2]Crédito Banorte'!$D$2</definedName>
    <definedName name="IncDiez" localSheetId="17">'[1]Crédito Banorte'!$O$62</definedName>
    <definedName name="IncDiez">'[2]Crédito Banorte'!$O$62</definedName>
    <definedName name="Incremento_Avalúo" localSheetId="1">COFINAVIT!$N$15</definedName>
    <definedName name="Incremento_avalúo_COFINAVIT" localSheetId="17">'[1]Crédito Banorte'!$D$50</definedName>
    <definedName name="Incremento_avalúo_COFINAVIT">'[2]Crédito Banorte'!$D$50</definedName>
    <definedName name="Incremento_Comisión_por_Aut" localSheetId="17">[1]Layout!$Y$8</definedName>
    <definedName name="Incremento_Comisión_por_Aut" localSheetId="23">#REF!</definedName>
    <definedName name="Incremento_Comisión_por_Aut" localSheetId="24">#REF!</definedName>
    <definedName name="Incremento_Comisión_por_Aut" localSheetId="22">#REF!</definedName>
    <definedName name="Incremento_Comisión_por_Aut" localSheetId="20">#REF!</definedName>
    <definedName name="Incremento_Comisión_por_Aut" localSheetId="18">#REF!</definedName>
    <definedName name="Incremento_Comisión_por_Aut">#REF!</definedName>
    <definedName name="Incremento_Comisión_por_Aut_Nota5_Accesible" localSheetId="17">'[1]Pago Creciente'!$B$10</definedName>
    <definedName name="Incremento_Comisión_por_Aut_Nota5_Accesible">'[2]Pago Creciente'!$B$10</definedName>
    <definedName name="Incremento_Comisión_por_Aut_Nota5_Accesible_Plus" localSheetId="17">'[1]Pago Creciente'!$C$10</definedName>
    <definedName name="Incremento_Comisión_por_Aut_Nota5_Accesible_Plus">'[2]Pago Creciente'!$C$10</definedName>
    <definedName name="Incremento_Comisión_por_Aut_Nota5_Mas_por_Menos" localSheetId="17">'[1]Pago Creciente'!$D$10</definedName>
    <definedName name="Incremento_Comisión_por_Aut_Nota5_Mas_por_Menos">'[2]Pago Creciente'!$D$10</definedName>
    <definedName name="Incremento_en_pago" localSheetId="17">[1]Layout!$N$6</definedName>
    <definedName name="Incremento_en_pago" localSheetId="23">#REF!</definedName>
    <definedName name="Incremento_en_pago" localSheetId="24">#REF!</definedName>
    <definedName name="Incremento_en_pago" localSheetId="22">#REF!</definedName>
    <definedName name="Incremento_en_pago" localSheetId="20">#REF!</definedName>
    <definedName name="Incremento_en_pago" localSheetId="18">#REF!</definedName>
    <definedName name="Incremento_en_pago">#REF!</definedName>
    <definedName name="Incremento_pago_15" localSheetId="17">'[1]Pago Creciente'!$A$7</definedName>
    <definedName name="Incremento_pago_15">'[2]Pago Creciente'!$A$7</definedName>
    <definedName name="Incremento_pago_15_Accesible" localSheetId="17">'[1]Pago Creciente'!$B$7</definedName>
    <definedName name="Incremento_pago_15_Accesible">'[2]Pago Creciente'!$B$7</definedName>
    <definedName name="Incremento_pago_15_Accesible_Plus" localSheetId="17">'[1]Pago Creciente'!$C$7</definedName>
    <definedName name="Incremento_pago_15_Accesible_Plus">'[2]Pago Creciente'!$C$7</definedName>
    <definedName name="Incremento_pago_15_Mas_por_Menos" localSheetId="17">'[1]Pago Creciente'!$D$7</definedName>
    <definedName name="Incremento_pago_15_Mas_por_Menos">'[2]Pago Creciente'!$D$7</definedName>
    <definedName name="Incremento_pago_20" localSheetId="17">'[1]Pago Creciente'!$A$8</definedName>
    <definedName name="Incremento_pago_20">'[2]Pago Creciente'!$A$8</definedName>
    <definedName name="Incremento_pago_20_Accesible" localSheetId="17">'[1]Pago Creciente'!$B$8</definedName>
    <definedName name="Incremento_pago_20_Accesible">'[2]Pago Creciente'!$B$8</definedName>
    <definedName name="Incremento_pago_20_Accesible_Plus" localSheetId="17">'[1]Pago Creciente'!$C$8</definedName>
    <definedName name="Incremento_pago_20_Accesible_Plus">'[2]Pago Creciente'!$C$8</definedName>
    <definedName name="Incremento_pago_20_Mas_por_Menos" localSheetId="17">'[1]Pago Creciente'!$D$8</definedName>
    <definedName name="Incremento_pago_20_Mas_por_Menos">'[2]Pago Creciente'!$D$8</definedName>
    <definedName name="Incremento_Programa" localSheetId="1">COFINAVIT!$N$13</definedName>
    <definedName name="Índice_Destino_Ajustado" localSheetId="17">'[1]Pagos Anticipados'!$D$34</definedName>
    <definedName name="Índice_Destino_Ajustado">'[2]Pagos Anticipados'!$D$34</definedName>
    <definedName name="Índice_Esquema_Especial" localSheetId="17">'[1]Crédito Banorte'!$Y$46</definedName>
    <definedName name="Índice_Esquema_Especial">'[2]Crédito Banorte'!$Y$46</definedName>
    <definedName name="Índice_Producto" localSheetId="17">'[1]Crédito Banorte'!$AH$4</definedName>
    <definedName name="Índice_Producto">'[2]Crédito Banorte'!$AH$4</definedName>
    <definedName name="Individual" localSheetId="17">'[1]Tipo de Crédito'!$A$3</definedName>
    <definedName name="Individual">'[2]Tipo de Crédito'!$A$3</definedName>
    <definedName name="INFONAVIT" localSheetId="17">[1]DondeCotiza!$B$8</definedName>
    <definedName name="INFONAVIT">[2]DondeCotiza!$B$8</definedName>
    <definedName name="Ingreso" localSheetId="1">COFINAVIT!$N$4</definedName>
    <definedName name="Ingreso_Apoyo" localSheetId="17">'[1]PASO6 APOYO'!$F$9</definedName>
    <definedName name="Ingreso_Apoyo">'[2]PASO6 APOYO'!$F$9</definedName>
    <definedName name="Ingreso_Cónyuge" localSheetId="1">COFINAVIT!$E$11</definedName>
    <definedName name="Ingreso_Cónyuge_Cofinavit" localSheetId="17">'[1]PASO6 COFINAVIT'!$G$22</definedName>
    <definedName name="Ingreso_Cónyuge_Cofinavit">'[2]PASO6 COFINAVIT'!$G$22</definedName>
    <definedName name="Ingreso_Cónyuge_Fovissste" localSheetId="17">'[1]PASO6 FOVISSSTE'!$G$22</definedName>
    <definedName name="Ingreso_Cónyuge_Fovissste">'[2]PASO6 FOVISSSTE'!$G$22</definedName>
    <definedName name="Ingreso_Mínimo" localSheetId="17">'[1]Crédito Banorte'!$N$9</definedName>
    <definedName name="Ingreso_Mínimo">'[2]Crédito Banorte'!$N$9</definedName>
    <definedName name="Ingreso_Neto" localSheetId="1">COFINAVIT!$N$10</definedName>
    <definedName name="Ingreso_Titular" localSheetId="1">COFINAVIT!$E$6</definedName>
    <definedName name="Ingreso_Titular_Cofinavit" localSheetId="17">'[1]PASO6 COFINAVIT'!$E$22</definedName>
    <definedName name="Ingreso_Titular_Cofinavit">'[2]PASO6 COFINAVIT'!$E$22</definedName>
    <definedName name="Ingreso_Titular_Fovissste" localSheetId="17">'[1]PASO6 FOVISSSTE'!$E$22</definedName>
    <definedName name="Ingreso_Titular_Fovissste">'[2]PASO6 FOVISSSTE'!$E$22</definedName>
    <definedName name="Ingreso_Tradicional" localSheetId="17">'[1]PASO7 TRAD'!$F$12</definedName>
    <definedName name="Ingreso_Tradicional">'[2]PASO7 TRAD'!$F$12</definedName>
    <definedName name="Ingresos_Adicionales_Cofinavit" localSheetId="17">'[1]Cofinavit Ingresos Adicionales'!$B$1</definedName>
    <definedName name="Ingresos_Adicionales_Cofinavit">'[2]Cofinavit Ingresos Adicionales'!$B$1</definedName>
    <definedName name="Inicio_Aportaciones" localSheetId="17">[1]Layout!$AP$8</definedName>
    <definedName name="Inicio_Aportaciones" localSheetId="23">#REF!</definedName>
    <definedName name="Inicio_Aportaciones" localSheetId="24">#REF!</definedName>
    <definedName name="Inicio_Aportaciones" localSheetId="22">#REF!</definedName>
    <definedName name="Inicio_Aportaciones" localSheetId="20">#REF!</definedName>
    <definedName name="Inicio_Aportaciones" localSheetId="18">#REF!</definedName>
    <definedName name="Inicio_Aportaciones">#REF!</definedName>
    <definedName name="InstitutoVivienda.Etiqueta_Unidad_Mensual" localSheetId="17">[1]DondeCotiza!$G$3</definedName>
    <definedName name="InstitutoVivienda.Etiqueta_Unidad_Mensual">[2]DondeCotiza!$G$3</definedName>
    <definedName name="InstitutoVivienda.Valor_Base" localSheetId="17">[1]DondeCotiza!$F$3</definedName>
    <definedName name="InstitutoVivienda.Valor_Base">[2]DondeCotiza!$F$3</definedName>
    <definedName name="Intervinientes">[5]Adm!$U$4:$U$7</definedName>
    <definedName name="IVA" localSheetId="17">[1]IVA!$A$4</definedName>
    <definedName name="IVA">[2]IVA!$A$4</definedName>
    <definedName name="IVA_Comisiones" localSheetId="17">[1]IVA!$B$11</definedName>
    <definedName name="IVA_Comisiones">[2]IVA!$B$11</definedName>
    <definedName name="IVA_Intereses" localSheetId="17">[1]IVA!$B$10</definedName>
    <definedName name="IVA_Intereses">[2]IVA!$B$10</definedName>
    <definedName name="IVA_por_Destino_Condicional" localSheetId="17">[1]IVA!$E$28</definedName>
    <definedName name="IVA_por_Destino_Condicional">[2]IVA!$E$28</definedName>
    <definedName name="IVA_por_Destino_Directo" localSheetId="17">[1]IVA!$B$28</definedName>
    <definedName name="IVA_por_Destino_Directo">[2]IVA!$B$28</definedName>
    <definedName name="ixProducto" localSheetId="17">[1]Productos!$B$4</definedName>
    <definedName name="ixProducto">[2]Productos!$B$4</definedName>
    <definedName name="L.Comisión_por_Investigación" localSheetId="17">[1]Layout!$U$8</definedName>
    <definedName name="L.Comisión_por_Investigación" localSheetId="23">#REF!</definedName>
    <definedName name="L.Comisión_por_Investigación" localSheetId="24">#REF!</definedName>
    <definedName name="L.Comisión_por_Investigación" localSheetId="22">#REF!</definedName>
    <definedName name="L.Comisión_por_Investigación" localSheetId="20">#REF!</definedName>
    <definedName name="L.Comisión_por_Investigación" localSheetId="18">#REF!</definedName>
    <definedName name="L.Comisión_por_Investigación">#REF!</definedName>
    <definedName name="L.Porcentaje_Apertura" localSheetId="17">[1]Layout!$Q$8</definedName>
    <definedName name="L.Porcentaje_Apertura" localSheetId="23">#REF!</definedName>
    <definedName name="L.Porcentaje_Apertura" localSheetId="24">#REF!</definedName>
    <definedName name="L.Porcentaje_Apertura" localSheetId="22">#REF!</definedName>
    <definedName name="L.Porcentaje_Apertura" localSheetId="20">#REF!</definedName>
    <definedName name="L.Porcentaje_Apertura" localSheetId="18">#REF!</definedName>
    <definedName name="L.Porcentaje_Apertura">#REF!</definedName>
    <definedName name="L.Porcentaje_Financiar_Gastos_Iniciales" localSheetId="17">[1]Layout!$X$8</definedName>
    <definedName name="L.Porcentaje_Financiar_Gastos_Iniciales" localSheetId="23">#REF!</definedName>
    <definedName name="L.Porcentaje_Financiar_Gastos_Iniciales" localSheetId="24">#REF!</definedName>
    <definedName name="L.Porcentaje_Financiar_Gastos_Iniciales" localSheetId="22">#REF!</definedName>
    <definedName name="L.Porcentaje_Financiar_Gastos_Iniciales" localSheetId="20">#REF!</definedName>
    <definedName name="L.Porcentaje_Financiar_Gastos_Iniciales" localSheetId="18">#REF!</definedName>
    <definedName name="L.Porcentaje_Financiar_Gastos_Iniciales">#REF!</definedName>
    <definedName name="Layout.Mes_Dcto_Tasa" localSheetId="17">[1]Layout!$J$8</definedName>
    <definedName name="Layout.Mes_Dcto_Tasa" localSheetId="23">#REF!</definedName>
    <definedName name="Layout.Mes_Dcto_Tasa" localSheetId="24">#REF!</definedName>
    <definedName name="Layout.Mes_Dcto_Tasa" localSheetId="22">#REF!</definedName>
    <definedName name="Layout.Mes_Dcto_Tasa" localSheetId="20">#REF!</definedName>
    <definedName name="Layout.Mes_Dcto_Tasa" localSheetId="18">#REF!</definedName>
    <definedName name="Layout.Mes_Dcto_Tasa">#REF!</definedName>
    <definedName name="Layout_Completo" localSheetId="17">[1]Layout!$B$9:$BG$65402</definedName>
    <definedName name="Layout_Completo" localSheetId="23">#REF!</definedName>
    <definedName name="Layout_Completo" localSheetId="24">#REF!</definedName>
    <definedName name="Layout_Completo" localSheetId="22">#REF!</definedName>
    <definedName name="Layout_Completo" localSheetId="20">#REF!</definedName>
    <definedName name="Layout_Completo" localSheetId="18">#REF!</definedName>
    <definedName name="Layout_Completo">#REF!</definedName>
    <definedName name="Leyenda_Avalúo" localSheetId="17">[1]COMISIÓN_AVALÚO!$I$4</definedName>
    <definedName name="Leyenda_Avalúo">[2]COMISIÓN_AVALÚO!$I$4</definedName>
    <definedName name="Leyenda_Comisión_por_Apertura_1" localSheetId="17">'[1]Ajustes Subrogación'!$B$46</definedName>
    <definedName name="Leyenda_Comisión_por_Apertura_1">'[2]Ajustes Subrogación'!$B$46</definedName>
    <definedName name="Leyenda_Comisión_por_Apertura_2" localSheetId="17">'[1]Ajustes Subrogación'!$B$55</definedName>
    <definedName name="Leyenda_Comisión_por_Apertura_2">'[2]Ajustes Subrogación'!$B$55</definedName>
    <definedName name="Leyenda_Comisión_por_Apertura_3" localSheetId="17">'[1]Ajustes Subrogación'!$B$58</definedName>
    <definedName name="Leyenda_Comisión_por_Apertura_3">'[2]Ajustes Subrogación'!$B$58</definedName>
    <definedName name="Leyenda_Datos_Crédito_Adicional_1" localSheetId="17">[1]Destinos!$C$21</definedName>
    <definedName name="Leyenda_Datos_Crédito_Adicional_1">[2]Destinos!$C$21</definedName>
    <definedName name="Leyenda_Datos_Crédito_Adicional_2" localSheetId="17">[1]Destinos!$C$22</definedName>
    <definedName name="Leyenda_Datos_Crédito_Adicional_2">[2]Destinos!$C$22</definedName>
    <definedName name="Leyenda_Final_Daños" localSheetId="17">[1]Tipo_Seguro!$F$43</definedName>
    <definedName name="Leyenda_Final_Daños">[2]Tipo_Seguro!$F$43</definedName>
    <definedName name="Leyenda_Final_Vida" localSheetId="17">[1]Tipo_Seguro!$F$42</definedName>
    <definedName name="Leyenda_Final_Vida">[2]Tipo_Seguro!$F$42</definedName>
    <definedName name="LeyendaAsistencia" localSheetId="17">[1]Tipo_Seguro!$F$35</definedName>
    <definedName name="LeyendaAsistencia">[2]Tipo_Seguro!$F$35</definedName>
    <definedName name="LeyendaMomentos" localSheetId="17">[1]Tipo_Seguro!$F$34</definedName>
    <definedName name="LeyendaMomentos">[2]Tipo_Seguro!$F$34</definedName>
    <definedName name="LeyendaPaqDaños" localSheetId="17">[1]Tipo_Seguro!$F$37</definedName>
    <definedName name="LeyendaPaqDaños">[2]Tipo_Seguro!$F$37</definedName>
    <definedName name="LeyendaPaqVida" localSheetId="17">[1]Tipo_Seguro!$F$36</definedName>
    <definedName name="LeyendaPaqVida">[2]Tipo_Seguro!$F$36</definedName>
    <definedName name="LeyendaRecursosExcedidosCofinavit">#REF!</definedName>
    <definedName name="LIC" localSheetId="17">'[1]Crédito Banorte'!$O$66</definedName>
    <definedName name="LIC">'[2]Crédito Banorte'!$O$66</definedName>
    <definedName name="Liquidez" localSheetId="17">[1]Destinos!$A$12</definedName>
    <definedName name="Liquidez" localSheetId="2">'[4]Tabla Parámetros'!$C$52</definedName>
    <definedName name="Liquidez">'Tabla Parámetros'!$C$52</definedName>
    <definedName name="LSAOp" localSheetId="17">'[1]Crédito Banorte'!$O$80</definedName>
    <definedName name="LSAOp">'[2]Crédito Banorte'!$O$80</definedName>
    <definedName name="LSC" localSheetId="17">'[1]Crédito Banorte'!$O$68</definedName>
    <definedName name="LSC">'[2]Crédito Banorte'!$O$68</definedName>
    <definedName name="Mancomunado" localSheetId="17">'[1]Tipo de Crédito'!$D$2</definedName>
    <definedName name="Mancomunado">'[2]Tipo de Crédito'!$D$2</definedName>
    <definedName name="Matriz_Capital" localSheetId="17">'[1]Tabla Tradicional'!$S$4:$U$363</definedName>
    <definedName name="Matriz_Capital">'[2]Tabla Tradicional'!$S$4:$U$363</definedName>
    <definedName name="Matriz_Capital_CAT" localSheetId="17">'[1]CAT Tabla Tradicional'!$U$10:$W$369</definedName>
    <definedName name="Matriz_Capital_CAT">'[2]CAT Tabla Tradicional'!$U$10:$W$369</definedName>
    <definedName name="Matriz_Descuentos" localSheetId="17">[1]Validaciones!$A$25:$C$27</definedName>
    <definedName name="Matriz_Descuentos">[2]Validaciones!$A$25:$C$27</definedName>
    <definedName name="Máximo_Crédito_Fovissste" localSheetId="17">[1]Validaciones!$F$41</definedName>
    <definedName name="Máximo_Crédito_Fovissste">[2]Validaciones!$F$41</definedName>
    <definedName name="Máximo_Crédito_Infonavit_Cónyuge" localSheetId="17">[1]Validaciones!$D$22</definedName>
    <definedName name="Máximo_Crédito_Infonavit_Cónyuge">[2]Validaciones!$D$22</definedName>
    <definedName name="Máximo_crédito_infonavit_ingresos_adicionales_conyuge" localSheetId="17">[1]Validaciones!$J$19</definedName>
    <definedName name="Máximo_crédito_infonavit_ingresos_adicionales_conyuge">[2]Validaciones!$J$19</definedName>
    <definedName name="Máximo_crédito_infonavit_ingresos_adicionales_titular" localSheetId="17">[1]Validaciones!$I$19</definedName>
    <definedName name="Máximo_crédito_infonavit_ingresos_adicionales_titular">[2]Validaciones!$I$19</definedName>
    <definedName name="Máximo_Crédito_Infonavit_Titular" localSheetId="17">[1]Validaciones!$C$22</definedName>
    <definedName name="Máximo_Crédito_Infonavit_Titular">[2]Validaciones!$C$22</definedName>
    <definedName name="Mejora" localSheetId="17">[1]Destinos!$A$8</definedName>
    <definedName name="Mejora" localSheetId="2">'[4]Tabla Parámetros'!$C$36:$C$37</definedName>
    <definedName name="Mejora">'Tabla Parámetros'!$C$36:$C$37</definedName>
    <definedName name="Mejora_más_Remodelación" localSheetId="2">'[4]Tabla Parámetros'!$C$39</definedName>
    <definedName name="Mejora_más_Remodelación">'Tabla Parámetros'!$C$39</definedName>
    <definedName name="Mes_Cotización" localSheetId="17">'[1]Fecha Pago'!$C$10</definedName>
    <definedName name="Mes_Cotización">'[2]Fecha Pago'!$C$10</definedName>
    <definedName name="Mes_Descto_en_Tasa" localSheetId="17">[1]Layout!$J$6</definedName>
    <definedName name="Mes_Descto_en_Tasa" localSheetId="23">#REF!</definedName>
    <definedName name="Mes_Descto_en_Tasa" localSheetId="24">#REF!</definedName>
    <definedName name="Mes_Descto_en_Tasa" localSheetId="22">#REF!</definedName>
    <definedName name="Mes_Descto_en_Tasa" localSheetId="20">#REF!</definedName>
    <definedName name="Mes_Descto_en_Tasa" localSheetId="18">#REF!</definedName>
    <definedName name="Mes_Descto_en_Tasa">#REF!</definedName>
    <definedName name="Mes_Incremento_Comisión" localSheetId="17">[1]Layout!$Z$8</definedName>
    <definedName name="Mes_Incremento_Comisión" localSheetId="23">#REF!</definedName>
    <definedName name="Mes_Incremento_Comisión" localSheetId="24">#REF!</definedName>
    <definedName name="Mes_Incremento_Comisión" localSheetId="22">#REF!</definedName>
    <definedName name="Mes_Incremento_Comisión" localSheetId="20">#REF!</definedName>
    <definedName name="Mes_Incremento_Comisión" localSheetId="18">#REF!</definedName>
    <definedName name="Mes_Incremento_Comisión">#REF!</definedName>
    <definedName name="Mes_Incremento_Pago" localSheetId="23">#REF!</definedName>
    <definedName name="Mes_Incremento_Pago" localSheetId="24">#REF!</definedName>
    <definedName name="Mes_Incremento_Pago" localSheetId="22">#REF!</definedName>
    <definedName name="Mes_Incremento_Pago" localSheetId="20">#REF!</definedName>
    <definedName name="Mes_Incremento_Pago" localSheetId="18">#REF!</definedName>
    <definedName name="Mes_Incremento_Pago">#REF!</definedName>
    <definedName name="Mes_Primer_Pago" localSheetId="17">'[1]Fecha Pago'!$B$7</definedName>
    <definedName name="Mes_Primer_Pago">'[2]Fecha Pago'!$B$7</definedName>
    <definedName name="Meses_de_más" localSheetId="17">[1]Plazos!$J$19</definedName>
    <definedName name="Meses_de_más">[2]Plazos!$J$19</definedName>
    <definedName name="Meses_Devolución" localSheetId="17">[1]Layout!$BE$8</definedName>
    <definedName name="Meses_Devolución" localSheetId="23">#REF!</definedName>
    <definedName name="Meses_Devolución" localSheetId="24">#REF!</definedName>
    <definedName name="Meses_Devolución" localSheetId="22">#REF!</definedName>
    <definedName name="Meses_Devolución" localSheetId="20">#REF!</definedName>
    <definedName name="Meses_Devolución" localSheetId="18">#REF!</definedName>
    <definedName name="Meses_Devolución">#REF!</definedName>
    <definedName name="Meses_gracia_de_capital" localSheetId="17">[1]Layout!$P$8</definedName>
    <definedName name="Meses_gracia_de_capital" localSheetId="23">#REF!</definedName>
    <definedName name="Meses_gracia_de_capital" localSheetId="24">#REF!</definedName>
    <definedName name="Meses_gracia_de_capital" localSheetId="22">#REF!</definedName>
    <definedName name="Meses_gracia_de_capital" localSheetId="20">#REF!</definedName>
    <definedName name="Meses_gracia_de_capital" localSheetId="18">#REF!</definedName>
    <definedName name="Meses_gracia_de_capital">#REF!</definedName>
    <definedName name="Meses_Gratis_Seguro_Daños" localSheetId="23">#REF!</definedName>
    <definedName name="Meses_Gratis_Seguro_Daños" localSheetId="24">#REF!</definedName>
    <definedName name="Meses_Gratis_Seguro_Daños" localSheetId="22">#REF!</definedName>
    <definedName name="Meses_Gratis_Seguro_Daños" localSheetId="20">#REF!</definedName>
    <definedName name="Meses_Gratis_Seguro_Daños" localSheetId="18">#REF!</definedName>
    <definedName name="Meses_Gratis_Seguro_Daños">#REF!</definedName>
    <definedName name="Meses_Gratis_Seguro_Desempleo" localSheetId="23">#REF!</definedName>
    <definedName name="Meses_Gratis_Seguro_Desempleo" localSheetId="24">#REF!</definedName>
    <definedName name="Meses_Gratis_Seguro_Desempleo" localSheetId="22">#REF!</definedName>
    <definedName name="Meses_Gratis_Seguro_Desempleo" localSheetId="20">#REF!</definedName>
    <definedName name="Meses_Gratis_Seguro_Desempleo" localSheetId="18">#REF!</definedName>
    <definedName name="Meses_Gratis_Seguro_Desempleo">#REF!</definedName>
    <definedName name="Meses_Gratis_Seguro_Vida" localSheetId="23">#REF!</definedName>
    <definedName name="Meses_Gratis_Seguro_Vida" localSheetId="24">#REF!</definedName>
    <definedName name="Meses_Gratis_Seguro_Vida" localSheetId="22">#REF!</definedName>
    <definedName name="Meses_Gratis_Seguro_Vida" localSheetId="20">#REF!</definedName>
    <definedName name="Meses_Gratis_Seguro_Vida" localSheetId="18">#REF!</definedName>
    <definedName name="Meses_Gratis_Seguro_Vida">#REF!</definedName>
    <definedName name="Millón_de_UDIS" localSheetId="17">'[1]UDIS y SM'!$B$15</definedName>
    <definedName name="Millón_de_UDIS">'[2]UDIS y SM'!$B$15</definedName>
    <definedName name="Monto" localSheetId="26">AportPat!$E$9</definedName>
    <definedName name="Monto_CAper_Financiar" localSheetId="17">'[1]Gastos Iniciales'!$G$21</definedName>
    <definedName name="Monto_CAper_Financiar">'[2]Gastos Iniciales'!$G$21</definedName>
    <definedName name="Monto_Comisión_Avalúo" localSheetId="17">[1]Layout!$R$8</definedName>
    <definedName name="Monto_Comisión_Avalúo" localSheetId="23">#REF!</definedName>
    <definedName name="Monto_Comisión_Avalúo" localSheetId="24">#REF!</definedName>
    <definedName name="Monto_Comisión_Avalúo" localSheetId="22">#REF!</definedName>
    <definedName name="Monto_Comisión_Avalúo" localSheetId="20">#REF!</definedName>
    <definedName name="Monto_Comisión_Avalúo" localSheetId="18">#REF!</definedName>
    <definedName name="Monto_Comisión_Avalúo">#REF!</definedName>
    <definedName name="Monto_Crédito_Principal" localSheetId="17">'[1]Salida Cotización'!$D$3</definedName>
    <definedName name="Monto_Crédito_Principal">'[2]Salida Cotización'!$D$3</definedName>
    <definedName name="Monto_de_Recursos_Extra" localSheetId="17">'[1]Crédito Banorte'!$O$91</definedName>
    <definedName name="Monto_de_Recursos_Extra">'[2]Crédito Banorte'!$O$91</definedName>
    <definedName name="Monto_Devolución" localSheetId="17">[1]Cotización!$G$89</definedName>
    <definedName name="Monto_Devolución">[2]Cotización!$G$88</definedName>
    <definedName name="Monto_Inicial_Disponible_Cónyuge" localSheetId="17">[1]Validaciones!$D$6</definedName>
    <definedName name="Monto_Inicial_Disponible_Cónyuge">[2]Validaciones!$D$6</definedName>
    <definedName name="Monto_Inicial_Disponible_Titular" localSheetId="17">[1]Validaciones!$C$6</definedName>
    <definedName name="Monto_Inicial_Disponible_Titular">[2]Validaciones!$C$6</definedName>
    <definedName name="Monto_para_seguro_daños" localSheetId="17">[1]PasoValorDestructible!$H$9</definedName>
    <definedName name="Monto_para_seguro_daños">'[2]Pass-Throughs'!$B$6</definedName>
    <definedName name="Monto_para_validar_aforo_Fovissste" localSheetId="17">[1]Layout!$AF$3</definedName>
    <definedName name="Monto_para_validar_aforo_Fovissste" localSheetId="23">#REF!</definedName>
    <definedName name="Monto_para_validar_aforo_Fovissste" localSheetId="24">#REF!</definedName>
    <definedName name="Monto_para_validar_aforo_Fovissste" localSheetId="22">#REF!</definedName>
    <definedName name="Monto_para_validar_aforo_Fovissste" localSheetId="20">#REF!</definedName>
    <definedName name="Monto_para_validar_aforo_Fovissste" localSheetId="18">#REF!</definedName>
    <definedName name="Monto_para_validar_aforo_Fovissste">#REF!</definedName>
    <definedName name="Monto_Remanente_Cónyuge" localSheetId="17">'[1]PASO6 COFINAVIT'!$G$26</definedName>
    <definedName name="Monto_Remanente_Cónyuge">'[2]PASO6 COFINAVIT'!$G$26</definedName>
    <definedName name="Monto_Remanente_Titular" localSheetId="17">'[1]PASO6 COFINAVIT'!$E$26</definedName>
    <definedName name="Monto_Remanente_Titular">'[2]PASO6 COFINAVIT'!$E$26</definedName>
    <definedName name="Monto_Total_de_Crédito" localSheetId="17">'[1]Salida Cotización'!$D$8</definedName>
    <definedName name="Monto_Total_de_Crédito">'[2]Salida Cotización'!$D$8</definedName>
    <definedName name="Mujer_Banorte" localSheetId="17">'[1]Pass-Throughs'!$B$12</definedName>
    <definedName name="Mujer_Banorte">'[2]Pass-Throughs'!$B$12</definedName>
    <definedName name="Mujer_Banorte.Cuota" localSheetId="17">'[1]Pass-Throughs'!$B$15</definedName>
    <definedName name="Mujer_Banorte.Cuota">'[2]Pass-Throughs'!$B$15</definedName>
    <definedName name="Mujer_Banorte.Porcentaje" localSheetId="17">'[1]Pass-Throughs'!$B$13</definedName>
    <definedName name="Mujer_Banorte.Porcentaje">'[2]Pass-Throughs'!$B$13</definedName>
    <definedName name="Mujer_Banorte.Tope" localSheetId="17">'[1]Pass-Throughs'!$B$14</definedName>
    <definedName name="Mujer_Banorte.Tope">'[2]Pass-Throughs'!$B$14</definedName>
    <definedName name="Multitasa" localSheetId="17">[1]PasoTasas.Helper!$L$5</definedName>
    <definedName name="Multitasa">[2]PasoTasas.Helper!$K$5</definedName>
    <definedName name="Neto_Gastos_Originación" localSheetId="17">'[1]Crédito Banorte'!$O$104</definedName>
    <definedName name="Neto_Gastos_Originación">'[2]Crédito Banorte'!$O$104</definedName>
    <definedName name="Ninguno" localSheetId="17">[1]DondeCotiza!$B$7</definedName>
    <definedName name="Ninguno">[2]DondeCotiza!$B$7</definedName>
    <definedName name="NN.Catalogo" localSheetId="17">[1]NotasNumeradasOV!$A$5:$N$12</definedName>
    <definedName name="NN.Catalogo">[2]NotasNumeradasOV!$A$5:$N$12</definedName>
    <definedName name="No" localSheetId="17">[1]IVA!$F$25</definedName>
    <definedName name="No">[2]IVA!$F$25</definedName>
    <definedName name="No_Frontera" localSheetId="17">[1]IVA!$A$5</definedName>
    <definedName name="No_Frontera">[2]IVA!$A$5</definedName>
    <definedName name="Nombre_Cliente" localSheetId="4">'Oferta Vinculante'!$M$10</definedName>
    <definedName name="Nombre_Cotiza_En" localSheetId="17">[1]DondeCotiza!$C$3</definedName>
    <definedName name="Nombre_Cotiza_En">[2]DondeCotiza!$C$3</definedName>
    <definedName name="Nombre_Destino" localSheetId="17">[1]Destinos!$B$4</definedName>
    <definedName name="Nombre_Destino">[2]Destinos!$B$4</definedName>
    <definedName name="Nombre_Esquema_Especial" localSheetId="17">'[1]Esquema Especial'!$C$7</definedName>
    <definedName name="Nombre_Esquema_Especial">'[2]Esquema Especial'!$C$7</definedName>
    <definedName name="Nombre_Estado" localSheetId="17">'[1]GASNOT GLUE'!$B$16</definedName>
    <definedName name="Nombre_Estado">'[2]GASNOT GLUE'!$B$16</definedName>
    <definedName name="Nombre_IVA" localSheetId="17">[1]IVA!$B$9</definedName>
    <definedName name="Nombre_IVA">[2]IVA!$B$9</definedName>
    <definedName name="Nombre_Opción_Pago_Anticipado" localSheetId="17">'[1]Pagos Anticipados'!$B$1</definedName>
    <definedName name="Nombre_Opción_Pago_Anticipado">'[2]Pagos Anticipados'!$B$1</definedName>
    <definedName name="Nombre_Producto" localSheetId="17">[1]Productos!$C$4</definedName>
    <definedName name="Nombre_Producto">[2]Productos!$C$4</definedName>
    <definedName name="Nota_1" localSheetId="17">'[1]Salida Cotización'!$F$3</definedName>
    <definedName name="Nota_1">'[2]Salida Cotización'!$F$3</definedName>
    <definedName name="Nota_1_Tabla" localSheetId="17">'[1]Salida Cotización'!$O$3</definedName>
    <definedName name="Nota_1_Tabla">'[2]Salida Cotización'!$O$3</definedName>
    <definedName name="Notariales.Monto" localSheetId="17">'[1]GASNOT GLUE'!$B$14</definedName>
    <definedName name="Notariales.Monto">'[2]GASNOT GLUE'!$B$14</definedName>
    <definedName name="Notariales.Nomenclatura_General" localSheetId="17">'[1]GASNOT GLUE'!$B$19</definedName>
    <definedName name="Notariales.Nomenclatura_General">'[2]GASNOT GLUE'!$B$19</definedName>
    <definedName name="Notariales.Nomenclatura_OV" localSheetId="17">'[1]GASNOT GLUE'!$B$20</definedName>
    <definedName name="Notariales.Nomenclatura_OV">'[2]GASNOT GLUE'!$B$20</definedName>
    <definedName name="Notariales.Nota" localSheetId="17">'[1]GASNOT GLUE'!$B$17</definedName>
    <definedName name="Notariales.Nota">'[2]GASNOT GLUE'!$B$17</definedName>
    <definedName name="Notariales.Nota_Desglosada" localSheetId="17">'[1]GASNOT GLUE'!$B$18</definedName>
    <definedName name="Notariales.Nota_Desglosada">'[2]GASNOT GLUE'!$B$18</definedName>
    <definedName name="Notariales.Nota_Pie_OV" localSheetId="17">'[1]GASNOT GLUE'!$B$22</definedName>
    <definedName name="Notariales.Nota_Pie_OV">'[2]GASNOT GLUE'!$B$22</definedName>
    <definedName name="Notariales.Nota_Pie_OV_Visible?" localSheetId="17">'[1]GASNOT GLUE'!$B$21</definedName>
    <definedName name="Notariales.Nota_Pie_OV_Visible?">'[2]GASNOT GLUE'!$B$21</definedName>
    <definedName name="Notariales.Porcentaje" localSheetId="17">'[1]GASNOT GLUE'!$B$15</definedName>
    <definedName name="Notariales.Porcentaje">'[2]GASNOT GLUE'!$B$15</definedName>
    <definedName name="Num_Periodos" localSheetId="1">COFINAVIT!$E$18</definedName>
    <definedName name="Número_anualidades" localSheetId="17">[1]Layout!$AT$8</definedName>
    <definedName name="Número_anualidades" localSheetId="23">#REF!</definedName>
    <definedName name="Número_anualidades" localSheetId="24">#REF!</definedName>
    <definedName name="Número_anualidades" localSheetId="22">#REF!</definedName>
    <definedName name="Número_anualidades" localSheetId="20">#REF!</definedName>
    <definedName name="Número_anualidades" localSheetId="18">#REF!</definedName>
    <definedName name="Número_anualidades">#REF!</definedName>
    <definedName name="Número_Ministraciones_Layout" localSheetId="17">[1]Layout!$AB$8</definedName>
    <definedName name="Número_Ministraciones_Layout" localSheetId="23">#REF!</definedName>
    <definedName name="Número_Ministraciones_Layout" localSheetId="24">#REF!</definedName>
    <definedName name="Número_Ministraciones_Layout" localSheetId="22">#REF!</definedName>
    <definedName name="Número_Ministraciones_Layout" localSheetId="20">#REF!</definedName>
    <definedName name="Número_Ministraciones_Layout" localSheetId="18">#REF!</definedName>
    <definedName name="Número_Ministraciones_Layout">#REF!</definedName>
    <definedName name="OLE_LINK1" localSheetId="0">Simulador!$B$635</definedName>
    <definedName name="Opción_Pago_Anticipado" localSheetId="17">'[1]Pagos Anticipados'!$C$1</definedName>
    <definedName name="Opción_Pago_Anticipado">'[2]Pagos Anticipados'!$C$1</definedName>
    <definedName name="Opciones_Prepagos_Apoyo" localSheetId="17">'[1]Pagos Anticipados'!$C$7:$C$9</definedName>
    <definedName name="Opciones_Prepagos_Apoyo">'[2]Pagos Anticipados'!$C$7:$C$9</definedName>
    <definedName name="Opciones_Prepagos_Cofinavit" localSheetId="17">'[1]Pagos Anticipados'!$D$7:$D$9</definedName>
    <definedName name="Opciones_Prepagos_Cofinavit">'[2]Pagos Anticipados'!$D$7:$D$9</definedName>
    <definedName name="Opciones_Prepagos_Fovissste" localSheetId="17">'[1]Pagos Anticipados'!$E$7:$E$9</definedName>
    <definedName name="Opciones_Prepagos_Fovissste">'[2]Pagos Anticipados'!$E$7:$E$9</definedName>
    <definedName name="Opciones_Prepagos_Tradicional" localSheetId="17">'[1]Pagos Anticipados'!$B$7:$B$9</definedName>
    <definedName name="Opciones_Prepagos_Tradicional">'[2]Pagos Anticipados'!$B$7:$B$9</definedName>
    <definedName name="origen">[5]Adm!$AH$5:$AH$7</definedName>
    <definedName name="Pago_Crédito" localSheetId="14">'Pago x mil'!$E$15:$I$15</definedName>
    <definedName name="Pago_mensual_neto" localSheetId="2">#REF!</definedName>
    <definedName name="Pago_mensual_neto">#REF!</definedName>
    <definedName name="Pago_Mensual_Tradicional" localSheetId="17">'[1]PASO7 TRAD'!$F$11</definedName>
    <definedName name="Pago_Mensual_Tradicional">'[2]PASO7 TRAD'!$F$11</definedName>
    <definedName name="Pago_Mínimo" localSheetId="17">'[1]Crédito Banorte'!$L$9</definedName>
    <definedName name="Pago_Mínimo">'[2]Crédito Banorte'!$L$9</definedName>
    <definedName name="Pago_por_Mil" localSheetId="14">'Pago x mil'!$E$13:$I$13</definedName>
    <definedName name="Pago_Total_Mensual" localSheetId="14">'Pago x mil'!$E$21:$I$21</definedName>
    <definedName name="Pagos_Ant_Apoyo_A" localSheetId="17">'[1]Pagos Anticipados'!$F$17:$F$19</definedName>
    <definedName name="Pagos_Ant_Apoyo_A">'[2]Pagos Anticipados'!$F$17:$F$19</definedName>
    <definedName name="Pagos_Ant_Apoyo_B" localSheetId="17">'[1]Pagos Anticipados'!$F$22:$F$24</definedName>
    <definedName name="Pagos_Ant_Apoyo_B">'[2]Pagos Anticipados'!$F$22:$F$24</definedName>
    <definedName name="Pagos_Ant_Apoyo_C" localSheetId="17">'[1]Pagos Anticipados'!$F$27:$F$28</definedName>
    <definedName name="Pagos_Ant_Apoyo_C">'[2]Pagos Anticipados'!$F$27:$F$28</definedName>
    <definedName name="Pagos_Ant_Cofinavit_A" localSheetId="17">'[1]Pagos Anticipados'!$G$17:$G$19</definedName>
    <definedName name="Pagos_Ant_Cofinavit_A">'[2]Pagos Anticipados'!$G$17:$G$19</definedName>
    <definedName name="Pagos_Ant_Cofinavit_B" localSheetId="17">'[1]Pagos Anticipados'!$G$22:$G$24</definedName>
    <definedName name="Pagos_Ant_Cofinavit_B">'[2]Pagos Anticipados'!$G$22:$G$24</definedName>
    <definedName name="Pagos_Ant_Cofinavit_C" localSheetId="17">'[1]Pagos Anticipados'!$G$27:$G$29</definedName>
    <definedName name="Pagos_Ant_Cofinavit_C">'[2]Pagos Anticipados'!$G$27:$G$29</definedName>
    <definedName name="Pagos_Ant_D" localSheetId="17">'[1]Pagos Anticipados'!$B$32:$E$32</definedName>
    <definedName name="Pagos_Ant_D">'[2]Pagos Anticipados'!$B$32:$E$32</definedName>
    <definedName name="Pagos_Ant_Fovissste_A" localSheetId="17">'[1]Pagos Anticipados'!$H$17:$H$19</definedName>
    <definedName name="Pagos_Ant_Fovissste_A">'[2]Pagos Anticipados'!$H$17:$H$19</definedName>
    <definedName name="Pagos_Ant_Fovissste_B" localSheetId="17">'[1]Pagos Anticipados'!$H$22:$H$24</definedName>
    <definedName name="Pagos_Ant_Fovissste_B">'[2]Pagos Anticipados'!$H$22:$H$24</definedName>
    <definedName name="Pagos_Ant_Fovissste_C" localSheetId="17">'[1]Pagos Anticipados'!$H$27:$H$29</definedName>
    <definedName name="Pagos_Ant_Fovissste_C">'[2]Pagos Anticipados'!$H$27:$H$29</definedName>
    <definedName name="Pagos_Ant_LiquidezyTerreno" localSheetId="17">'[1]Pagos Anticipados'!$B$12:$B$14</definedName>
    <definedName name="Pagos_Ant_LiquidezyTerreno">'[2]Pagos Anticipados'!$B$12:$B$14</definedName>
    <definedName name="Pagos_Ant_Tradicional_A" localSheetId="17">'[1]Pagos Anticipados'!$B$17:$E$19</definedName>
    <definedName name="Pagos_Ant_Tradicional_A">'[2]Pagos Anticipados'!$B$17:$E$19</definedName>
    <definedName name="Pagos_Ant_Tradicional_B" localSheetId="17">'[1]Pagos Anticipados'!$B$22:$E$24</definedName>
    <definedName name="Pagos_Ant_Tradicional_B">'[2]Pagos Anticipados'!$B$22:$E$24</definedName>
    <definedName name="Pagos_Ant_Tradicional_C" localSheetId="17">'[1]Pagos Anticipados'!$B$27:$E$29</definedName>
    <definedName name="Pagos_Ant_Tradicional_C">'[2]Pagos Anticipados'!$B$27:$E$29</definedName>
    <definedName name="Param_Crédito_Cónyuge_Cofinavit" localSheetId="17">[1]DondeCotiza!$K$17</definedName>
    <definedName name="Param_Crédito_Cónyuge_Cofinavit">[2]DondeCotiza!$K$17</definedName>
    <definedName name="Param_Crédito_Cónyuge_Cofinavit_IA" localSheetId="17">[1]DondeCotiza!$K$19</definedName>
    <definedName name="Param_Crédito_Cónyuge_Cofinavit_IA">[2]DondeCotiza!$K$19</definedName>
    <definedName name="Param_Crédito_Fovissste" localSheetId="17">[1]DondeCotiza!$K$20</definedName>
    <definedName name="Param_Crédito_Fovissste">[2]DondeCotiza!$K$20</definedName>
    <definedName name="Param_Crédito_Titular_Cofinavit" localSheetId="17">[1]DondeCotiza!$K$16</definedName>
    <definedName name="Param_Crédito_Titular_Cofinavit">[2]DondeCotiza!$K$16</definedName>
    <definedName name="Param_Crédito_Titular_Cofinavit_IA" localSheetId="17">[1]DondeCotiza!$K$18</definedName>
    <definedName name="Param_Crédito_Titular_Cofinavit_IA">[2]DondeCotiza!$K$18</definedName>
    <definedName name="Param_Ingreso_Mínimo_Especial_Apoyo" localSheetId="17">[1]DondeCotiza!$K$14</definedName>
    <definedName name="Param_Ingreso_Mínimo_Especial_Apoyo">[2]DondeCotiza!$K$14</definedName>
    <definedName name="Param_Ingreso_Mínimo_General" localSheetId="17">[1]DondeCotiza!$K$13</definedName>
    <definedName name="Param_Ingreso_Mínimo_General">[2]DondeCotiza!$K$13</definedName>
    <definedName name="Param_Tope_Aportación_Apoyo" localSheetId="17">[1]DondeCotiza!$K$15</definedName>
    <definedName name="Param_Tope_Aportación_Apoyo">[2]DondeCotiza!$K$15</definedName>
    <definedName name="Periodo" localSheetId="26">AportPat!$K:$K</definedName>
    <definedName name="Periodo" localSheetId="17">'[1]Fecha Pago'!$J:$J</definedName>
    <definedName name="Periodo">'[2]Fecha Pago'!$J:$J</definedName>
    <definedName name="PERIODO_INICIAL" localSheetId="26">AportPat!$I$7</definedName>
    <definedName name="Periodos_por_Año" localSheetId="1">COFINAVIT!$E$17</definedName>
    <definedName name="Plazo_Crédito" localSheetId="17">[1]Plazos!$J$16</definedName>
    <definedName name="Plazo_Crédito">[2]Plazos!$J$16</definedName>
    <definedName name="Plazo_Crédito_en_años" localSheetId="17">[1]Plazos!$J$17</definedName>
    <definedName name="Plazo_Crédito_en_años">[2]Plazos!$J$17</definedName>
    <definedName name="Plazo_Etiqueta_Notaría" localSheetId="17">[1]Plazos!$J$23</definedName>
    <definedName name="Plazo_Etiqueta_Notaría">[2]Plazos!$J$23</definedName>
    <definedName name="Plazo_Máximo" localSheetId="17">[1]Plazos!$J$13</definedName>
    <definedName name="Plazo_Máximo">[2]Plazos!$J$13</definedName>
    <definedName name="Plazo_Máximo_AG" localSheetId="17">[1]Layout!$AU$8</definedName>
    <definedName name="Plazo_Máximo_AG" localSheetId="23">#REF!</definedName>
    <definedName name="Plazo_Máximo_AG" localSheetId="24">#REF!</definedName>
    <definedName name="Plazo_Máximo_AG" localSheetId="22">#REF!</definedName>
    <definedName name="Plazo_Máximo_AG" localSheetId="20">#REF!</definedName>
    <definedName name="Plazo_Máximo_AG" localSheetId="18">#REF!</definedName>
    <definedName name="Plazo_Máximo_AG">#REF!</definedName>
    <definedName name="Plazo_Ministraciones_Layout" localSheetId="17">[1]Layout!$AC$8</definedName>
    <definedName name="Plazo_Ministraciones_Layout" localSheetId="23">#REF!</definedName>
    <definedName name="Plazo_Ministraciones_Layout" localSheetId="24">#REF!</definedName>
    <definedName name="Plazo_Ministraciones_Layout" localSheetId="22">#REF!</definedName>
    <definedName name="Plazo_Ministraciones_Layout" localSheetId="20">#REF!</definedName>
    <definedName name="Plazo_Ministraciones_Layout" localSheetId="18">#REF!</definedName>
    <definedName name="Plazo_Ministraciones_Layout">#REF!</definedName>
    <definedName name="Plazo_por_Combo" localSheetId="17">[1]Plazos!$J$10</definedName>
    <definedName name="Plazo_por_Combo">[2]Plazos!$J$10</definedName>
    <definedName name="Plazos_Disponibles" localSheetId="17">[1]Plazos!$G$9:$G$24</definedName>
    <definedName name="Plazos_Disponibles">[2]Plazos!$G$9:$G$24</definedName>
    <definedName name="Por_avalúo" localSheetId="17">'[1]Tipo de Simulación'!$A$2</definedName>
    <definedName name="Por_avalúo">'[2]Tipo de Simulación'!$A$2</definedName>
    <definedName name="Por_crédito" localSheetId="17">'[1]Tipo de Simulación'!$A$3</definedName>
    <definedName name="Por_crédito">'[2]Tipo de Simulación'!$A$3</definedName>
    <definedName name="Por_ingreso_mensual" localSheetId="17">'[1]Tipo de Simulación'!$A$5</definedName>
    <definedName name="Por_ingreso_mensual">'[2]Tipo de Simulación'!$A$5</definedName>
    <definedName name="Por_pago_mensual" localSheetId="17">'[1]Tipo de Simulación'!$A$4</definedName>
    <definedName name="Por_pago_mensual">'[2]Tipo de Simulación'!$A$4</definedName>
    <definedName name="Porcentaje_Aportación_Patronal" localSheetId="17">[1]Layout!$AQ$8</definedName>
    <definedName name="Porcentaje_Aportación_Patronal" localSheetId="23">#REF!</definedName>
    <definedName name="Porcentaje_Aportación_Patronal" localSheetId="24">#REF!</definedName>
    <definedName name="Porcentaje_Aportación_Patronal" localSheetId="22">#REF!</definedName>
    <definedName name="Porcentaje_Aportación_Patronal" localSheetId="20">#REF!</definedName>
    <definedName name="Porcentaje_Aportación_Patronal" localSheetId="18">#REF!</definedName>
    <definedName name="Porcentaje_Aportación_Patronal">#REF!</definedName>
    <definedName name="Porcentaje_Comisión_Apertura" localSheetId="17">[1]Layout!$Q$6</definedName>
    <definedName name="Porcentaje_Comisión_Apertura" localSheetId="23">#REF!</definedName>
    <definedName name="Porcentaje_Comisión_Apertura" localSheetId="24">#REF!</definedName>
    <definedName name="Porcentaje_Comisión_Apertura" localSheetId="22">#REF!</definedName>
    <definedName name="Porcentaje_Comisión_Apertura" localSheetId="20">#REF!</definedName>
    <definedName name="Porcentaje_Comisión_Apertura" localSheetId="18">#REF!</definedName>
    <definedName name="Porcentaje_Comisión_Apertura">#REF!</definedName>
    <definedName name="Porcentaje_Comisión_Avalúo" localSheetId="17">[1]Layout!$T$8</definedName>
    <definedName name="Porcentaje_Comisión_Avalúo" localSheetId="23">#REF!</definedName>
    <definedName name="Porcentaje_Comisión_Avalúo" localSheetId="24">#REF!</definedName>
    <definedName name="Porcentaje_Comisión_Avalúo" localSheetId="22">#REF!</definedName>
    <definedName name="Porcentaje_Comisión_Avalúo" localSheetId="20">#REF!</definedName>
    <definedName name="Porcentaje_Comisión_Avalúo" localSheetId="18">#REF!</definedName>
    <definedName name="Porcentaje_Comisión_Avalúo">#REF!</definedName>
    <definedName name="Porcentaje_Crédito_sin_Com" localSheetId="17">'[1]Salida Cotización'!$E$3</definedName>
    <definedName name="Porcentaje_Crédito_sin_Com">'[2]Salida Cotización'!$E$3</definedName>
    <definedName name="Porcentaje_de_Crédito_Cónyuge" localSheetId="17">[1]Layout!$AN$8</definedName>
    <definedName name="Porcentaje_de_Crédito_Cónyuge" localSheetId="23">#REF!</definedName>
    <definedName name="Porcentaje_de_Crédito_Cónyuge" localSheetId="24">#REF!</definedName>
    <definedName name="Porcentaje_de_Crédito_Cónyuge" localSheetId="22">#REF!</definedName>
    <definedName name="Porcentaje_de_Crédito_Cónyuge" localSheetId="20">#REF!</definedName>
    <definedName name="Porcentaje_de_Crédito_Cónyuge" localSheetId="18">#REF!</definedName>
    <definedName name="Porcentaje_de_Crédito_Cónyuge">#REF!</definedName>
    <definedName name="Porcentaje_del_avalúo_para_MID" localSheetId="17">[1]Validaciones!$A$2</definedName>
    <definedName name="Porcentaje_del_avalúo_para_MID">[2]Validaciones!$A$2</definedName>
    <definedName name="Porcentaje_Devolución" localSheetId="17">[1]Layout!$BD$8</definedName>
    <definedName name="Porcentaje_Devolución" localSheetId="23">#REF!</definedName>
    <definedName name="Porcentaje_Devolución" localSheetId="24">#REF!</definedName>
    <definedName name="Porcentaje_Devolución" localSheetId="22">#REF!</definedName>
    <definedName name="Porcentaje_Devolución" localSheetId="20">#REF!</definedName>
    <definedName name="Porcentaje_Devolución" localSheetId="18">#REF!</definedName>
    <definedName name="Porcentaje_Devolución">#REF!</definedName>
    <definedName name="Porcentaje_Enganche_Req" localSheetId="17">'[1]Salida Cotización'!$E$4</definedName>
    <definedName name="Porcentaje_Enganche_Req">'[2]Salida Cotización'!$E$4</definedName>
    <definedName name="Porcentaje_Gastos_Infonavit" localSheetId="17">[1]Layout!$AO$8</definedName>
    <definedName name="Porcentaje_Gastos_Infonavit" localSheetId="23">#REF!</definedName>
    <definedName name="Porcentaje_Gastos_Infonavit" localSheetId="24">#REF!</definedName>
    <definedName name="Porcentaje_Gastos_Infonavit" localSheetId="22">#REF!</definedName>
    <definedName name="Porcentaje_Gastos_Infonavit" localSheetId="20">#REF!</definedName>
    <definedName name="Porcentaje_Gastos_Infonavit" localSheetId="18">#REF!</definedName>
    <definedName name="Porcentaje_Gastos_Infonavit">#REF!</definedName>
    <definedName name="PRODUCTO">'[6]Pago Fijo'!$I$4</definedName>
    <definedName name="Producto.Multitasa?_VBA" localSheetId="17">[1]Productos!$G$4</definedName>
    <definedName name="Producto.Multitasa?_VBA">[2]Productos!$G$4</definedName>
    <definedName name="Producto.Nombre" localSheetId="17">[1]Productos!$C$4</definedName>
    <definedName name="Producto.Nombre">[2]Productos!$C$4</definedName>
    <definedName name="Producto.Pagos_Crecientes?" localSheetId="17">[1]Productos!$E$4</definedName>
    <definedName name="Producto.Pagos_Crecientes?">[2]Productos!$E$4</definedName>
    <definedName name="Producto.Tasa_Final" localSheetId="17">[1]Productos!$H$4</definedName>
    <definedName name="Producto.Tasa_Final">[2]Productos!$H$4</definedName>
    <definedName name="Producto.Tasa_Interés" localSheetId="17">[1]Productos!$F$4</definedName>
    <definedName name="Producto.Tasa_Interés">[2]Productos!$F$4</definedName>
    <definedName name="Recurso_faltante" localSheetId="17">'[1]Crédito Banorte'!$C$70</definedName>
    <definedName name="Recurso_faltante">'[2]Crédito Banorte'!$C$70</definedName>
    <definedName name="Recurso_Inicial" localSheetId="1">COFINAVIT!$N$31</definedName>
    <definedName name="Recursos_para_Adquirir_la_Vivienda" localSheetId="17">'[1]Crédito Banorte'!$C$77</definedName>
    <definedName name="Recursos_para_Adquirir_la_Vivienda">'[2]Crédito Banorte'!$C$77</definedName>
    <definedName name="Recursos_para_cubrir_los_gastos_de_originación" localSheetId="17">'[1]Crédito Banorte'!$C$79</definedName>
    <definedName name="Recursos_para_cubrir_los_gastos_de_originación">'[2]Crédito Banorte'!$C$79</definedName>
    <definedName name="Reduce_Plazo" localSheetId="17">'[1]Pagos Anticipados'!$E$4</definedName>
    <definedName name="Reduce_Plazo">'[2]Pagos Anticipados'!$E$4</definedName>
    <definedName name="Reduce_Plazo_y_Pago" localSheetId="17">'[1]Pagos Anticipados'!$E$2</definedName>
    <definedName name="Reduce_Plazo_y_Pago">'[2]Pagos Anticipados'!$E$2</definedName>
    <definedName name="Relación_Ingreso_Pago" localSheetId="17">[1]Layout!$AH$8</definedName>
    <definedName name="Relación_Ingreso_Pago" localSheetId="23">#REF!</definedName>
    <definedName name="Relación_Ingreso_Pago" localSheetId="24">#REF!</definedName>
    <definedName name="Relación_Ingreso_Pago" localSheetId="22">#REF!</definedName>
    <definedName name="Relación_Ingreso_Pago" localSheetId="20">#REF!</definedName>
    <definedName name="Relación_Ingreso_Pago" localSheetId="18">#REF!</definedName>
    <definedName name="Relación_Ingreso_Pago">#REF!</definedName>
    <definedName name="Remodelación" localSheetId="2">'[4]Tabla Parámetros'!$C$41</definedName>
    <definedName name="Remodelación">'Tabla Parámetros'!$C$41</definedName>
    <definedName name="Respalda2" localSheetId="17">'[1]Esquema Especial'!$B$6</definedName>
    <definedName name="Respalda2">'[2]Esquema Especial'!$B$6</definedName>
    <definedName name="Restante_Aportación_Adicional" localSheetId="17">'[1]Crédito Banorte'!$C$61</definedName>
    <definedName name="Restante_Aportación_Adicional">'[2]Crédito Banorte'!$C$61</definedName>
    <definedName name="Restante_Aportación_Adicional2" localSheetId="17">'[1]Crédito Banorte'!$D$60</definedName>
    <definedName name="Restante_Aportación_Adicional2">'[2]Crédito Banorte'!$D$60</definedName>
    <definedName name="Restante_Aportación_Adicional3" localSheetId="17">'[1]Crédito Banorte'!$D$61</definedName>
    <definedName name="Restante_Aportación_Adicional3">'[2]Crédito Banorte'!$D$61</definedName>
    <definedName name="Resultado_Crédito_de_Institución" localSheetId="17">'[1]Crédito Banorte'!$C$55</definedName>
    <definedName name="Resultado_Crédito_de_Institución">'[2]Crédito Banorte'!$C$55</definedName>
    <definedName name="Resultado_Monto_Remanente_Cony" localSheetId="17">[1]Validaciones!$D$11</definedName>
    <definedName name="Resultado_Monto_Remanente_Cony">[2]Validaciones!$D$11</definedName>
    <definedName name="Resultado_Monto_Remanente_Tit" localSheetId="17">[1]Validaciones!$C$11</definedName>
    <definedName name="Resultado_Monto_Remanente_Tit">[2]Validaciones!$C$11</definedName>
    <definedName name="Resultado_Monto_Remanente_Total" localSheetId="17">[1]Validaciones!$E$11</definedName>
    <definedName name="Resultado_Monto_Remanente_Total">[2]Validaciones!$E$11</definedName>
    <definedName name="Resultado_Saldo_Subcuenta" localSheetId="17">'[1]Crédito Banorte'!$C$54</definedName>
    <definedName name="Resultado_Saldo_Subcuenta">'[2]Crédito Banorte'!$C$54</definedName>
    <definedName name="RG_MomentosVida" localSheetId="17">[1]PasoSeguros!$G$15</definedName>
    <definedName name="RG_MomentosVida">[2]PasoSeguros!$G$15</definedName>
    <definedName name="RG_SeguroDaños" localSheetId="17">[1]PasoSeguros!$G$17</definedName>
    <definedName name="RG_SeguroDaños">[2]PasoSeguros!$G$17</definedName>
    <definedName name="RG_SegurosBanorte" localSheetId="17">[1]PasoSeguros!$G$9</definedName>
    <definedName name="RG_SegurosBanorte">[2]PasoSeguros!$G$9</definedName>
    <definedName name="RG_SeguroVida" localSheetId="17">[1]PasoSeguros!$G$13</definedName>
    <definedName name="RG_SeguroVida">[2]PasoSeguros!$G$13</definedName>
    <definedName name="RG_ServicioAsistencia" localSheetId="17">[1]PasoSeguros!$G$19</definedName>
    <definedName name="RG_ServicioAsistencia">[2]PasoSeguros!$G$19</definedName>
    <definedName name="RG_TipoSeguroBanorte" localSheetId="17">[1]PasoSeguros!$G$11</definedName>
    <definedName name="RG_TipoSeguroBanorte">[2]PasoSeguros!$G$11</definedName>
    <definedName name="SA" localSheetId="17">'[1]Crédito Banorte'!$O$84</definedName>
    <definedName name="SA">'[2]Crédito Banorte'!$O$84</definedName>
    <definedName name="Salario_Mínimo" localSheetId="17">'[1]UDIS y SM'!$B$9</definedName>
    <definedName name="Salario_Mínimo">'[2]UDIS y SM'!$B$9</definedName>
    <definedName name="Saldo_SAR_Cónyuge" localSheetId="17">'[1]PASO6 FOVISSSTE'!$G$24</definedName>
    <definedName name="Saldo_SAR_Cónyuge">'[2]PASO6 FOVISSSTE'!$G$24</definedName>
    <definedName name="Saldo_SAR_Titular" localSheetId="17">'[1]PASO6 FOVISSSTE'!$E$24</definedName>
    <definedName name="Saldo_SAR_Titular">'[2]PASO6 FOVISSSTE'!$E$24</definedName>
    <definedName name="Saldo_Subcuenta" localSheetId="1">COFINAVIT!$N$7</definedName>
    <definedName name="Salida_plazo_macro" localSheetId="17">[1]Plazos!$L$5</definedName>
    <definedName name="Salida_plazo_macro">[2]Plazos!$L$5</definedName>
    <definedName name="Seguro_Daños" localSheetId="17">[1]Layout!$AW$6</definedName>
    <definedName name="Seguro_Daños" localSheetId="23">#REF!</definedName>
    <definedName name="Seguro_Daños" localSheetId="24">#REF!</definedName>
    <definedName name="Seguro_Daños" localSheetId="22">#REF!</definedName>
    <definedName name="Seguro_Daños" localSheetId="20">#REF!</definedName>
    <definedName name="Seguro_Daños" localSheetId="18">#REF!</definedName>
    <definedName name="Seguro_Daños">#REF!</definedName>
    <definedName name="Seguro_Daños_CAT" localSheetId="17">[1]Layout!$AX$6</definedName>
    <definedName name="Seguro_Daños_CAT" localSheetId="23">#REF!</definedName>
    <definedName name="Seguro_Daños_CAT" localSheetId="24">#REF!</definedName>
    <definedName name="Seguro_Daños_CAT" localSheetId="22">#REF!</definedName>
    <definedName name="Seguro_Daños_CAT" localSheetId="20">#REF!</definedName>
    <definedName name="Seguro_Daños_CAT" localSheetId="18">#REF!</definedName>
    <definedName name="Seguro_Daños_CAT">#REF!</definedName>
    <definedName name="Seguro_Daños_CAT_Layout" localSheetId="23">#REF!</definedName>
    <definedName name="Seguro_Daños_CAT_Layout" localSheetId="24">#REF!</definedName>
    <definedName name="Seguro_Daños_CAT_Layout" localSheetId="22">#REF!</definedName>
    <definedName name="Seguro_Daños_CAT_Layout" localSheetId="20">#REF!</definedName>
    <definedName name="Seguro_Daños_CAT_Layout" localSheetId="18">#REF!</definedName>
    <definedName name="Seguro_Daños_CAT_Layout">#REF!</definedName>
    <definedName name="Seguro_Daños_Layout" localSheetId="23">#REF!</definedName>
    <definedName name="Seguro_Daños_Layout" localSheetId="24">#REF!</definedName>
    <definedName name="Seguro_Daños_Layout" localSheetId="22">#REF!</definedName>
    <definedName name="Seguro_Daños_Layout" localSheetId="20">#REF!</definedName>
    <definedName name="Seguro_Daños_Layout" localSheetId="18">#REF!</definedName>
    <definedName name="Seguro_Daños_Layout">#REF!</definedName>
    <definedName name="Seguro_de_Daños" localSheetId="14">'Pago x mil'!$E$18:$I$18</definedName>
    <definedName name="Seguro_de_Vida" localSheetId="14">'Pago x mil'!$E$17:$I$17</definedName>
    <definedName name="Seguro_Desempleo" localSheetId="23">#REF!</definedName>
    <definedName name="Seguro_Desempleo" localSheetId="24">#REF!</definedName>
    <definedName name="Seguro_Desempleo" localSheetId="22">#REF!</definedName>
    <definedName name="Seguro_Desempleo" localSheetId="20">#REF!</definedName>
    <definedName name="Seguro_Desempleo" localSheetId="18">#REF!</definedName>
    <definedName name="Seguro_Desempleo">#REF!</definedName>
    <definedName name="Seguro_Vida" localSheetId="17">[1]Layout!$AY$6</definedName>
    <definedName name="Seguro_Vida" localSheetId="23">#REF!</definedName>
    <definedName name="Seguro_Vida" localSheetId="24">#REF!</definedName>
    <definedName name="Seguro_Vida" localSheetId="22">#REF!</definedName>
    <definedName name="Seguro_Vida" localSheetId="20">#REF!</definedName>
    <definedName name="Seguro_Vida" localSheetId="18">#REF!</definedName>
    <definedName name="Seguro_Vida">#REF!</definedName>
    <definedName name="Seguro_Vida_Layout" localSheetId="23">#REF!</definedName>
    <definedName name="Seguro_Vida_Layout" localSheetId="24">#REF!</definedName>
    <definedName name="Seguro_Vida_Layout" localSheetId="22">#REF!</definedName>
    <definedName name="Seguro_Vida_Layout" localSheetId="20">#REF!</definedName>
    <definedName name="Seguro_Vida_Layout" localSheetId="18">#REF!</definedName>
    <definedName name="Seguro_Vida_Layout">#REF!</definedName>
    <definedName name="Sel_Desembolso_Inicial" localSheetId="17">'[1]Gastos Iniciales'!$A$8</definedName>
    <definedName name="Sel_Desembolso_Inicial">'[2]Gastos Iniciales'!$A$8</definedName>
    <definedName name="Sel_Destino_Anterior_Es_Terreno" localSheetId="17">[1]Destinos!$L$18</definedName>
    <definedName name="Sel_Destino_Anterior_Es_Terreno">[2]Destinos!$L$18</definedName>
    <definedName name="Sel_Donde_Cotiza" localSheetId="17">[1]DondeCotiza!$B$4</definedName>
    <definedName name="Sel_Donde_Cotiza">[2]DondeCotiza!$B$4</definedName>
    <definedName name="Sel_IVA_en_Destino_Anterior" localSheetId="17">[1]IVA!$D$23</definedName>
    <definedName name="Sel_IVA_en_Destino_Anterior">[2]IVA!$D$23</definedName>
    <definedName name="Sel_Pago_Anticipado" localSheetId="17">'[1]Pagos Anticipados'!$A$1</definedName>
    <definedName name="Sel_Pago_Anticipado">'[2]Pagos Anticipados'!$A$1</definedName>
    <definedName name="Sel_Tasa" localSheetId="17">[1]PasoTasas.Helper!$K$5</definedName>
    <definedName name="Sel_Tasa">[2]PasoTasas.Helper!$J$5</definedName>
    <definedName name="Selección_Combo_Plazo" localSheetId="17">[1]Plazos!$J$9</definedName>
    <definedName name="Selección_Combo_Plazo">[2]Plazos!$J$9</definedName>
    <definedName name="Selección_de_Incremento" localSheetId="1">COFINAVIT!$N$14</definedName>
    <definedName name="Selección_Por_Producto" localSheetId="17">'[1]Crédito Banorte'!$AH:$AH</definedName>
    <definedName name="Selección_Por_Producto">'[2]Crédito Banorte'!$AH:$AH</definedName>
    <definedName name="SelProducto" localSheetId="17">[1]Productos!$A$4</definedName>
    <definedName name="SelProducto">[2]Productos!$A$4</definedName>
    <definedName name="Si" localSheetId="17">[1]IVA!$F$24</definedName>
    <definedName name="Si">[2]IVA!$F$24</definedName>
    <definedName name="SinSeguro" localSheetId="17">[1]Tipo_Seguro!$D$9</definedName>
    <definedName name="SinSeguro">[2]Tipo_Seguro!$D$9</definedName>
    <definedName name="SMD_INGRESO_MIN" localSheetId="1">COFINAVIT!$K$9</definedName>
    <definedName name="SSV" localSheetId="17">'[1]Crédito Banorte'!$C$54</definedName>
    <definedName name="SSV">'[2]Crédito Banorte'!$C$54</definedName>
    <definedName name="SSV_Cónyuge" localSheetId="17">'[1]PASO6 COFINAVIT'!$G$23</definedName>
    <definedName name="SSV_Cónyuge">'[2]PASO6 COFINAVIT'!$G$23</definedName>
    <definedName name="SSV_Titular" localSheetId="17">'[1]PASO6 COFINAVIT'!$E$23</definedName>
    <definedName name="SSV_Titular">'[2]PASO6 COFINAVIT'!$E$23</definedName>
    <definedName name="Subcuenta_Cónyuge" localSheetId="1">COFINAVIT!$E$12</definedName>
    <definedName name="Subcuenta_Titular" localSheetId="1">COFINAVIT!$E$7</definedName>
    <definedName name="Subrogación" localSheetId="17">[1]Destinos!$A$14</definedName>
    <definedName name="Subrogación">[2]Destinos!$A$14</definedName>
    <definedName name="Suma_Gastos_Originación" localSheetId="17">[1]Cotización!$G$123</definedName>
    <definedName name="Suma_Gastos_Originación">[2]Cotización!$G$122</definedName>
    <definedName name="TablaCliente.Col.PagoMensual" localSheetId="17">'[1]Tabla Cliente'!$P$37:$P$396</definedName>
    <definedName name="TablaCliente.Col.PagoMensual">'[2]Tabla Cliente'!$P$37:$P$396</definedName>
    <definedName name="Tasa" localSheetId="1">COFINAVIT!$E$16</definedName>
    <definedName name="Tasa_año_4_a_7" localSheetId="17">[1]Tasas!$H$8</definedName>
    <definedName name="Tasa_año_4_a_7">[2]Tasas!$H$8</definedName>
    <definedName name="Tasa_año_7_en_adelante" localSheetId="17">[1]Tasas!$I$8</definedName>
    <definedName name="Tasa_año_7_en_adelante">[2]Tasas!$I$8</definedName>
    <definedName name="Tasa_Final" localSheetId="17">[1]Layout!$K$6</definedName>
    <definedName name="Tasa_Final" localSheetId="23">#REF!</definedName>
    <definedName name="Tasa_Final" localSheetId="24">#REF!</definedName>
    <definedName name="Tasa_Final" localSheetId="22">#REF!</definedName>
    <definedName name="Tasa_Final" localSheetId="20">#REF!</definedName>
    <definedName name="Tasa_Final" localSheetId="18">#REF!</definedName>
    <definedName name="Tasa_Final">#REF!</definedName>
    <definedName name="Tasa_inicial" localSheetId="17">[1]Layout!$H$6</definedName>
    <definedName name="Tasa_inicial" localSheetId="23">#REF!</definedName>
    <definedName name="Tasa_inicial" localSheetId="24">#REF!</definedName>
    <definedName name="Tasa_inicial" localSheetId="22">#REF!</definedName>
    <definedName name="Tasa_inicial" localSheetId="20">#REF!</definedName>
    <definedName name="Tasa_inicial" localSheetId="18">#REF!</definedName>
    <definedName name="Tasa_inicial">#REF!</definedName>
    <definedName name="Tasa_Inicial_Layout" localSheetId="23">#REF!</definedName>
    <definedName name="Tasa_Inicial_Layout" localSheetId="24">#REF!</definedName>
    <definedName name="Tasa_Inicial_Layout" localSheetId="22">#REF!</definedName>
    <definedName name="Tasa_Inicial_Layout" localSheetId="20">#REF!</definedName>
    <definedName name="Tasa_Inicial_Layout" localSheetId="18">#REF!</definedName>
    <definedName name="Tasa_Inicial_Layout">#REF!</definedName>
    <definedName name="Tasa_Interés" localSheetId="14">'Pago x mil'!$E$12:$I$12</definedName>
    <definedName name="Tasa_Interés" localSheetId="8">'Tabla Parámetros'!$E$12:$H$12</definedName>
    <definedName name="Tasa_Moratoria" localSheetId="4">'Oferta Vinculante'!$M$14</definedName>
    <definedName name="Tasas" localSheetId="17">[1]Tasas!$N$4:$N$363</definedName>
    <definedName name="Tasas">[2]Tasas!$N$4:$N$363</definedName>
    <definedName name="Tasas_Gémini" localSheetId="17">#REF!</definedName>
    <definedName name="Tasas_Gémini" localSheetId="23">#REF!</definedName>
    <definedName name="Tasas_Gémini" localSheetId="24">#REF!</definedName>
    <definedName name="Tasas_Gémini" localSheetId="22">#REF!</definedName>
    <definedName name="Tasas_Gémini" localSheetId="20">#REF!</definedName>
    <definedName name="Tasas_Gémini" localSheetId="18">#REF!</definedName>
    <definedName name="Tasas_Gémini">#REF!</definedName>
    <definedName name="Terreno" localSheetId="17">[1]Destinos!$A$13</definedName>
    <definedName name="Terreno">[2]Destinos!$A$13</definedName>
    <definedName name="Terreno_Más_Construcción" localSheetId="17">[1]Destinos!$A$16</definedName>
    <definedName name="Terreno_más_Construcción">'Tabla Parámetros'!$C$46:$C$47</definedName>
    <definedName name="Terreno_Urbanizado" localSheetId="2">'[4]Tabla Parámetros'!$C$53</definedName>
    <definedName name="Terreno_Urbanizado">'Tabla Parámetros'!$C$53:$C$54</definedName>
    <definedName name="Texto_Esquema" localSheetId="17">[1]Layout!$BG$8</definedName>
    <definedName name="Texto_Esquema" localSheetId="23">#REF!</definedName>
    <definedName name="Texto_Esquema" localSheetId="24">#REF!</definedName>
    <definedName name="Texto_Esquema" localSheetId="22">#REF!</definedName>
    <definedName name="Texto_Esquema" localSheetId="20">#REF!</definedName>
    <definedName name="Texto_Esquema" localSheetId="18">#REF!</definedName>
    <definedName name="Texto_Esquema">#REF!</definedName>
    <definedName name="Tipo_Crédito_Banorte" localSheetId="17">'[1]Tipo de Crédito'!$A$1</definedName>
    <definedName name="Tipo_Crédito_Banorte">'[2]Tipo de Crédito'!$A$1</definedName>
    <definedName name="Tipo_Crédito_COF_o_FOV" localSheetId="17">'[1]Tipo de Crédito'!$D$1</definedName>
    <definedName name="Tipo_Crédito_COF_o_FOV">'[2]Tipo de Crédito'!$D$1</definedName>
    <definedName name="Tipo_Seguro_VBA" localSheetId="17">[1]PasoSeguros!$N$4</definedName>
    <definedName name="Tipo_Seguro_VBA">[2]PasoSeguros!$N$4</definedName>
    <definedName name="Tipo_simulación" localSheetId="17">'[1]Tipo de Simulación'!$A$1</definedName>
    <definedName name="Tipo_simulación">'[2]Tipo de Simulación'!$A$1</definedName>
    <definedName name="Título_Avalúo_Cotización" localSheetId="17">'[1]Ajustes Subrogación'!$B$18</definedName>
    <definedName name="Título_Avalúo_Cotización">'[2]Ajustes Subrogación'!$B$18</definedName>
    <definedName name="Título_Avalúo_Largo" localSheetId="17">'[1]Ajustes Subrogación'!$B$19</definedName>
    <definedName name="Título_Avalúo_Largo">'[2]Ajustes Subrogación'!$B$19</definedName>
    <definedName name="Título_Avalúo_Oferta_Vinculante" localSheetId="17">'[1]Ajustes Subrogación'!$B$25</definedName>
    <definedName name="Título_Avalúo_Oferta_Vinculante">'[2]Ajustes Subrogación'!$B$25</definedName>
    <definedName name="Título_Comisión_por_Apertura_1" localSheetId="17">'[1]Ajustes Subrogación'!$B$45</definedName>
    <definedName name="Título_Comisión_por_Apertura_1">'[2]Ajustes Subrogación'!$B$45</definedName>
    <definedName name="Título_Comisión_por_Apertura_2" localSheetId="17">'[1]Ajustes Subrogación'!$B$50</definedName>
    <definedName name="Título_Comisión_por_Apertura_2">'[2]Ajustes Subrogación'!$B$50</definedName>
    <definedName name="Título_Comisión_por_Apertura_3" localSheetId="17">'[1]Ajustes Subrogación'!$B$57</definedName>
    <definedName name="Título_Comisión_por_Apertura_3">'[2]Ajustes Subrogación'!$B$57</definedName>
    <definedName name="Título_Comisión_por_Apertura_General" localSheetId="17">'[1]Ajustes Subrogación'!$B$48</definedName>
    <definedName name="Título_Comisión_por_Apertura_General">'[2]Ajustes Subrogación'!$B$48</definedName>
    <definedName name="Título_Investigación_Corta_Cotización" localSheetId="17">'[1]Ajustes Subrogación'!$B$33</definedName>
    <definedName name="Título_Investigación_Corta_Cotización">'[2]Ajustes Subrogación'!$B$33</definedName>
    <definedName name="Título_Investigación_Larga_Cotización" localSheetId="17">'[1]Ajustes Subrogación'!$B$34</definedName>
    <definedName name="Título_Investigación_Larga_Cotización">'[2]Ajustes Subrogación'!$B$34</definedName>
    <definedName name="_xlnm.Print_Titles" localSheetId="0">Simulador!$1:$66</definedName>
    <definedName name="_xlnm.Print_Titles" localSheetId="3">'Tabla Notaría'!$1:$12</definedName>
    <definedName name="Tope_Aport_Adicional_Cofinavit" localSheetId="17">'[1]Crédito Banorte'!$D$55</definedName>
    <definedName name="Tope_Aport_Adicional_Cofinavit">'[2]Crédito Banorte'!$D$55</definedName>
    <definedName name="Tope_Aport_Adicional_Fovissste" localSheetId="17">'[1]Crédito Banorte'!$D$54</definedName>
    <definedName name="Tope_Aport_Adicional_Fovissste">'[2]Crédito Banorte'!$D$54</definedName>
    <definedName name="Tope_Aportación_Adicional" localSheetId="17">'[1]Crédito Banorte'!$D$56</definedName>
    <definedName name="Tope_Aportación_Adicional">'[2]Crédito Banorte'!$D$56</definedName>
    <definedName name="Tope_Aportación_Adicional2" localSheetId="17">'[1]Crédito Banorte'!$D$57</definedName>
    <definedName name="Tope_Aportación_Adicional2">'[2]Crédito Banorte'!$D$57</definedName>
    <definedName name="Tope_Aportación_Patronal" localSheetId="17">[1]Validaciones!$G$34</definedName>
    <definedName name="Tope_Aportación_Patronal">[2]Validaciones!$G$34</definedName>
    <definedName name="Tope_en_UDIS" localSheetId="17">'[1]UDIS y SM'!$B$14</definedName>
    <definedName name="Tope_en_UDIS">'[2]UDIS y SM'!$B$14</definedName>
    <definedName name="Tope_para_Comisión_Avalúo" localSheetId="17">[1]Layout!$S$8</definedName>
    <definedName name="Tope_para_Comisión_Avalúo" localSheetId="23">#REF!</definedName>
    <definedName name="Tope_para_Comisión_Avalúo" localSheetId="24">#REF!</definedName>
    <definedName name="Tope_para_Comisión_Avalúo" localSheetId="22">#REF!</definedName>
    <definedName name="Tope_para_Comisión_Avalúo" localSheetId="20">#REF!</definedName>
    <definedName name="Tope_para_Comisión_Avalúo" localSheetId="18">#REF!</definedName>
    <definedName name="Tope_para_Comisión_Avalúo">#REF!</definedName>
    <definedName name="UDIS" localSheetId="17">'[1]UDIS y SM'!$B$13</definedName>
    <definedName name="UDIS">'[2]UDIS y SM'!$B$13</definedName>
    <definedName name="UMBRAL_INCREMENTO_AVALÚO" localSheetId="1">COFINAVIT!$K$18</definedName>
    <definedName name="UmbralRecursosExcedidosCofi">#REF!</definedName>
    <definedName name="Un_mdp" localSheetId="17">'[1]Rango de Vivienda'!$B$3</definedName>
    <definedName name="Un_mdp">'[2]Rango de Vivienda'!$B$3</definedName>
    <definedName name="VA" localSheetId="17">'[1]Crédito Banorte'!$O$61</definedName>
    <definedName name="VA">'[2]Crédito Banorte'!$O$61</definedName>
    <definedName name="VAA" localSheetId="17">'[1]Crédito Banorte'!$O$65</definedName>
    <definedName name="VAA">'[2]Crédito Banorte'!$O$65</definedName>
    <definedName name="Valor_avalúo" localSheetId="17">'[1]Crédito Banorte'!$C$49</definedName>
    <definedName name="Valor_avalúo">'[2]Crédito Banorte'!$C$49</definedName>
    <definedName name="Valor_avalúo_con_incremento" localSheetId="17">'[1]Crédito Banorte'!$C$72</definedName>
    <definedName name="Valor_avalúo_con_incremento">'[2]Crédito Banorte'!$C$72</definedName>
    <definedName name="Valor_avalúo_con_incremento_directo">#REF!</definedName>
    <definedName name="Valor_avalúo_sin_incremento" localSheetId="17">'[1]Crédito Banorte'!$C$73</definedName>
    <definedName name="Valor_avalúo_sin_incremento">'[2]Crédito Banorte'!$C$73</definedName>
    <definedName name="Valor_Máximo_vivienda" localSheetId="17">'[1]Pass-Throughs'!$B$29</definedName>
    <definedName name="Valor_Máximo_vivienda">'[2]Pass-Throughs'!$B$29</definedName>
    <definedName name="Valor_mínimo_de_Crédito" localSheetId="17">[1]Layout!$AE$8</definedName>
    <definedName name="Valor_mínimo_de_Crédito" localSheetId="23">#REF!</definedName>
    <definedName name="Valor_mínimo_de_Crédito" localSheetId="24">#REF!</definedName>
    <definedName name="Valor_mínimo_de_Crédito" localSheetId="22">#REF!</definedName>
    <definedName name="Valor_mínimo_de_Crédito" localSheetId="20">#REF!</definedName>
    <definedName name="Valor_mínimo_de_Crédito" localSheetId="18">#REF!</definedName>
    <definedName name="Valor_mínimo_de_Crédito">#REF!</definedName>
    <definedName name="Valor_mínimo_Vivienda" localSheetId="17">[1]Layout!$AD$8</definedName>
    <definedName name="Valor_mínimo_Vivienda" localSheetId="23">#REF!</definedName>
    <definedName name="Valor_mínimo_Vivienda" localSheetId="24">#REF!</definedName>
    <definedName name="Valor_mínimo_Vivienda" localSheetId="22">#REF!</definedName>
    <definedName name="Valor_mínimo_Vivienda" localSheetId="20">#REF!</definedName>
    <definedName name="Valor_mínimo_Vivienda" localSheetId="18">#REF!</definedName>
    <definedName name="Valor_mínimo_Vivienda">#REF!</definedName>
    <definedName name="Valor_vivienda_Apoyo" localSheetId="17">'[1]PASO6 APOYO'!$F$10</definedName>
    <definedName name="Valor_vivienda_Apoyo">'[2]PASO6 APOYO'!$F$10</definedName>
    <definedName name="Valor_vivienda_Cofinavit" localSheetId="17">'[1]PASO6 COFINAVIT'!$F$9</definedName>
    <definedName name="Valor_vivienda_Cofinavit">'[2]PASO6 COFINAVIT'!$F$9</definedName>
    <definedName name="Valor_vivienda_Fovissste" localSheetId="17">'[1]PASO6 FOVISSSTE'!$F$9</definedName>
    <definedName name="Valor_vivienda_Fovissste">'[2]PASO6 FOVISSSTE'!$F$9</definedName>
    <definedName name="Valor_vivienda_Tradicional" localSheetId="17">'[1]PASO7 TRAD'!$F$9</definedName>
    <definedName name="Valor_vivienda_Tradicional">'[2]PASO7 TRAD'!$F$9</definedName>
    <definedName name="Variante.Seguro" localSheetId="17">[1]Variantes!$C$5</definedName>
    <definedName name="Variante.Seguro">[2]Variantes!$C$5</definedName>
    <definedName name="Variante.Selección" localSheetId="17">[1]Variantes!$A$2</definedName>
    <definedName name="Variante.Selección">[2]Variantes!$A$2</definedName>
    <definedName name="Variante.Tipo_Promo" localSheetId="17">[1]Variantes!$B$5</definedName>
    <definedName name="Variante.Tipo_Promo">[2]Variantes!$B$5</definedName>
    <definedName name="VDC_Avalúo" comment="Variable para el Despeje del Crédito" localSheetId="17">'[1]Crédito Banorte'!$C$12</definedName>
    <definedName name="VDC_Avalúo" comment="Variable para el Despeje del Crédito">'[2]Crédito Banorte'!$C$12</definedName>
    <definedName name="VDC_Com_Ap" comment="Variable para el Despeje del Crédito" localSheetId="17">'[1]Crédito Banorte'!$C$13</definedName>
    <definedName name="VDC_Com_Ap" comment="Variable para el Despeje del Crédito">'[2]Crédito Banorte'!$C$13</definedName>
    <definedName name="VDC_Com_Av" comment="Variable para el Despeje del Crédito" localSheetId="17">'[1]Crédito Banorte'!$C$14</definedName>
    <definedName name="VDC_Com_Av" comment="Variable para el Despeje del Crédito">'[2]Crédito Banorte'!$C$14</definedName>
    <definedName name="VDC_Com_Inv" comment="Variable para el Despeje del Crédito" localSheetId="17">'[1]Crédito Banorte'!$C$16</definedName>
    <definedName name="VDC_Com_Inv" comment="Variable para el Despeje del Crédito">'[2]Crédito Banorte'!$C$16</definedName>
    <definedName name="VDC_Crédito" comment="Variable para el Despeje del Crédito" localSheetId="17">'[1]Crédito Banorte'!$C$11</definedName>
    <definedName name="VDC_Crédito" comment="Variable para el Despeje del Crédito">'[2]Crédito Banorte'!$C$11</definedName>
    <definedName name="VDC_Gastos_Not" comment="Variable para el Despeje del Crédito" localSheetId="17">'[1]Crédito Banorte'!$C$15</definedName>
    <definedName name="VDC_Gastos_Not" comment="Variable para el Despeje del Crédito">'[2]Crédito Banorte'!$C$15</definedName>
    <definedName name="VDC_i" comment="Variable para el Despeje del Crédito" localSheetId="17">'[1]Crédito Banorte'!$E$12</definedName>
    <definedName name="VDC_i" comment="Variable para el Despeje del Crédito">'[2]Crédito Banorte'!$E$12</definedName>
    <definedName name="VDC_n" comment="Variable para el Despeje del Crédito" localSheetId="17">'[1]Crédito Banorte'!$E$11</definedName>
    <definedName name="VDC_n" comment="Variable para el Despeje del Crédito">'[2]Crédito Banorte'!$E$11</definedName>
    <definedName name="VDP_Avalúo" comment="Variable para Despeje del Pago" localSheetId="17">'[1]Crédito Banorte'!$L$12</definedName>
    <definedName name="VDP_Avalúo" comment="Variable para Despeje del Pago">'[2]Crédito Banorte'!$L$12</definedName>
    <definedName name="VDP_Com_Ap" comment="Variable para Despeje del Pago" localSheetId="17">'[1]Crédito Banorte'!$L$13</definedName>
    <definedName name="VDP_Com_Ap" comment="Variable para Despeje del Pago">'[2]Crédito Banorte'!$L$13</definedName>
    <definedName name="VDP_Com_Av" comment="Variable para Despeje del Pago" localSheetId="17">'[1]Crédito Banorte'!$L$14</definedName>
    <definedName name="VDP_Com_Av" comment="Variable para Despeje del Pago">'[2]Crédito Banorte'!$L$14</definedName>
    <definedName name="VDP_Com_Inv" comment="Variable para Despeje del Pago" localSheetId="17">'[1]Crédito Banorte'!$L$16</definedName>
    <definedName name="VDP_Com_Inv" comment="Variable para Despeje del Pago">'[2]Crédito Banorte'!$L$16</definedName>
    <definedName name="VDP_Crédito" comment="Variable para Despeje del Pago" localSheetId="17">'[1]Crédito Banorte'!$L$11</definedName>
    <definedName name="VDP_Crédito" comment="Variable para Despeje del Pago">'[2]Crédito Banorte'!$L$11</definedName>
    <definedName name="VDP_Gastos_Not" comment="Variable para Despeje del Pago" localSheetId="17">'[1]Crédito Banorte'!$L$15</definedName>
    <definedName name="VDP_Gastos_Not" comment="Variable para Despeje del Pago">'[2]Crédito Banorte'!$L$15</definedName>
    <definedName name="VDP_i" comment="Variable para Despeje del Pago" localSheetId="17">'[1]Crédito Banorte'!$N$12</definedName>
    <definedName name="VDP_i" comment="Variable para Despeje del Pago">'[2]Crédito Banorte'!$N$12</definedName>
    <definedName name="VDP_n" comment="Variable para Despeje del Pago" localSheetId="17">'[1]Crédito Banorte'!$N$11</definedName>
    <definedName name="VDP_n" comment="Variable para Despeje del Pago">'[2]Crédito Banorte'!$N$11</definedName>
    <definedName name="VSM_para_Crédito_FOVISSSTE" localSheetId="17">[1]Layout!$AL$8</definedName>
    <definedName name="VSM_para_Crédito_FOVISSSTE" localSheetId="23">#REF!</definedName>
    <definedName name="VSM_para_Crédito_FOVISSSTE" localSheetId="24">#REF!</definedName>
    <definedName name="VSM_para_Crédito_FOVISSSTE" localSheetId="22">#REF!</definedName>
    <definedName name="VSM_para_Crédito_FOVISSSTE" localSheetId="20">#REF!</definedName>
    <definedName name="VSM_para_Crédito_FOVISSSTE" localSheetId="18">#REF!</definedName>
    <definedName name="VSM_para_Crédito_FOVISSSTE">#REF!</definedName>
    <definedName name="VSM_para_crédito_INFONAVIT_Cónyuge" localSheetId="17">[1]Layout!$AK$8</definedName>
    <definedName name="VSM_para_crédito_INFONAVIT_Cónyuge" localSheetId="23">#REF!</definedName>
    <definedName name="VSM_para_crédito_INFONAVIT_Cónyuge" localSheetId="24">#REF!</definedName>
    <definedName name="VSM_para_crédito_INFONAVIT_Cónyuge" localSheetId="22">#REF!</definedName>
    <definedName name="VSM_para_crédito_INFONAVIT_Cónyuge" localSheetId="20">#REF!</definedName>
    <definedName name="VSM_para_crédito_INFONAVIT_Cónyuge" localSheetId="18">#REF!</definedName>
    <definedName name="VSM_para_crédito_INFONAVIT_Cónyuge">#REF!</definedName>
    <definedName name="VSM_para_crédito_INFONAVIT_Titular" localSheetId="17">[1]Layout!$AJ$8</definedName>
    <definedName name="VSM_para_crédito_INFONAVIT_Titular" localSheetId="23">#REF!</definedName>
    <definedName name="VSM_para_crédito_INFONAVIT_Titular" localSheetId="24">#REF!</definedName>
    <definedName name="VSM_para_crédito_INFONAVIT_Titular" localSheetId="22">#REF!</definedName>
    <definedName name="VSM_para_crédito_INFONAVIT_Titular" localSheetId="20">#REF!</definedName>
    <definedName name="VSM_para_crédito_INFONAVIT_Titular" localSheetId="18">#REF!</definedName>
    <definedName name="VSM_para_crédito_INFONAVIT_Titular">#REF!</definedName>
    <definedName name="VSM_para_Ingreso" localSheetId="17">[1]Layout!$AI$8</definedName>
    <definedName name="VSM_para_Ingreso" localSheetId="23">#REF!</definedName>
    <definedName name="VSM_para_Ingreso" localSheetId="24">#REF!</definedName>
    <definedName name="VSM_para_Ingreso" localSheetId="22">#REF!</definedName>
    <definedName name="VSM_para_Ingreso" localSheetId="20">#REF!</definedName>
    <definedName name="VSM_para_Ingreso" localSheetId="18">#REF!</definedName>
    <definedName name="VSM_para_Ingreso">#REF!</definedName>
    <definedName name="VSM_para_SSV" localSheetId="17">[1]Layout!$AM$8</definedName>
    <definedName name="VSM_para_SSV" localSheetId="23">#REF!</definedName>
    <definedName name="VSM_para_SSV" localSheetId="24">#REF!</definedName>
    <definedName name="VSM_para_SSV" localSheetId="22">#REF!</definedName>
    <definedName name="VSM_para_SSV" localSheetId="20">#REF!</definedName>
    <definedName name="VSM_para_SSV" localSheetId="18">#REF!</definedName>
    <definedName name="VSM_para_SSV">#REF!</definedName>
    <definedName name="VSMM_INGRESO_MIN" localSheetId="1">COFINAVIT!$K$11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 i="35" l="1"/>
  <c r="AB13" i="35"/>
  <c r="AB1" i="35"/>
  <c r="A1" i="51"/>
  <c r="F7" i="7"/>
  <c r="K26" i="7"/>
  <c r="J26" i="7"/>
  <c r="M31" i="34"/>
  <c r="G50" i="7"/>
  <c r="F3" i="39"/>
  <c r="F3" i="13" s="1"/>
  <c r="A60" i="34" l="1"/>
  <c r="N269" i="46"/>
  <c r="N270" i="46"/>
  <c r="N271" i="46"/>
  <c r="N272" i="46"/>
  <c r="N273" i="46"/>
  <c r="N274" i="46"/>
  <c r="N275" i="46"/>
  <c r="N276" i="46"/>
  <c r="N277" i="46"/>
  <c r="N278" i="46"/>
  <c r="N279" i="46"/>
  <c r="N280" i="46"/>
  <c r="N281" i="46"/>
  <c r="N282" i="46"/>
  <c r="N283" i="46"/>
  <c r="N284" i="46"/>
  <c r="N285" i="46"/>
  <c r="N286" i="46"/>
  <c r="N287" i="46"/>
  <c r="N288" i="46"/>
  <c r="N289" i="46"/>
  <c r="N290" i="46"/>
  <c r="N291" i="46"/>
  <c r="N292" i="46"/>
  <c r="N293" i="46"/>
  <c r="N294" i="46"/>
  <c r="N295" i="46"/>
  <c r="N296" i="46"/>
  <c r="N297" i="46"/>
  <c r="N298" i="46"/>
  <c r="N299" i="46"/>
  <c r="N300" i="46"/>
  <c r="N301" i="46"/>
  <c r="N302" i="46"/>
  <c r="N303" i="46"/>
  <c r="N304" i="46"/>
  <c r="N305" i="46"/>
  <c r="N306" i="46"/>
  <c r="N257" i="46"/>
  <c r="N258" i="46"/>
  <c r="N259" i="46"/>
  <c r="N260" i="46"/>
  <c r="N261" i="46"/>
  <c r="N262" i="46"/>
  <c r="N263" i="46"/>
  <c r="N264" i="46"/>
  <c r="N265" i="46"/>
  <c r="N266" i="46"/>
  <c r="N267" i="46"/>
  <c r="N268" i="46"/>
  <c r="N247" i="46"/>
  <c r="N248" i="46"/>
  <c r="N249" i="46"/>
  <c r="N250" i="46"/>
  <c r="N251" i="46"/>
  <c r="N252" i="46"/>
  <c r="N253" i="46"/>
  <c r="N254" i="46"/>
  <c r="N255" i="46"/>
  <c r="N256" i="46"/>
  <c r="I26" i="47"/>
  <c r="I25" i="47"/>
  <c r="I24" i="47"/>
  <c r="I23" i="47"/>
  <c r="B23" i="50" l="1"/>
  <c r="A23" i="50" s="1"/>
  <c r="B24" i="50"/>
  <c r="A24" i="50" s="1"/>
  <c r="B25" i="50"/>
  <c r="B34" i="50"/>
  <c r="A34" i="50" s="1"/>
  <c r="B46" i="50"/>
  <c r="B47" i="50" s="1"/>
  <c r="B58" i="50"/>
  <c r="A58" i="50" s="1"/>
  <c r="B59" i="50"/>
  <c r="A59" i="50" s="1"/>
  <c r="B70" i="50"/>
  <c r="A70" i="50" s="1"/>
  <c r="B71" i="50"/>
  <c r="A71" i="50" s="1"/>
  <c r="B72" i="50"/>
  <c r="A72" i="50" s="1"/>
  <c r="B73" i="50"/>
  <c r="B82" i="50"/>
  <c r="A82" i="50" s="1"/>
  <c r="B83" i="50"/>
  <c r="B94" i="50"/>
  <c r="A94" i="50" s="1"/>
  <c r="B106" i="50"/>
  <c r="A106" i="50" s="1"/>
  <c r="B107" i="50"/>
  <c r="A107" i="50" s="1"/>
  <c r="B118" i="50"/>
  <c r="A118" i="50" s="1"/>
  <c r="B119" i="50"/>
  <c r="A119" i="50" s="1"/>
  <c r="B120" i="50"/>
  <c r="A120" i="50" s="1"/>
  <c r="B121" i="50"/>
  <c r="B122" i="50" s="1"/>
  <c r="B123" i="50" s="1"/>
  <c r="A123" i="50" s="1"/>
  <c r="B130" i="50"/>
  <c r="A130" i="50" s="1"/>
  <c r="B131" i="50"/>
  <c r="B142" i="50"/>
  <c r="A142" i="50" s="1"/>
  <c r="B143" i="50"/>
  <c r="B144" i="50" s="1"/>
  <c r="B154" i="50"/>
  <c r="A154" i="50" s="1"/>
  <c r="B155" i="50"/>
  <c r="A155" i="50" s="1"/>
  <c r="B166" i="50"/>
  <c r="B167" i="50" s="1"/>
  <c r="A167" i="50"/>
  <c r="B168" i="50"/>
  <c r="A168" i="50" s="1"/>
  <c r="B178" i="50"/>
  <c r="A178" i="50" s="1"/>
  <c r="B179" i="50"/>
  <c r="A179" i="50" s="1"/>
  <c r="B190" i="50"/>
  <c r="B191" i="50" s="1"/>
  <c r="A191" i="50" s="1"/>
  <c r="B202" i="50"/>
  <c r="A202" i="50" s="1"/>
  <c r="B203" i="50"/>
  <c r="A203" i="50" s="1"/>
  <c r="B204" i="50"/>
  <c r="A204" i="50" s="1"/>
  <c r="B205" i="50"/>
  <c r="A205" i="50" s="1"/>
  <c r="B206" i="50"/>
  <c r="A206" i="50" s="1"/>
  <c r="B214" i="50"/>
  <c r="A214" i="50" s="1"/>
  <c r="B215" i="50"/>
  <c r="A215" i="50" s="1"/>
  <c r="B216" i="50"/>
  <c r="A216" i="50" s="1"/>
  <c r="B226" i="50"/>
  <c r="A226" i="50" s="1"/>
  <c r="B231" i="50"/>
  <c r="A231" i="50" s="1"/>
  <c r="B232" i="50"/>
  <c r="A232" i="50" s="1"/>
  <c r="B243" i="50"/>
  <c r="A243" i="50" s="1"/>
  <c r="B244" i="50"/>
  <c r="B245" i="50" s="1"/>
  <c r="A245" i="50" s="1"/>
  <c r="B255" i="50"/>
  <c r="A255" i="50" s="1"/>
  <c r="B267" i="50"/>
  <c r="A267" i="50" s="1"/>
  <c r="B268" i="50"/>
  <c r="A268" i="50" s="1"/>
  <c r="B269" i="50"/>
  <c r="A269" i="50" s="1"/>
  <c r="B279" i="50"/>
  <c r="A279" i="50" s="1"/>
  <c r="B280" i="50"/>
  <c r="A280" i="50" s="1"/>
  <c r="B291" i="50"/>
  <c r="A291" i="50" s="1"/>
  <c r="B292" i="50"/>
  <c r="A292" i="50" s="1"/>
  <c r="B303" i="50"/>
  <c r="A303" i="50" s="1"/>
  <c r="B304" i="50"/>
  <c r="B305" i="50" s="1"/>
  <c r="B315" i="50"/>
  <c r="A315" i="50" s="1"/>
  <c r="B327" i="50"/>
  <c r="A327" i="50" s="1"/>
  <c r="B339" i="50"/>
  <c r="B351" i="50"/>
  <c r="A351" i="50" s="1"/>
  <c r="B363" i="50"/>
  <c r="A363" i="50" s="1"/>
  <c r="B364" i="50"/>
  <c r="A364" i="50" s="1"/>
  <c r="B365" i="50"/>
  <c r="A365" i="50" s="1"/>
  <c r="B375" i="50"/>
  <c r="B376" i="50" s="1"/>
  <c r="A376" i="50" s="1"/>
  <c r="B377" i="50"/>
  <c r="B378" i="50" s="1"/>
  <c r="A378" i="50" s="1"/>
  <c r="B387" i="50"/>
  <c r="A387" i="50" s="1"/>
  <c r="B388" i="50"/>
  <c r="B389" i="50" s="1"/>
  <c r="D2" i="50"/>
  <c r="E2" i="50" s="1"/>
  <c r="C15" i="50" s="1"/>
  <c r="B60" i="50" l="1"/>
  <c r="B366" i="50"/>
  <c r="B367" i="50" s="1"/>
  <c r="A367" i="50" s="1"/>
  <c r="B281" i="50"/>
  <c r="B282" i="50" s="1"/>
  <c r="B227" i="50"/>
  <c r="B108" i="50"/>
  <c r="B352" i="50"/>
  <c r="B270" i="50"/>
  <c r="B217" i="50"/>
  <c r="B218" i="50" s="1"/>
  <c r="B95" i="50"/>
  <c r="B96" i="50" s="1"/>
  <c r="A166" i="50"/>
  <c r="A377" i="50"/>
  <c r="B293" i="50"/>
  <c r="B294" i="50" s="1"/>
  <c r="A294" i="50" s="1"/>
  <c r="B207" i="50"/>
  <c r="B156" i="50"/>
  <c r="B35" i="50"/>
  <c r="A35" i="50" s="1"/>
  <c r="B145" i="50"/>
  <c r="A144" i="50"/>
  <c r="A389" i="50"/>
  <c r="B390" i="50"/>
  <c r="B306" i="50"/>
  <c r="A305" i="50"/>
  <c r="A293" i="50"/>
  <c r="A143" i="50"/>
  <c r="A281" i="50"/>
  <c r="A46" i="50"/>
  <c r="A95" i="50"/>
  <c r="A131" i="50"/>
  <c r="B132" i="50"/>
  <c r="A375" i="50"/>
  <c r="A47" i="50"/>
  <c r="B48" i="50"/>
  <c r="A83" i="50"/>
  <c r="B84" i="50"/>
  <c r="B246" i="50"/>
  <c r="B192" i="50"/>
  <c r="A339" i="50"/>
  <c r="B340" i="50"/>
  <c r="B328" i="50"/>
  <c r="B256" i="50"/>
  <c r="A121" i="50"/>
  <c r="A73" i="50"/>
  <c r="B74" i="50"/>
  <c r="B233" i="50"/>
  <c r="B180" i="50"/>
  <c r="B169" i="50"/>
  <c r="A25" i="50"/>
  <c r="B26" i="50"/>
  <c r="A304" i="50"/>
  <c r="A190" i="50"/>
  <c r="B316" i="50"/>
  <c r="B124" i="50"/>
  <c r="A388" i="50"/>
  <c r="A366" i="50"/>
  <c r="A244" i="50"/>
  <c r="B379" i="50"/>
  <c r="B368" i="50"/>
  <c r="A122" i="50"/>
  <c r="C2" i="50"/>
  <c r="B22" i="50"/>
  <c r="D15" i="50"/>
  <c r="AC7" i="35"/>
  <c r="D14" i="35"/>
  <c r="AB22" i="35"/>
  <c r="P9" i="23"/>
  <c r="P10" i="23" s="1"/>
  <c r="C15" i="9"/>
  <c r="S13" i="9"/>
  <c r="O14" i="9"/>
  <c r="O13" i="9" s="1"/>
  <c r="O12" i="9" s="1"/>
  <c r="T10" i="9"/>
  <c r="D1" i="35"/>
  <c r="H64" i="9" a="1"/>
  <c r="H64" i="9" s="1"/>
  <c r="AM7" i="9"/>
  <c r="AA1" i="35"/>
  <c r="AC5" i="35"/>
  <c r="AC3" i="35"/>
  <c r="A36" i="34"/>
  <c r="D38" i="34"/>
  <c r="A218" i="50" l="1"/>
  <c r="B219" i="50"/>
  <c r="B295" i="50"/>
  <c r="A96" i="50"/>
  <c r="B97" i="50"/>
  <c r="A270" i="50"/>
  <c r="B271" i="50"/>
  <c r="A217" i="50"/>
  <c r="A352" i="50"/>
  <c r="B353" i="50"/>
  <c r="B36" i="50"/>
  <c r="A108" i="50"/>
  <c r="B109" i="50"/>
  <c r="A227" i="50"/>
  <c r="B228" i="50"/>
  <c r="A282" i="50"/>
  <c r="B283" i="50"/>
  <c r="A60" i="50"/>
  <c r="B61" i="50"/>
  <c r="A156" i="50"/>
  <c r="B157" i="50"/>
  <c r="A207" i="50"/>
  <c r="B208" i="50"/>
  <c r="A48" i="50"/>
  <c r="B49" i="50"/>
  <c r="B234" i="50"/>
  <c r="A233" i="50"/>
  <c r="A379" i="50"/>
  <c r="B380" i="50"/>
  <c r="B257" i="50"/>
  <c r="A256" i="50"/>
  <c r="A192" i="50"/>
  <c r="B193" i="50"/>
  <c r="A246" i="50"/>
  <c r="B247" i="50"/>
  <c r="A132" i="50"/>
  <c r="B133" i="50"/>
  <c r="A124" i="50"/>
  <c r="B125" i="50"/>
  <c r="A316" i="50"/>
  <c r="B317" i="50"/>
  <c r="B37" i="50"/>
  <c r="A36" i="50"/>
  <c r="A84" i="50"/>
  <c r="B85" i="50"/>
  <c r="B146" i="50"/>
  <c r="A145" i="50"/>
  <c r="A368" i="50"/>
  <c r="B369" i="50"/>
  <c r="B75" i="50"/>
  <c r="A74" i="50"/>
  <c r="A306" i="50"/>
  <c r="B307" i="50"/>
  <c r="A328" i="50"/>
  <c r="B329" i="50"/>
  <c r="A340" i="50"/>
  <c r="B341" i="50"/>
  <c r="A390" i="50"/>
  <c r="B391" i="50"/>
  <c r="B27" i="50"/>
  <c r="A26" i="50"/>
  <c r="B296" i="50"/>
  <c r="A295" i="50"/>
  <c r="B170" i="50"/>
  <c r="A169" i="50"/>
  <c r="A180" i="50"/>
  <c r="B181" i="50"/>
  <c r="A22" i="50"/>
  <c r="M11" i="7"/>
  <c r="E23" i="8"/>
  <c r="G23" i="8"/>
  <c r="G1" i="8" s="1"/>
  <c r="C2" i="20"/>
  <c r="C2" i="19"/>
  <c r="C3" i="19" s="1"/>
  <c r="G13" i="19"/>
  <c r="B13" i="19"/>
  <c r="G12" i="19"/>
  <c r="B12" i="19"/>
  <c r="G11" i="19"/>
  <c r="B11" i="19"/>
  <c r="G10" i="19"/>
  <c r="B10" i="19"/>
  <c r="G9" i="19"/>
  <c r="B9" i="19"/>
  <c r="G8" i="19"/>
  <c r="G7" i="19"/>
  <c r="A228" i="50" l="1"/>
  <c r="B229" i="50"/>
  <c r="B110" i="50"/>
  <c r="A109" i="50"/>
  <c r="B354" i="50"/>
  <c r="A353" i="50"/>
  <c r="A271" i="50"/>
  <c r="B272" i="50"/>
  <c r="B98" i="50"/>
  <c r="A97" i="50"/>
  <c r="B62" i="50"/>
  <c r="A61" i="50"/>
  <c r="A219" i="50"/>
  <c r="B220" i="50"/>
  <c r="A283" i="50"/>
  <c r="B284" i="50"/>
  <c r="B158" i="50"/>
  <c r="A157" i="50"/>
  <c r="B209" i="50"/>
  <c r="A208" i="50"/>
  <c r="B134" i="50"/>
  <c r="A133" i="50"/>
  <c r="A341" i="50"/>
  <c r="B342" i="50"/>
  <c r="B182" i="50"/>
  <c r="A181" i="50"/>
  <c r="A317" i="50"/>
  <c r="B318" i="50"/>
  <c r="A380" i="50"/>
  <c r="B381" i="50"/>
  <c r="B86" i="50"/>
  <c r="A85" i="50"/>
  <c r="B194" i="50"/>
  <c r="A193" i="50"/>
  <c r="A37" i="50"/>
  <c r="B38" i="50"/>
  <c r="A307" i="50"/>
  <c r="B308" i="50"/>
  <c r="A170" i="50"/>
  <c r="B171" i="50"/>
  <c r="B258" i="50"/>
  <c r="A257" i="50"/>
  <c r="A125" i="50"/>
  <c r="B126" i="50"/>
  <c r="A296" i="50"/>
  <c r="B297" i="50"/>
  <c r="A75" i="50"/>
  <c r="B76" i="50"/>
  <c r="A391" i="50"/>
  <c r="B392" i="50"/>
  <c r="B147" i="50"/>
  <c r="A146" i="50"/>
  <c r="B248" i="50"/>
  <c r="A247" i="50"/>
  <c r="B330" i="50"/>
  <c r="A329" i="50"/>
  <c r="B370" i="50"/>
  <c r="A369" i="50"/>
  <c r="A234" i="50"/>
  <c r="B235" i="50"/>
  <c r="A49" i="50"/>
  <c r="B50" i="50"/>
  <c r="A27" i="50"/>
  <c r="B28" i="50"/>
  <c r="G11" i="20"/>
  <c r="G10" i="20" s="1"/>
  <c r="J30" i="35"/>
  <c r="I10" i="35"/>
  <c r="C4" i="39"/>
  <c r="B13" i="39" s="1"/>
  <c r="B14" i="39" s="1"/>
  <c r="B15" i="39" s="1"/>
  <c r="B16" i="39" s="1"/>
  <c r="B17" i="39" s="1"/>
  <c r="B18" i="39" s="1"/>
  <c r="B19" i="39" s="1"/>
  <c r="B20" i="39" s="1"/>
  <c r="B21" i="39" s="1"/>
  <c r="B22" i="39" s="1"/>
  <c r="B23" i="39" s="1"/>
  <c r="B24" i="39" s="1"/>
  <c r="B25" i="39" s="1"/>
  <c r="B26" i="39" s="1"/>
  <c r="B27" i="39" s="1"/>
  <c r="B28" i="39" s="1"/>
  <c r="B29" i="39" s="1"/>
  <c r="B30" i="39" s="1"/>
  <c r="B31" i="39" s="1"/>
  <c r="B32" i="39" s="1"/>
  <c r="B33" i="39" s="1"/>
  <c r="F2" i="39"/>
  <c r="E12" i="39" s="1"/>
  <c r="H49" i="7"/>
  <c r="H1" i="12" s="1"/>
  <c r="C4" i="13"/>
  <c r="B13" i="13" s="1"/>
  <c r="B2" i="12"/>
  <c r="B5" i="12" s="1"/>
  <c r="C5" i="12" s="1"/>
  <c r="D5" i="12" s="1"/>
  <c r="F2" i="13"/>
  <c r="S7" i="13"/>
  <c r="N53" i="9"/>
  <c r="M53" i="9" s="1"/>
  <c r="J29" i="35"/>
  <c r="L19" i="7"/>
  <c r="L15" i="35"/>
  <c r="J10" i="35"/>
  <c r="I1" i="35"/>
  <c r="J5" i="20" s="1"/>
  <c r="K5" i="20" s="1"/>
  <c r="P631" i="7"/>
  <c r="P630" i="7"/>
  <c r="P629" i="7"/>
  <c r="P628" i="7"/>
  <c r="P627" i="7"/>
  <c r="P626" i="7"/>
  <c r="P625" i="7"/>
  <c r="P624" i="7"/>
  <c r="P623" i="7"/>
  <c r="P622" i="7"/>
  <c r="P621" i="7"/>
  <c r="P620" i="7"/>
  <c r="P619" i="7"/>
  <c r="P618" i="7"/>
  <c r="P617" i="7"/>
  <c r="P616" i="7"/>
  <c r="P615" i="7"/>
  <c r="P614" i="7"/>
  <c r="P613" i="7"/>
  <c r="P612" i="7"/>
  <c r="P611" i="7"/>
  <c r="P610" i="7"/>
  <c r="P609" i="7"/>
  <c r="P608" i="7"/>
  <c r="P607" i="7"/>
  <c r="P606" i="7"/>
  <c r="P605" i="7"/>
  <c r="P604" i="7"/>
  <c r="P603" i="7"/>
  <c r="P602" i="7"/>
  <c r="P601" i="7"/>
  <c r="P600" i="7"/>
  <c r="P599" i="7"/>
  <c r="P598" i="7"/>
  <c r="P597" i="7"/>
  <c r="P596" i="7"/>
  <c r="P595" i="7"/>
  <c r="P594" i="7"/>
  <c r="P593" i="7"/>
  <c r="P592" i="7"/>
  <c r="P591" i="7"/>
  <c r="P590" i="7"/>
  <c r="P589" i="7"/>
  <c r="P588" i="7"/>
  <c r="P587" i="7"/>
  <c r="P586" i="7"/>
  <c r="P585" i="7"/>
  <c r="P584" i="7"/>
  <c r="P583" i="7"/>
  <c r="P582" i="7"/>
  <c r="P581" i="7"/>
  <c r="P580" i="7"/>
  <c r="P579" i="7"/>
  <c r="P578" i="7"/>
  <c r="P577" i="7"/>
  <c r="P576" i="7"/>
  <c r="P575" i="7"/>
  <c r="P574" i="7"/>
  <c r="P573" i="7"/>
  <c r="P572" i="7"/>
  <c r="P571" i="7"/>
  <c r="P570" i="7"/>
  <c r="P569" i="7"/>
  <c r="P568" i="7"/>
  <c r="P567" i="7"/>
  <c r="P566" i="7"/>
  <c r="P565" i="7"/>
  <c r="P564" i="7"/>
  <c r="P563" i="7"/>
  <c r="P562" i="7"/>
  <c r="P561" i="7"/>
  <c r="P560" i="7"/>
  <c r="P559" i="7"/>
  <c r="P558" i="7"/>
  <c r="P557" i="7"/>
  <c r="P556" i="7"/>
  <c r="P555" i="7"/>
  <c r="P554" i="7"/>
  <c r="P553" i="7"/>
  <c r="P552" i="7"/>
  <c r="P551" i="7"/>
  <c r="P550" i="7"/>
  <c r="P549" i="7"/>
  <c r="P548" i="7"/>
  <c r="P547" i="7"/>
  <c r="P546" i="7"/>
  <c r="P545" i="7"/>
  <c r="P544" i="7"/>
  <c r="P543" i="7"/>
  <c r="P542" i="7"/>
  <c r="P541" i="7"/>
  <c r="P540" i="7"/>
  <c r="P539" i="7"/>
  <c r="P538" i="7"/>
  <c r="P537" i="7"/>
  <c r="P536" i="7"/>
  <c r="P535" i="7"/>
  <c r="P534" i="7"/>
  <c r="P533" i="7"/>
  <c r="P532" i="7"/>
  <c r="P531" i="7"/>
  <c r="P530" i="7"/>
  <c r="P529" i="7"/>
  <c r="P528" i="7"/>
  <c r="P527" i="7"/>
  <c r="P526" i="7"/>
  <c r="P525" i="7"/>
  <c r="P524" i="7"/>
  <c r="P523" i="7"/>
  <c r="P522" i="7"/>
  <c r="P521" i="7"/>
  <c r="P520" i="7"/>
  <c r="P519" i="7"/>
  <c r="P518" i="7"/>
  <c r="P517" i="7"/>
  <c r="P516" i="7"/>
  <c r="P515" i="7"/>
  <c r="P514" i="7"/>
  <c r="P513" i="7"/>
  <c r="P512" i="7"/>
  <c r="P511" i="7"/>
  <c r="P510" i="7"/>
  <c r="P509" i="7"/>
  <c r="P508" i="7"/>
  <c r="P507" i="7"/>
  <c r="P506" i="7"/>
  <c r="P505" i="7"/>
  <c r="P504" i="7"/>
  <c r="P503" i="7"/>
  <c r="P502" i="7"/>
  <c r="P501" i="7"/>
  <c r="P500" i="7"/>
  <c r="P499" i="7"/>
  <c r="P498" i="7"/>
  <c r="P497" i="7"/>
  <c r="P496" i="7"/>
  <c r="P495" i="7"/>
  <c r="P494" i="7"/>
  <c r="P493" i="7"/>
  <c r="P492" i="7"/>
  <c r="P491" i="7"/>
  <c r="P490" i="7"/>
  <c r="P489" i="7"/>
  <c r="P488" i="7"/>
  <c r="P487" i="7"/>
  <c r="P486" i="7"/>
  <c r="P485" i="7"/>
  <c r="P484" i="7"/>
  <c r="P483" i="7"/>
  <c r="P482" i="7"/>
  <c r="P481" i="7"/>
  <c r="P480" i="7"/>
  <c r="P479" i="7"/>
  <c r="P478" i="7"/>
  <c r="P477" i="7"/>
  <c r="P476" i="7"/>
  <c r="P475" i="7"/>
  <c r="P474" i="7"/>
  <c r="P473" i="7"/>
  <c r="P472" i="7"/>
  <c r="P471" i="7"/>
  <c r="P470" i="7"/>
  <c r="P469" i="7"/>
  <c r="P468" i="7"/>
  <c r="P467" i="7"/>
  <c r="P466" i="7"/>
  <c r="P465" i="7"/>
  <c r="P464" i="7"/>
  <c r="P463" i="7"/>
  <c r="P462" i="7"/>
  <c r="P461" i="7"/>
  <c r="P460" i="7"/>
  <c r="P459" i="7"/>
  <c r="P458" i="7"/>
  <c r="P457" i="7"/>
  <c r="P456" i="7"/>
  <c r="P455" i="7"/>
  <c r="P454" i="7"/>
  <c r="P453" i="7"/>
  <c r="P452" i="7"/>
  <c r="P451" i="7"/>
  <c r="P450" i="7"/>
  <c r="P449" i="7"/>
  <c r="P448" i="7"/>
  <c r="P447" i="7"/>
  <c r="P446" i="7"/>
  <c r="P445" i="7"/>
  <c r="P444" i="7"/>
  <c r="P443" i="7"/>
  <c r="P442" i="7"/>
  <c r="P441" i="7"/>
  <c r="P440" i="7"/>
  <c r="P439" i="7"/>
  <c r="P438" i="7"/>
  <c r="P437" i="7"/>
  <c r="P436" i="7"/>
  <c r="P435" i="7"/>
  <c r="P434" i="7"/>
  <c r="P433" i="7"/>
  <c r="P432" i="7"/>
  <c r="P431" i="7"/>
  <c r="P430" i="7"/>
  <c r="P429" i="7"/>
  <c r="P428" i="7"/>
  <c r="G2" i="46"/>
  <c r="E7" i="46" s="1"/>
  <c r="AB23" i="35"/>
  <c r="AB21" i="35"/>
  <c r="AB19" i="35"/>
  <c r="AB18" i="35"/>
  <c r="AB17" i="35"/>
  <c r="D9" i="43"/>
  <c r="R2" i="28"/>
  <c r="I66" i="7"/>
  <c r="AC9" i="35"/>
  <c r="AC8" i="35"/>
  <c r="AN9" i="9"/>
  <c r="N246" i="46"/>
  <c r="N245" i="46"/>
  <c r="N244" i="46"/>
  <c r="N243" i="46"/>
  <c r="N242" i="46"/>
  <c r="N241" i="46"/>
  <c r="N240" i="46"/>
  <c r="N239" i="46"/>
  <c r="N238" i="46"/>
  <c r="N237" i="46"/>
  <c r="N236" i="46"/>
  <c r="N235" i="46"/>
  <c r="N234" i="46"/>
  <c r="N233" i="46"/>
  <c r="N232" i="46"/>
  <c r="N231" i="46"/>
  <c r="N230" i="46"/>
  <c r="N229" i="46"/>
  <c r="N228" i="46"/>
  <c r="N227" i="46"/>
  <c r="N226" i="46"/>
  <c r="N225" i="46"/>
  <c r="N224" i="46"/>
  <c r="N223" i="46"/>
  <c r="N222" i="46"/>
  <c r="N221" i="46"/>
  <c r="N220" i="46"/>
  <c r="N219" i="46"/>
  <c r="N218" i="46"/>
  <c r="N217" i="46"/>
  <c r="N216" i="46"/>
  <c r="N215" i="46"/>
  <c r="N214" i="46"/>
  <c r="N213" i="46"/>
  <c r="N212" i="46"/>
  <c r="N211" i="46"/>
  <c r="N210" i="46"/>
  <c r="N209" i="46"/>
  <c r="N208" i="46"/>
  <c r="N207" i="46"/>
  <c r="N206" i="46"/>
  <c r="N205" i="46"/>
  <c r="N204" i="46"/>
  <c r="N203" i="46"/>
  <c r="N202" i="46"/>
  <c r="N201" i="46"/>
  <c r="N200" i="46"/>
  <c r="N199" i="46"/>
  <c r="N198" i="46"/>
  <c r="N197" i="46"/>
  <c r="N196" i="46"/>
  <c r="N195" i="46"/>
  <c r="N194" i="46"/>
  <c r="N193" i="46"/>
  <c r="N192" i="46"/>
  <c r="N191" i="46"/>
  <c r="N190" i="46"/>
  <c r="N189" i="46"/>
  <c r="N188" i="46"/>
  <c r="N187" i="46"/>
  <c r="N186" i="46"/>
  <c r="N185" i="46"/>
  <c r="N184" i="46"/>
  <c r="N183" i="46"/>
  <c r="N182" i="46"/>
  <c r="N181" i="46"/>
  <c r="N180" i="46"/>
  <c r="N179" i="46"/>
  <c r="N178" i="46"/>
  <c r="N177" i="46"/>
  <c r="N176" i="46"/>
  <c r="N175" i="46"/>
  <c r="N174" i="46"/>
  <c r="N173" i="46"/>
  <c r="N172" i="46"/>
  <c r="N171" i="46"/>
  <c r="N170" i="46"/>
  <c r="N169" i="46"/>
  <c r="N168" i="46"/>
  <c r="N167" i="46"/>
  <c r="N166" i="46"/>
  <c r="N165" i="46"/>
  <c r="N164" i="46"/>
  <c r="N163" i="46"/>
  <c r="N162" i="46"/>
  <c r="N161" i="46"/>
  <c r="N160" i="46"/>
  <c r="N159" i="46"/>
  <c r="N158" i="46"/>
  <c r="N157" i="46"/>
  <c r="N156" i="46"/>
  <c r="N155" i="46"/>
  <c r="N154" i="46"/>
  <c r="N153" i="46"/>
  <c r="N152" i="46"/>
  <c r="N151" i="46"/>
  <c r="N150" i="46"/>
  <c r="N149" i="46"/>
  <c r="N148" i="46"/>
  <c r="N147" i="46"/>
  <c r="N146" i="46"/>
  <c r="N145" i="46"/>
  <c r="N144" i="46"/>
  <c r="N143" i="46"/>
  <c r="N142" i="46"/>
  <c r="N141" i="46"/>
  <c r="N140" i="46"/>
  <c r="N139" i="46"/>
  <c r="N138" i="46"/>
  <c r="N137" i="46"/>
  <c r="N136" i="46"/>
  <c r="N135" i="46"/>
  <c r="N134" i="46"/>
  <c r="N133" i="46"/>
  <c r="N132" i="46"/>
  <c r="N131" i="46"/>
  <c r="N130" i="46"/>
  <c r="N129" i="46"/>
  <c r="N128" i="46"/>
  <c r="N127" i="46"/>
  <c r="N126" i="46"/>
  <c r="N125" i="46"/>
  <c r="N124" i="46"/>
  <c r="N123" i="46"/>
  <c r="N122" i="46"/>
  <c r="N121" i="46"/>
  <c r="N120" i="46"/>
  <c r="N119" i="46"/>
  <c r="N118" i="46"/>
  <c r="N117" i="46"/>
  <c r="N116" i="46"/>
  <c r="N115" i="46"/>
  <c r="N114" i="46"/>
  <c r="N113" i="46"/>
  <c r="N112" i="46"/>
  <c r="N111" i="46"/>
  <c r="N110" i="46"/>
  <c r="N109" i="46"/>
  <c r="N108" i="46"/>
  <c r="N107" i="46"/>
  <c r="N106" i="46"/>
  <c r="N105" i="46"/>
  <c r="N104" i="46"/>
  <c r="N103" i="46"/>
  <c r="N102" i="46"/>
  <c r="N101" i="46"/>
  <c r="N100" i="46"/>
  <c r="N99" i="46"/>
  <c r="N98" i="46"/>
  <c r="N97" i="46"/>
  <c r="N96" i="46"/>
  <c r="N95" i="46"/>
  <c r="N94" i="46"/>
  <c r="N93" i="46"/>
  <c r="N92" i="46"/>
  <c r="N91" i="46"/>
  <c r="N90" i="46"/>
  <c r="N89" i="46"/>
  <c r="N88" i="46"/>
  <c r="N87" i="46"/>
  <c r="N86" i="46"/>
  <c r="N85" i="46"/>
  <c r="N84" i="46"/>
  <c r="N83" i="46"/>
  <c r="N82" i="46"/>
  <c r="N81" i="46"/>
  <c r="N80" i="46"/>
  <c r="N79" i="46"/>
  <c r="N78" i="46"/>
  <c r="N77" i="46"/>
  <c r="N76" i="46"/>
  <c r="N75" i="46"/>
  <c r="N74" i="46"/>
  <c r="N73" i="46"/>
  <c r="N72" i="46"/>
  <c r="N71" i="46"/>
  <c r="N70" i="46"/>
  <c r="N69" i="46"/>
  <c r="N68" i="46"/>
  <c r="N67" i="46"/>
  <c r="N66" i="46"/>
  <c r="N65" i="46"/>
  <c r="N64" i="46"/>
  <c r="N63" i="46"/>
  <c r="N62" i="46"/>
  <c r="N61" i="46"/>
  <c r="N60" i="46"/>
  <c r="N59" i="46"/>
  <c r="N58" i="46"/>
  <c r="N57" i="46"/>
  <c r="N56" i="46"/>
  <c r="N55" i="46"/>
  <c r="N54" i="46"/>
  <c r="N53" i="46"/>
  <c r="N52" i="46"/>
  <c r="N51" i="46"/>
  <c r="N50" i="46"/>
  <c r="N49" i="46"/>
  <c r="N48" i="46"/>
  <c r="N47" i="46"/>
  <c r="N46" i="46"/>
  <c r="N45" i="46"/>
  <c r="N44" i="46"/>
  <c r="N43" i="46"/>
  <c r="N42" i="46"/>
  <c r="O42" i="46" s="1"/>
  <c r="N41" i="46"/>
  <c r="O41" i="46" s="1"/>
  <c r="N40" i="46"/>
  <c r="O40" i="46" s="1"/>
  <c r="N39" i="46"/>
  <c r="O39" i="46" s="1"/>
  <c r="N38" i="46"/>
  <c r="O38" i="46" s="1"/>
  <c r="N37" i="46"/>
  <c r="O37" i="46" s="1"/>
  <c r="N36" i="46"/>
  <c r="O36" i="46" s="1"/>
  <c r="N35" i="46"/>
  <c r="O35" i="46" s="1"/>
  <c r="N34" i="46"/>
  <c r="O34" i="46" s="1"/>
  <c r="N33" i="46"/>
  <c r="O33" i="46" s="1"/>
  <c r="N32" i="46"/>
  <c r="O32" i="46" s="1"/>
  <c r="N31" i="46"/>
  <c r="O31" i="46" s="1"/>
  <c r="N30" i="46"/>
  <c r="O30" i="46" s="1"/>
  <c r="N29" i="46"/>
  <c r="O29" i="46" s="1"/>
  <c r="N28" i="46"/>
  <c r="O28" i="46" s="1"/>
  <c r="N27" i="46"/>
  <c r="O27" i="46" s="1"/>
  <c r="N26" i="46"/>
  <c r="O26" i="46" s="1"/>
  <c r="N25" i="46"/>
  <c r="O25" i="46" s="1"/>
  <c r="N24" i="46"/>
  <c r="O24" i="46" s="1"/>
  <c r="N23" i="46"/>
  <c r="O23" i="46" s="1"/>
  <c r="N22" i="46"/>
  <c r="O22" i="46" s="1"/>
  <c r="N21" i="46"/>
  <c r="O21" i="46" s="1"/>
  <c r="N20" i="46"/>
  <c r="O20" i="46" s="1"/>
  <c r="N19" i="46"/>
  <c r="O19" i="46" s="1"/>
  <c r="N18" i="46"/>
  <c r="O18" i="46" s="1"/>
  <c r="N17" i="46"/>
  <c r="O17" i="46" s="1"/>
  <c r="N16" i="46"/>
  <c r="O16" i="46" s="1"/>
  <c r="N15" i="46"/>
  <c r="O15" i="46" s="1"/>
  <c r="N14" i="46"/>
  <c r="O14" i="46" s="1"/>
  <c r="N13" i="46"/>
  <c r="O13" i="46" s="1"/>
  <c r="N12" i="46"/>
  <c r="O12" i="46" s="1"/>
  <c r="N11" i="46"/>
  <c r="O11" i="46" s="1"/>
  <c r="N10" i="46"/>
  <c r="N9" i="46"/>
  <c r="O9" i="46" s="1"/>
  <c r="N8" i="46"/>
  <c r="O8" i="46" s="1"/>
  <c r="N7" i="46"/>
  <c r="O7" i="46" s="1"/>
  <c r="I3" i="47"/>
  <c r="I4" i="47"/>
  <c r="I5" i="47"/>
  <c r="I6" i="47"/>
  <c r="I7" i="47"/>
  <c r="I8" i="47"/>
  <c r="I9" i="47"/>
  <c r="I10" i="47"/>
  <c r="I11" i="47"/>
  <c r="I12" i="47"/>
  <c r="I13" i="47"/>
  <c r="I14" i="47"/>
  <c r="I15" i="47"/>
  <c r="I16" i="47"/>
  <c r="I17" i="47"/>
  <c r="I18" i="47"/>
  <c r="I19" i="47"/>
  <c r="I20" i="47"/>
  <c r="I21" i="47"/>
  <c r="I22" i="47"/>
  <c r="T7" i="46"/>
  <c r="O311" i="13"/>
  <c r="O310" i="13"/>
  <c r="O309" i="13"/>
  <c r="O308" i="13"/>
  <c r="O307" i="13"/>
  <c r="O306" i="13"/>
  <c r="O305" i="13"/>
  <c r="O304" i="13"/>
  <c r="O303" i="13"/>
  <c r="O302" i="13"/>
  <c r="O301" i="13"/>
  <c r="O300" i="13"/>
  <c r="O299" i="13"/>
  <c r="O298" i="13"/>
  <c r="O297" i="13"/>
  <c r="O296" i="13"/>
  <c r="O295" i="13"/>
  <c r="O294" i="13"/>
  <c r="O293" i="13"/>
  <c r="O292" i="13"/>
  <c r="O291" i="13"/>
  <c r="O290" i="13"/>
  <c r="O289" i="13"/>
  <c r="O288" i="13"/>
  <c r="O287" i="13"/>
  <c r="O286" i="13"/>
  <c r="O285" i="13"/>
  <c r="O284" i="13"/>
  <c r="O283" i="13"/>
  <c r="O282" i="13"/>
  <c r="O281" i="13"/>
  <c r="O280" i="13"/>
  <c r="O279" i="13"/>
  <c r="O278" i="13"/>
  <c r="O277" i="13"/>
  <c r="O276" i="13"/>
  <c r="O275" i="13"/>
  <c r="O274" i="13"/>
  <c r="O273" i="13"/>
  <c r="O272" i="13"/>
  <c r="O271" i="13"/>
  <c r="O270" i="13"/>
  <c r="O269" i="13"/>
  <c r="O268" i="13"/>
  <c r="O267" i="13"/>
  <c r="O266" i="13"/>
  <c r="O265" i="13"/>
  <c r="O264" i="13"/>
  <c r="O263" i="13"/>
  <c r="O262" i="13"/>
  <c r="O261" i="13"/>
  <c r="O260" i="13"/>
  <c r="O259" i="13"/>
  <c r="O258" i="13"/>
  <c r="O257" i="13"/>
  <c r="O256" i="13"/>
  <c r="O255" i="13"/>
  <c r="O254" i="13"/>
  <c r="O253" i="13"/>
  <c r="O252" i="13"/>
  <c r="O251" i="13"/>
  <c r="O250" i="13"/>
  <c r="O249" i="13"/>
  <c r="O248" i="13"/>
  <c r="O247" i="13"/>
  <c r="O246" i="13"/>
  <c r="O245" i="13"/>
  <c r="O244" i="13"/>
  <c r="O243" i="13"/>
  <c r="O242" i="13"/>
  <c r="O241" i="13"/>
  <c r="O240" i="13"/>
  <c r="O239" i="13"/>
  <c r="O238" i="13"/>
  <c r="O237" i="13"/>
  <c r="O236" i="13"/>
  <c r="O235" i="13"/>
  <c r="O234" i="13"/>
  <c r="O233" i="13"/>
  <c r="O232" i="13"/>
  <c r="O231" i="13"/>
  <c r="O230" i="13"/>
  <c r="O229" i="13"/>
  <c r="O228" i="13"/>
  <c r="O227" i="13"/>
  <c r="O226" i="13"/>
  <c r="O225" i="13"/>
  <c r="O224" i="13"/>
  <c r="O223" i="13"/>
  <c r="O222" i="13"/>
  <c r="O221" i="13"/>
  <c r="O220" i="13"/>
  <c r="O219" i="13"/>
  <c r="O218" i="13"/>
  <c r="O217" i="13"/>
  <c r="O216" i="13"/>
  <c r="O215" i="13"/>
  <c r="O214" i="13"/>
  <c r="O213" i="13"/>
  <c r="O212" i="13"/>
  <c r="O211" i="13"/>
  <c r="O210" i="13"/>
  <c r="O209" i="13"/>
  <c r="O208" i="13"/>
  <c r="O207" i="13"/>
  <c r="O206" i="13"/>
  <c r="O205" i="13"/>
  <c r="O204" i="13"/>
  <c r="O203" i="13"/>
  <c r="O202" i="13"/>
  <c r="O201" i="13"/>
  <c r="O200" i="13"/>
  <c r="O199" i="13"/>
  <c r="O198" i="13"/>
  <c r="O197" i="13"/>
  <c r="O196" i="13"/>
  <c r="O195" i="13"/>
  <c r="O194" i="13"/>
  <c r="O193" i="13"/>
  <c r="O192" i="13"/>
  <c r="O191" i="13"/>
  <c r="O190" i="13"/>
  <c r="O189" i="13"/>
  <c r="O188" i="13"/>
  <c r="O187" i="13"/>
  <c r="O186" i="13"/>
  <c r="O185" i="13"/>
  <c r="O184" i="13"/>
  <c r="O183" i="13"/>
  <c r="O182" i="13"/>
  <c r="O181" i="13"/>
  <c r="O180" i="13"/>
  <c r="O179" i="13"/>
  <c r="O178" i="13"/>
  <c r="O177" i="13"/>
  <c r="O176" i="13"/>
  <c r="O175" i="13"/>
  <c r="O174" i="13"/>
  <c r="O173" i="13"/>
  <c r="O172" i="13"/>
  <c r="O171" i="13"/>
  <c r="O170" i="13"/>
  <c r="O169" i="13"/>
  <c r="O168" i="13"/>
  <c r="O167" i="13"/>
  <c r="O166" i="13"/>
  <c r="O165" i="13"/>
  <c r="O164" i="13"/>
  <c r="O163" i="13"/>
  <c r="O162" i="13"/>
  <c r="O161" i="13"/>
  <c r="O160" i="13"/>
  <c r="O159" i="13"/>
  <c r="O158" i="13"/>
  <c r="O157" i="13"/>
  <c r="O156" i="13"/>
  <c r="O155" i="13"/>
  <c r="O154" i="13"/>
  <c r="O153" i="13"/>
  <c r="O152" i="13"/>
  <c r="O151" i="13"/>
  <c r="O150" i="13"/>
  <c r="O149" i="13"/>
  <c r="O148" i="13"/>
  <c r="O147" i="13"/>
  <c r="O146" i="13"/>
  <c r="O145" i="13"/>
  <c r="O144" i="13"/>
  <c r="O143" i="13"/>
  <c r="O142" i="13"/>
  <c r="O141" i="13"/>
  <c r="O140" i="13"/>
  <c r="O139" i="13"/>
  <c r="O138" i="13"/>
  <c r="O137" i="13"/>
  <c r="O136" i="13"/>
  <c r="O135" i="13"/>
  <c r="O134" i="13"/>
  <c r="O133" i="13"/>
  <c r="O132" i="13"/>
  <c r="O131" i="13"/>
  <c r="O130" i="13"/>
  <c r="O129" i="13"/>
  <c r="O128" i="13"/>
  <c r="O127" i="13"/>
  <c r="O126" i="13"/>
  <c r="O125" i="13"/>
  <c r="O124" i="13"/>
  <c r="O123" i="13"/>
  <c r="O122" i="13"/>
  <c r="O121" i="13"/>
  <c r="O120" i="13"/>
  <c r="O119" i="13"/>
  <c r="O118" i="13"/>
  <c r="O117" i="13"/>
  <c r="O116" i="13"/>
  <c r="O115" i="13"/>
  <c r="O114" i="13"/>
  <c r="O113" i="13"/>
  <c r="O112" i="13"/>
  <c r="O111" i="13"/>
  <c r="O110" i="13"/>
  <c r="O109" i="13"/>
  <c r="O108" i="13"/>
  <c r="O107" i="13"/>
  <c r="O106" i="13"/>
  <c r="O105" i="13"/>
  <c r="O104" i="13"/>
  <c r="O103" i="13"/>
  <c r="O102" i="13"/>
  <c r="O101" i="13"/>
  <c r="O100" i="13"/>
  <c r="O99" i="13"/>
  <c r="O98" i="13"/>
  <c r="O97" i="13"/>
  <c r="O96" i="13"/>
  <c r="O95" i="13"/>
  <c r="O94" i="13"/>
  <c r="O93" i="13"/>
  <c r="O92" i="13"/>
  <c r="O91" i="13"/>
  <c r="O90" i="13"/>
  <c r="O89" i="13"/>
  <c r="O88" i="13"/>
  <c r="O87" i="13"/>
  <c r="O86" i="13"/>
  <c r="O85" i="13"/>
  <c r="O84" i="13"/>
  <c r="O83" i="13"/>
  <c r="O82" i="13"/>
  <c r="O81" i="13"/>
  <c r="O80" i="13"/>
  <c r="O79" i="13"/>
  <c r="O78" i="13"/>
  <c r="O77" i="13"/>
  <c r="O76" i="13"/>
  <c r="O75" i="13"/>
  <c r="O74" i="13"/>
  <c r="O73" i="13"/>
  <c r="O72" i="13"/>
  <c r="O71" i="13"/>
  <c r="O70" i="13"/>
  <c r="O69" i="13"/>
  <c r="O68" i="13"/>
  <c r="O67" i="13"/>
  <c r="O66" i="13"/>
  <c r="O65" i="13"/>
  <c r="O64" i="13"/>
  <c r="O63" i="13"/>
  <c r="O62" i="13"/>
  <c r="O61" i="13"/>
  <c r="O60" i="13"/>
  <c r="O59" i="13"/>
  <c r="O58" i="13"/>
  <c r="O57" i="13"/>
  <c r="O56" i="13"/>
  <c r="O55" i="13"/>
  <c r="O54" i="13"/>
  <c r="O53" i="13"/>
  <c r="O52" i="13"/>
  <c r="O51" i="13"/>
  <c r="O50" i="13"/>
  <c r="O49" i="13"/>
  <c r="O48" i="13"/>
  <c r="O47" i="13"/>
  <c r="Q47" i="13" s="1"/>
  <c r="O46" i="13"/>
  <c r="Q46" i="13" s="1"/>
  <c r="O45" i="13"/>
  <c r="Q45" i="13" s="1"/>
  <c r="O44" i="13"/>
  <c r="Q44" i="13" s="1"/>
  <c r="O43" i="13"/>
  <c r="Q43" i="13" s="1"/>
  <c r="O42" i="13"/>
  <c r="Q42" i="13" s="1"/>
  <c r="O41" i="13"/>
  <c r="Q41" i="13" s="1"/>
  <c r="O40" i="13"/>
  <c r="Q40" i="13" s="1"/>
  <c r="O39" i="13"/>
  <c r="Q39" i="13" s="1"/>
  <c r="O38" i="13"/>
  <c r="Q38" i="13" s="1"/>
  <c r="O37" i="13"/>
  <c r="Q37" i="13" s="1"/>
  <c r="O36" i="13"/>
  <c r="Q36" i="13" s="1"/>
  <c r="O35" i="13"/>
  <c r="Q35" i="13" s="1"/>
  <c r="O34" i="13"/>
  <c r="Q34" i="13" s="1"/>
  <c r="O33" i="13"/>
  <c r="Q33" i="13" s="1"/>
  <c r="O32" i="13"/>
  <c r="Q32" i="13" s="1"/>
  <c r="O31" i="13"/>
  <c r="Q31" i="13" s="1"/>
  <c r="O30" i="13"/>
  <c r="Q30" i="13" s="1"/>
  <c r="O29" i="13"/>
  <c r="Q29" i="13" s="1"/>
  <c r="O28" i="13"/>
  <c r="Q28" i="13" s="1"/>
  <c r="O27" i="13"/>
  <c r="Q27" i="13" s="1"/>
  <c r="O26" i="13"/>
  <c r="Q26" i="13" s="1"/>
  <c r="O25" i="13"/>
  <c r="Q25" i="13" s="1"/>
  <c r="O24" i="13"/>
  <c r="Q24" i="13" s="1"/>
  <c r="O23" i="13"/>
  <c r="Q23" i="13" s="1"/>
  <c r="O22" i="13"/>
  <c r="Q22" i="13" s="1"/>
  <c r="O21" i="13"/>
  <c r="Q21" i="13" s="1"/>
  <c r="O20" i="13"/>
  <c r="Q20" i="13" s="1"/>
  <c r="O19" i="13"/>
  <c r="Q19" i="13" s="1"/>
  <c r="O18" i="13"/>
  <c r="Q18" i="13" s="1"/>
  <c r="O17" i="13"/>
  <c r="Q17" i="13" s="1"/>
  <c r="O16" i="13"/>
  <c r="Q16" i="13" s="1"/>
  <c r="O15" i="13"/>
  <c r="O14" i="13"/>
  <c r="Q14" i="13" s="1"/>
  <c r="O13" i="13"/>
  <c r="Q13" i="13" s="1"/>
  <c r="O12" i="13"/>
  <c r="Q12" i="13" s="1"/>
  <c r="P7" i="39"/>
  <c r="AC314" i="39"/>
  <c r="K303" i="23"/>
  <c r="K300" i="23"/>
  <c r="K301" i="23"/>
  <c r="K302" i="23"/>
  <c r="K295" i="23"/>
  <c r="K296" i="23"/>
  <c r="K297" i="23"/>
  <c r="K298" i="23"/>
  <c r="K299" i="23"/>
  <c r="K288" i="23"/>
  <c r="K289" i="23"/>
  <c r="K290" i="23"/>
  <c r="K291" i="23"/>
  <c r="K292" i="23"/>
  <c r="K293" i="23"/>
  <c r="K294" i="23"/>
  <c r="K261" i="23"/>
  <c r="K262" i="23"/>
  <c r="K263" i="23"/>
  <c r="K264" i="23"/>
  <c r="K265" i="23"/>
  <c r="K266" i="23"/>
  <c r="K267" i="23"/>
  <c r="K268" i="23"/>
  <c r="K269" i="23"/>
  <c r="K270" i="23"/>
  <c r="K271" i="23"/>
  <c r="K272" i="23"/>
  <c r="K273" i="23"/>
  <c r="K274" i="23"/>
  <c r="K275" i="23"/>
  <c r="K276" i="23"/>
  <c r="K277" i="23"/>
  <c r="K278" i="23"/>
  <c r="K279" i="23"/>
  <c r="K280" i="23"/>
  <c r="K281" i="23"/>
  <c r="K282" i="23"/>
  <c r="K283" i="23"/>
  <c r="K284" i="23"/>
  <c r="K285" i="23"/>
  <c r="K286" i="23"/>
  <c r="K287" i="23"/>
  <c r="K244" i="23"/>
  <c r="K245" i="23"/>
  <c r="K246" i="23"/>
  <c r="K247" i="23"/>
  <c r="K248" i="23"/>
  <c r="K249" i="23"/>
  <c r="K250" i="23"/>
  <c r="K251" i="23"/>
  <c r="K252" i="23"/>
  <c r="K253" i="23"/>
  <c r="K254" i="23"/>
  <c r="K255" i="23"/>
  <c r="K256" i="23"/>
  <c r="K257" i="23"/>
  <c r="K258" i="23"/>
  <c r="K259" i="23"/>
  <c r="K260" i="23"/>
  <c r="S15" i="9"/>
  <c r="S16" i="9" s="1"/>
  <c r="AB8" i="35"/>
  <c r="G45" i="9"/>
  <c r="W1" i="9" s="1"/>
  <c r="H46" i="7"/>
  <c r="B14" i="11" s="1"/>
  <c r="Z1" i="35"/>
  <c r="E14" i="35"/>
  <c r="Y1" i="35"/>
  <c r="C33" i="9" s="1"/>
  <c r="X1" i="35"/>
  <c r="X3" i="9" s="1"/>
  <c r="I1" i="8"/>
  <c r="H19" i="7" s="1"/>
  <c r="K6" i="8"/>
  <c r="G14" i="8" s="1"/>
  <c r="N14" i="8"/>
  <c r="H4" i="8"/>
  <c r="H5" i="8"/>
  <c r="H6" i="8"/>
  <c r="H7" i="8"/>
  <c r="H8" i="8"/>
  <c r="H9" i="8"/>
  <c r="H10" i="8"/>
  <c r="H11" i="8"/>
  <c r="H12" i="8"/>
  <c r="H13" i="8"/>
  <c r="H15" i="8"/>
  <c r="H16" i="8"/>
  <c r="H17" i="8"/>
  <c r="H18" i="8"/>
  <c r="H19" i="8"/>
  <c r="H20" i="8"/>
  <c r="H21" i="8"/>
  <c r="H22" i="8"/>
  <c r="H23" i="8"/>
  <c r="H24" i="8"/>
  <c r="H25" i="8"/>
  <c r="H26" i="8"/>
  <c r="H27" i="8"/>
  <c r="H28" i="8"/>
  <c r="H29" i="8"/>
  <c r="H30" i="8"/>
  <c r="H31" i="8"/>
  <c r="H32" i="8"/>
  <c r="H33" i="8"/>
  <c r="H34" i="8"/>
  <c r="H3" i="8"/>
  <c r="G30" i="8"/>
  <c r="AB20" i="35"/>
  <c r="I3" i="36"/>
  <c r="O10" i="36"/>
  <c r="B12" i="45"/>
  <c r="J35" i="7"/>
  <c r="J24" i="7"/>
  <c r="F1" i="45"/>
  <c r="B4" i="45"/>
  <c r="B3" i="45"/>
  <c r="B5" i="45" s="1"/>
  <c r="B2" i="45"/>
  <c r="B8" i="45" s="1"/>
  <c r="B3" i="44"/>
  <c r="B4" i="44" s="1"/>
  <c r="B5" i="44" s="1"/>
  <c r="F239" i="44" s="1"/>
  <c r="G239" i="44" s="1"/>
  <c r="G3" i="44"/>
  <c r="G4" i="44"/>
  <c r="G2" i="44"/>
  <c r="F6" i="44"/>
  <c r="G6" i="44" s="1"/>
  <c r="F8" i="44"/>
  <c r="G8" i="44" s="1"/>
  <c r="F10" i="44"/>
  <c r="G10" i="44" s="1"/>
  <c r="F12" i="44"/>
  <c r="G12" i="44" s="1"/>
  <c r="F14" i="44"/>
  <c r="G14" i="44" s="1"/>
  <c r="F16" i="44"/>
  <c r="G16" i="44" s="1"/>
  <c r="F18" i="44"/>
  <c r="G18" i="44" s="1"/>
  <c r="F20" i="44"/>
  <c r="G20" i="44" s="1"/>
  <c r="F22" i="44"/>
  <c r="G22" i="44" s="1"/>
  <c r="F24" i="44"/>
  <c r="G24" i="44" s="1"/>
  <c r="F26" i="44"/>
  <c r="G26" i="44" s="1"/>
  <c r="F28" i="44"/>
  <c r="G28" i="44" s="1"/>
  <c r="F30" i="44"/>
  <c r="G30" i="44" s="1"/>
  <c r="F32" i="44"/>
  <c r="G32" i="44" s="1"/>
  <c r="F34" i="44"/>
  <c r="G34" i="44" s="1"/>
  <c r="F36" i="44"/>
  <c r="G36" i="44" s="1"/>
  <c r="F38" i="44"/>
  <c r="G38" i="44" s="1"/>
  <c r="F40" i="44"/>
  <c r="G40" i="44" s="1"/>
  <c r="F42" i="44"/>
  <c r="G42" i="44" s="1"/>
  <c r="F44" i="44"/>
  <c r="G44" i="44" s="1"/>
  <c r="F46" i="44"/>
  <c r="G46" i="44" s="1"/>
  <c r="F48" i="44"/>
  <c r="G48" i="44" s="1"/>
  <c r="F50" i="44"/>
  <c r="G50" i="44" s="1"/>
  <c r="F52" i="44"/>
  <c r="G52" i="44" s="1"/>
  <c r="F54" i="44"/>
  <c r="G54" i="44" s="1"/>
  <c r="F56" i="44"/>
  <c r="G56" i="44" s="1"/>
  <c r="F58" i="44"/>
  <c r="G58" i="44" s="1"/>
  <c r="F60" i="44"/>
  <c r="G60" i="44" s="1"/>
  <c r="F62" i="44"/>
  <c r="G62" i="44" s="1"/>
  <c r="F64" i="44"/>
  <c r="G64" i="44" s="1"/>
  <c r="F66" i="44"/>
  <c r="G66" i="44" s="1"/>
  <c r="F68" i="44"/>
  <c r="G68" i="44" s="1"/>
  <c r="F70" i="44"/>
  <c r="G70" i="44" s="1"/>
  <c r="F72" i="44"/>
  <c r="G72" i="44" s="1"/>
  <c r="F74" i="44"/>
  <c r="G74" i="44" s="1"/>
  <c r="F76" i="44"/>
  <c r="G76" i="44" s="1"/>
  <c r="F78" i="44"/>
  <c r="G78" i="44" s="1"/>
  <c r="F80" i="44"/>
  <c r="G80" i="44" s="1"/>
  <c r="F82" i="44"/>
  <c r="G82" i="44" s="1"/>
  <c r="F84" i="44"/>
  <c r="G84" i="44" s="1"/>
  <c r="F86" i="44"/>
  <c r="G86" i="44" s="1"/>
  <c r="F88" i="44"/>
  <c r="G88" i="44" s="1"/>
  <c r="F90" i="44"/>
  <c r="G90" i="44" s="1"/>
  <c r="F92" i="44"/>
  <c r="G92" i="44" s="1"/>
  <c r="F94" i="44"/>
  <c r="G94" i="44" s="1"/>
  <c r="F96" i="44"/>
  <c r="G96" i="44" s="1"/>
  <c r="F98" i="44"/>
  <c r="G98" i="44" s="1"/>
  <c r="F100" i="44"/>
  <c r="G100" i="44" s="1"/>
  <c r="F102" i="44"/>
  <c r="G102" i="44" s="1"/>
  <c r="F104" i="44"/>
  <c r="G104" i="44" s="1"/>
  <c r="F106" i="44"/>
  <c r="G106" i="44" s="1"/>
  <c r="F108" i="44"/>
  <c r="G108" i="44" s="1"/>
  <c r="F110" i="44"/>
  <c r="G110" i="44" s="1"/>
  <c r="F112" i="44"/>
  <c r="G112" i="44" s="1"/>
  <c r="F114" i="44"/>
  <c r="G114" i="44" s="1"/>
  <c r="F116" i="44"/>
  <c r="G116" i="44" s="1"/>
  <c r="F118" i="44"/>
  <c r="G118" i="44" s="1"/>
  <c r="F120" i="44"/>
  <c r="G120" i="44" s="1"/>
  <c r="F122" i="44"/>
  <c r="G122" i="44" s="1"/>
  <c r="F124" i="44"/>
  <c r="G124" i="44" s="1"/>
  <c r="F126" i="44"/>
  <c r="G126" i="44" s="1"/>
  <c r="F128" i="44"/>
  <c r="G128" i="44" s="1"/>
  <c r="F130" i="44"/>
  <c r="G130" i="44" s="1"/>
  <c r="F132" i="44"/>
  <c r="G132" i="44" s="1"/>
  <c r="F134" i="44"/>
  <c r="G134" i="44" s="1"/>
  <c r="F136" i="44"/>
  <c r="G136" i="44" s="1"/>
  <c r="F138" i="44"/>
  <c r="G138" i="44" s="1"/>
  <c r="F140" i="44"/>
  <c r="G140" i="44" s="1"/>
  <c r="F142" i="44"/>
  <c r="G142" i="44" s="1"/>
  <c r="F144" i="44"/>
  <c r="G144" i="44" s="1"/>
  <c r="F146" i="44"/>
  <c r="G146" i="44" s="1"/>
  <c r="F148" i="44"/>
  <c r="G148" i="44" s="1"/>
  <c r="F150" i="44"/>
  <c r="G150" i="44" s="1"/>
  <c r="F152" i="44"/>
  <c r="G152" i="44" s="1"/>
  <c r="F154" i="44"/>
  <c r="G154" i="44" s="1"/>
  <c r="F156" i="44"/>
  <c r="G156" i="44" s="1"/>
  <c r="F158" i="44"/>
  <c r="G158" i="44" s="1"/>
  <c r="F160" i="44"/>
  <c r="G160" i="44" s="1"/>
  <c r="F162" i="44"/>
  <c r="G162" i="44" s="1"/>
  <c r="F164" i="44"/>
  <c r="G164" i="44" s="1"/>
  <c r="F166" i="44"/>
  <c r="G166" i="44" s="1"/>
  <c r="F168" i="44"/>
  <c r="G168" i="44" s="1"/>
  <c r="F170" i="44"/>
  <c r="G170" i="44" s="1"/>
  <c r="F172" i="44"/>
  <c r="G172" i="44" s="1"/>
  <c r="F174" i="44"/>
  <c r="G174" i="44" s="1"/>
  <c r="F176" i="44"/>
  <c r="G176" i="44" s="1"/>
  <c r="F178" i="44"/>
  <c r="G178" i="44" s="1"/>
  <c r="F180" i="44"/>
  <c r="G180" i="44" s="1"/>
  <c r="F182" i="44"/>
  <c r="G182" i="44" s="1"/>
  <c r="F184" i="44"/>
  <c r="G184" i="44" s="1"/>
  <c r="F186" i="44"/>
  <c r="G186" i="44" s="1"/>
  <c r="F188" i="44"/>
  <c r="G188" i="44" s="1"/>
  <c r="F190" i="44"/>
  <c r="G190" i="44" s="1"/>
  <c r="F192" i="44"/>
  <c r="G192" i="44" s="1"/>
  <c r="F194" i="44"/>
  <c r="G194" i="44" s="1"/>
  <c r="F196" i="44"/>
  <c r="G196" i="44" s="1"/>
  <c r="F198" i="44"/>
  <c r="G198" i="44" s="1"/>
  <c r="F200" i="44"/>
  <c r="G200" i="44" s="1"/>
  <c r="F202" i="44"/>
  <c r="G202" i="44" s="1"/>
  <c r="F204" i="44"/>
  <c r="G204" i="44" s="1"/>
  <c r="F206" i="44"/>
  <c r="G206" i="44" s="1"/>
  <c r="F208" i="44"/>
  <c r="G208" i="44" s="1"/>
  <c r="F210" i="44"/>
  <c r="G210" i="44" s="1"/>
  <c r="F212" i="44"/>
  <c r="G212" i="44" s="1"/>
  <c r="F214" i="44"/>
  <c r="G214" i="44" s="1"/>
  <c r="F216" i="44"/>
  <c r="G216" i="44" s="1"/>
  <c r="F218" i="44"/>
  <c r="G218" i="44" s="1"/>
  <c r="F220" i="44"/>
  <c r="G220" i="44" s="1"/>
  <c r="F222" i="44"/>
  <c r="G222" i="44" s="1"/>
  <c r="F224" i="44"/>
  <c r="G224" i="44" s="1"/>
  <c r="F226" i="44"/>
  <c r="G226" i="44" s="1"/>
  <c r="F228" i="44"/>
  <c r="G228" i="44" s="1"/>
  <c r="F230" i="44"/>
  <c r="G230" i="44" s="1"/>
  <c r="F232" i="44"/>
  <c r="G232" i="44" s="1"/>
  <c r="F234" i="44"/>
  <c r="G234" i="44" s="1"/>
  <c r="F236" i="44"/>
  <c r="G236" i="44" s="1"/>
  <c r="F238" i="44"/>
  <c r="G238" i="44" s="1"/>
  <c r="F240" i="44"/>
  <c r="G240" i="44" s="1"/>
  <c r="E201" i="44"/>
  <c r="E202" i="44"/>
  <c r="E203" i="44"/>
  <c r="E204" i="44"/>
  <c r="E205" i="44"/>
  <c r="E206" i="44"/>
  <c r="E207" i="44"/>
  <c r="E208" i="44"/>
  <c r="E209" i="44"/>
  <c r="E210" i="44"/>
  <c r="E211" i="44"/>
  <c r="E212" i="44"/>
  <c r="E213" i="44"/>
  <c r="E214" i="44"/>
  <c r="E215" i="44"/>
  <c r="E216" i="44"/>
  <c r="E217" i="44"/>
  <c r="E218" i="44"/>
  <c r="E219" i="44"/>
  <c r="E220" i="44"/>
  <c r="E221" i="44"/>
  <c r="E222" i="44"/>
  <c r="E223" i="44"/>
  <c r="E224" i="44"/>
  <c r="E225" i="44"/>
  <c r="E226" i="44"/>
  <c r="E227" i="44"/>
  <c r="E228" i="44"/>
  <c r="E229" i="44"/>
  <c r="E230" i="44"/>
  <c r="E231" i="44"/>
  <c r="E232" i="44"/>
  <c r="E233" i="44"/>
  <c r="E234" i="44"/>
  <c r="E235" i="44"/>
  <c r="E236" i="44"/>
  <c r="E237" i="44"/>
  <c r="E238" i="44"/>
  <c r="E239" i="44"/>
  <c r="E240" i="44"/>
  <c r="E241" i="44"/>
  <c r="E188" i="44"/>
  <c r="E189" i="44"/>
  <c r="E190" i="44"/>
  <c r="E191" i="44"/>
  <c r="E192" i="44"/>
  <c r="E193" i="44"/>
  <c r="E194" i="44"/>
  <c r="E195" i="44"/>
  <c r="E196" i="44"/>
  <c r="E197" i="44"/>
  <c r="E198" i="44"/>
  <c r="E199" i="44"/>
  <c r="E200" i="44"/>
  <c r="E165" i="44"/>
  <c r="E166" i="44"/>
  <c r="E167" i="44"/>
  <c r="E168" i="44"/>
  <c r="E169" i="44"/>
  <c r="E170" i="44"/>
  <c r="E171" i="44"/>
  <c r="E172" i="44"/>
  <c r="E173" i="44"/>
  <c r="E174" i="44"/>
  <c r="E175" i="44"/>
  <c r="E176" i="44"/>
  <c r="E177" i="44"/>
  <c r="E178" i="44"/>
  <c r="E179" i="44"/>
  <c r="E180" i="44"/>
  <c r="E181" i="44"/>
  <c r="E182" i="44"/>
  <c r="E183" i="44"/>
  <c r="E184" i="44"/>
  <c r="E185" i="44"/>
  <c r="E186" i="44"/>
  <c r="E187" i="44"/>
  <c r="E149" i="44"/>
  <c r="E150" i="44"/>
  <c r="E151" i="44"/>
  <c r="E152" i="44"/>
  <c r="E153" i="44"/>
  <c r="E154" i="44"/>
  <c r="E155" i="44"/>
  <c r="E156" i="44"/>
  <c r="E157" i="44"/>
  <c r="E158" i="44"/>
  <c r="E159" i="44"/>
  <c r="E160" i="44"/>
  <c r="E161" i="44"/>
  <c r="E162" i="44"/>
  <c r="E163" i="44"/>
  <c r="E164" i="44"/>
  <c r="E136" i="44"/>
  <c r="E137" i="44"/>
  <c r="E138" i="44"/>
  <c r="E139" i="44"/>
  <c r="E140" i="44"/>
  <c r="E141" i="44"/>
  <c r="E142" i="44"/>
  <c r="E143" i="44"/>
  <c r="E144" i="44"/>
  <c r="E145" i="44"/>
  <c r="E146" i="44"/>
  <c r="E147" i="44"/>
  <c r="E148" i="44"/>
  <c r="E119" i="44"/>
  <c r="E120" i="44"/>
  <c r="E121" i="44"/>
  <c r="E122" i="44"/>
  <c r="E123" i="44"/>
  <c r="E124" i="44"/>
  <c r="E125" i="44"/>
  <c r="E126" i="44"/>
  <c r="E127" i="44"/>
  <c r="E128" i="44"/>
  <c r="E129" i="44"/>
  <c r="E130" i="44"/>
  <c r="E131" i="44"/>
  <c r="E132" i="44"/>
  <c r="E133" i="44"/>
  <c r="E134" i="44"/>
  <c r="E135" i="44"/>
  <c r="E4" i="44"/>
  <c r="E5" i="44"/>
  <c r="E6" i="44"/>
  <c r="E7" i="44"/>
  <c r="E8" i="44"/>
  <c r="E9" i="44"/>
  <c r="E10" i="44"/>
  <c r="E11" i="44"/>
  <c r="E12" i="44"/>
  <c r="E13" i="44"/>
  <c r="E14" i="44"/>
  <c r="E15" i="44"/>
  <c r="E16" i="44"/>
  <c r="E17" i="44"/>
  <c r="E18" i="44"/>
  <c r="E19" i="44"/>
  <c r="E20" i="44"/>
  <c r="E21" i="44"/>
  <c r="E22" i="44"/>
  <c r="E23" i="44"/>
  <c r="E24" i="44"/>
  <c r="E25" i="44"/>
  <c r="E26" i="44"/>
  <c r="E27" i="44"/>
  <c r="E28" i="44"/>
  <c r="E29" i="44"/>
  <c r="E30" i="44"/>
  <c r="E31" i="44"/>
  <c r="E32" i="44"/>
  <c r="E33" i="44"/>
  <c r="E34" i="44"/>
  <c r="E35" i="44"/>
  <c r="E36" i="44"/>
  <c r="E37" i="44"/>
  <c r="E38" i="44"/>
  <c r="E39" i="44"/>
  <c r="E40" i="44"/>
  <c r="E41" i="44"/>
  <c r="E42" i="44"/>
  <c r="E43" i="44"/>
  <c r="E44" i="44"/>
  <c r="E45" i="44"/>
  <c r="E46" i="44"/>
  <c r="E47" i="44"/>
  <c r="E48" i="44"/>
  <c r="E49" i="44"/>
  <c r="E50" i="44"/>
  <c r="E51" i="44"/>
  <c r="E52" i="44"/>
  <c r="E53" i="44"/>
  <c r="E54" i="44"/>
  <c r="E55" i="44"/>
  <c r="E56" i="44"/>
  <c r="E57" i="44"/>
  <c r="E58" i="44"/>
  <c r="E59" i="44"/>
  <c r="E60" i="44"/>
  <c r="E61" i="44"/>
  <c r="E62" i="44"/>
  <c r="E63" i="44"/>
  <c r="E64" i="44"/>
  <c r="E65" i="44"/>
  <c r="E66" i="44"/>
  <c r="E67" i="44"/>
  <c r="E68" i="44"/>
  <c r="E69" i="44"/>
  <c r="E70" i="44"/>
  <c r="E71" i="44"/>
  <c r="E72" i="44"/>
  <c r="E73" i="44"/>
  <c r="E74" i="44"/>
  <c r="E75" i="44"/>
  <c r="E76" i="44"/>
  <c r="E77" i="44"/>
  <c r="E78" i="44"/>
  <c r="E79" i="44"/>
  <c r="E80" i="44"/>
  <c r="E81" i="44"/>
  <c r="E82" i="44"/>
  <c r="E83" i="44"/>
  <c r="E84" i="44"/>
  <c r="E85" i="44"/>
  <c r="E86" i="44"/>
  <c r="E87" i="44"/>
  <c r="E88" i="44"/>
  <c r="E89" i="44"/>
  <c r="E90" i="44"/>
  <c r="E91" i="44"/>
  <c r="E92" i="44"/>
  <c r="E93" i="44"/>
  <c r="E94" i="44"/>
  <c r="E95" i="44"/>
  <c r="E96" i="44"/>
  <c r="E97" i="44"/>
  <c r="E98" i="44"/>
  <c r="E99" i="44"/>
  <c r="E100" i="44"/>
  <c r="E101" i="44"/>
  <c r="E102" i="44"/>
  <c r="E103" i="44"/>
  <c r="E104" i="44"/>
  <c r="E105" i="44"/>
  <c r="E106" i="44"/>
  <c r="E107" i="44"/>
  <c r="E108" i="44"/>
  <c r="E109" i="44"/>
  <c r="E110" i="44"/>
  <c r="E111" i="44"/>
  <c r="E112" i="44"/>
  <c r="E113" i="44"/>
  <c r="E114" i="44"/>
  <c r="E115" i="44"/>
  <c r="E116" i="44"/>
  <c r="E117" i="44"/>
  <c r="E118" i="44"/>
  <c r="E3" i="44"/>
  <c r="F42" i="7"/>
  <c r="P11" i="23"/>
  <c r="P12" i="23" s="1"/>
  <c r="P5" i="23" s="1"/>
  <c r="M38" i="7"/>
  <c r="M37" i="7"/>
  <c r="M36" i="7"/>
  <c r="N35" i="7"/>
  <c r="M35" i="7"/>
  <c r="C39" i="20"/>
  <c r="F45" i="20"/>
  <c r="F46" i="20" s="1"/>
  <c r="C38" i="20"/>
  <c r="C55" i="20" s="1"/>
  <c r="B14" i="35"/>
  <c r="F19" i="9"/>
  <c r="F20" i="9" s="1"/>
  <c r="F17" i="7" s="1"/>
  <c r="L51" i="7"/>
  <c r="K51" i="7"/>
  <c r="F32" i="7"/>
  <c r="M46" i="7"/>
  <c r="D15" i="7"/>
  <c r="N29" i="7"/>
  <c r="V35" i="9" s="1"/>
  <c r="N26" i="7"/>
  <c r="V32" i="9" s="1"/>
  <c r="N25" i="7"/>
  <c r="V31" i="9" s="1"/>
  <c r="M29" i="7"/>
  <c r="M28" i="7"/>
  <c r="M27" i="7"/>
  <c r="M25" i="7"/>
  <c r="F22" i="7"/>
  <c r="K48" i="7"/>
  <c r="T4" i="9"/>
  <c r="T3" i="9" s="1"/>
  <c r="R6" i="9"/>
  <c r="C3" i="20"/>
  <c r="C4" i="20" s="1"/>
  <c r="M2" i="37"/>
  <c r="M2" i="30"/>
  <c r="M2" i="28"/>
  <c r="M2" i="40"/>
  <c r="E8" i="43"/>
  <c r="E9" i="43"/>
  <c r="E10" i="43"/>
  <c r="E12" i="43"/>
  <c r="E17" i="43"/>
  <c r="E22" i="43"/>
  <c r="E25" i="43"/>
  <c r="E26" i="43"/>
  <c r="E30" i="43"/>
  <c r="E2" i="43"/>
  <c r="D33" i="43"/>
  <c r="E33" i="43"/>
  <c r="D32" i="43"/>
  <c r="E32" i="43"/>
  <c r="E31" i="43"/>
  <c r="D30" i="43"/>
  <c r="D29" i="43"/>
  <c r="E29" i="43"/>
  <c r="D28" i="43"/>
  <c r="E28" i="43"/>
  <c r="D27" i="43"/>
  <c r="E27" i="43"/>
  <c r="D26" i="43"/>
  <c r="D24" i="43"/>
  <c r="E24" i="43"/>
  <c r="D23" i="43"/>
  <c r="E23" i="43"/>
  <c r="D22" i="43"/>
  <c r="E21" i="43"/>
  <c r="D20" i="43"/>
  <c r="E20" i="43"/>
  <c r="D19" i="43"/>
  <c r="E19" i="43"/>
  <c r="D18" i="43"/>
  <c r="E18" i="43"/>
  <c r="D17" i="43"/>
  <c r="D16" i="43"/>
  <c r="E16" i="43"/>
  <c r="D15" i="43"/>
  <c r="E15" i="43"/>
  <c r="D14" i="43"/>
  <c r="E14" i="43"/>
  <c r="D13" i="43"/>
  <c r="E13" i="43"/>
  <c r="D11" i="43"/>
  <c r="E11" i="43"/>
  <c r="D8" i="43"/>
  <c r="D7" i="43"/>
  <c r="E7" i="43"/>
  <c r="D6" i="43"/>
  <c r="E6" i="43"/>
  <c r="D5" i="43"/>
  <c r="E5" i="43"/>
  <c r="D4" i="43"/>
  <c r="E4" i="43"/>
  <c r="D3" i="43"/>
  <c r="E3" i="43"/>
  <c r="D2" i="43"/>
  <c r="O12" i="36"/>
  <c r="G69" i="9"/>
  <c r="H76" i="9"/>
  <c r="I24" i="34"/>
  <c r="A24" i="34" s="1"/>
  <c r="I115" i="34"/>
  <c r="D32" i="34"/>
  <c r="J17" i="34"/>
  <c r="H17" i="34"/>
  <c r="K26" i="34"/>
  <c r="B38" i="34" s="1"/>
  <c r="D33" i="34"/>
  <c r="E10" i="41"/>
  <c r="E9" i="41"/>
  <c r="E15" i="41"/>
  <c r="E14" i="41"/>
  <c r="E13" i="41"/>
  <c r="E12" i="41"/>
  <c r="E11" i="41"/>
  <c r="E8" i="41"/>
  <c r="E7" i="41"/>
  <c r="E6" i="41"/>
  <c r="E5" i="41"/>
  <c r="E4" i="41"/>
  <c r="E3" i="41"/>
  <c r="E2" i="41"/>
  <c r="A1" i="41"/>
  <c r="A6" i="41" s="1"/>
  <c r="B6" i="41" s="1"/>
  <c r="H51" i="7"/>
  <c r="N13" i="7"/>
  <c r="H11" i="7"/>
  <c r="H9" i="7"/>
  <c r="J1" i="20"/>
  <c r="L1" i="20" s="1"/>
  <c r="L3" i="20" s="1"/>
  <c r="B7" i="11"/>
  <c r="E5" i="30"/>
  <c r="G5" i="30" s="1"/>
  <c r="P5" i="30" s="1"/>
  <c r="W3" i="30" s="1"/>
  <c r="E6" i="30"/>
  <c r="G6" i="30" s="1"/>
  <c r="E7" i="30"/>
  <c r="G7" i="30" s="1"/>
  <c r="E8" i="30"/>
  <c r="E9" i="30"/>
  <c r="G9" i="30" s="1"/>
  <c r="E10" i="30"/>
  <c r="G10" i="30" s="1"/>
  <c r="E11" i="30"/>
  <c r="G11" i="30" s="1"/>
  <c r="E12" i="30"/>
  <c r="G12" i="30" s="1"/>
  <c r="E13" i="30"/>
  <c r="G13" i="30" s="1"/>
  <c r="E14" i="30"/>
  <c r="G14" i="30" s="1"/>
  <c r="E15" i="30"/>
  <c r="G15" i="30" s="1"/>
  <c r="E16" i="30"/>
  <c r="G16" i="30" s="1"/>
  <c r="E17" i="30"/>
  <c r="G17" i="30" s="1"/>
  <c r="E18" i="30"/>
  <c r="G18" i="30" s="1"/>
  <c r="E19" i="30"/>
  <c r="G19" i="30" s="1"/>
  <c r="E20" i="30"/>
  <c r="G20" i="30" s="1"/>
  <c r="E21" i="30"/>
  <c r="G21" i="30" s="1"/>
  <c r="E22" i="30"/>
  <c r="G22" i="30" s="1"/>
  <c r="E23" i="30"/>
  <c r="G23" i="30" s="1"/>
  <c r="P257" i="40"/>
  <c r="P256" i="40"/>
  <c r="P255" i="40"/>
  <c r="P254" i="40"/>
  <c r="P253" i="40"/>
  <c r="P252" i="40"/>
  <c r="P251" i="40"/>
  <c r="P250" i="40"/>
  <c r="P249" i="40"/>
  <c r="P248" i="40"/>
  <c r="P247" i="40"/>
  <c r="P246" i="40"/>
  <c r="P245" i="40"/>
  <c r="P244" i="40"/>
  <c r="P243" i="40"/>
  <c r="P242" i="40"/>
  <c r="P241" i="40"/>
  <c r="P240" i="40"/>
  <c r="P239" i="40"/>
  <c r="P238" i="40"/>
  <c r="P237" i="40"/>
  <c r="P236" i="40"/>
  <c r="P235" i="40"/>
  <c r="P234" i="40"/>
  <c r="P233" i="40"/>
  <c r="P232" i="40"/>
  <c r="P231" i="40"/>
  <c r="P230" i="40"/>
  <c r="P229" i="40"/>
  <c r="P228" i="40"/>
  <c r="P227" i="40"/>
  <c r="P226" i="40"/>
  <c r="P225" i="40"/>
  <c r="P224" i="40"/>
  <c r="P223" i="40"/>
  <c r="P222" i="40"/>
  <c r="P221" i="40"/>
  <c r="P220" i="40"/>
  <c r="P219" i="40"/>
  <c r="P218" i="40"/>
  <c r="P217" i="40"/>
  <c r="P216" i="40"/>
  <c r="P215" i="40"/>
  <c r="P214" i="40"/>
  <c r="P213" i="40"/>
  <c r="P212" i="40"/>
  <c r="P211" i="40"/>
  <c r="P210" i="40"/>
  <c r="P209" i="40"/>
  <c r="P208" i="40"/>
  <c r="P207" i="40"/>
  <c r="P206" i="40"/>
  <c r="P205" i="40"/>
  <c r="P204" i="40"/>
  <c r="P203" i="40"/>
  <c r="P202" i="40"/>
  <c r="P201" i="40"/>
  <c r="P200" i="40"/>
  <c r="P199" i="40"/>
  <c r="P198" i="40"/>
  <c r="P197" i="40"/>
  <c r="P196" i="40"/>
  <c r="P195" i="40"/>
  <c r="P194" i="40"/>
  <c r="P193" i="40"/>
  <c r="P192" i="40"/>
  <c r="P191" i="40"/>
  <c r="P190" i="40"/>
  <c r="P189" i="40"/>
  <c r="P188" i="40"/>
  <c r="P187" i="40"/>
  <c r="P186" i="40"/>
  <c r="P185" i="40"/>
  <c r="P184" i="40"/>
  <c r="P183" i="40"/>
  <c r="P182" i="40"/>
  <c r="P181" i="40"/>
  <c r="P180" i="40"/>
  <c r="P179" i="40"/>
  <c r="P178" i="40"/>
  <c r="P177" i="40"/>
  <c r="P176" i="40"/>
  <c r="P175" i="40"/>
  <c r="P174" i="40"/>
  <c r="P173" i="40"/>
  <c r="P172" i="40"/>
  <c r="P171" i="40"/>
  <c r="P170" i="40"/>
  <c r="P169" i="40"/>
  <c r="P168" i="40"/>
  <c r="P167" i="40"/>
  <c r="P166" i="40"/>
  <c r="P165" i="40"/>
  <c r="P164" i="40"/>
  <c r="P163" i="40"/>
  <c r="P162" i="40"/>
  <c r="P161" i="40"/>
  <c r="P160" i="40"/>
  <c r="P159" i="40"/>
  <c r="P158" i="40"/>
  <c r="P157" i="40"/>
  <c r="P156" i="40"/>
  <c r="P155" i="40"/>
  <c r="P154" i="40"/>
  <c r="P153" i="40"/>
  <c r="P152" i="40"/>
  <c r="P151" i="40"/>
  <c r="P150" i="40"/>
  <c r="P149" i="40"/>
  <c r="P148" i="40"/>
  <c r="P147" i="40"/>
  <c r="P146" i="40"/>
  <c r="P145" i="40"/>
  <c r="P144" i="40"/>
  <c r="P143" i="40"/>
  <c r="P142" i="40"/>
  <c r="P141" i="40"/>
  <c r="P140" i="40"/>
  <c r="P139" i="40"/>
  <c r="P138" i="40"/>
  <c r="P137" i="40"/>
  <c r="P136" i="40"/>
  <c r="P135" i="40"/>
  <c r="P134" i="40"/>
  <c r="P133" i="40"/>
  <c r="P132" i="40"/>
  <c r="P131" i="40"/>
  <c r="P130" i="40"/>
  <c r="P129" i="40"/>
  <c r="P128" i="40"/>
  <c r="P127" i="40"/>
  <c r="P126" i="40"/>
  <c r="P125" i="40"/>
  <c r="P124" i="40"/>
  <c r="P123" i="40"/>
  <c r="P122" i="40"/>
  <c r="P121" i="40"/>
  <c r="P120" i="40"/>
  <c r="P119" i="40"/>
  <c r="P118" i="40"/>
  <c r="P117" i="40"/>
  <c r="P116" i="40"/>
  <c r="P115" i="40"/>
  <c r="P114" i="40"/>
  <c r="P113" i="40"/>
  <c r="P112" i="40"/>
  <c r="P111" i="40"/>
  <c r="P110" i="40"/>
  <c r="P109" i="40"/>
  <c r="P108" i="40"/>
  <c r="P107" i="40"/>
  <c r="P106" i="40"/>
  <c r="P105" i="40"/>
  <c r="P104" i="40"/>
  <c r="P103" i="40"/>
  <c r="P102" i="40"/>
  <c r="P101" i="40"/>
  <c r="P100" i="40"/>
  <c r="P99" i="40"/>
  <c r="P98" i="40"/>
  <c r="P97" i="40"/>
  <c r="P96" i="40"/>
  <c r="P95" i="40"/>
  <c r="P94" i="40"/>
  <c r="P93" i="40"/>
  <c r="P92" i="40"/>
  <c r="P91" i="40"/>
  <c r="P90" i="40"/>
  <c r="P89" i="40"/>
  <c r="P88" i="40"/>
  <c r="P87" i="40"/>
  <c r="P86" i="40"/>
  <c r="P85" i="40"/>
  <c r="P84" i="40"/>
  <c r="P83" i="40"/>
  <c r="P82" i="40"/>
  <c r="P81" i="40"/>
  <c r="P80" i="40"/>
  <c r="P79" i="40"/>
  <c r="P78" i="40"/>
  <c r="P77" i="40"/>
  <c r="P76" i="40"/>
  <c r="P75" i="40"/>
  <c r="P74" i="40"/>
  <c r="P73" i="40"/>
  <c r="P72" i="40"/>
  <c r="P71" i="40"/>
  <c r="P70" i="40"/>
  <c r="P69" i="40"/>
  <c r="P68" i="40"/>
  <c r="P67" i="40"/>
  <c r="P66" i="40"/>
  <c r="P65" i="40"/>
  <c r="P64" i="40"/>
  <c r="P63" i="40"/>
  <c r="P62" i="40"/>
  <c r="P61" i="40"/>
  <c r="P60" i="40"/>
  <c r="P59" i="40"/>
  <c r="P58" i="40"/>
  <c r="P57" i="40"/>
  <c r="P56" i="40"/>
  <c r="P55" i="40"/>
  <c r="P54" i="40"/>
  <c r="P53" i="40"/>
  <c r="P52" i="40"/>
  <c r="P51" i="40"/>
  <c r="P50" i="40"/>
  <c r="P49" i="40"/>
  <c r="P48" i="40"/>
  <c r="P47" i="40"/>
  <c r="P46" i="40"/>
  <c r="P45" i="40"/>
  <c r="P44" i="40"/>
  <c r="P43" i="40"/>
  <c r="P42" i="40"/>
  <c r="P41" i="40"/>
  <c r="P40" i="40"/>
  <c r="P39" i="40"/>
  <c r="P38" i="40"/>
  <c r="P37" i="40"/>
  <c r="P36" i="40"/>
  <c r="P35" i="40"/>
  <c r="P34" i="40"/>
  <c r="P33" i="40"/>
  <c r="P32" i="40"/>
  <c r="P31" i="40"/>
  <c r="P30" i="40"/>
  <c r="P29" i="40"/>
  <c r="P28" i="40"/>
  <c r="P27" i="40"/>
  <c r="P26" i="40"/>
  <c r="P25" i="40"/>
  <c r="P24" i="40"/>
  <c r="P23" i="40"/>
  <c r="P22" i="40"/>
  <c r="P21" i="40"/>
  <c r="P20" i="40"/>
  <c r="P19" i="40"/>
  <c r="P18" i="40"/>
  <c r="E18" i="40"/>
  <c r="E17" i="40"/>
  <c r="E16" i="40"/>
  <c r="E15" i="40"/>
  <c r="E14" i="40"/>
  <c r="E13" i="40"/>
  <c r="E12" i="40"/>
  <c r="E11" i="40"/>
  <c r="E10" i="40"/>
  <c r="E9" i="40"/>
  <c r="E8" i="40"/>
  <c r="E7" i="40"/>
  <c r="E6" i="40"/>
  <c r="F2" i="40"/>
  <c r="C19" i="40" s="1"/>
  <c r="E19" i="40" s="1"/>
  <c r="I1" i="40"/>
  <c r="F1" i="40"/>
  <c r="V3" i="40" s="1"/>
  <c r="AG3" i="9"/>
  <c r="P40" i="9"/>
  <c r="P39" i="9"/>
  <c r="P38" i="9"/>
  <c r="P37" i="9"/>
  <c r="P33" i="9"/>
  <c r="P34" i="9"/>
  <c r="P35" i="9"/>
  <c r="P36" i="9"/>
  <c r="P32" i="9"/>
  <c r="P31" i="9"/>
  <c r="O30" i="9"/>
  <c r="H24" i="30"/>
  <c r="H18" i="37"/>
  <c r="I3" i="39"/>
  <c r="L2" i="39"/>
  <c r="I2" i="39"/>
  <c r="C2" i="39"/>
  <c r="C19" i="37"/>
  <c r="E2" i="37"/>
  <c r="B19" i="37" s="1"/>
  <c r="H1" i="37"/>
  <c r="E1" i="37"/>
  <c r="D15" i="37" s="1"/>
  <c r="O259" i="37"/>
  <c r="E16" i="28"/>
  <c r="G16" i="28" s="1"/>
  <c r="G384" i="7" s="1"/>
  <c r="E5" i="28"/>
  <c r="G5" i="28" s="1"/>
  <c r="G373" i="7" s="1"/>
  <c r="E1" i="28"/>
  <c r="V3" i="28" s="1"/>
  <c r="E1" i="30"/>
  <c r="D17" i="30" s="1"/>
  <c r="O24" i="30"/>
  <c r="O25" i="30"/>
  <c r="O26" i="30"/>
  <c r="O27" i="30"/>
  <c r="O28" i="30"/>
  <c r="O29" i="30"/>
  <c r="O30" i="30"/>
  <c r="O31" i="30"/>
  <c r="O32" i="30"/>
  <c r="O33" i="30"/>
  <c r="O34" i="30"/>
  <c r="O35" i="30"/>
  <c r="O36" i="30"/>
  <c r="O37" i="30"/>
  <c r="O38" i="30"/>
  <c r="O39" i="30"/>
  <c r="O40" i="30"/>
  <c r="O41" i="30"/>
  <c r="O42" i="30"/>
  <c r="O43" i="30"/>
  <c r="O44" i="30"/>
  <c r="O45" i="30"/>
  <c r="O46" i="30"/>
  <c r="O47" i="30"/>
  <c r="O48" i="30"/>
  <c r="O49" i="30"/>
  <c r="O50" i="30"/>
  <c r="O51" i="30"/>
  <c r="O52" i="30"/>
  <c r="O53" i="30"/>
  <c r="O54" i="30"/>
  <c r="O55" i="30"/>
  <c r="O56" i="30"/>
  <c r="O57" i="30"/>
  <c r="O58" i="30"/>
  <c r="O59" i="30"/>
  <c r="O60" i="30"/>
  <c r="O61" i="30"/>
  <c r="O62" i="30"/>
  <c r="O63" i="30"/>
  <c r="O64" i="30"/>
  <c r="O65" i="30"/>
  <c r="O66" i="30"/>
  <c r="O67" i="30"/>
  <c r="O68" i="30"/>
  <c r="O69" i="30"/>
  <c r="O70" i="30"/>
  <c r="O71" i="30"/>
  <c r="O72" i="30"/>
  <c r="O73" i="30"/>
  <c r="O74" i="30"/>
  <c r="O75" i="30"/>
  <c r="O76" i="30"/>
  <c r="O77" i="30"/>
  <c r="O78" i="30"/>
  <c r="O79" i="30"/>
  <c r="O80" i="30"/>
  <c r="O81" i="30"/>
  <c r="O82" i="30"/>
  <c r="O83" i="30"/>
  <c r="O84" i="30"/>
  <c r="O85" i="30"/>
  <c r="O86" i="30"/>
  <c r="O87" i="30"/>
  <c r="O88" i="30"/>
  <c r="O89" i="30"/>
  <c r="O90" i="30"/>
  <c r="O91" i="30"/>
  <c r="O92" i="30"/>
  <c r="O93" i="30"/>
  <c r="O94" i="30"/>
  <c r="O95" i="30"/>
  <c r="O96" i="30"/>
  <c r="O97" i="30"/>
  <c r="O98" i="30"/>
  <c r="O99" i="30"/>
  <c r="O100" i="30"/>
  <c r="O101" i="30"/>
  <c r="O102" i="30"/>
  <c r="O103" i="30"/>
  <c r="O104" i="30"/>
  <c r="O105" i="30"/>
  <c r="O106" i="30"/>
  <c r="O107" i="30"/>
  <c r="O108" i="30"/>
  <c r="O109" i="30"/>
  <c r="O110" i="30"/>
  <c r="O111" i="30"/>
  <c r="O112" i="30"/>
  <c r="O113" i="30"/>
  <c r="O114" i="30"/>
  <c r="O115" i="30"/>
  <c r="O116" i="30"/>
  <c r="O117" i="30"/>
  <c r="O118" i="30"/>
  <c r="O119" i="30"/>
  <c r="O120" i="30"/>
  <c r="O121" i="30"/>
  <c r="O122" i="30"/>
  <c r="O123" i="30"/>
  <c r="O124" i="30"/>
  <c r="O125" i="30"/>
  <c r="O126" i="30"/>
  <c r="O127" i="30"/>
  <c r="O128" i="30"/>
  <c r="O129" i="30"/>
  <c r="O130" i="30"/>
  <c r="O131" i="30"/>
  <c r="O132" i="30"/>
  <c r="O133" i="30"/>
  <c r="O134" i="30"/>
  <c r="O135" i="30"/>
  <c r="O136" i="30"/>
  <c r="O137" i="30"/>
  <c r="O138" i="30"/>
  <c r="O139" i="30"/>
  <c r="O140" i="30"/>
  <c r="O141" i="30"/>
  <c r="O142" i="30"/>
  <c r="O143" i="30"/>
  <c r="O144" i="30"/>
  <c r="O145" i="30"/>
  <c r="O146" i="30"/>
  <c r="O147" i="30"/>
  <c r="O148" i="30"/>
  <c r="O149" i="30"/>
  <c r="O150" i="30"/>
  <c r="O151" i="30"/>
  <c r="O152" i="30"/>
  <c r="O153" i="30"/>
  <c r="O154" i="30"/>
  <c r="O155" i="30"/>
  <c r="O156" i="30"/>
  <c r="O157" i="30"/>
  <c r="O158" i="30"/>
  <c r="O159" i="30"/>
  <c r="O160" i="30"/>
  <c r="O161" i="30"/>
  <c r="O162" i="30"/>
  <c r="O163" i="30"/>
  <c r="O164" i="30"/>
  <c r="O165" i="30"/>
  <c r="O166" i="30"/>
  <c r="O167" i="30"/>
  <c r="O168" i="30"/>
  <c r="O169" i="30"/>
  <c r="O170" i="30"/>
  <c r="O171" i="30"/>
  <c r="O172" i="30"/>
  <c r="O173" i="30"/>
  <c r="O174" i="30"/>
  <c r="O175" i="30"/>
  <c r="O176" i="30"/>
  <c r="O177" i="30"/>
  <c r="O178" i="30"/>
  <c r="O179" i="30"/>
  <c r="O180" i="30"/>
  <c r="O181" i="30"/>
  <c r="O182" i="30"/>
  <c r="O183" i="30"/>
  <c r="O184" i="30"/>
  <c r="O185" i="30"/>
  <c r="O186" i="30"/>
  <c r="O187" i="30"/>
  <c r="O188" i="30"/>
  <c r="O189" i="30"/>
  <c r="O190" i="30"/>
  <c r="O191" i="30"/>
  <c r="O192" i="30"/>
  <c r="O193" i="30"/>
  <c r="O194" i="30"/>
  <c r="O195" i="30"/>
  <c r="O196" i="30"/>
  <c r="O197" i="30"/>
  <c r="O198" i="30"/>
  <c r="O199" i="30"/>
  <c r="O200" i="30"/>
  <c r="O201" i="30"/>
  <c r="O202" i="30"/>
  <c r="O203" i="30"/>
  <c r="O204" i="30"/>
  <c r="O205" i="30"/>
  <c r="O206" i="30"/>
  <c r="O207" i="30"/>
  <c r="O208" i="30"/>
  <c r="O209" i="30"/>
  <c r="O210" i="30"/>
  <c r="O211" i="30"/>
  <c r="O212" i="30"/>
  <c r="O213" i="30"/>
  <c r="O214" i="30"/>
  <c r="O215" i="30"/>
  <c r="O216" i="30"/>
  <c r="O217" i="30"/>
  <c r="O218" i="30"/>
  <c r="O219" i="30"/>
  <c r="O220" i="30"/>
  <c r="O221" i="30"/>
  <c r="O222" i="30"/>
  <c r="O223" i="30"/>
  <c r="O224" i="30"/>
  <c r="O225" i="30"/>
  <c r="O226" i="30"/>
  <c r="O227" i="30"/>
  <c r="O228" i="30"/>
  <c r="O229" i="30"/>
  <c r="O230" i="30"/>
  <c r="O231" i="30"/>
  <c r="O232" i="30"/>
  <c r="O233" i="30"/>
  <c r="O234" i="30"/>
  <c r="O235" i="30"/>
  <c r="O236" i="30"/>
  <c r="O237" i="30"/>
  <c r="O238" i="30"/>
  <c r="O239" i="30"/>
  <c r="O240" i="30"/>
  <c r="O241" i="30"/>
  <c r="O242" i="30"/>
  <c r="O243" i="30"/>
  <c r="O244" i="30"/>
  <c r="O245" i="30"/>
  <c r="O246" i="30"/>
  <c r="O247" i="30"/>
  <c r="O248" i="30"/>
  <c r="O249" i="30"/>
  <c r="O250" i="30"/>
  <c r="O251" i="30"/>
  <c r="O252" i="30"/>
  <c r="O253" i="30"/>
  <c r="O254" i="30"/>
  <c r="O255" i="30"/>
  <c r="O256" i="30"/>
  <c r="O257" i="30"/>
  <c r="O258" i="30"/>
  <c r="O259" i="30"/>
  <c r="O260" i="30"/>
  <c r="O261" i="30"/>
  <c r="O262" i="30"/>
  <c r="O263" i="30"/>
  <c r="E9" i="28"/>
  <c r="G9" i="28" s="1"/>
  <c r="G377" i="7" s="1"/>
  <c r="E6" i="28"/>
  <c r="G6" i="28" s="1"/>
  <c r="G374" i="7" s="1"/>
  <c r="E7" i="28"/>
  <c r="G7" i="28" s="1"/>
  <c r="G375" i="7" s="1"/>
  <c r="E8" i="28"/>
  <c r="E10" i="28"/>
  <c r="G10" i="28" s="1"/>
  <c r="G378" i="7" s="1"/>
  <c r="E11" i="28"/>
  <c r="G11" i="28" s="1"/>
  <c r="G379" i="7" s="1"/>
  <c r="E12" i="28"/>
  <c r="G12" i="28" s="1"/>
  <c r="G380" i="7" s="1"/>
  <c r="E13" i="28"/>
  <c r="G13" i="28" s="1"/>
  <c r="G381" i="7" s="1"/>
  <c r="E14" i="28"/>
  <c r="G14" i="28" s="1"/>
  <c r="G382" i="7" s="1"/>
  <c r="E15" i="28"/>
  <c r="G15" i="28" s="1"/>
  <c r="G383" i="7" s="1"/>
  <c r="E17" i="28"/>
  <c r="G17" i="28" s="1"/>
  <c r="G385" i="7" s="1"/>
  <c r="E18" i="28"/>
  <c r="G18" i="28" s="1"/>
  <c r="G386" i="7" s="1"/>
  <c r="E19" i="28"/>
  <c r="G19" i="28" s="1"/>
  <c r="G387" i="7" s="1"/>
  <c r="E20" i="28"/>
  <c r="G20" i="28" s="1"/>
  <c r="G388" i="7" s="1"/>
  <c r="E21" i="28"/>
  <c r="G21" i="28" s="1"/>
  <c r="G389" i="7" s="1"/>
  <c r="E22" i="28"/>
  <c r="G22" i="28" s="1"/>
  <c r="G390" i="7" s="1"/>
  <c r="E23" i="28"/>
  <c r="G23" i="28" s="1"/>
  <c r="G391" i="7" s="1"/>
  <c r="D24" i="28"/>
  <c r="D392" i="7" s="1"/>
  <c r="O24" i="28"/>
  <c r="P24" i="28" s="1"/>
  <c r="P392" i="7" s="1"/>
  <c r="O25" i="28"/>
  <c r="P25" i="28" s="1"/>
  <c r="P393" i="7" s="1"/>
  <c r="O26" i="28"/>
  <c r="P26" i="28" s="1"/>
  <c r="P394" i="7" s="1"/>
  <c r="O27" i="28"/>
  <c r="P27" i="28" s="1"/>
  <c r="P395" i="7" s="1"/>
  <c r="O28" i="28"/>
  <c r="P28" i="28" s="1"/>
  <c r="P396" i="7" s="1"/>
  <c r="O29" i="28"/>
  <c r="O30" i="28"/>
  <c r="P30" i="28" s="1"/>
  <c r="P398" i="7" s="1"/>
  <c r="O31" i="28"/>
  <c r="P31" i="28" s="1"/>
  <c r="P399" i="7" s="1"/>
  <c r="O32" i="28"/>
  <c r="P32" i="28" s="1"/>
  <c r="P400" i="7" s="1"/>
  <c r="O33" i="28"/>
  <c r="P33" i="28" s="1"/>
  <c r="P401" i="7" s="1"/>
  <c r="O34" i="28"/>
  <c r="P34" i="28" s="1"/>
  <c r="P402" i="7" s="1"/>
  <c r="O35" i="28"/>
  <c r="P35" i="28" s="1"/>
  <c r="P403" i="7" s="1"/>
  <c r="O36" i="28"/>
  <c r="P36" i="28" s="1"/>
  <c r="P404" i="7" s="1"/>
  <c r="O37" i="28"/>
  <c r="P37" i="28" s="1"/>
  <c r="P405" i="7" s="1"/>
  <c r="O38" i="28"/>
  <c r="P38" i="28" s="1"/>
  <c r="P406" i="7" s="1"/>
  <c r="O39" i="28"/>
  <c r="P39" i="28" s="1"/>
  <c r="P407" i="7" s="1"/>
  <c r="O40" i="28"/>
  <c r="P40" i="28" s="1"/>
  <c r="P408" i="7" s="1"/>
  <c r="O41" i="28"/>
  <c r="P41" i="28" s="1"/>
  <c r="P409" i="7" s="1"/>
  <c r="O42" i="28"/>
  <c r="P42" i="28" s="1"/>
  <c r="P410" i="7" s="1"/>
  <c r="O43" i="28"/>
  <c r="P43" i="28" s="1"/>
  <c r="P411" i="7" s="1"/>
  <c r="O44" i="28"/>
  <c r="P44" i="28" s="1"/>
  <c r="P412" i="7" s="1"/>
  <c r="O45" i="28"/>
  <c r="P45" i="28" s="1"/>
  <c r="P413" i="7" s="1"/>
  <c r="O46" i="28"/>
  <c r="P46" i="28" s="1"/>
  <c r="P414" i="7" s="1"/>
  <c r="O47" i="28"/>
  <c r="P47" i="28" s="1"/>
  <c r="P415" i="7" s="1"/>
  <c r="O48" i="28"/>
  <c r="P48" i="28" s="1"/>
  <c r="P416" i="7" s="1"/>
  <c r="O49" i="28"/>
  <c r="P49" i="28" s="1"/>
  <c r="P417" i="7" s="1"/>
  <c r="O50" i="28"/>
  <c r="P50" i="28" s="1"/>
  <c r="P418" i="7" s="1"/>
  <c r="O51" i="28"/>
  <c r="P51" i="28" s="1"/>
  <c r="P419" i="7" s="1"/>
  <c r="O52" i="28"/>
  <c r="P52" i="28" s="1"/>
  <c r="P420" i="7" s="1"/>
  <c r="O53" i="28"/>
  <c r="P53" i="28" s="1"/>
  <c r="P421" i="7" s="1"/>
  <c r="O54" i="28"/>
  <c r="P54" i="28" s="1"/>
  <c r="P422" i="7" s="1"/>
  <c r="O55" i="28"/>
  <c r="P55" i="28" s="1"/>
  <c r="P423" i="7" s="1"/>
  <c r="O56" i="28"/>
  <c r="P56" i="28" s="1"/>
  <c r="P424" i="7" s="1"/>
  <c r="O57" i="28"/>
  <c r="P57" i="28" s="1"/>
  <c r="P425" i="7" s="1"/>
  <c r="O58" i="28"/>
  <c r="P58" i="28" s="1"/>
  <c r="P426" i="7" s="1"/>
  <c r="O59" i="28"/>
  <c r="P59" i="28" s="1"/>
  <c r="P427" i="7" s="1"/>
  <c r="O60" i="28"/>
  <c r="O61" i="28"/>
  <c r="O62" i="28"/>
  <c r="O63" i="28"/>
  <c r="O64" i="28"/>
  <c r="O65" i="28"/>
  <c r="O66" i="28"/>
  <c r="O67" i="28"/>
  <c r="O68" i="28"/>
  <c r="O69" i="28"/>
  <c r="O70" i="28"/>
  <c r="O71" i="28"/>
  <c r="O72" i="28"/>
  <c r="O73" i="28"/>
  <c r="O74" i="28"/>
  <c r="O75" i="28"/>
  <c r="O76" i="28"/>
  <c r="O77" i="28"/>
  <c r="O78" i="28"/>
  <c r="O79" i="28"/>
  <c r="O80" i="28"/>
  <c r="O81" i="28"/>
  <c r="O82" i="28"/>
  <c r="O83" i="28"/>
  <c r="O84" i="28"/>
  <c r="O85" i="28"/>
  <c r="O86" i="28"/>
  <c r="O87" i="28"/>
  <c r="O88" i="28"/>
  <c r="O89" i="28"/>
  <c r="O90" i="28"/>
  <c r="O91" i="28"/>
  <c r="O92" i="28"/>
  <c r="O93" i="28"/>
  <c r="O94" i="28"/>
  <c r="O95" i="28"/>
  <c r="O96" i="28"/>
  <c r="O97" i="28"/>
  <c r="O98" i="28"/>
  <c r="O99" i="28"/>
  <c r="O100" i="28"/>
  <c r="O101" i="28"/>
  <c r="O102" i="28"/>
  <c r="O103" i="28"/>
  <c r="O104" i="28"/>
  <c r="O105" i="28"/>
  <c r="O106" i="28"/>
  <c r="O107" i="28"/>
  <c r="O108" i="28"/>
  <c r="O109" i="28"/>
  <c r="O110" i="28"/>
  <c r="O111" i="28"/>
  <c r="O112" i="28"/>
  <c r="O113" i="28"/>
  <c r="O114" i="28"/>
  <c r="O115" i="28"/>
  <c r="O116" i="28"/>
  <c r="O117" i="28"/>
  <c r="O118" i="28"/>
  <c r="O119" i="28"/>
  <c r="O120" i="28"/>
  <c r="O121" i="28"/>
  <c r="O122" i="28"/>
  <c r="O123" i="28"/>
  <c r="O124" i="28"/>
  <c r="O125" i="28"/>
  <c r="O126" i="28"/>
  <c r="O127" i="28"/>
  <c r="O128" i="28"/>
  <c r="O129" i="28"/>
  <c r="O130" i="28"/>
  <c r="O131" i="28"/>
  <c r="O132" i="28"/>
  <c r="O133" i="28"/>
  <c r="O134" i="28"/>
  <c r="O135" i="28"/>
  <c r="O136" i="28"/>
  <c r="O137" i="28"/>
  <c r="O138" i="28"/>
  <c r="O139" i="28"/>
  <c r="O140" i="28"/>
  <c r="O141" i="28"/>
  <c r="O142" i="28"/>
  <c r="O143" i="28"/>
  <c r="O144" i="28"/>
  <c r="O145" i="28"/>
  <c r="O146" i="28"/>
  <c r="O147" i="28"/>
  <c r="O148" i="28"/>
  <c r="O149" i="28"/>
  <c r="O150" i="28"/>
  <c r="O151" i="28"/>
  <c r="O152" i="28"/>
  <c r="O153" i="28"/>
  <c r="O154" i="28"/>
  <c r="O155" i="28"/>
  <c r="O156" i="28"/>
  <c r="O157" i="28"/>
  <c r="O158" i="28"/>
  <c r="O159" i="28"/>
  <c r="O160" i="28"/>
  <c r="O161" i="28"/>
  <c r="O162" i="28"/>
  <c r="O163" i="28"/>
  <c r="O164" i="28"/>
  <c r="O165" i="28"/>
  <c r="O166" i="28"/>
  <c r="O167" i="28"/>
  <c r="O168" i="28"/>
  <c r="O169" i="28"/>
  <c r="O170" i="28"/>
  <c r="O171" i="28"/>
  <c r="O172" i="28"/>
  <c r="O173" i="28"/>
  <c r="O174" i="28"/>
  <c r="O175" i="28"/>
  <c r="O176" i="28"/>
  <c r="O177" i="28"/>
  <c r="O178" i="28"/>
  <c r="O179" i="28"/>
  <c r="O180" i="28"/>
  <c r="O181" i="28"/>
  <c r="O182" i="28"/>
  <c r="O183" i="28"/>
  <c r="O184" i="28"/>
  <c r="O185" i="28"/>
  <c r="O186" i="28"/>
  <c r="O187" i="28"/>
  <c r="O188" i="28"/>
  <c r="O189" i="28"/>
  <c r="O190" i="28"/>
  <c r="O191" i="28"/>
  <c r="O192" i="28"/>
  <c r="O193" i="28"/>
  <c r="O194" i="28"/>
  <c r="O195" i="28"/>
  <c r="O196" i="28"/>
  <c r="O197" i="28"/>
  <c r="O198" i="28"/>
  <c r="O199" i="28"/>
  <c r="O200" i="28"/>
  <c r="O201" i="28"/>
  <c r="O202" i="28"/>
  <c r="O203" i="28"/>
  <c r="O204" i="28"/>
  <c r="O205" i="28"/>
  <c r="O206" i="28"/>
  <c r="O207" i="28"/>
  <c r="O208" i="28"/>
  <c r="O209" i="28"/>
  <c r="O210" i="28"/>
  <c r="O211" i="28"/>
  <c r="O212" i="28"/>
  <c r="O213" i="28"/>
  <c r="O214" i="28"/>
  <c r="O215" i="28"/>
  <c r="O216" i="28"/>
  <c r="O217" i="28"/>
  <c r="O218" i="28"/>
  <c r="O219" i="28"/>
  <c r="O220" i="28"/>
  <c r="O221" i="28"/>
  <c r="O222" i="28"/>
  <c r="O223" i="28"/>
  <c r="O224" i="28"/>
  <c r="O225" i="28"/>
  <c r="O226" i="28"/>
  <c r="O227" i="28"/>
  <c r="O228" i="28"/>
  <c r="O229" i="28"/>
  <c r="O230" i="28"/>
  <c r="O231" i="28"/>
  <c r="O232" i="28"/>
  <c r="O233" i="28"/>
  <c r="O234" i="28"/>
  <c r="O235" i="28"/>
  <c r="O236" i="28"/>
  <c r="O237" i="28"/>
  <c r="O238" i="28"/>
  <c r="O239" i="28"/>
  <c r="O240" i="28"/>
  <c r="O241" i="28"/>
  <c r="O242" i="28"/>
  <c r="O243" i="28"/>
  <c r="O244" i="28"/>
  <c r="O245" i="28"/>
  <c r="O246" i="28"/>
  <c r="O247" i="28"/>
  <c r="O248" i="28"/>
  <c r="O249" i="28"/>
  <c r="O250" i="28"/>
  <c r="O251" i="28"/>
  <c r="O252" i="28"/>
  <c r="O253" i="28"/>
  <c r="O254" i="28"/>
  <c r="O255" i="28"/>
  <c r="O256" i="28"/>
  <c r="O257" i="28"/>
  <c r="O258" i="28"/>
  <c r="O259" i="28"/>
  <c r="O260" i="28"/>
  <c r="O261" i="28"/>
  <c r="O262" i="28"/>
  <c r="O263" i="28"/>
  <c r="B393" i="7"/>
  <c r="C393" i="7" s="1"/>
  <c r="O31" i="36"/>
  <c r="O4" i="36"/>
  <c r="O53" i="36"/>
  <c r="O52" i="36"/>
  <c r="O50" i="36"/>
  <c r="O49" i="36"/>
  <c r="O47" i="36"/>
  <c r="O46" i="36"/>
  <c r="O44" i="36"/>
  <c r="O42" i="36"/>
  <c r="O40" i="36"/>
  <c r="O39" i="36"/>
  <c r="O37" i="36"/>
  <c r="O36" i="36"/>
  <c r="O35" i="36"/>
  <c r="O34" i="36"/>
  <c r="O33" i="36"/>
  <c r="O29" i="36"/>
  <c r="O28" i="36"/>
  <c r="O26" i="36"/>
  <c r="O25" i="36"/>
  <c r="O23" i="36"/>
  <c r="O22" i="36"/>
  <c r="O20" i="36"/>
  <c r="O19" i="36"/>
  <c r="O17" i="36"/>
  <c r="O15" i="36"/>
  <c r="O13" i="36"/>
  <c r="O11" i="36"/>
  <c r="O8" i="36"/>
  <c r="O7" i="36"/>
  <c r="O6" i="36"/>
  <c r="D8" i="36"/>
  <c r="D9" i="36" s="1"/>
  <c r="D6" i="36"/>
  <c r="E9" i="7"/>
  <c r="D120" i="34"/>
  <c r="D159" i="34" s="1"/>
  <c r="E48" i="34"/>
  <c r="B16" i="11"/>
  <c r="H6" i="11" s="1"/>
  <c r="O18" i="32"/>
  <c r="B29" i="34"/>
  <c r="B26" i="34"/>
  <c r="B27" i="34" s="1"/>
  <c r="B21" i="34"/>
  <c r="B16" i="34"/>
  <c r="A52" i="34"/>
  <c r="B52" i="34" s="1"/>
  <c r="A48" i="34"/>
  <c r="A45" i="34"/>
  <c r="D43" i="34"/>
  <c r="D42" i="34"/>
  <c r="D41" i="34"/>
  <c r="E39" i="34"/>
  <c r="D31" i="34"/>
  <c r="O257" i="33"/>
  <c r="O256" i="33"/>
  <c r="O255" i="33"/>
  <c r="O254" i="33"/>
  <c r="O253" i="33"/>
  <c r="O252" i="33"/>
  <c r="O251" i="33"/>
  <c r="O250" i="33"/>
  <c r="O249" i="33"/>
  <c r="O248" i="33"/>
  <c r="O247" i="33"/>
  <c r="O246" i="33"/>
  <c r="O245" i="33"/>
  <c r="O244" i="33"/>
  <c r="O243" i="33"/>
  <c r="O242" i="33"/>
  <c r="O241" i="33"/>
  <c r="O240" i="33"/>
  <c r="O239" i="33"/>
  <c r="O238" i="33"/>
  <c r="O237" i="33"/>
  <c r="O236" i="33"/>
  <c r="O235" i="33"/>
  <c r="O234" i="33"/>
  <c r="O233" i="33"/>
  <c r="O232" i="33"/>
  <c r="O231" i="33"/>
  <c r="O230" i="33"/>
  <c r="O229" i="33"/>
  <c r="O228" i="33"/>
  <c r="O227" i="33"/>
  <c r="O226" i="33"/>
  <c r="O225" i="33"/>
  <c r="O224" i="33"/>
  <c r="O223" i="33"/>
  <c r="O222" i="33"/>
  <c r="O221" i="33"/>
  <c r="O220" i="33"/>
  <c r="O219" i="33"/>
  <c r="O218" i="33"/>
  <c r="O217" i="33"/>
  <c r="O216" i="33"/>
  <c r="O215" i="33"/>
  <c r="O214" i="33"/>
  <c r="O213" i="33"/>
  <c r="O212" i="33"/>
  <c r="O211" i="33"/>
  <c r="O210" i="33"/>
  <c r="O209" i="33"/>
  <c r="O208" i="33"/>
  <c r="O207" i="33"/>
  <c r="O206" i="33"/>
  <c r="O205" i="33"/>
  <c r="O204" i="33"/>
  <c r="O203" i="33"/>
  <c r="O202" i="33"/>
  <c r="O201" i="33"/>
  <c r="O200" i="33"/>
  <c r="O199" i="33"/>
  <c r="O198" i="33"/>
  <c r="O197" i="33"/>
  <c r="O196" i="33"/>
  <c r="O195" i="33"/>
  <c r="O194" i="33"/>
  <c r="O193" i="33"/>
  <c r="O192" i="33"/>
  <c r="O191" i="33"/>
  <c r="O190" i="33"/>
  <c r="O189" i="33"/>
  <c r="O188" i="33"/>
  <c r="O187" i="33"/>
  <c r="O186" i="33"/>
  <c r="O185" i="33"/>
  <c r="O184" i="33"/>
  <c r="O183" i="33"/>
  <c r="O182" i="33"/>
  <c r="O181" i="33"/>
  <c r="O180" i="33"/>
  <c r="O179" i="33"/>
  <c r="O178" i="33"/>
  <c r="O177" i="33"/>
  <c r="O176" i="33"/>
  <c r="O175" i="33"/>
  <c r="O174" i="33"/>
  <c r="O173" i="33"/>
  <c r="O172" i="33"/>
  <c r="O171" i="33"/>
  <c r="O170" i="33"/>
  <c r="O169" i="33"/>
  <c r="O168" i="33"/>
  <c r="O167" i="33"/>
  <c r="O166" i="33"/>
  <c r="O165" i="33"/>
  <c r="O164" i="33"/>
  <c r="O163" i="33"/>
  <c r="O162" i="33"/>
  <c r="O161" i="33"/>
  <c r="O160" i="33"/>
  <c r="O159" i="33"/>
  <c r="O158" i="33"/>
  <c r="O157" i="33"/>
  <c r="O156" i="33"/>
  <c r="O155" i="33"/>
  <c r="O154" i="33"/>
  <c r="O153" i="33"/>
  <c r="O152" i="33"/>
  <c r="O151" i="33"/>
  <c r="O150" i="33"/>
  <c r="O149" i="33"/>
  <c r="O148" i="33"/>
  <c r="O147" i="33"/>
  <c r="O146" i="33"/>
  <c r="O145" i="33"/>
  <c r="O144" i="33"/>
  <c r="O143" i="33"/>
  <c r="O142" i="33"/>
  <c r="O141" i="33"/>
  <c r="O140" i="33"/>
  <c r="O139" i="33"/>
  <c r="O138" i="33"/>
  <c r="O137" i="33"/>
  <c r="O136" i="33"/>
  <c r="O135" i="33"/>
  <c r="O134" i="33"/>
  <c r="O133" i="33"/>
  <c r="O132" i="33"/>
  <c r="O131" i="33"/>
  <c r="O130" i="33"/>
  <c r="O129" i="33"/>
  <c r="O128" i="33"/>
  <c r="O127" i="33"/>
  <c r="O126" i="33"/>
  <c r="O125" i="33"/>
  <c r="O124" i="33"/>
  <c r="O123" i="33"/>
  <c r="O122" i="33"/>
  <c r="O121" i="33"/>
  <c r="O120" i="33"/>
  <c r="O119" i="33"/>
  <c r="O118" i="33"/>
  <c r="O117" i="33"/>
  <c r="O116" i="33"/>
  <c r="O115" i="33"/>
  <c r="O114" i="33"/>
  <c r="O113" i="33"/>
  <c r="O112" i="33"/>
  <c r="O111" i="33"/>
  <c r="O110" i="33"/>
  <c r="O109" i="33"/>
  <c r="O108" i="33"/>
  <c r="O107" i="33"/>
  <c r="O106" i="33"/>
  <c r="O105" i="33"/>
  <c r="O104" i="33"/>
  <c r="O103" i="33"/>
  <c r="O102" i="33"/>
  <c r="O101" i="33"/>
  <c r="O100" i="33"/>
  <c r="O99" i="33"/>
  <c r="O98" i="33"/>
  <c r="O97" i="33"/>
  <c r="O96" i="33"/>
  <c r="O95" i="33"/>
  <c r="O94" i="33"/>
  <c r="O93" i="33"/>
  <c r="O92" i="33"/>
  <c r="O91" i="33"/>
  <c r="O90" i="33"/>
  <c r="O89" i="33"/>
  <c r="O88" i="33"/>
  <c r="O87" i="33"/>
  <c r="O86" i="33"/>
  <c r="O85" i="33"/>
  <c r="O84" i="33"/>
  <c r="O83" i="33"/>
  <c r="O82" i="33"/>
  <c r="O81" i="33"/>
  <c r="O80" i="33"/>
  <c r="O79" i="33"/>
  <c r="O78" i="33"/>
  <c r="O77" i="33"/>
  <c r="O76" i="33"/>
  <c r="O75" i="33"/>
  <c r="O74" i="33"/>
  <c r="O73" i="33"/>
  <c r="O72" i="33"/>
  <c r="O71" i="33"/>
  <c r="O70" i="33"/>
  <c r="O69" i="33"/>
  <c r="O68" i="33"/>
  <c r="O67" i="33"/>
  <c r="O66" i="33"/>
  <c r="O65" i="33"/>
  <c r="O64" i="33"/>
  <c r="O63" i="33"/>
  <c r="O62" i="33"/>
  <c r="O61" i="33"/>
  <c r="O60" i="33"/>
  <c r="O59" i="33"/>
  <c r="O58" i="33"/>
  <c r="O57" i="33"/>
  <c r="O56" i="33"/>
  <c r="O55" i="33"/>
  <c r="O54" i="33"/>
  <c r="O53" i="33"/>
  <c r="O52" i="33"/>
  <c r="O51" i="33"/>
  <c r="O50" i="33"/>
  <c r="O49" i="33"/>
  <c r="O48" i="33"/>
  <c r="O47" i="33"/>
  <c r="O46" i="33"/>
  <c r="O45" i="33"/>
  <c r="O44" i="33"/>
  <c r="O43" i="33"/>
  <c r="O42" i="33"/>
  <c r="O41" i="33"/>
  <c r="O40" i="33"/>
  <c r="O39" i="33"/>
  <c r="O38" i="33"/>
  <c r="O37" i="33"/>
  <c r="O36" i="33"/>
  <c r="O35" i="33"/>
  <c r="O34" i="33"/>
  <c r="O33" i="33"/>
  <c r="O32" i="33"/>
  <c r="O31" i="33"/>
  <c r="O30" i="33"/>
  <c r="O29" i="33"/>
  <c r="O28" i="33"/>
  <c r="O27" i="33"/>
  <c r="O26" i="33"/>
  <c r="O25" i="33"/>
  <c r="O24" i="33"/>
  <c r="O23" i="33"/>
  <c r="O22" i="33"/>
  <c r="O21" i="33"/>
  <c r="O20" i="33"/>
  <c r="O19" i="33"/>
  <c r="O18" i="33"/>
  <c r="O257" i="32"/>
  <c r="O256" i="32"/>
  <c r="O255" i="32"/>
  <c r="O254" i="32"/>
  <c r="O253" i="32"/>
  <c r="O252" i="32"/>
  <c r="O251" i="32"/>
  <c r="O250" i="32"/>
  <c r="O249" i="32"/>
  <c r="O248" i="32"/>
  <c r="O247" i="32"/>
  <c r="O246" i="32"/>
  <c r="O245" i="32"/>
  <c r="O244" i="32"/>
  <c r="O243" i="32"/>
  <c r="O242" i="32"/>
  <c r="O241" i="32"/>
  <c r="O240" i="32"/>
  <c r="O239" i="32"/>
  <c r="O238" i="32"/>
  <c r="O237" i="32"/>
  <c r="O236" i="32"/>
  <c r="O235" i="32"/>
  <c r="O234" i="32"/>
  <c r="O233" i="32"/>
  <c r="O232" i="32"/>
  <c r="O231" i="32"/>
  <c r="O230" i="32"/>
  <c r="O229" i="32"/>
  <c r="O228" i="32"/>
  <c r="O227" i="32"/>
  <c r="O226" i="32"/>
  <c r="O225" i="32"/>
  <c r="O224" i="32"/>
  <c r="O223" i="32"/>
  <c r="O222" i="32"/>
  <c r="O221" i="32"/>
  <c r="O220" i="32"/>
  <c r="O219" i="32"/>
  <c r="O218" i="32"/>
  <c r="O217" i="32"/>
  <c r="O216" i="32"/>
  <c r="O215" i="32"/>
  <c r="O214" i="32"/>
  <c r="O213" i="32"/>
  <c r="O212" i="32"/>
  <c r="O211" i="32"/>
  <c r="O210" i="32"/>
  <c r="O209"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H18" i="33"/>
  <c r="E2" i="33"/>
  <c r="B19" i="33" s="1"/>
  <c r="H1" i="33"/>
  <c r="E1" i="33"/>
  <c r="D12" i="33" s="1"/>
  <c r="D18" i="32"/>
  <c r="D17" i="32"/>
  <c r="D16" i="32"/>
  <c r="D15" i="32"/>
  <c r="D14" i="32"/>
  <c r="D13" i="32"/>
  <c r="D12" i="32"/>
  <c r="D11" i="32"/>
  <c r="D10" i="32"/>
  <c r="D9" i="32"/>
  <c r="D8" i="32"/>
  <c r="D7" i="32"/>
  <c r="D6" i="32"/>
  <c r="Q2" i="32"/>
  <c r="E2" i="32"/>
  <c r="B19" i="32" s="1"/>
  <c r="H1" i="32"/>
  <c r="E1" i="32"/>
  <c r="U3" i="32" s="1"/>
  <c r="G17" i="33"/>
  <c r="G17" i="32"/>
  <c r="R391" i="7"/>
  <c r="J391" i="7"/>
  <c r="H391" i="7"/>
  <c r="R390" i="7"/>
  <c r="J390" i="7"/>
  <c r="H390" i="7"/>
  <c r="R389" i="7"/>
  <c r="J389" i="7"/>
  <c r="H389" i="7"/>
  <c r="R388" i="7"/>
  <c r="J388" i="7"/>
  <c r="H388" i="7"/>
  <c r="R387" i="7"/>
  <c r="J387" i="7"/>
  <c r="H387" i="7"/>
  <c r="R386" i="7"/>
  <c r="J386" i="7"/>
  <c r="H386" i="7"/>
  <c r="D23" i="28"/>
  <c r="D391" i="7" s="1"/>
  <c r="D22" i="28"/>
  <c r="D390" i="7" s="1"/>
  <c r="D21" i="28"/>
  <c r="D389" i="7" s="1"/>
  <c r="D20" i="28"/>
  <c r="D388" i="7" s="1"/>
  <c r="D19" i="28"/>
  <c r="D387" i="7" s="1"/>
  <c r="D18" i="28"/>
  <c r="D386" i="7" s="1"/>
  <c r="H80" i="9"/>
  <c r="N372" i="7"/>
  <c r="R385" i="7"/>
  <c r="R384" i="7"/>
  <c r="R383" i="7"/>
  <c r="R382" i="7"/>
  <c r="R381" i="7"/>
  <c r="R380" i="7"/>
  <c r="R379" i="7"/>
  <c r="R378" i="7"/>
  <c r="R377" i="7"/>
  <c r="R376" i="7"/>
  <c r="R375" i="7"/>
  <c r="R374" i="7"/>
  <c r="J385" i="7"/>
  <c r="J384" i="7"/>
  <c r="J383" i="7"/>
  <c r="J382" i="7"/>
  <c r="J381" i="7"/>
  <c r="J380" i="7"/>
  <c r="J379" i="7"/>
  <c r="J378" i="7"/>
  <c r="J377" i="7"/>
  <c r="J376" i="7"/>
  <c r="J375" i="7"/>
  <c r="J374" i="7"/>
  <c r="H385" i="7"/>
  <c r="H384" i="7"/>
  <c r="H383" i="7"/>
  <c r="H382" i="7"/>
  <c r="H381" i="7"/>
  <c r="H380" i="7"/>
  <c r="H379" i="7"/>
  <c r="H378" i="7"/>
  <c r="H377" i="7"/>
  <c r="H376" i="7"/>
  <c r="H375" i="7"/>
  <c r="H374" i="7"/>
  <c r="R373" i="7"/>
  <c r="M373" i="7"/>
  <c r="L373" i="7"/>
  <c r="K373" i="7"/>
  <c r="J373" i="7"/>
  <c r="I373" i="7"/>
  <c r="H373" i="7"/>
  <c r="D373" i="7"/>
  <c r="H63" i="9"/>
  <c r="C25" i="30"/>
  <c r="E2" i="30"/>
  <c r="B25" i="30" s="1"/>
  <c r="H1" i="30"/>
  <c r="H1" i="28"/>
  <c r="E2" i="28"/>
  <c r="B25" i="28" s="1"/>
  <c r="C25" i="28" s="1"/>
  <c r="D8" i="28"/>
  <c r="D376" i="7" s="1"/>
  <c r="D17" i="28"/>
  <c r="D385" i="7" s="1"/>
  <c r="D16" i="28"/>
  <c r="D384" i="7" s="1"/>
  <c r="D15" i="28"/>
  <c r="D383" i="7" s="1"/>
  <c r="D14" i="28"/>
  <c r="D382" i="7" s="1"/>
  <c r="D13" i="28"/>
  <c r="D381" i="7" s="1"/>
  <c r="D12" i="28"/>
  <c r="D380" i="7" s="1"/>
  <c r="D11" i="28"/>
  <c r="D379" i="7" s="1"/>
  <c r="D10" i="28"/>
  <c r="D378" i="7" s="1"/>
  <c r="D9" i="28"/>
  <c r="D377" i="7" s="1"/>
  <c r="D7" i="28"/>
  <c r="D375" i="7" s="1"/>
  <c r="D6" i="28"/>
  <c r="D374" i="7" s="1"/>
  <c r="C2" i="13"/>
  <c r="E10" i="23"/>
  <c r="A10" i="23"/>
  <c r="A9" i="23"/>
  <c r="K5" i="23"/>
  <c r="K6" i="23"/>
  <c r="K7" i="23"/>
  <c r="K8" i="23"/>
  <c r="K9" i="23"/>
  <c r="K10" i="23"/>
  <c r="K11" i="23"/>
  <c r="K12" i="23"/>
  <c r="K13" i="23"/>
  <c r="K14" i="23"/>
  <c r="K15" i="23"/>
  <c r="K16" i="23"/>
  <c r="K17" i="23"/>
  <c r="K18" i="23"/>
  <c r="K19" i="23"/>
  <c r="K20" i="23"/>
  <c r="K21" i="23"/>
  <c r="K22" i="23"/>
  <c r="K23" i="23"/>
  <c r="K24" i="23"/>
  <c r="K25" i="23"/>
  <c r="K26" i="23"/>
  <c r="K27" i="23"/>
  <c r="K28" i="23"/>
  <c r="K29" i="23"/>
  <c r="K30" i="23"/>
  <c r="K31" i="23"/>
  <c r="K32" i="23"/>
  <c r="K33" i="23"/>
  <c r="K34" i="23"/>
  <c r="K35" i="23"/>
  <c r="K36" i="23"/>
  <c r="K37" i="23"/>
  <c r="K38" i="23"/>
  <c r="K39" i="23"/>
  <c r="K40" i="23"/>
  <c r="K41" i="23"/>
  <c r="K42" i="23"/>
  <c r="K43" i="23"/>
  <c r="K44" i="23"/>
  <c r="K45" i="23"/>
  <c r="K46" i="23"/>
  <c r="K47" i="23"/>
  <c r="K48" i="23"/>
  <c r="K49" i="23"/>
  <c r="K50" i="23"/>
  <c r="K51" i="23"/>
  <c r="K52" i="23"/>
  <c r="K53" i="23"/>
  <c r="K54" i="23"/>
  <c r="K55" i="23"/>
  <c r="K56" i="23"/>
  <c r="K57" i="23"/>
  <c r="K58" i="23"/>
  <c r="K59" i="23"/>
  <c r="K60" i="23"/>
  <c r="K61" i="23"/>
  <c r="K62" i="23"/>
  <c r="K63" i="23"/>
  <c r="K64" i="23"/>
  <c r="K65" i="23"/>
  <c r="K66" i="23"/>
  <c r="K67" i="23"/>
  <c r="K68" i="23"/>
  <c r="K69" i="23"/>
  <c r="K70" i="23"/>
  <c r="K71" i="23"/>
  <c r="K72" i="23"/>
  <c r="K73" i="23"/>
  <c r="K74" i="23"/>
  <c r="K75" i="23"/>
  <c r="K76" i="23"/>
  <c r="K77" i="23"/>
  <c r="K78" i="23"/>
  <c r="K79" i="23"/>
  <c r="K80" i="23"/>
  <c r="K81" i="23"/>
  <c r="K82" i="23"/>
  <c r="K83" i="23"/>
  <c r="K84" i="23"/>
  <c r="K85" i="23"/>
  <c r="K86" i="23"/>
  <c r="K87" i="23"/>
  <c r="K88" i="23"/>
  <c r="K89" i="23"/>
  <c r="K90" i="23"/>
  <c r="K91" i="23"/>
  <c r="K92" i="23"/>
  <c r="K93" i="23"/>
  <c r="K94" i="23"/>
  <c r="K95" i="23"/>
  <c r="K96" i="23"/>
  <c r="K97" i="23"/>
  <c r="K98" i="23"/>
  <c r="K99" i="23"/>
  <c r="K100" i="23"/>
  <c r="K101" i="23"/>
  <c r="K102" i="23"/>
  <c r="K103" i="23"/>
  <c r="K104" i="23"/>
  <c r="K105" i="23"/>
  <c r="K106" i="23"/>
  <c r="K107" i="23"/>
  <c r="K108" i="23"/>
  <c r="K109" i="23"/>
  <c r="K110" i="23"/>
  <c r="K111" i="23"/>
  <c r="K112" i="23"/>
  <c r="K113" i="23"/>
  <c r="K114" i="23"/>
  <c r="K115" i="23"/>
  <c r="K116" i="23"/>
  <c r="K117" i="23"/>
  <c r="K118" i="23"/>
  <c r="K119" i="23"/>
  <c r="K120" i="23"/>
  <c r="K121" i="23"/>
  <c r="K122" i="23"/>
  <c r="K123" i="23"/>
  <c r="K124" i="23"/>
  <c r="K125" i="23"/>
  <c r="K126" i="23"/>
  <c r="K127" i="23"/>
  <c r="K128" i="23"/>
  <c r="K129" i="23"/>
  <c r="K130" i="23"/>
  <c r="K131" i="23"/>
  <c r="K132" i="23"/>
  <c r="K133" i="23"/>
  <c r="K134" i="23"/>
  <c r="K135" i="23"/>
  <c r="K136" i="23"/>
  <c r="K137" i="23"/>
  <c r="K138" i="23"/>
  <c r="K139" i="23"/>
  <c r="K140" i="23"/>
  <c r="K141" i="23"/>
  <c r="K142" i="23"/>
  <c r="K143" i="23"/>
  <c r="K144" i="23"/>
  <c r="K145" i="23"/>
  <c r="K146" i="23"/>
  <c r="K147" i="23"/>
  <c r="K148" i="23"/>
  <c r="K149" i="23"/>
  <c r="K150" i="23"/>
  <c r="K151" i="23"/>
  <c r="K152" i="23"/>
  <c r="K153" i="23"/>
  <c r="K154" i="23"/>
  <c r="K155" i="23"/>
  <c r="K156" i="23"/>
  <c r="K157" i="23"/>
  <c r="K158" i="23"/>
  <c r="K159" i="23"/>
  <c r="K160" i="23"/>
  <c r="K161" i="23"/>
  <c r="K162" i="23"/>
  <c r="K163" i="23"/>
  <c r="K164" i="23"/>
  <c r="K165" i="23"/>
  <c r="K166" i="23"/>
  <c r="K167" i="23"/>
  <c r="K168" i="23"/>
  <c r="K169" i="23"/>
  <c r="K170" i="23"/>
  <c r="K171" i="23"/>
  <c r="K172" i="23"/>
  <c r="K173" i="23"/>
  <c r="K174" i="23"/>
  <c r="K175" i="23"/>
  <c r="K176" i="23"/>
  <c r="K177" i="23"/>
  <c r="K178" i="23"/>
  <c r="K179" i="23"/>
  <c r="K180" i="23"/>
  <c r="K181" i="23"/>
  <c r="K182" i="23"/>
  <c r="K183" i="23"/>
  <c r="K184" i="23"/>
  <c r="K185" i="23"/>
  <c r="K186" i="23"/>
  <c r="K187" i="23"/>
  <c r="K188" i="23"/>
  <c r="K189" i="23"/>
  <c r="K190" i="23"/>
  <c r="K191" i="23"/>
  <c r="K192" i="23"/>
  <c r="K193" i="23"/>
  <c r="K194" i="23"/>
  <c r="K195" i="23"/>
  <c r="K196" i="23"/>
  <c r="K197" i="23"/>
  <c r="K198" i="23"/>
  <c r="K199" i="23"/>
  <c r="K200" i="23"/>
  <c r="K201" i="23"/>
  <c r="K202" i="23"/>
  <c r="K203" i="23"/>
  <c r="K204" i="23"/>
  <c r="K205" i="23"/>
  <c r="K206" i="23"/>
  <c r="K207" i="23"/>
  <c r="K208" i="23"/>
  <c r="K209" i="23"/>
  <c r="K210" i="23"/>
  <c r="K211" i="23"/>
  <c r="K212" i="23"/>
  <c r="K213" i="23"/>
  <c r="K214" i="23"/>
  <c r="K215" i="23"/>
  <c r="K216" i="23"/>
  <c r="K217" i="23"/>
  <c r="K218" i="23"/>
  <c r="K219" i="23"/>
  <c r="K220" i="23"/>
  <c r="K221" i="23"/>
  <c r="K222" i="23"/>
  <c r="K223" i="23"/>
  <c r="K224" i="23"/>
  <c r="K225" i="23"/>
  <c r="K226" i="23"/>
  <c r="K227" i="23"/>
  <c r="K228" i="23"/>
  <c r="K229" i="23"/>
  <c r="K230" i="23"/>
  <c r="K231" i="23"/>
  <c r="K232" i="23"/>
  <c r="K233" i="23"/>
  <c r="K234" i="23"/>
  <c r="K235" i="23"/>
  <c r="K236" i="23"/>
  <c r="K237" i="23"/>
  <c r="K238" i="23"/>
  <c r="K239" i="23"/>
  <c r="K240" i="23"/>
  <c r="K241" i="23"/>
  <c r="K242" i="23"/>
  <c r="K243" i="23"/>
  <c r="J6" i="20"/>
  <c r="C7" i="20"/>
  <c r="C33" i="20" s="1"/>
  <c r="C6" i="20"/>
  <c r="G1" i="20"/>
  <c r="J3" i="20"/>
  <c r="H83" i="9"/>
  <c r="H82" i="9"/>
  <c r="H81" i="9"/>
  <c r="H79" i="9"/>
  <c r="H78" i="9"/>
  <c r="H77" i="9"/>
  <c r="H75" i="9"/>
  <c r="H74" i="9"/>
  <c r="H73" i="9"/>
  <c r="H72" i="9"/>
  <c r="H71" i="9"/>
  <c r="H70" i="9"/>
  <c r="H69" i="9"/>
  <c r="G47" i="9"/>
  <c r="H62" i="9"/>
  <c r="H61" i="9"/>
  <c r="H60" i="9"/>
  <c r="H59" i="9"/>
  <c r="H58" i="9"/>
  <c r="H57" i="9"/>
  <c r="H56" i="9"/>
  <c r="H55" i="9"/>
  <c r="H54" i="9"/>
  <c r="H53" i="9"/>
  <c r="H49" i="9"/>
  <c r="H48" i="9"/>
  <c r="H47" i="9"/>
  <c r="M2" i="13"/>
  <c r="Z35" i="9"/>
  <c r="Z36" i="9" s="1"/>
  <c r="Z37" i="9" s="1"/>
  <c r="Z38" i="9" s="1"/>
  <c r="Z30" i="9"/>
  <c r="Z31" i="9" s="1"/>
  <c r="Z32" i="9" s="1"/>
  <c r="Z33" i="9" s="1"/>
  <c r="Y35" i="9"/>
  <c r="Y36" i="9" s="1"/>
  <c r="Y37" i="9" s="1"/>
  <c r="Y38" i="9" s="1"/>
  <c r="Y30" i="9"/>
  <c r="Y31" i="9" s="1"/>
  <c r="Y32" i="9" s="1"/>
  <c r="Y33" i="9" s="1"/>
  <c r="B5" i="11"/>
  <c r="F9" i="11" s="1"/>
  <c r="J3" i="13"/>
  <c r="J2" i="13"/>
  <c r="D12" i="12"/>
  <c r="D13" i="12" s="1"/>
  <c r="D14" i="12" s="1"/>
  <c r="D15" i="12" s="1"/>
  <c r="D16" i="12" s="1"/>
  <c r="R4" i="9"/>
  <c r="B15" i="11"/>
  <c r="F7" i="11" s="1"/>
  <c r="G390" i="11"/>
  <c r="G389" i="11"/>
  <c r="G388" i="11"/>
  <c r="G387" i="11"/>
  <c r="G386" i="11"/>
  <c r="G385" i="11"/>
  <c r="G384" i="11"/>
  <c r="G383" i="11"/>
  <c r="G382" i="11"/>
  <c r="G381" i="11"/>
  <c r="G380" i="11"/>
  <c r="G379" i="11"/>
  <c r="G378" i="11"/>
  <c r="G377" i="11"/>
  <c r="G376" i="11"/>
  <c r="G375" i="11"/>
  <c r="G374" i="11"/>
  <c r="G373" i="11"/>
  <c r="G372" i="11"/>
  <c r="G371" i="11"/>
  <c r="G370" i="11"/>
  <c r="G369" i="11"/>
  <c r="G368" i="11"/>
  <c r="G367" i="11"/>
  <c r="G366" i="11"/>
  <c r="G365" i="11"/>
  <c r="G364" i="11"/>
  <c r="G363" i="11"/>
  <c r="G362" i="11"/>
  <c r="G361" i="11"/>
  <c r="G360" i="11"/>
  <c r="G359" i="11"/>
  <c r="G358" i="11"/>
  <c r="G357" i="11"/>
  <c r="G356" i="11"/>
  <c r="G355" i="11"/>
  <c r="G354" i="11"/>
  <c r="G353" i="11"/>
  <c r="G352" i="11"/>
  <c r="G351" i="11"/>
  <c r="G350" i="11"/>
  <c r="G349" i="11"/>
  <c r="G348" i="11"/>
  <c r="G347" i="11"/>
  <c r="G346"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G287" i="11"/>
  <c r="G286" i="11"/>
  <c r="G285" i="11"/>
  <c r="G284" i="11"/>
  <c r="G283" i="11"/>
  <c r="G282" i="11"/>
  <c r="G281" i="11"/>
  <c r="G280" i="11"/>
  <c r="G279" i="11"/>
  <c r="G278" i="11"/>
  <c r="G277" i="11"/>
  <c r="G276" i="11"/>
  <c r="G275" i="11"/>
  <c r="G274" i="11"/>
  <c r="G273" i="11"/>
  <c r="G272" i="11"/>
  <c r="G271" i="11"/>
  <c r="G270" i="11"/>
  <c r="G269" i="11"/>
  <c r="G268" i="11"/>
  <c r="G267" i="11"/>
  <c r="G266" i="11"/>
  <c r="G265" i="11"/>
  <c r="G263" i="11"/>
  <c r="G262" i="11"/>
  <c r="G261" i="11"/>
  <c r="G260" i="11"/>
  <c r="G259" i="11"/>
  <c r="G258" i="11"/>
  <c r="G257" i="11"/>
  <c r="G256" i="11"/>
  <c r="G255" i="11"/>
  <c r="G254" i="11"/>
  <c r="G253" i="11"/>
  <c r="G252" i="11"/>
  <c r="G251" i="11"/>
  <c r="G250" i="11"/>
  <c r="G249" i="11"/>
  <c r="G247" i="11"/>
  <c r="G245" i="11"/>
  <c r="G244" i="11"/>
  <c r="G243" i="11"/>
  <c r="G242" i="11"/>
  <c r="G241" i="11"/>
  <c r="G240" i="11"/>
  <c r="G239" i="11"/>
  <c r="G238" i="11"/>
  <c r="G237" i="11"/>
  <c r="G236" i="11"/>
  <c r="G235" i="11"/>
  <c r="G234" i="11"/>
  <c r="G233" i="11"/>
  <c r="G232" i="11"/>
  <c r="G231" i="11"/>
  <c r="G230" i="11"/>
  <c r="G229" i="11"/>
  <c r="G228" i="11"/>
  <c r="G227" i="11"/>
  <c r="G226" i="11"/>
  <c r="G225" i="11"/>
  <c r="G224" i="11"/>
  <c r="G223" i="11"/>
  <c r="G222" i="11"/>
  <c r="G221" i="11"/>
  <c r="G220" i="11"/>
  <c r="G219" i="11"/>
  <c r="G218" i="11"/>
  <c r="G217" i="11"/>
  <c r="G215" i="11"/>
  <c r="G214" i="11"/>
  <c r="G213" i="11"/>
  <c r="G212"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3" i="11"/>
  <c r="G182" i="11"/>
  <c r="G181" i="11"/>
  <c r="G180" i="11"/>
  <c r="G179" i="11"/>
  <c r="G178" i="11"/>
  <c r="G176" i="11"/>
  <c r="G175" i="11"/>
  <c r="G174" i="11"/>
  <c r="G173" i="11"/>
  <c r="G172" i="11"/>
  <c r="G171" i="11"/>
  <c r="G170" i="11"/>
  <c r="G168" i="11"/>
  <c r="G167" i="11"/>
  <c r="G166" i="11"/>
  <c r="G165" i="11"/>
  <c r="G164" i="11"/>
  <c r="G163" i="11"/>
  <c r="G162" i="11"/>
  <c r="G160" i="11"/>
  <c r="G159" i="11"/>
  <c r="G158" i="11"/>
  <c r="G157" i="11"/>
  <c r="G156" i="11"/>
  <c r="G155" i="11"/>
  <c r="G154" i="11"/>
  <c r="G152" i="11"/>
  <c r="G151" i="11"/>
  <c r="G150" i="11"/>
  <c r="G149" i="11"/>
  <c r="G148" i="11"/>
  <c r="G147" i="11"/>
  <c r="G146" i="11"/>
  <c r="G144" i="11"/>
  <c r="G143" i="11"/>
  <c r="G142" i="11"/>
  <c r="G141" i="11"/>
  <c r="G140" i="11"/>
  <c r="G139" i="11"/>
  <c r="G138" i="11"/>
  <c r="G136" i="11"/>
  <c r="G135" i="11"/>
  <c r="G134" i="11"/>
  <c r="G133" i="11"/>
  <c r="G132" i="11"/>
  <c r="G131" i="11"/>
  <c r="G130" i="11"/>
  <c r="G128" i="11"/>
  <c r="G127" i="11"/>
  <c r="G126" i="11"/>
  <c r="G125" i="11"/>
  <c r="G124" i="11"/>
  <c r="G123" i="11"/>
  <c r="G122" i="11"/>
  <c r="G120" i="11"/>
  <c r="G119" i="11"/>
  <c r="G118" i="11"/>
  <c r="G117" i="11"/>
  <c r="G116" i="11"/>
  <c r="G115" i="11"/>
  <c r="G114" i="11"/>
  <c r="G112" i="11"/>
  <c r="G111" i="11"/>
  <c r="G110" i="11"/>
  <c r="G109" i="11"/>
  <c r="G108" i="11"/>
  <c r="G107" i="11"/>
  <c r="G106" i="11"/>
  <c r="G104" i="11"/>
  <c r="G103" i="11"/>
  <c r="G102" i="11"/>
  <c r="G101" i="11"/>
  <c r="G100" i="11"/>
  <c r="G99" i="11"/>
  <c r="G98" i="11"/>
  <c r="G96" i="11"/>
  <c r="G95" i="11"/>
  <c r="G94" i="11"/>
  <c r="G93" i="11"/>
  <c r="G92" i="11"/>
  <c r="G91" i="11"/>
  <c r="G90" i="11"/>
  <c r="G88" i="11"/>
  <c r="G87" i="11"/>
  <c r="G86" i="11"/>
  <c r="G85" i="11"/>
  <c r="G84" i="11"/>
  <c r="G83" i="11"/>
  <c r="G82" i="11"/>
  <c r="G81" i="11"/>
  <c r="G80" i="11"/>
  <c r="G79" i="11"/>
  <c r="G78" i="11"/>
  <c r="G76" i="11"/>
  <c r="G75" i="11"/>
  <c r="G74" i="11"/>
  <c r="G73" i="11"/>
  <c r="G72" i="11"/>
  <c r="G71" i="11"/>
  <c r="G70" i="11"/>
  <c r="G69" i="11"/>
  <c r="G68" i="11"/>
  <c r="G67" i="11"/>
  <c r="G66" i="11"/>
  <c r="G65" i="11"/>
  <c r="G64" i="11"/>
  <c r="G63" i="11"/>
  <c r="G62" i="11"/>
  <c r="G61" i="11"/>
  <c r="G60" i="11"/>
  <c r="G59" i="11"/>
  <c r="G58"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7" i="11"/>
  <c r="G216" i="11"/>
  <c r="G248" i="11"/>
  <c r="G57" i="11"/>
  <c r="G77" i="11"/>
  <c r="G89" i="11"/>
  <c r="G97" i="11"/>
  <c r="G105" i="11"/>
  <c r="G113" i="11"/>
  <c r="G121" i="11"/>
  <c r="G129" i="11"/>
  <c r="G137" i="11"/>
  <c r="G145" i="11"/>
  <c r="G153" i="11"/>
  <c r="G161" i="11"/>
  <c r="G169" i="11"/>
  <c r="G177" i="11"/>
  <c r="G184" i="11"/>
  <c r="G246" i="11"/>
  <c r="G264" i="11"/>
  <c r="C3" i="10"/>
  <c r="H47" i="7"/>
  <c r="M90" i="9"/>
  <c r="R89" i="9" s="1"/>
  <c r="A46" i="34"/>
  <c r="D39" i="34"/>
  <c r="D29" i="11"/>
  <c r="G31" i="11"/>
  <c r="G29" i="11"/>
  <c r="O259" i="33"/>
  <c r="O259" i="32"/>
  <c r="L76" i="9"/>
  <c r="L72" i="9"/>
  <c r="L75" i="9"/>
  <c r="L71" i="9"/>
  <c r="L74" i="9"/>
  <c r="L70" i="9"/>
  <c r="L77" i="9"/>
  <c r="L73" i="9"/>
  <c r="L69" i="9"/>
  <c r="V37" i="9"/>
  <c r="V44" i="9" s="1"/>
  <c r="N259" i="37"/>
  <c r="O259" i="40"/>
  <c r="K73" i="9"/>
  <c r="K74" i="9"/>
  <c r="K72" i="9"/>
  <c r="K77" i="9"/>
  <c r="K71" i="9"/>
  <c r="K70" i="9"/>
  <c r="K75" i="9"/>
  <c r="K69" i="9"/>
  <c r="K76" i="9"/>
  <c r="J76" i="9"/>
  <c r="J71" i="9"/>
  <c r="J70" i="9"/>
  <c r="J74" i="9"/>
  <c r="J77" i="9"/>
  <c r="J69" i="9"/>
  <c r="J72" i="9"/>
  <c r="J75" i="9"/>
  <c r="J73" i="9"/>
  <c r="W25" i="9" l="1"/>
  <c r="R5" i="9"/>
  <c r="S5" i="9"/>
  <c r="J30" i="9"/>
  <c r="R90" i="9"/>
  <c r="C6" i="26" s="1"/>
  <c r="O67" i="7"/>
  <c r="E67" i="7"/>
  <c r="B221" i="50"/>
  <c r="A220" i="50"/>
  <c r="B273" i="50"/>
  <c r="A272" i="50"/>
  <c r="A354" i="50"/>
  <c r="B355" i="50"/>
  <c r="A62" i="50"/>
  <c r="B63" i="50"/>
  <c r="A98" i="50"/>
  <c r="B99" i="50"/>
  <c r="B285" i="50"/>
  <c r="A284" i="50"/>
  <c r="B111" i="50"/>
  <c r="A110" i="50"/>
  <c r="B230" i="50"/>
  <c r="A230" i="50" s="1"/>
  <c r="A229" i="50"/>
  <c r="A209" i="50"/>
  <c r="B210" i="50"/>
  <c r="A158" i="50"/>
  <c r="B159" i="50"/>
  <c r="A370" i="50"/>
  <c r="B371" i="50"/>
  <c r="A248" i="50"/>
  <c r="B249" i="50"/>
  <c r="A235" i="50"/>
  <c r="B236" i="50"/>
  <c r="A392" i="50"/>
  <c r="B393" i="50"/>
  <c r="A258" i="50"/>
  <c r="B259" i="50"/>
  <c r="A171" i="50"/>
  <c r="B172" i="50"/>
  <c r="A308" i="50"/>
  <c r="B309" i="50"/>
  <c r="B183" i="50"/>
  <c r="A182" i="50"/>
  <c r="A126" i="50"/>
  <c r="B127" i="50"/>
  <c r="B87" i="50"/>
  <c r="A86" i="50"/>
  <c r="A381" i="50"/>
  <c r="B382" i="50"/>
  <c r="B51" i="50"/>
  <c r="A50" i="50"/>
  <c r="A318" i="50"/>
  <c r="B319" i="50"/>
  <c r="A147" i="50"/>
  <c r="B148" i="50"/>
  <c r="A76" i="50"/>
  <c r="B77" i="50"/>
  <c r="A38" i="50"/>
  <c r="B39" i="50"/>
  <c r="A342" i="50"/>
  <c r="B343" i="50"/>
  <c r="A28" i="50"/>
  <c r="B29" i="50"/>
  <c r="A330" i="50"/>
  <c r="B331" i="50"/>
  <c r="B298" i="50"/>
  <c r="A297" i="50"/>
  <c r="A194" i="50"/>
  <c r="B195" i="50"/>
  <c r="A134" i="50"/>
  <c r="B135" i="50"/>
  <c r="F6" i="11"/>
  <c r="I47" i="9"/>
  <c r="I48" i="9" s="1"/>
  <c r="I49" i="9" s="1"/>
  <c r="I50" i="9" s="1"/>
  <c r="H30" i="9"/>
  <c r="N15" i="7" s="1"/>
  <c r="C34" i="9"/>
  <c r="N103" i="9"/>
  <c r="N104" i="9"/>
  <c r="F39" i="20"/>
  <c r="B14" i="13"/>
  <c r="AG11" i="9"/>
  <c r="S3" i="9"/>
  <c r="C13" i="9"/>
  <c r="C20" i="20"/>
  <c r="G63" i="9"/>
  <c r="G70" i="9"/>
  <c r="C12" i="20"/>
  <c r="C13" i="20" s="1"/>
  <c r="C14" i="20" s="1"/>
  <c r="C15" i="20" s="1"/>
  <c r="C18" i="20" s="1"/>
  <c r="I6" i="11"/>
  <c r="J19" i="7"/>
  <c r="H14" i="8"/>
  <c r="H1" i="8" s="1"/>
  <c r="P2" i="23"/>
  <c r="B9" i="23" s="1"/>
  <c r="E9" i="23" s="1"/>
  <c r="L288" i="23" s="1"/>
  <c r="AG9" i="9"/>
  <c r="B25" i="11"/>
  <c r="H12" i="11" s="1"/>
  <c r="K15" i="11" s="1"/>
  <c r="AB5" i="35"/>
  <c r="H50" i="9"/>
  <c r="E36" i="7"/>
  <c r="B11" i="45"/>
  <c r="B13" i="45" s="1"/>
  <c r="Y13" i="35"/>
  <c r="C3" i="46"/>
  <c r="B14" i="36"/>
  <c r="B15" i="36" s="1"/>
  <c r="B16" i="36" s="1"/>
  <c r="B17" i="36" s="1"/>
  <c r="B18" i="36" s="1"/>
  <c r="B19" i="36" s="1"/>
  <c r="B20" i="36" s="1"/>
  <c r="B21" i="36" s="1"/>
  <c r="B22" i="36" s="1"/>
  <c r="B23" i="36" s="1"/>
  <c r="B24" i="36" s="1"/>
  <c r="B25" i="36" s="1"/>
  <c r="B26" i="36" s="1"/>
  <c r="B27" i="36" s="1"/>
  <c r="B28" i="36" s="1"/>
  <c r="B29" i="36" s="1"/>
  <c r="B30" i="36" s="1"/>
  <c r="B31" i="36" s="1"/>
  <c r="B32" i="36" s="1"/>
  <c r="B33" i="36" s="1"/>
  <c r="B34" i="36" s="1"/>
  <c r="B35" i="36" s="1"/>
  <c r="B36" i="36" s="1"/>
  <c r="B37" i="36" s="1"/>
  <c r="B38" i="36" s="1"/>
  <c r="B39" i="36" s="1"/>
  <c r="B40" i="36" s="1"/>
  <c r="B41" i="36" s="1"/>
  <c r="B42" i="36" s="1"/>
  <c r="B43" i="36" s="1"/>
  <c r="B44" i="36" s="1"/>
  <c r="B45" i="36" s="1"/>
  <c r="B46" i="36" s="1"/>
  <c r="B47" i="36" s="1"/>
  <c r="B48" i="36" s="1"/>
  <c r="B49" i="36" s="1"/>
  <c r="B50" i="36" s="1"/>
  <c r="B51" i="36" s="1"/>
  <c r="B52" i="36" s="1"/>
  <c r="B53" i="36" s="1"/>
  <c r="B54" i="36" s="1"/>
  <c r="B55" i="36" s="1"/>
  <c r="B56" i="36" s="1"/>
  <c r="B57" i="36" s="1"/>
  <c r="B58" i="36" s="1"/>
  <c r="B59" i="36" s="1"/>
  <c r="B60" i="36" s="1"/>
  <c r="B61" i="36" s="1"/>
  <c r="B62" i="36" s="1"/>
  <c r="B63" i="36" s="1"/>
  <c r="B64" i="36" s="1"/>
  <c r="B65" i="36" s="1"/>
  <c r="B66" i="36" s="1"/>
  <c r="B67" i="36" s="1"/>
  <c r="B68" i="36" s="1"/>
  <c r="B69" i="36" s="1"/>
  <c r="B70" i="36" s="1"/>
  <c r="B71" i="36" s="1"/>
  <c r="B72" i="36" s="1"/>
  <c r="B73" i="36" s="1"/>
  <c r="B74" i="36" s="1"/>
  <c r="B75" i="36" s="1"/>
  <c r="B76" i="36" s="1"/>
  <c r="B77" i="36" s="1"/>
  <c r="B78" i="36" s="1"/>
  <c r="B79" i="36" s="1"/>
  <c r="B80" i="36" s="1"/>
  <c r="B81" i="36" s="1"/>
  <c r="B82" i="36" s="1"/>
  <c r="B83" i="36" s="1"/>
  <c r="B84" i="36" s="1"/>
  <c r="B85" i="36" s="1"/>
  <c r="B86" i="36" s="1"/>
  <c r="B87" i="36" s="1"/>
  <c r="B88" i="36" s="1"/>
  <c r="B89" i="36" s="1"/>
  <c r="B90" i="36" s="1"/>
  <c r="B91" i="36" s="1"/>
  <c r="B92" i="36" s="1"/>
  <c r="B93" i="36" s="1"/>
  <c r="B94" i="36" s="1"/>
  <c r="B95" i="36" s="1"/>
  <c r="B96" i="36" s="1"/>
  <c r="B97" i="36" s="1"/>
  <c r="B98" i="36" s="1"/>
  <c r="B99" i="36" s="1"/>
  <c r="B100" i="36" s="1"/>
  <c r="B101" i="36" s="1"/>
  <c r="B102" i="36" s="1"/>
  <c r="B103" i="36" s="1"/>
  <c r="B104" i="36" s="1"/>
  <c r="B105" i="36" s="1"/>
  <c r="B106" i="36" s="1"/>
  <c r="B107" i="36" s="1"/>
  <c r="B108" i="36" s="1"/>
  <c r="B109" i="36" s="1"/>
  <c r="B110" i="36" s="1"/>
  <c r="B111" i="36" s="1"/>
  <c r="B112" i="36" s="1"/>
  <c r="B113" i="36" s="1"/>
  <c r="B114" i="36" s="1"/>
  <c r="B115" i="36" s="1"/>
  <c r="B116" i="36" s="1"/>
  <c r="B117" i="36" s="1"/>
  <c r="B118" i="36" s="1"/>
  <c r="B119" i="36" s="1"/>
  <c r="B120" i="36" s="1"/>
  <c r="B121" i="36" s="1"/>
  <c r="B122" i="36" s="1"/>
  <c r="B123" i="36" s="1"/>
  <c r="B124" i="36" s="1"/>
  <c r="B125" i="36" s="1"/>
  <c r="B126" i="36" s="1"/>
  <c r="B127" i="36" s="1"/>
  <c r="B128" i="36" s="1"/>
  <c r="B129" i="36" s="1"/>
  <c r="B130" i="36" s="1"/>
  <c r="B131" i="36" s="1"/>
  <c r="B132" i="36" s="1"/>
  <c r="B133" i="36" s="1"/>
  <c r="B134" i="36" s="1"/>
  <c r="B135" i="36" s="1"/>
  <c r="B136" i="36" s="1"/>
  <c r="B137" i="36" s="1"/>
  <c r="B138" i="36" s="1"/>
  <c r="B139" i="36" s="1"/>
  <c r="B140" i="36" s="1"/>
  <c r="B141" i="36" s="1"/>
  <c r="B142" i="36" s="1"/>
  <c r="B143" i="36" s="1"/>
  <c r="B144" i="36" s="1"/>
  <c r="B145" i="36" s="1"/>
  <c r="B146" i="36" s="1"/>
  <c r="B147" i="36" s="1"/>
  <c r="B148" i="36" s="1"/>
  <c r="B149" i="36" s="1"/>
  <c r="B150" i="36" s="1"/>
  <c r="B151" i="36" s="1"/>
  <c r="B152" i="36" s="1"/>
  <c r="B153" i="36" s="1"/>
  <c r="B154" i="36" s="1"/>
  <c r="B155" i="36" s="1"/>
  <c r="B156" i="36" s="1"/>
  <c r="B157" i="36" s="1"/>
  <c r="B158" i="36" s="1"/>
  <c r="B159" i="36" s="1"/>
  <c r="B160" i="36" s="1"/>
  <c r="B161" i="36" s="1"/>
  <c r="B162" i="36" s="1"/>
  <c r="B163" i="36" s="1"/>
  <c r="B164" i="36" s="1"/>
  <c r="B165" i="36" s="1"/>
  <c r="B166" i="36" s="1"/>
  <c r="B167" i="36" s="1"/>
  <c r="B168" i="36" s="1"/>
  <c r="B169" i="36" s="1"/>
  <c r="B170" i="36" s="1"/>
  <c r="B171" i="36" s="1"/>
  <c r="B172" i="36" s="1"/>
  <c r="B173" i="36" s="1"/>
  <c r="B174" i="36" s="1"/>
  <c r="B175" i="36" s="1"/>
  <c r="B176" i="36" s="1"/>
  <c r="B177" i="36" s="1"/>
  <c r="B178" i="36" s="1"/>
  <c r="B179" i="36" s="1"/>
  <c r="B180" i="36" s="1"/>
  <c r="B181" i="36" s="1"/>
  <c r="B182" i="36" s="1"/>
  <c r="B183" i="36" s="1"/>
  <c r="B184" i="36" s="1"/>
  <c r="B185" i="36" s="1"/>
  <c r="B186" i="36" s="1"/>
  <c r="B187" i="36" s="1"/>
  <c r="B188" i="36" s="1"/>
  <c r="B189" i="36" s="1"/>
  <c r="B190" i="36" s="1"/>
  <c r="B191" i="36" s="1"/>
  <c r="B192" i="36" s="1"/>
  <c r="B193" i="36" s="1"/>
  <c r="B194" i="36" s="1"/>
  <c r="B195" i="36" s="1"/>
  <c r="B196" i="36" s="1"/>
  <c r="B197" i="36" s="1"/>
  <c r="B198" i="36" s="1"/>
  <c r="B199" i="36" s="1"/>
  <c r="B200" i="36" s="1"/>
  <c r="B201" i="36" s="1"/>
  <c r="B202" i="36" s="1"/>
  <c r="B203" i="36" s="1"/>
  <c r="B204" i="36" s="1"/>
  <c r="B205" i="36" s="1"/>
  <c r="B206" i="36" s="1"/>
  <c r="B207" i="36" s="1"/>
  <c r="B208" i="36" s="1"/>
  <c r="B209" i="36" s="1"/>
  <c r="B210" i="36" s="1"/>
  <c r="B211" i="36" s="1"/>
  <c r="B212" i="36" s="1"/>
  <c r="B213" i="36" s="1"/>
  <c r="B214" i="36" s="1"/>
  <c r="B215" i="36" s="1"/>
  <c r="B216" i="36" s="1"/>
  <c r="B217" i="36" s="1"/>
  <c r="B218" i="36" s="1"/>
  <c r="B219" i="36" s="1"/>
  <c r="B220" i="36" s="1"/>
  <c r="B221" i="36" s="1"/>
  <c r="B222" i="36" s="1"/>
  <c r="B223" i="36" s="1"/>
  <c r="B224" i="36" s="1"/>
  <c r="B225" i="36" s="1"/>
  <c r="B226" i="36" s="1"/>
  <c r="B227" i="36" s="1"/>
  <c r="B228" i="36" s="1"/>
  <c r="B229" i="36" s="1"/>
  <c r="B230" i="36" s="1"/>
  <c r="B231" i="36" s="1"/>
  <c r="B232" i="36" s="1"/>
  <c r="B233" i="36" s="1"/>
  <c r="B234" i="36" s="1"/>
  <c r="B235" i="36" s="1"/>
  <c r="B236" i="36" s="1"/>
  <c r="B237" i="36" s="1"/>
  <c r="B238" i="36" s="1"/>
  <c r="B239" i="36" s="1"/>
  <c r="B240" i="36" s="1"/>
  <c r="B241" i="36" s="1"/>
  <c r="B242" i="36" s="1"/>
  <c r="B243" i="36" s="1"/>
  <c r="B244" i="36" s="1"/>
  <c r="B245" i="36" s="1"/>
  <c r="B246" i="36" s="1"/>
  <c r="B247" i="36" s="1"/>
  <c r="B248" i="36" s="1"/>
  <c r="B249" i="36" s="1"/>
  <c r="B250" i="36" s="1"/>
  <c r="B251" i="36" s="1"/>
  <c r="B252" i="36" s="1"/>
  <c r="B253" i="36" s="1"/>
  <c r="B254" i="36" s="1"/>
  <c r="I29" i="35"/>
  <c r="N19" i="7" s="1"/>
  <c r="J51" i="20"/>
  <c r="F47" i="20" s="1"/>
  <c r="B68" i="7"/>
  <c r="C42" i="20"/>
  <c r="D24" i="30"/>
  <c r="D7" i="30"/>
  <c r="H17" i="7"/>
  <c r="H18" i="34"/>
  <c r="H16" i="34" s="1"/>
  <c r="B17" i="34" s="1"/>
  <c r="G65" i="9"/>
  <c r="D9" i="30"/>
  <c r="L22" i="12"/>
  <c r="D30" i="13" s="1"/>
  <c r="L121" i="12"/>
  <c r="D129" i="13" s="1"/>
  <c r="L263" i="12"/>
  <c r="D271" i="13" s="1"/>
  <c r="L357" i="12"/>
  <c r="L328" i="12"/>
  <c r="L304" i="12"/>
  <c r="L326" i="12"/>
  <c r="L332" i="12"/>
  <c r="L340" i="12"/>
  <c r="L330" i="12"/>
  <c r="L350" i="12"/>
  <c r="L152" i="12"/>
  <c r="D160" i="13" s="1"/>
  <c r="L269" i="12"/>
  <c r="D277" i="13" s="1"/>
  <c r="L337" i="12"/>
  <c r="L306" i="12"/>
  <c r="L342" i="12"/>
  <c r="L345" i="12"/>
  <c r="L351" i="12"/>
  <c r="L361" i="12"/>
  <c r="L360" i="12"/>
  <c r="L348" i="12"/>
  <c r="K306" i="12"/>
  <c r="K314" i="12"/>
  <c r="K322" i="12"/>
  <c r="K330" i="12"/>
  <c r="K338" i="12"/>
  <c r="K346" i="12"/>
  <c r="K354" i="12"/>
  <c r="K362" i="12"/>
  <c r="K340" i="12"/>
  <c r="K317" i="12"/>
  <c r="K341" i="12"/>
  <c r="K357" i="12"/>
  <c r="K318" i="12"/>
  <c r="L236" i="12"/>
  <c r="D244" i="13" s="1"/>
  <c r="L334" i="12"/>
  <c r="L341" i="12"/>
  <c r="L308" i="12"/>
  <c r="K328" i="12"/>
  <c r="K313" i="12"/>
  <c r="K353" i="12"/>
  <c r="L161" i="12"/>
  <c r="D169" i="13" s="1"/>
  <c r="L278" i="12"/>
  <c r="L309" i="12"/>
  <c r="L354" i="12"/>
  <c r="L344" i="12"/>
  <c r="L335" i="12"/>
  <c r="L323" i="12"/>
  <c r="L339" i="12"/>
  <c r="L355" i="12"/>
  <c r="K307" i="12"/>
  <c r="K315" i="12"/>
  <c r="K323" i="12"/>
  <c r="K331" i="12"/>
  <c r="K339" i="12"/>
  <c r="K347" i="12"/>
  <c r="K355" i="12"/>
  <c r="K363" i="12"/>
  <c r="K308" i="12"/>
  <c r="K316" i="12"/>
  <c r="K324" i="12"/>
  <c r="K332" i="12"/>
  <c r="K348" i="12"/>
  <c r="K356" i="12"/>
  <c r="K309" i="12"/>
  <c r="K325" i="12"/>
  <c r="K333" i="12"/>
  <c r="K349" i="12"/>
  <c r="K326" i="12"/>
  <c r="K350" i="12"/>
  <c r="K358" i="12"/>
  <c r="L59" i="12"/>
  <c r="D67" i="13" s="1"/>
  <c r="L321" i="12"/>
  <c r="L329" i="12"/>
  <c r="L356" i="12"/>
  <c r="K319" i="12"/>
  <c r="K327" i="12"/>
  <c r="K343" i="12"/>
  <c r="K351" i="12"/>
  <c r="L239" i="12"/>
  <c r="L333" i="12"/>
  <c r="K304" i="12"/>
  <c r="K312" i="12"/>
  <c r="K320" i="12"/>
  <c r="K336" i="12"/>
  <c r="K344" i="12"/>
  <c r="K360" i="12"/>
  <c r="K321" i="12"/>
  <c r="K345" i="12"/>
  <c r="L184" i="12"/>
  <c r="D192" i="13" s="1"/>
  <c r="L282" i="12"/>
  <c r="D290" i="13" s="1"/>
  <c r="L336" i="12"/>
  <c r="L347" i="12"/>
  <c r="L346" i="12"/>
  <c r="L307" i="12"/>
  <c r="L343" i="12"/>
  <c r="L322" i="12"/>
  <c r="K310" i="12"/>
  <c r="L349" i="12"/>
  <c r="L314" i="12"/>
  <c r="L358" i="12"/>
  <c r="L352" i="12"/>
  <c r="L316" i="12"/>
  <c r="K335" i="12"/>
  <c r="K359" i="12"/>
  <c r="L69" i="12"/>
  <c r="D77" i="13" s="1"/>
  <c r="L331" i="12"/>
  <c r="L317" i="12"/>
  <c r="L324" i="12"/>
  <c r="L312" i="12"/>
  <c r="K352" i="12"/>
  <c r="K305" i="12"/>
  <c r="K329" i="12"/>
  <c r="K337" i="12"/>
  <c r="K361" i="12"/>
  <c r="L214" i="12"/>
  <c r="D222" i="13" s="1"/>
  <c r="L301" i="12"/>
  <c r="L305" i="12"/>
  <c r="L303" i="12"/>
  <c r="D311" i="13" s="1"/>
  <c r="L363" i="12"/>
  <c r="L338" i="12"/>
  <c r="L310" i="12"/>
  <c r="L362" i="12"/>
  <c r="L359" i="12"/>
  <c r="L315" i="12"/>
  <c r="K334" i="12"/>
  <c r="K311" i="12"/>
  <c r="L20" i="12"/>
  <c r="D28" i="13" s="1"/>
  <c r="L231" i="12"/>
  <c r="D239" i="13" s="1"/>
  <c r="L327" i="12"/>
  <c r="L320" i="12"/>
  <c r="L313" i="12"/>
  <c r="L319" i="12"/>
  <c r="L353" i="12"/>
  <c r="L325" i="12"/>
  <c r="L311" i="12"/>
  <c r="L318" i="12"/>
  <c r="K342" i="12"/>
  <c r="B26" i="28"/>
  <c r="C26" i="28" s="1"/>
  <c r="D25" i="28"/>
  <c r="D393" i="7" s="1"/>
  <c r="C40" i="20"/>
  <c r="W3" i="9"/>
  <c r="M54" i="7"/>
  <c r="B26" i="11"/>
  <c r="I12" i="11" s="1"/>
  <c r="K16" i="11" s="1"/>
  <c r="L266" i="12"/>
  <c r="D274" i="13" s="1"/>
  <c r="L221" i="12"/>
  <c r="D229" i="39" s="1"/>
  <c r="L146" i="12"/>
  <c r="D154" i="13" s="1"/>
  <c r="L5" i="12"/>
  <c r="D13" i="13" s="1"/>
  <c r="L296" i="12"/>
  <c r="D304" i="13" s="1"/>
  <c r="L256" i="12"/>
  <c r="D264" i="13" s="1"/>
  <c r="L209" i="12"/>
  <c r="L116" i="12"/>
  <c r="D124" i="13" s="1"/>
  <c r="L293" i="12"/>
  <c r="D301" i="39" s="1"/>
  <c r="L249" i="12"/>
  <c r="L199" i="12"/>
  <c r="D207" i="13" s="1"/>
  <c r="L96" i="12"/>
  <c r="D104" i="13" s="1"/>
  <c r="L283" i="12"/>
  <c r="D291" i="13" s="1"/>
  <c r="L247" i="12"/>
  <c r="D255" i="13" s="1"/>
  <c r="L189" i="12"/>
  <c r="D197" i="13" s="1"/>
  <c r="L84" i="12"/>
  <c r="D18" i="30"/>
  <c r="D10" i="30"/>
  <c r="D15" i="30"/>
  <c r="D14" i="30"/>
  <c r="D25" i="30"/>
  <c r="D13" i="30"/>
  <c r="D22" i="30"/>
  <c r="D6" i="30"/>
  <c r="D16" i="30"/>
  <c r="D11" i="30"/>
  <c r="U3" i="30"/>
  <c r="D12" i="30"/>
  <c r="D19" i="30"/>
  <c r="D21" i="30"/>
  <c r="D20" i="30"/>
  <c r="D8" i="30"/>
  <c r="D23" i="30"/>
  <c r="L273" i="12"/>
  <c r="D281" i="13" s="1"/>
  <c r="L246" i="12"/>
  <c r="D254" i="13" s="1"/>
  <c r="L202" i="12"/>
  <c r="D210" i="13" s="1"/>
  <c r="L126" i="12"/>
  <c r="L54" i="12"/>
  <c r="L291" i="12"/>
  <c r="D299" i="13" s="1"/>
  <c r="L258" i="12"/>
  <c r="D266" i="13" s="1"/>
  <c r="L226" i="12"/>
  <c r="L172" i="12"/>
  <c r="L94" i="12"/>
  <c r="D102" i="13" s="1"/>
  <c r="K54" i="7"/>
  <c r="L288" i="12"/>
  <c r="D296" i="13" s="1"/>
  <c r="L264" i="12"/>
  <c r="L242" i="12"/>
  <c r="D250" i="13" s="1"/>
  <c r="L213" i="12"/>
  <c r="L167" i="12"/>
  <c r="L109" i="12"/>
  <c r="D117" i="13" s="1"/>
  <c r="L32" i="12"/>
  <c r="D40" i="13" s="1"/>
  <c r="L297" i="12"/>
  <c r="D305" i="39" s="1"/>
  <c r="L274" i="12"/>
  <c r="D282" i="13" s="1"/>
  <c r="L253" i="12"/>
  <c r="D261" i="13" s="1"/>
  <c r="L227" i="12"/>
  <c r="D235" i="13" s="1"/>
  <c r="L191" i="12"/>
  <c r="D199" i="13" s="1"/>
  <c r="L141" i="12"/>
  <c r="D149" i="13" s="1"/>
  <c r="L76" i="12"/>
  <c r="X22" i="9"/>
  <c r="W22" i="9" s="1"/>
  <c r="D6" i="33"/>
  <c r="L286" i="12"/>
  <c r="D294" i="13" s="1"/>
  <c r="L268" i="12"/>
  <c r="L252" i="12"/>
  <c r="D260" i="13" s="1"/>
  <c r="L232" i="12"/>
  <c r="D240" i="39" s="1"/>
  <c r="L210" i="12"/>
  <c r="D218" i="13" s="1"/>
  <c r="L174" i="12"/>
  <c r="D182" i="13" s="1"/>
  <c r="L139" i="12"/>
  <c r="L89" i="12"/>
  <c r="L28" i="12"/>
  <c r="L294" i="12"/>
  <c r="L277" i="12"/>
  <c r="L259" i="12"/>
  <c r="D267" i="13" s="1"/>
  <c r="L243" i="12"/>
  <c r="L197" i="12"/>
  <c r="L156" i="12"/>
  <c r="L111" i="12"/>
  <c r="L64" i="12"/>
  <c r="D72" i="13" s="1"/>
  <c r="X17" i="9"/>
  <c r="W17" i="9" s="1"/>
  <c r="X11" i="9"/>
  <c r="W11" i="9" s="1"/>
  <c r="X9" i="9"/>
  <c r="W9" i="9" s="1"/>
  <c r="X13" i="9"/>
  <c r="W13" i="9" s="1"/>
  <c r="X5" i="9"/>
  <c r="W5" i="9" s="1"/>
  <c r="E12" i="13"/>
  <c r="B20" i="33"/>
  <c r="B21" i="33" s="1"/>
  <c r="D21" i="33" s="1"/>
  <c r="C19" i="33"/>
  <c r="L302" i="12"/>
  <c r="D310" i="13" s="1"/>
  <c r="L285" i="12"/>
  <c r="L275" i="12"/>
  <c r="L265" i="12"/>
  <c r="D273" i="13" s="1"/>
  <c r="L255" i="12"/>
  <c r="L245" i="12"/>
  <c r="L235" i="12"/>
  <c r="L223" i="12"/>
  <c r="L211" i="12"/>
  <c r="D219" i="13" s="1"/>
  <c r="L195" i="12"/>
  <c r="L169" i="12"/>
  <c r="L142" i="12"/>
  <c r="L114" i="12"/>
  <c r="L86" i="12"/>
  <c r="D94" i="13" s="1"/>
  <c r="L58" i="12"/>
  <c r="L9" i="12"/>
  <c r="L299" i="12"/>
  <c r="L290" i="12"/>
  <c r="L281" i="12"/>
  <c r="D289" i="39" s="1"/>
  <c r="L272" i="12"/>
  <c r="L262" i="12"/>
  <c r="D270" i="13" s="1"/>
  <c r="L251" i="12"/>
  <c r="D259" i="13" s="1"/>
  <c r="L240" i="12"/>
  <c r="L230" i="12"/>
  <c r="L217" i="12"/>
  <c r="L208" i="12"/>
  <c r="L187" i="12"/>
  <c r="L159" i="12"/>
  <c r="D167" i="13" s="1"/>
  <c r="L129" i="12"/>
  <c r="L106" i="12"/>
  <c r="L74" i="12"/>
  <c r="D82" i="13" s="1"/>
  <c r="L46" i="12"/>
  <c r="L298" i="12"/>
  <c r="L289" i="12"/>
  <c r="D297" i="13" s="1"/>
  <c r="L280" i="12"/>
  <c r="L270" i="12"/>
  <c r="L260" i="12"/>
  <c r="L250" i="12"/>
  <c r="L229" i="12"/>
  <c r="L216" i="12"/>
  <c r="L206" i="12"/>
  <c r="D214" i="13" s="1"/>
  <c r="L185" i="12"/>
  <c r="L157" i="12"/>
  <c r="L127" i="12"/>
  <c r="D135" i="13" s="1"/>
  <c r="L99" i="12"/>
  <c r="L73" i="12"/>
  <c r="L39" i="12"/>
  <c r="AB9" i="35"/>
  <c r="X15" i="9"/>
  <c r="W15" i="9" s="1"/>
  <c r="X16" i="9"/>
  <c r="W16" i="9" s="1"/>
  <c r="X18" i="9"/>
  <c r="W18" i="9" s="1"/>
  <c r="X14" i="9"/>
  <c r="W14" i="9" s="1"/>
  <c r="X20" i="9"/>
  <c r="W20" i="9" s="1"/>
  <c r="X10" i="9"/>
  <c r="W10" i="9" s="1"/>
  <c r="X8" i="9"/>
  <c r="W8" i="9" s="1"/>
  <c r="X12" i="9"/>
  <c r="W12" i="9" s="1"/>
  <c r="X23" i="9"/>
  <c r="W23" i="9" s="1"/>
  <c r="X21" i="9"/>
  <c r="W21" i="9" s="1"/>
  <c r="X4" i="9"/>
  <c r="W4" i="9" s="1"/>
  <c r="I54" i="7"/>
  <c r="A11" i="41"/>
  <c r="B11" i="41" s="1"/>
  <c r="A8" i="41"/>
  <c r="B8" i="41" s="1"/>
  <c r="A9" i="41"/>
  <c r="B9" i="41" s="1"/>
  <c r="D17" i="37"/>
  <c r="N3" i="20"/>
  <c r="C19" i="32"/>
  <c r="D19" i="32"/>
  <c r="B20" i="32"/>
  <c r="L292" i="12"/>
  <c r="L287" i="12"/>
  <c r="L276" i="12"/>
  <c r="L271" i="12"/>
  <c r="L257" i="12"/>
  <c r="L244" i="12"/>
  <c r="L238" i="12"/>
  <c r="L225" i="12"/>
  <c r="L215" i="12"/>
  <c r="L200" i="12"/>
  <c r="L171" i="12"/>
  <c r="L154" i="12"/>
  <c r="L131" i="12"/>
  <c r="L112" i="12"/>
  <c r="L91" i="12"/>
  <c r="L71" i="12"/>
  <c r="L56" i="12"/>
  <c r="L35" i="12"/>
  <c r="L13" i="12"/>
  <c r="C26" i="30"/>
  <c r="L300" i="12"/>
  <c r="L295" i="12"/>
  <c r="L284" i="12"/>
  <c r="L279" i="12"/>
  <c r="L267" i="12"/>
  <c r="L261" i="12"/>
  <c r="L254" i="12"/>
  <c r="L248" i="12"/>
  <c r="L241" i="12"/>
  <c r="L234" i="12"/>
  <c r="L228" i="12"/>
  <c r="L219" i="12"/>
  <c r="L212" i="12"/>
  <c r="L204" i="12"/>
  <c r="L193" i="12"/>
  <c r="L182" i="12"/>
  <c r="L144" i="12"/>
  <c r="L124" i="12"/>
  <c r="L101" i="12"/>
  <c r="L79" i="12"/>
  <c r="L61" i="12"/>
  <c r="L43" i="12"/>
  <c r="L24" i="12"/>
  <c r="B26" i="30"/>
  <c r="B10" i="45"/>
  <c r="E25" i="39"/>
  <c r="X19" i="9"/>
  <c r="W19" i="9" s="1"/>
  <c r="L54" i="7"/>
  <c r="X6" i="9"/>
  <c r="W6" i="9" s="1"/>
  <c r="X7" i="9"/>
  <c r="W7" i="9" s="1"/>
  <c r="C35" i="9"/>
  <c r="H52" i="9" s="1"/>
  <c r="A15" i="41"/>
  <c r="B15" i="41" s="1"/>
  <c r="A12" i="41"/>
  <c r="B12" i="41" s="1"/>
  <c r="A13" i="41"/>
  <c r="B13" i="41" s="1"/>
  <c r="A10" i="41"/>
  <c r="B10" i="41" s="1"/>
  <c r="A3" i="41"/>
  <c r="B3" i="41" s="1"/>
  <c r="A19" i="41"/>
  <c r="B19" i="41" s="1"/>
  <c r="A16" i="41"/>
  <c r="B16" i="41" s="1"/>
  <c r="A17" i="41"/>
  <c r="B17" i="41" s="1"/>
  <c r="A14" i="41"/>
  <c r="B14" i="41" s="1"/>
  <c r="A7" i="41"/>
  <c r="B7" i="41" s="1"/>
  <c r="A4" i="41"/>
  <c r="B4" i="41" s="1"/>
  <c r="A5" i="41"/>
  <c r="B5" i="41" s="1"/>
  <c r="A2" i="41"/>
  <c r="B2" i="41" s="1"/>
  <c r="A18" i="41"/>
  <c r="B18" i="41" s="1"/>
  <c r="L1" i="30"/>
  <c r="L1" i="37"/>
  <c r="C5" i="39"/>
  <c r="L1" i="28"/>
  <c r="C5" i="13"/>
  <c r="C4" i="46" s="1"/>
  <c r="M1" i="40"/>
  <c r="D16" i="37"/>
  <c r="D7" i="37"/>
  <c r="B20" i="37"/>
  <c r="C20" i="37"/>
  <c r="C20" i="40"/>
  <c r="D19" i="40"/>
  <c r="B34" i="39"/>
  <c r="B35" i="39" s="1"/>
  <c r="B36" i="39" s="1"/>
  <c r="B37" i="39" s="1"/>
  <c r="B38" i="39" s="1"/>
  <c r="B39" i="39" s="1"/>
  <c r="B40" i="39" s="1"/>
  <c r="B41" i="39" s="1"/>
  <c r="E33" i="39"/>
  <c r="L224" i="12"/>
  <c r="L220" i="12"/>
  <c r="L205" i="12"/>
  <c r="L201" i="12"/>
  <c r="L190" i="12"/>
  <c r="L186" i="12"/>
  <c r="L137" i="12"/>
  <c r="L122" i="12"/>
  <c r="L107" i="12"/>
  <c r="L97" i="12"/>
  <c r="L92" i="12"/>
  <c r="L82" i="12"/>
  <c r="L77" i="12"/>
  <c r="L67" i="12"/>
  <c r="L62" i="12"/>
  <c r="L57" i="12"/>
  <c r="L52" i="12"/>
  <c r="L47" i="12"/>
  <c r="L33" i="12"/>
  <c r="L18" i="12"/>
  <c r="L196" i="12"/>
  <c r="L176" i="12"/>
  <c r="L105" i="12"/>
  <c r="L90" i="12"/>
  <c r="L75" i="12"/>
  <c r="L65" i="12"/>
  <c r="L60" i="12"/>
  <c r="L50" i="12"/>
  <c r="L45" i="12"/>
  <c r="L30" i="12"/>
  <c r="L15" i="12"/>
  <c r="L7" i="12"/>
  <c r="L237" i="12"/>
  <c r="L233" i="12"/>
  <c r="L222" i="12"/>
  <c r="L218" i="12"/>
  <c r="L207" i="12"/>
  <c r="L203" i="12"/>
  <c r="L192" i="12"/>
  <c r="L188" i="12"/>
  <c r="L180" i="12"/>
  <c r="L175" i="12"/>
  <c r="L170" i="12"/>
  <c r="L165" i="12"/>
  <c r="L160" i="12"/>
  <c r="L155" i="12"/>
  <c r="L150" i="12"/>
  <c r="L140" i="12"/>
  <c r="L135" i="12"/>
  <c r="L125" i="12"/>
  <c r="L120" i="12"/>
  <c r="L110" i="12"/>
  <c r="L95" i="12"/>
  <c r="L80" i="12"/>
  <c r="L37" i="12"/>
  <c r="L8" i="12"/>
  <c r="L12" i="12"/>
  <c r="L16" i="12"/>
  <c r="L27" i="12"/>
  <c r="L31" i="12"/>
  <c r="L42" i="12"/>
  <c r="L17" i="12"/>
  <c r="L21" i="12"/>
  <c r="L36" i="12"/>
  <c r="L40" i="12"/>
  <c r="L51" i="12"/>
  <c r="L55" i="12"/>
  <c r="L66" i="12"/>
  <c r="L70" i="12"/>
  <c r="L81" i="12"/>
  <c r="L85" i="12"/>
  <c r="L100" i="12"/>
  <c r="L104" i="12"/>
  <c r="L115" i="12"/>
  <c r="L119" i="12"/>
  <c r="L130" i="12"/>
  <c r="L134" i="12"/>
  <c r="L145" i="12"/>
  <c r="L149" i="12"/>
  <c r="L164" i="12"/>
  <c r="L168" i="12"/>
  <c r="L179" i="12"/>
  <c r="L6" i="12"/>
  <c r="L10" i="12"/>
  <c r="L14" i="12"/>
  <c r="L25" i="12"/>
  <c r="L29" i="12"/>
  <c r="L44" i="12"/>
  <c r="L19" i="12"/>
  <c r="L23" i="12"/>
  <c r="L34" i="12"/>
  <c r="L38" i="12"/>
  <c r="L49" i="12"/>
  <c r="L53" i="12"/>
  <c r="L68" i="12"/>
  <c r="L72" i="12"/>
  <c r="L83" i="12"/>
  <c r="L87" i="12"/>
  <c r="L98" i="12"/>
  <c r="L102" i="12"/>
  <c r="L113" i="12"/>
  <c r="L117" i="12"/>
  <c r="L132" i="12"/>
  <c r="L136" i="12"/>
  <c r="L147" i="12"/>
  <c r="L151" i="12"/>
  <c r="L162" i="12"/>
  <c r="L166" i="12"/>
  <c r="L177" i="12"/>
  <c r="L181" i="12"/>
  <c r="L198" i="12"/>
  <c r="L194" i="12"/>
  <c r="L183" i="12"/>
  <c r="L178" i="12"/>
  <c r="L173" i="12"/>
  <c r="L163" i="12"/>
  <c r="L158" i="12"/>
  <c r="L153" i="12"/>
  <c r="L148" i="12"/>
  <c r="L143" i="12"/>
  <c r="L138" i="12"/>
  <c r="L133" i="12"/>
  <c r="L128" i="12"/>
  <c r="L123" i="12"/>
  <c r="L118" i="12"/>
  <c r="L108" i="12"/>
  <c r="L103" i="12"/>
  <c r="L93" i="12"/>
  <c r="L88" i="12"/>
  <c r="L78" i="12"/>
  <c r="L63" i="12"/>
  <c r="L48" i="12"/>
  <c r="L41" i="12"/>
  <c r="L26" i="12"/>
  <c r="L11" i="12"/>
  <c r="D10" i="33"/>
  <c r="AB11" i="39"/>
  <c r="D14" i="37"/>
  <c r="D6" i="37"/>
  <c r="E13" i="13"/>
  <c r="E30" i="39"/>
  <c r="E22" i="39"/>
  <c r="E14" i="39"/>
  <c r="E17" i="39"/>
  <c r="U3" i="33"/>
  <c r="D18" i="33"/>
  <c r="D12" i="37"/>
  <c r="D10" i="37"/>
  <c r="E27" i="39"/>
  <c r="E19" i="39"/>
  <c r="D13" i="33"/>
  <c r="D11" i="33"/>
  <c r="D8" i="33"/>
  <c r="U3" i="37"/>
  <c r="D8" i="37"/>
  <c r="D9" i="37"/>
  <c r="E32" i="39"/>
  <c r="E24" i="39"/>
  <c r="E16" i="39"/>
  <c r="D19" i="33"/>
  <c r="E29" i="39"/>
  <c r="E21" i="39"/>
  <c r="D14" i="33"/>
  <c r="D17" i="33"/>
  <c r="D11" i="37"/>
  <c r="E26" i="39"/>
  <c r="E18" i="39"/>
  <c r="D7" i="33"/>
  <c r="D16" i="33"/>
  <c r="D19" i="37"/>
  <c r="D13" i="37"/>
  <c r="E31" i="39"/>
  <c r="E23" i="39"/>
  <c r="E15" i="39"/>
  <c r="E13" i="39"/>
  <c r="D15" i="33"/>
  <c r="D9" i="33"/>
  <c r="D18" i="37"/>
  <c r="E28" i="39"/>
  <c r="E20" i="39"/>
  <c r="E5" i="36"/>
  <c r="I64" i="7"/>
  <c r="W28" i="9"/>
  <c r="N15" i="40" s="1"/>
  <c r="B29" i="35"/>
  <c r="E2" i="35" s="1"/>
  <c r="AA15" i="9"/>
  <c r="B4" i="12"/>
  <c r="E3" i="34"/>
  <c r="E120" i="34" s="1"/>
  <c r="E159" i="34" s="1"/>
  <c r="B7" i="12"/>
  <c r="B8" i="12" s="1"/>
  <c r="D10" i="12"/>
  <c r="Q5" i="28"/>
  <c r="B394" i="7"/>
  <c r="C394" i="7" s="1"/>
  <c r="G5" i="20"/>
  <c r="C8" i="20" s="1"/>
  <c r="C9" i="20" s="1"/>
  <c r="F31" i="44"/>
  <c r="G31" i="44" s="1"/>
  <c r="F63" i="44"/>
  <c r="G63" i="44" s="1"/>
  <c r="F95" i="44"/>
  <c r="G95" i="44" s="1"/>
  <c r="F127" i="44"/>
  <c r="G127" i="44" s="1"/>
  <c r="F159" i="44"/>
  <c r="G159" i="44" s="1"/>
  <c r="F191" i="44"/>
  <c r="G191" i="44" s="1"/>
  <c r="F223" i="44"/>
  <c r="G223" i="44" s="1"/>
  <c r="F17" i="44"/>
  <c r="G17" i="44" s="1"/>
  <c r="F49" i="44"/>
  <c r="G49" i="44" s="1"/>
  <c r="F81" i="44"/>
  <c r="G81" i="44" s="1"/>
  <c r="F113" i="44"/>
  <c r="G113" i="44" s="1"/>
  <c r="F145" i="44"/>
  <c r="G145" i="44" s="1"/>
  <c r="F177" i="44"/>
  <c r="G177" i="44" s="1"/>
  <c r="F209" i="44"/>
  <c r="G209" i="44" s="1"/>
  <c r="F5" i="44"/>
  <c r="G5" i="44" s="1"/>
  <c r="F35" i="44"/>
  <c r="G35" i="44" s="1"/>
  <c r="F67" i="44"/>
  <c r="G67" i="44" s="1"/>
  <c r="F99" i="44"/>
  <c r="G99" i="44" s="1"/>
  <c r="F131" i="44"/>
  <c r="G131" i="44" s="1"/>
  <c r="F163" i="44"/>
  <c r="G163" i="44" s="1"/>
  <c r="F195" i="44"/>
  <c r="G195" i="44" s="1"/>
  <c r="F227" i="44"/>
  <c r="G227" i="44" s="1"/>
  <c r="F29" i="44"/>
  <c r="G29" i="44" s="1"/>
  <c r="F61" i="44"/>
  <c r="G61" i="44" s="1"/>
  <c r="F93" i="44"/>
  <c r="G93" i="44" s="1"/>
  <c r="F125" i="44"/>
  <c r="G125" i="44" s="1"/>
  <c r="F157" i="44"/>
  <c r="G157" i="44" s="1"/>
  <c r="F189" i="44"/>
  <c r="G189" i="44" s="1"/>
  <c r="F221" i="44"/>
  <c r="G221" i="44" s="1"/>
  <c r="C50" i="20"/>
  <c r="F7" i="44"/>
  <c r="G7" i="44" s="1"/>
  <c r="F39" i="44"/>
  <c r="G39" i="44" s="1"/>
  <c r="F71" i="44"/>
  <c r="G71" i="44" s="1"/>
  <c r="F103" i="44"/>
  <c r="G103" i="44" s="1"/>
  <c r="F135" i="44"/>
  <c r="G135" i="44" s="1"/>
  <c r="F167" i="44"/>
  <c r="G167" i="44" s="1"/>
  <c r="F199" i="44"/>
  <c r="G199" i="44" s="1"/>
  <c r="F231" i="44"/>
  <c r="G231" i="44" s="1"/>
  <c r="F25" i="44"/>
  <c r="G25" i="44" s="1"/>
  <c r="F57" i="44"/>
  <c r="G57" i="44" s="1"/>
  <c r="F89" i="44"/>
  <c r="G89" i="44" s="1"/>
  <c r="F121" i="44"/>
  <c r="G121" i="44" s="1"/>
  <c r="F153" i="44"/>
  <c r="G153" i="44" s="1"/>
  <c r="F185" i="44"/>
  <c r="G185" i="44" s="1"/>
  <c r="F217" i="44"/>
  <c r="G217" i="44" s="1"/>
  <c r="F11" i="44"/>
  <c r="G11" i="44" s="1"/>
  <c r="F43" i="44"/>
  <c r="G43" i="44" s="1"/>
  <c r="F75" i="44"/>
  <c r="G75" i="44" s="1"/>
  <c r="F107" i="44"/>
  <c r="G107" i="44" s="1"/>
  <c r="F139" i="44"/>
  <c r="G139" i="44" s="1"/>
  <c r="F171" i="44"/>
  <c r="G171" i="44" s="1"/>
  <c r="F203" i="44"/>
  <c r="G203" i="44" s="1"/>
  <c r="F235" i="44"/>
  <c r="G235" i="44" s="1"/>
  <c r="F37" i="44"/>
  <c r="G37" i="44" s="1"/>
  <c r="F69" i="44"/>
  <c r="G69" i="44" s="1"/>
  <c r="F101" i="44"/>
  <c r="G101" i="44" s="1"/>
  <c r="F133" i="44"/>
  <c r="G133" i="44" s="1"/>
  <c r="F165" i="44"/>
  <c r="G165" i="44" s="1"/>
  <c r="F197" i="44"/>
  <c r="G197" i="44" s="1"/>
  <c r="F229" i="44"/>
  <c r="G229" i="44" s="1"/>
  <c r="F15" i="44"/>
  <c r="G15" i="44" s="1"/>
  <c r="F47" i="44"/>
  <c r="G47" i="44" s="1"/>
  <c r="F79" i="44"/>
  <c r="G79" i="44" s="1"/>
  <c r="F111" i="44"/>
  <c r="G111" i="44" s="1"/>
  <c r="F143" i="44"/>
  <c r="G143" i="44" s="1"/>
  <c r="F175" i="44"/>
  <c r="G175" i="44" s="1"/>
  <c r="F207" i="44"/>
  <c r="G207" i="44" s="1"/>
  <c r="F241" i="44"/>
  <c r="G241" i="44" s="1"/>
  <c r="F33" i="44"/>
  <c r="G33" i="44" s="1"/>
  <c r="F65" i="44"/>
  <c r="G65" i="44" s="1"/>
  <c r="F97" i="44"/>
  <c r="G97" i="44" s="1"/>
  <c r="F129" i="44"/>
  <c r="G129" i="44" s="1"/>
  <c r="F161" i="44"/>
  <c r="G161" i="44" s="1"/>
  <c r="F193" i="44"/>
  <c r="G193" i="44" s="1"/>
  <c r="F225" i="44"/>
  <c r="G225" i="44" s="1"/>
  <c r="F19" i="44"/>
  <c r="G19" i="44" s="1"/>
  <c r="F51" i="44"/>
  <c r="G51" i="44" s="1"/>
  <c r="F83" i="44"/>
  <c r="G83" i="44" s="1"/>
  <c r="F115" i="44"/>
  <c r="G115" i="44" s="1"/>
  <c r="F147" i="44"/>
  <c r="G147" i="44" s="1"/>
  <c r="F179" i="44"/>
  <c r="G179" i="44" s="1"/>
  <c r="F211" i="44"/>
  <c r="G211" i="44" s="1"/>
  <c r="F13" i="44"/>
  <c r="G13" i="44" s="1"/>
  <c r="F45" i="44"/>
  <c r="G45" i="44" s="1"/>
  <c r="F77" i="44"/>
  <c r="G77" i="44" s="1"/>
  <c r="F109" i="44"/>
  <c r="G109" i="44" s="1"/>
  <c r="F141" i="44"/>
  <c r="G141" i="44" s="1"/>
  <c r="F173" i="44"/>
  <c r="G173" i="44" s="1"/>
  <c r="F205" i="44"/>
  <c r="G205" i="44" s="1"/>
  <c r="F237" i="44"/>
  <c r="G237" i="44" s="1"/>
  <c r="F23" i="44"/>
  <c r="G23" i="44" s="1"/>
  <c r="F55" i="44"/>
  <c r="G55" i="44" s="1"/>
  <c r="F87" i="44"/>
  <c r="G87" i="44" s="1"/>
  <c r="F119" i="44"/>
  <c r="G119" i="44" s="1"/>
  <c r="F151" i="44"/>
  <c r="G151" i="44" s="1"/>
  <c r="F183" i="44"/>
  <c r="G183" i="44" s="1"/>
  <c r="F215" i="44"/>
  <c r="G215" i="44" s="1"/>
  <c r="F9" i="44"/>
  <c r="G9" i="44" s="1"/>
  <c r="F41" i="44"/>
  <c r="G41" i="44" s="1"/>
  <c r="F73" i="44"/>
  <c r="G73" i="44" s="1"/>
  <c r="F105" i="44"/>
  <c r="G105" i="44" s="1"/>
  <c r="F137" i="44"/>
  <c r="G137" i="44" s="1"/>
  <c r="F169" i="44"/>
  <c r="G169" i="44" s="1"/>
  <c r="F201" i="44"/>
  <c r="G201" i="44" s="1"/>
  <c r="F233" i="44"/>
  <c r="G233" i="44" s="1"/>
  <c r="F27" i="44"/>
  <c r="G27" i="44" s="1"/>
  <c r="F59" i="44"/>
  <c r="G59" i="44" s="1"/>
  <c r="F91" i="44"/>
  <c r="G91" i="44" s="1"/>
  <c r="F123" i="44"/>
  <c r="G123" i="44" s="1"/>
  <c r="F155" i="44"/>
  <c r="G155" i="44" s="1"/>
  <c r="F187" i="44"/>
  <c r="G187" i="44" s="1"/>
  <c r="F219" i="44"/>
  <c r="G219" i="44" s="1"/>
  <c r="F21" i="44"/>
  <c r="G21" i="44" s="1"/>
  <c r="F53" i="44"/>
  <c r="G53" i="44" s="1"/>
  <c r="F85" i="44"/>
  <c r="G85" i="44" s="1"/>
  <c r="F117" i="44"/>
  <c r="G117" i="44" s="1"/>
  <c r="F149" i="44"/>
  <c r="G149" i="44" s="1"/>
  <c r="F181" i="44"/>
  <c r="G181" i="44" s="1"/>
  <c r="F213" i="44"/>
  <c r="G213" i="44" s="1"/>
  <c r="P259" i="40"/>
  <c r="G8" i="30"/>
  <c r="G8" i="28"/>
  <c r="O265" i="30"/>
  <c r="P29" i="28"/>
  <c r="P397" i="7" s="1"/>
  <c r="O265" i="28"/>
  <c r="B3" i="12"/>
  <c r="K3" i="12"/>
  <c r="D17" i="7" l="1"/>
  <c r="G51" i="7"/>
  <c r="B69" i="7"/>
  <c r="O68" i="7"/>
  <c r="B8" i="46"/>
  <c r="E8" i="46" s="1"/>
  <c r="E68" i="7" s="1"/>
  <c r="E1" i="47"/>
  <c r="G1" i="47" s="1"/>
  <c r="J7" i="39"/>
  <c r="B100" i="50"/>
  <c r="A99" i="50"/>
  <c r="B64" i="50"/>
  <c r="A63" i="50"/>
  <c r="B112" i="50"/>
  <c r="A111" i="50"/>
  <c r="B286" i="50"/>
  <c r="A285" i="50"/>
  <c r="A355" i="50"/>
  <c r="B356" i="50"/>
  <c r="B274" i="50"/>
  <c r="A273" i="50"/>
  <c r="A221" i="50"/>
  <c r="B222" i="50"/>
  <c r="B160" i="50"/>
  <c r="A159" i="50"/>
  <c r="A210" i="50"/>
  <c r="B211" i="50"/>
  <c r="A135" i="50"/>
  <c r="B136" i="50"/>
  <c r="B344" i="50"/>
  <c r="A343" i="50"/>
  <c r="A172" i="50"/>
  <c r="B173" i="50"/>
  <c r="A51" i="50"/>
  <c r="B52" i="50"/>
  <c r="A195" i="50"/>
  <c r="B196" i="50"/>
  <c r="A382" i="50"/>
  <c r="B383" i="50"/>
  <c r="B394" i="50"/>
  <c r="A393" i="50"/>
  <c r="A87" i="50"/>
  <c r="B88" i="50"/>
  <c r="A127" i="50"/>
  <c r="B128" i="50"/>
  <c r="B250" i="50"/>
  <c r="A249" i="50"/>
  <c r="A309" i="50"/>
  <c r="B310" i="50"/>
  <c r="A259" i="50"/>
  <c r="B260" i="50"/>
  <c r="B78" i="50"/>
  <c r="A77" i="50"/>
  <c r="A298" i="50"/>
  <c r="B299" i="50"/>
  <c r="B237" i="50"/>
  <c r="A236" i="50"/>
  <c r="A331" i="50"/>
  <c r="B332" i="50"/>
  <c r="A148" i="50"/>
  <c r="B149" i="50"/>
  <c r="A319" i="50"/>
  <c r="B320" i="50"/>
  <c r="A39" i="50"/>
  <c r="B40" i="50"/>
  <c r="A183" i="50"/>
  <c r="B184" i="50"/>
  <c r="A29" i="50"/>
  <c r="B30" i="50"/>
  <c r="A371" i="50"/>
  <c r="B372" i="50"/>
  <c r="J30" i="7"/>
  <c r="K45" i="7" s="1"/>
  <c r="M66" i="7"/>
  <c r="J27" i="7"/>
  <c r="H51" i="9"/>
  <c r="G49" i="9" s="1"/>
  <c r="G27" i="7"/>
  <c r="G29" i="7"/>
  <c r="H29" i="7"/>
  <c r="G26" i="7"/>
  <c r="M26" i="7" s="1"/>
  <c r="I23" i="7"/>
  <c r="I30" i="7"/>
  <c r="L45" i="7" s="1"/>
  <c r="L47" i="7"/>
  <c r="C4" i="9"/>
  <c r="C3" i="9"/>
  <c r="E14" i="13"/>
  <c r="B15" i="13"/>
  <c r="E11" i="7"/>
  <c r="B12" i="11" s="1"/>
  <c r="C10" i="20"/>
  <c r="C17" i="20" s="1"/>
  <c r="C21" i="20" s="1"/>
  <c r="C23" i="20" s="1"/>
  <c r="B22" i="34"/>
  <c r="L84" i="23"/>
  <c r="L66" i="23"/>
  <c r="L249" i="23"/>
  <c r="L254" i="23"/>
  <c r="L83" i="23"/>
  <c r="L36" i="23"/>
  <c r="L258" i="23"/>
  <c r="L163" i="23"/>
  <c r="L79" i="23"/>
  <c r="L17" i="23"/>
  <c r="L31" i="23"/>
  <c r="L127" i="23"/>
  <c r="L266" i="23"/>
  <c r="L53" i="23"/>
  <c r="L119" i="23"/>
  <c r="L257" i="23"/>
  <c r="L70" i="23"/>
  <c r="L287" i="23"/>
  <c r="L63" i="23"/>
  <c r="L300" i="23"/>
  <c r="L290" i="23"/>
  <c r="L276" i="23"/>
  <c r="L73" i="23"/>
  <c r="L243" i="23"/>
  <c r="L210" i="23"/>
  <c r="L302" i="23"/>
  <c r="L285" i="23"/>
  <c r="L93" i="23"/>
  <c r="L267" i="23"/>
  <c r="L145" i="23"/>
  <c r="L261" i="23"/>
  <c r="L183" i="23"/>
  <c r="L271" i="23"/>
  <c r="L200" i="23"/>
  <c r="L291" i="23"/>
  <c r="L81" i="23"/>
  <c r="L16" i="23"/>
  <c r="L280" i="23"/>
  <c r="L294" i="23"/>
  <c r="L245" i="23"/>
  <c r="L301" i="23"/>
  <c r="L41" i="23"/>
  <c r="L96" i="23"/>
  <c r="L255" i="23"/>
  <c r="L252" i="23"/>
  <c r="L283" i="23"/>
  <c r="L190" i="23"/>
  <c r="L215" i="23"/>
  <c r="L189" i="23"/>
  <c r="L303" i="23"/>
  <c r="L268" i="23"/>
  <c r="L106" i="23"/>
  <c r="L45" i="23"/>
  <c r="L297" i="23"/>
  <c r="L244" i="23"/>
  <c r="L292" i="23"/>
  <c r="L99" i="23"/>
  <c r="L180" i="23"/>
  <c r="L269" i="23"/>
  <c r="L21" i="23"/>
  <c r="L61" i="23"/>
  <c r="L264" i="23"/>
  <c r="L278" i="23"/>
  <c r="L259" i="23"/>
  <c r="L107" i="23"/>
  <c r="L224" i="23"/>
  <c r="L19" i="23"/>
  <c r="L168" i="23"/>
  <c r="L192" i="23"/>
  <c r="L272" i="23"/>
  <c r="L28" i="23"/>
  <c r="L221" i="23"/>
  <c r="L124" i="23"/>
  <c r="L260" i="23"/>
  <c r="L298" i="23"/>
  <c r="L279" i="23"/>
  <c r="L202" i="23"/>
  <c r="L214" i="23"/>
  <c r="L176" i="23"/>
  <c r="L246" i="23"/>
  <c r="L39" i="23"/>
  <c r="L223" i="23"/>
  <c r="L293" i="23"/>
  <c r="L256" i="23"/>
  <c r="L282" i="23"/>
  <c r="L284" i="23"/>
  <c r="L130" i="23"/>
  <c r="L60" i="23"/>
  <c r="L165" i="23"/>
  <c r="L236" i="23"/>
  <c r="L295" i="23"/>
  <c r="L296" i="23"/>
  <c r="L134" i="23"/>
  <c r="L240" i="23"/>
  <c r="L48" i="23"/>
  <c r="L207" i="23"/>
  <c r="L26" i="23"/>
  <c r="L75" i="23"/>
  <c r="L133" i="23"/>
  <c r="L65" i="23"/>
  <c r="L143" i="23"/>
  <c r="L12" i="23"/>
  <c r="L58" i="23"/>
  <c r="L113" i="23"/>
  <c r="L69" i="23"/>
  <c r="L54" i="23"/>
  <c r="L206" i="23"/>
  <c r="L227" i="23"/>
  <c r="L67" i="23"/>
  <c r="L174" i="23"/>
  <c r="L59" i="23"/>
  <c r="L77" i="23"/>
  <c r="L110" i="23"/>
  <c r="L239" i="23"/>
  <c r="L181" i="23"/>
  <c r="L229" i="23"/>
  <c r="L178" i="23"/>
  <c r="L155" i="23"/>
  <c r="L91" i="23"/>
  <c r="L76" i="23"/>
  <c r="L248" i="23"/>
  <c r="L89" i="23"/>
  <c r="L52" i="23"/>
  <c r="L50" i="23"/>
  <c r="L95" i="23"/>
  <c r="L51" i="23"/>
  <c r="L286" i="23"/>
  <c r="L169" i="23"/>
  <c r="L74" i="23"/>
  <c r="L100" i="23"/>
  <c r="L98" i="23"/>
  <c r="L112" i="23"/>
  <c r="L4" i="23"/>
  <c r="N24" i="28" s="1"/>
  <c r="N392" i="7" s="1"/>
  <c r="L241" i="23"/>
  <c r="L136" i="23"/>
  <c r="L217" i="23"/>
  <c r="L11" i="23"/>
  <c r="L205" i="23"/>
  <c r="L62" i="23"/>
  <c r="L87" i="23"/>
  <c r="L140" i="23"/>
  <c r="L6" i="23"/>
  <c r="L270" i="23"/>
  <c r="L137" i="23"/>
  <c r="L233" i="23"/>
  <c r="L32" i="23"/>
  <c r="L85" i="23"/>
  <c r="L251" i="23"/>
  <c r="L289" i="23"/>
  <c r="L265" i="23"/>
  <c r="L262" i="23"/>
  <c r="L275" i="23"/>
  <c r="L5" i="23"/>
  <c r="L187" i="23"/>
  <c r="L142" i="23"/>
  <c r="L194" i="23"/>
  <c r="L273" i="23"/>
  <c r="L164" i="23"/>
  <c r="L92" i="23"/>
  <c r="L38" i="23"/>
  <c r="L88" i="23"/>
  <c r="L97" i="23"/>
  <c r="L231" i="23"/>
  <c r="L94" i="23"/>
  <c r="L103" i="23"/>
  <c r="L22" i="23"/>
  <c r="L232" i="23"/>
  <c r="L123" i="23"/>
  <c r="L80" i="23"/>
  <c r="L242" i="23"/>
  <c r="L185" i="23"/>
  <c r="L8" i="23"/>
  <c r="L108" i="23"/>
  <c r="L281" i="23"/>
  <c r="L204" i="23"/>
  <c r="L220" i="23"/>
  <c r="L78" i="23"/>
  <c r="L193" i="23"/>
  <c r="L247" i="23"/>
  <c r="L277" i="23"/>
  <c r="L253" i="23"/>
  <c r="L274" i="23"/>
  <c r="L299" i="23"/>
  <c r="L171" i="23"/>
  <c r="L160" i="23"/>
  <c r="L120" i="23"/>
  <c r="L175" i="23"/>
  <c r="L157" i="23"/>
  <c r="L199" i="23"/>
  <c r="L126" i="23"/>
  <c r="L116" i="23"/>
  <c r="L101" i="23"/>
  <c r="L226" i="23"/>
  <c r="L44" i="23"/>
  <c r="L234" i="23"/>
  <c r="L57" i="23"/>
  <c r="L18" i="23"/>
  <c r="L125" i="23"/>
  <c r="L230" i="23"/>
  <c r="L29" i="23"/>
  <c r="L152" i="23"/>
  <c r="L148" i="23"/>
  <c r="L15" i="23"/>
  <c r="L167" i="23"/>
  <c r="L24" i="23"/>
  <c r="L129" i="23"/>
  <c r="L72" i="23"/>
  <c r="L42" i="23"/>
  <c r="L212" i="23"/>
  <c r="L9" i="23"/>
  <c r="L114" i="23"/>
  <c r="L250" i="23"/>
  <c r="L237" i="23"/>
  <c r="L86" i="23"/>
  <c r="L46" i="23"/>
  <c r="L139" i="23"/>
  <c r="L55" i="23"/>
  <c r="L14" i="23"/>
  <c r="L177" i="23"/>
  <c r="L109" i="23"/>
  <c r="L132" i="23"/>
  <c r="L117" i="23"/>
  <c r="L146" i="23"/>
  <c r="L7" i="23"/>
  <c r="L144" i="23"/>
  <c r="L197" i="23"/>
  <c r="L179" i="23"/>
  <c r="L216" i="23"/>
  <c r="L195" i="23"/>
  <c r="L20" i="23"/>
  <c r="L111" i="23"/>
  <c r="L141" i="23"/>
  <c r="L263" i="23"/>
  <c r="L201" i="23"/>
  <c r="L158" i="23"/>
  <c r="L104" i="23"/>
  <c r="L162" i="23"/>
  <c r="L191" i="23"/>
  <c r="L121" i="23"/>
  <c r="L219" i="23"/>
  <c r="L154" i="23"/>
  <c r="L105" i="23"/>
  <c r="L235" i="23"/>
  <c r="L122" i="23"/>
  <c r="L102" i="23"/>
  <c r="L115" i="23"/>
  <c r="L151" i="23"/>
  <c r="L238" i="23"/>
  <c r="L228" i="23"/>
  <c r="L156" i="23"/>
  <c r="L40" i="23"/>
  <c r="L56" i="23"/>
  <c r="L225" i="23"/>
  <c r="L23" i="23"/>
  <c r="L64" i="23"/>
  <c r="L173" i="23"/>
  <c r="L10" i="23"/>
  <c r="L30" i="23"/>
  <c r="L153" i="23"/>
  <c r="L203" i="23"/>
  <c r="L43" i="23"/>
  <c r="L150" i="23"/>
  <c r="L147" i="23"/>
  <c r="L27" i="23"/>
  <c r="L118" i="23"/>
  <c r="L131" i="23"/>
  <c r="L208" i="23"/>
  <c r="L218" i="23"/>
  <c r="L128" i="23"/>
  <c r="L159" i="23"/>
  <c r="L71" i="23"/>
  <c r="L182" i="23"/>
  <c r="L209" i="23"/>
  <c r="L13" i="23"/>
  <c r="L37" i="23"/>
  <c r="L198" i="23"/>
  <c r="L172" i="23"/>
  <c r="L166" i="23"/>
  <c r="L149" i="23"/>
  <c r="L138" i="23"/>
  <c r="L34" i="23"/>
  <c r="L47" i="23"/>
  <c r="L196" i="23"/>
  <c r="L90" i="23"/>
  <c r="L35" i="23"/>
  <c r="L135" i="23"/>
  <c r="L211" i="23"/>
  <c r="L184" i="23"/>
  <c r="L68" i="23"/>
  <c r="L49" i="23"/>
  <c r="L213" i="23"/>
  <c r="L82" i="23"/>
  <c r="L186" i="23"/>
  <c r="L25" i="23"/>
  <c r="L222" i="23"/>
  <c r="L188" i="23"/>
  <c r="L33" i="23"/>
  <c r="L161" i="23"/>
  <c r="L170" i="23"/>
  <c r="AN10" i="9"/>
  <c r="AG4" i="9"/>
  <c r="D366" i="7"/>
  <c r="R91" i="9"/>
  <c r="K46" i="34"/>
  <c r="B14" i="45"/>
  <c r="H13" i="11"/>
  <c r="L56" i="7" s="1"/>
  <c r="N13" i="40"/>
  <c r="N7" i="40"/>
  <c r="D311" i="39"/>
  <c r="D26" i="28"/>
  <c r="D394" i="7" s="1"/>
  <c r="L55" i="7"/>
  <c r="I13" i="11"/>
  <c r="M56" i="7" s="1"/>
  <c r="M12" i="33"/>
  <c r="M17" i="33"/>
  <c r="D309" i="13"/>
  <c r="D364" i="7"/>
  <c r="D286" i="39"/>
  <c r="D341" i="7"/>
  <c r="D222" i="39"/>
  <c r="D277" i="7"/>
  <c r="D169" i="39"/>
  <c r="D224" i="7"/>
  <c r="D244" i="39"/>
  <c r="D299" i="7"/>
  <c r="D160" i="39"/>
  <c r="D215" i="7"/>
  <c r="D247" i="39"/>
  <c r="D302" i="7"/>
  <c r="D247" i="13"/>
  <c r="D277" i="39"/>
  <c r="D332" i="7"/>
  <c r="D286" i="13"/>
  <c r="D309" i="39"/>
  <c r="D67" i="39"/>
  <c r="D122" i="7"/>
  <c r="D20" i="33"/>
  <c r="B27" i="28"/>
  <c r="D239" i="39"/>
  <c r="D294" i="7"/>
  <c r="D271" i="39"/>
  <c r="D326" i="7"/>
  <c r="D28" i="39"/>
  <c r="D83" i="7"/>
  <c r="D77" i="39"/>
  <c r="D132" i="7"/>
  <c r="D290" i="39"/>
  <c r="D345" i="7"/>
  <c r="D129" i="39"/>
  <c r="D184" i="7"/>
  <c r="E35" i="39"/>
  <c r="D192" i="39"/>
  <c r="D247" i="7"/>
  <c r="D30" i="39"/>
  <c r="D85" i="7"/>
  <c r="N16" i="40"/>
  <c r="M55" i="7"/>
  <c r="M8" i="32"/>
  <c r="M15" i="37"/>
  <c r="M7" i="37"/>
  <c r="AN8" i="9"/>
  <c r="AG2" i="9"/>
  <c r="D13" i="39"/>
  <c r="D68" i="7"/>
  <c r="C20" i="33"/>
  <c r="D104" i="39"/>
  <c r="D159" i="7"/>
  <c r="D124" i="39"/>
  <c r="D179" i="7"/>
  <c r="D154" i="39"/>
  <c r="D209" i="7"/>
  <c r="D92" i="39"/>
  <c r="D147" i="7"/>
  <c r="D92" i="13"/>
  <c r="D207" i="39"/>
  <c r="D262" i="7"/>
  <c r="D217" i="39"/>
  <c r="D272" i="7"/>
  <c r="D229" i="13"/>
  <c r="D284" i="7"/>
  <c r="D197" i="39"/>
  <c r="D252" i="7"/>
  <c r="D257" i="39"/>
  <c r="D312" i="7"/>
  <c r="D264" i="39"/>
  <c r="D319" i="7"/>
  <c r="D274" i="39"/>
  <c r="D329" i="7"/>
  <c r="D257" i="13"/>
  <c r="D217" i="13"/>
  <c r="D255" i="39"/>
  <c r="D310" i="7"/>
  <c r="D301" i="13"/>
  <c r="D356" i="7"/>
  <c r="D304" i="39"/>
  <c r="D359" i="7"/>
  <c r="D291" i="39"/>
  <c r="D346" i="7"/>
  <c r="N11" i="40"/>
  <c r="M16" i="37"/>
  <c r="M10" i="30"/>
  <c r="D234" i="39"/>
  <c r="D289" i="7"/>
  <c r="D234" i="13"/>
  <c r="D134" i="39"/>
  <c r="D189" i="7"/>
  <c r="D134" i="13"/>
  <c r="D266" i="39"/>
  <c r="D321" i="7"/>
  <c r="D210" i="39"/>
  <c r="D265" i="7"/>
  <c r="D299" i="39"/>
  <c r="D354" i="7"/>
  <c r="D254" i="39"/>
  <c r="D309" i="7"/>
  <c r="D281" i="39"/>
  <c r="D336" i="7"/>
  <c r="D102" i="39"/>
  <c r="D157" i="7"/>
  <c r="D180" i="39"/>
  <c r="D235" i="7"/>
  <c r="D180" i="13"/>
  <c r="D62" i="39"/>
  <c r="D117" i="7"/>
  <c r="D62" i="13"/>
  <c r="N6" i="40"/>
  <c r="N9" i="40"/>
  <c r="M12" i="37"/>
  <c r="M6" i="30"/>
  <c r="M9" i="30"/>
  <c r="M9" i="33"/>
  <c r="S4" i="9"/>
  <c r="S6" i="9" s="1"/>
  <c r="S9" i="9"/>
  <c r="D305" i="13"/>
  <c r="D360" i="7"/>
  <c r="D296" i="39"/>
  <c r="D351" i="7"/>
  <c r="D84" i="39"/>
  <c r="D139" i="7"/>
  <c r="D40" i="39"/>
  <c r="D95" i="7"/>
  <c r="D84" i="13"/>
  <c r="D149" i="39"/>
  <c r="D204" i="7"/>
  <c r="D117" i="39"/>
  <c r="D172" i="7"/>
  <c r="D199" i="39"/>
  <c r="D254" i="7"/>
  <c r="D175" i="39"/>
  <c r="D230" i="7"/>
  <c r="D175" i="13"/>
  <c r="D235" i="39"/>
  <c r="D290" i="7"/>
  <c r="D221" i="39"/>
  <c r="D221" i="13"/>
  <c r="D276" i="7"/>
  <c r="D261" i="39"/>
  <c r="D316" i="7"/>
  <c r="D250" i="39"/>
  <c r="D305" i="7"/>
  <c r="D282" i="39"/>
  <c r="D337" i="7"/>
  <c r="D272" i="39"/>
  <c r="D327" i="7"/>
  <c r="D272" i="13"/>
  <c r="E38" i="39"/>
  <c r="D164" i="39"/>
  <c r="D219" i="7"/>
  <c r="D164" i="13"/>
  <c r="D240" i="13"/>
  <c r="D295" i="7"/>
  <c r="D205" i="39"/>
  <c r="D205" i="13"/>
  <c r="D260" i="7"/>
  <c r="D260" i="39"/>
  <c r="D315" i="7"/>
  <c r="D276" i="39"/>
  <c r="D276" i="13"/>
  <c r="D331" i="7"/>
  <c r="D251" i="39"/>
  <c r="D251" i="13"/>
  <c r="D306" i="7"/>
  <c r="D36" i="39"/>
  <c r="D91" i="7"/>
  <c r="D36" i="13"/>
  <c r="D294" i="39"/>
  <c r="D349" i="7"/>
  <c r="E36" i="39"/>
  <c r="D267" i="39"/>
  <c r="D322" i="7"/>
  <c r="D97" i="39"/>
  <c r="D152" i="7"/>
  <c r="D97" i="13"/>
  <c r="E39" i="39"/>
  <c r="D285" i="39"/>
  <c r="D285" i="13"/>
  <c r="D340" i="7"/>
  <c r="D147" i="39"/>
  <c r="D202" i="7"/>
  <c r="D147" i="13"/>
  <c r="D72" i="39"/>
  <c r="D127" i="7"/>
  <c r="D302" i="39"/>
  <c r="D302" i="13"/>
  <c r="D357" i="7"/>
  <c r="D182" i="39"/>
  <c r="D237" i="7"/>
  <c r="D119" i="39"/>
  <c r="D119" i="13"/>
  <c r="D174" i="7"/>
  <c r="D218" i="39"/>
  <c r="D273" i="7"/>
  <c r="M9" i="37"/>
  <c r="M18" i="30"/>
  <c r="M16" i="30"/>
  <c r="M8" i="37"/>
  <c r="D47" i="39"/>
  <c r="D102" i="7"/>
  <c r="D47" i="13"/>
  <c r="D237" i="39"/>
  <c r="D237" i="13"/>
  <c r="D292" i="7"/>
  <c r="D137" i="39"/>
  <c r="D137" i="13"/>
  <c r="D192" i="7"/>
  <c r="D270" i="39"/>
  <c r="D325" i="7"/>
  <c r="D66" i="39"/>
  <c r="D121" i="7"/>
  <c r="D66" i="13"/>
  <c r="D243" i="13"/>
  <c r="D243" i="39"/>
  <c r="D298" i="7"/>
  <c r="D81" i="39"/>
  <c r="D136" i="7"/>
  <c r="D81" i="13"/>
  <c r="D258" i="39"/>
  <c r="D258" i="13"/>
  <c r="D313" i="7"/>
  <c r="D167" i="39"/>
  <c r="D222" i="7"/>
  <c r="D280" i="39"/>
  <c r="D280" i="13"/>
  <c r="D335" i="7"/>
  <c r="D94" i="39"/>
  <c r="D149" i="7"/>
  <c r="D253" i="39"/>
  <c r="D253" i="13"/>
  <c r="D308" i="7"/>
  <c r="D107" i="39"/>
  <c r="D107" i="13"/>
  <c r="D162" i="7"/>
  <c r="D268" i="39"/>
  <c r="D323" i="7"/>
  <c r="D268" i="13"/>
  <c r="D195" i="39"/>
  <c r="D195" i="13"/>
  <c r="D250" i="7"/>
  <c r="D289" i="13"/>
  <c r="D344" i="7"/>
  <c r="D122" i="39"/>
  <c r="D177" i="7"/>
  <c r="D122" i="13"/>
  <c r="D263" i="39"/>
  <c r="D318" i="7"/>
  <c r="D263" i="13"/>
  <c r="D135" i="39"/>
  <c r="D190" i="7"/>
  <c r="D278" i="39"/>
  <c r="D333" i="7"/>
  <c r="D278" i="13"/>
  <c r="D216" i="39"/>
  <c r="D216" i="13"/>
  <c r="D271" i="7"/>
  <c r="D298" i="39"/>
  <c r="D353" i="7"/>
  <c r="D298" i="13"/>
  <c r="D150" i="39"/>
  <c r="D150" i="13"/>
  <c r="D205" i="7"/>
  <c r="D273" i="39"/>
  <c r="D328" i="7"/>
  <c r="B22" i="33"/>
  <c r="C21" i="33"/>
  <c r="D165" i="39"/>
  <c r="D220" i="7"/>
  <c r="D165" i="13"/>
  <c r="D288" i="39"/>
  <c r="D343" i="7"/>
  <c r="D288" i="13"/>
  <c r="D225" i="39"/>
  <c r="D225" i="13"/>
  <c r="D280" i="7"/>
  <c r="D307" i="39"/>
  <c r="D362" i="7"/>
  <c r="D307" i="13"/>
  <c r="D177" i="39"/>
  <c r="D177" i="13"/>
  <c r="D232" i="7"/>
  <c r="D283" i="39"/>
  <c r="D283" i="13"/>
  <c r="D338" i="7"/>
  <c r="D193" i="39"/>
  <c r="D193" i="13"/>
  <c r="D248" i="7"/>
  <c r="D297" i="39"/>
  <c r="D352" i="7"/>
  <c r="D54" i="13"/>
  <c r="D54" i="39"/>
  <c r="D109" i="7"/>
  <c r="D238" i="39"/>
  <c r="D238" i="13"/>
  <c r="D293" i="7"/>
  <c r="D203" i="39"/>
  <c r="D258" i="7"/>
  <c r="D203" i="13"/>
  <c r="D293" i="39"/>
  <c r="D293" i="13"/>
  <c r="D348" i="7"/>
  <c r="D214" i="39"/>
  <c r="D269" i="7"/>
  <c r="D306" i="39"/>
  <c r="D306" i="13"/>
  <c r="D361" i="7"/>
  <c r="D82" i="39"/>
  <c r="D137" i="7"/>
  <c r="D248" i="39"/>
  <c r="D303" i="7"/>
  <c r="D248" i="13"/>
  <c r="D219" i="39"/>
  <c r="D274" i="7"/>
  <c r="D224" i="39"/>
  <c r="D279" i="7"/>
  <c r="D224" i="13"/>
  <c r="D114" i="39"/>
  <c r="D114" i="13"/>
  <c r="D169" i="7"/>
  <c r="D259" i="39"/>
  <c r="D314" i="7"/>
  <c r="D17" i="39"/>
  <c r="D17" i="13"/>
  <c r="D72" i="7"/>
  <c r="D231" i="39"/>
  <c r="D231" i="13"/>
  <c r="D286" i="7"/>
  <c r="D310" i="39"/>
  <c r="D365" i="7"/>
  <c r="M21" i="30"/>
  <c r="M12" i="32"/>
  <c r="M6" i="33"/>
  <c r="N17" i="40"/>
  <c r="M17" i="37"/>
  <c r="N10" i="40"/>
  <c r="M8" i="30"/>
  <c r="M13" i="30"/>
  <c r="M16" i="32"/>
  <c r="M14" i="33"/>
  <c r="M9" i="32"/>
  <c r="M17" i="32"/>
  <c r="N14" i="40"/>
  <c r="M11" i="37"/>
  <c r="M14" i="37"/>
  <c r="M13" i="33"/>
  <c r="M19" i="30"/>
  <c r="M13" i="32"/>
  <c r="M8" i="33"/>
  <c r="M6" i="32"/>
  <c r="M23" i="30"/>
  <c r="N8" i="40"/>
  <c r="M20" i="30"/>
  <c r="M11" i="30"/>
  <c r="M7" i="33"/>
  <c r="M16" i="33"/>
  <c r="M10" i="32"/>
  <c r="M15" i="30"/>
  <c r="N12" i="40"/>
  <c r="M12" i="30"/>
  <c r="M6" i="37"/>
  <c r="M15" i="33"/>
  <c r="M17" i="30"/>
  <c r="M14" i="32"/>
  <c r="M7" i="30"/>
  <c r="D242" i="39"/>
  <c r="D242" i="13"/>
  <c r="D297" i="7"/>
  <c r="D303" i="39"/>
  <c r="D303" i="13"/>
  <c r="D358" i="7"/>
  <c r="D179" i="39"/>
  <c r="D234" i="7"/>
  <c r="D179" i="13"/>
  <c r="D152" i="13"/>
  <c r="D152" i="39"/>
  <c r="D207" i="7"/>
  <c r="D249" i="39"/>
  <c r="D304" i="7"/>
  <c r="D249" i="13"/>
  <c r="D308" i="39"/>
  <c r="D308" i="13"/>
  <c r="D363" i="7"/>
  <c r="D43" i="39"/>
  <c r="D98" i="7"/>
  <c r="D43" i="13"/>
  <c r="D208" i="39"/>
  <c r="D208" i="13"/>
  <c r="D263" i="7"/>
  <c r="B27" i="30"/>
  <c r="D26" i="30"/>
  <c r="C27" i="30"/>
  <c r="D190" i="39"/>
  <c r="D245" i="7"/>
  <c r="D190" i="13"/>
  <c r="D311" i="7"/>
  <c r="D256" i="39"/>
  <c r="D256" i="13"/>
  <c r="D64" i="39"/>
  <c r="D119" i="7"/>
  <c r="D64" i="13"/>
  <c r="D223" i="39"/>
  <c r="D223" i="13"/>
  <c r="D278" i="7"/>
  <c r="D295" i="39"/>
  <c r="D295" i="13"/>
  <c r="D350" i="7"/>
  <c r="D32" i="39"/>
  <c r="D32" i="13"/>
  <c r="D87" i="7"/>
  <c r="D201" i="39"/>
  <c r="D201" i="13"/>
  <c r="D256" i="7"/>
  <c r="D262" i="39"/>
  <c r="D262" i="13"/>
  <c r="D317" i="7"/>
  <c r="D79" i="39"/>
  <c r="D134" i="7"/>
  <c r="D79" i="13"/>
  <c r="D233" i="39"/>
  <c r="D233" i="13"/>
  <c r="D288" i="7"/>
  <c r="D300" i="39"/>
  <c r="D355" i="7"/>
  <c r="D300" i="13"/>
  <c r="D51" i="39"/>
  <c r="D51" i="13"/>
  <c r="D106" i="7"/>
  <c r="D269" i="39"/>
  <c r="D269" i="13"/>
  <c r="D324" i="7"/>
  <c r="D246" i="39"/>
  <c r="D246" i="13"/>
  <c r="D301" i="7"/>
  <c r="D212" i="39"/>
  <c r="D212" i="13"/>
  <c r="D267" i="7"/>
  <c r="D99" i="39"/>
  <c r="D154" i="7"/>
  <c r="D99" i="13"/>
  <c r="D69" i="13"/>
  <c r="D124" i="7"/>
  <c r="D69" i="39"/>
  <c r="D220" i="39"/>
  <c r="D220" i="13"/>
  <c r="D275" i="7"/>
  <c r="D275" i="39"/>
  <c r="D330" i="7"/>
  <c r="D275" i="13"/>
  <c r="D120" i="39"/>
  <c r="D120" i="13"/>
  <c r="D175" i="7"/>
  <c r="D252" i="39"/>
  <c r="D307" i="7"/>
  <c r="D252" i="13"/>
  <c r="D87" i="39"/>
  <c r="D87" i="13"/>
  <c r="D142" i="7"/>
  <c r="D227" i="39"/>
  <c r="D282" i="7"/>
  <c r="D227" i="13"/>
  <c r="D287" i="39"/>
  <c r="D342" i="7"/>
  <c r="D287" i="13"/>
  <c r="D139" i="39"/>
  <c r="D139" i="13"/>
  <c r="D194" i="7"/>
  <c r="D265" i="39"/>
  <c r="D265" i="13"/>
  <c r="D320" i="7"/>
  <c r="B21" i="32"/>
  <c r="D20" i="32"/>
  <c r="C20" i="32"/>
  <c r="D109" i="39"/>
  <c r="D109" i="13"/>
  <c r="D164" i="7"/>
  <c r="D236" i="39"/>
  <c r="D236" i="13"/>
  <c r="D291" i="7"/>
  <c r="D292" i="39"/>
  <c r="D292" i="13"/>
  <c r="D347" i="7"/>
  <c r="D162" i="39"/>
  <c r="D217" i="7"/>
  <c r="D162" i="13"/>
  <c r="D279" i="39"/>
  <c r="D334" i="7"/>
  <c r="D279" i="13"/>
  <c r="D132" i="39"/>
  <c r="D132" i="13"/>
  <c r="D187" i="7"/>
  <c r="D21" i="39"/>
  <c r="D21" i="13"/>
  <c r="D76" i="7"/>
  <c r="D284" i="39"/>
  <c r="D339" i="7"/>
  <c r="D284" i="13"/>
  <c r="D34" i="39"/>
  <c r="D34" i="13"/>
  <c r="D89" i="7"/>
  <c r="D116" i="39"/>
  <c r="D116" i="13"/>
  <c r="D171" i="7"/>
  <c r="D161" i="13"/>
  <c r="D161" i="39"/>
  <c r="D216" i="7"/>
  <c r="D189" i="13"/>
  <c r="D189" i="39"/>
  <c r="D244" i="7"/>
  <c r="D125" i="39"/>
  <c r="D125" i="13"/>
  <c r="D180" i="7"/>
  <c r="D61" i="39"/>
  <c r="D61" i="13"/>
  <c r="D116" i="7"/>
  <c r="D33" i="39"/>
  <c r="D33" i="13"/>
  <c r="D88" i="7"/>
  <c r="D153" i="39"/>
  <c r="D153" i="13"/>
  <c r="D208" i="7"/>
  <c r="D89" i="13"/>
  <c r="D89" i="39"/>
  <c r="D144" i="7"/>
  <c r="D25" i="39"/>
  <c r="D25" i="13"/>
  <c r="D80" i="7"/>
  <c r="D88" i="39"/>
  <c r="D88" i="13"/>
  <c r="D143" i="7"/>
  <c r="D163" i="39"/>
  <c r="D163" i="13"/>
  <c r="D218" i="7"/>
  <c r="D211" i="39"/>
  <c r="D211" i="13"/>
  <c r="D266" i="7"/>
  <c r="D38" i="39"/>
  <c r="D38" i="13"/>
  <c r="D93" i="7"/>
  <c r="D184" i="39"/>
  <c r="D184" i="13"/>
  <c r="D239" i="7"/>
  <c r="D75" i="39"/>
  <c r="D75" i="13"/>
  <c r="D130" i="7"/>
  <c r="D194" i="39"/>
  <c r="D194" i="13"/>
  <c r="D249" i="7"/>
  <c r="D49" i="39"/>
  <c r="D49" i="13"/>
  <c r="D104" i="7"/>
  <c r="D126" i="39"/>
  <c r="D126" i="13"/>
  <c r="D181" i="7"/>
  <c r="D166" i="39"/>
  <c r="D166" i="13"/>
  <c r="D221" i="7"/>
  <c r="D185" i="39"/>
  <c r="D185" i="13"/>
  <c r="D240" i="7"/>
  <c r="D121" i="13"/>
  <c r="D121" i="39"/>
  <c r="D176" i="7"/>
  <c r="D57" i="39"/>
  <c r="D57" i="13"/>
  <c r="D112" i="7"/>
  <c r="D22" i="39"/>
  <c r="D22" i="13"/>
  <c r="D77" i="7"/>
  <c r="D142" i="39"/>
  <c r="D142" i="13"/>
  <c r="D197" i="7"/>
  <c r="D78" i="39"/>
  <c r="D78" i="13"/>
  <c r="D133" i="7"/>
  <c r="D50" i="39"/>
  <c r="D50" i="13"/>
  <c r="D105" i="7"/>
  <c r="D103" i="39"/>
  <c r="D103" i="13"/>
  <c r="D158" i="7"/>
  <c r="D168" i="39"/>
  <c r="D168" i="13"/>
  <c r="D223" i="7"/>
  <c r="D215" i="39"/>
  <c r="D215" i="13"/>
  <c r="D270" i="7"/>
  <c r="D53" i="39"/>
  <c r="D53" i="13"/>
  <c r="D108" i="7"/>
  <c r="D204" i="39"/>
  <c r="D204" i="13"/>
  <c r="D259" i="7"/>
  <c r="D85" i="39"/>
  <c r="D85" i="13"/>
  <c r="D140" i="7"/>
  <c r="D198" i="39"/>
  <c r="D198" i="13"/>
  <c r="D253" i="7"/>
  <c r="D56" i="39"/>
  <c r="D56" i="13"/>
  <c r="D111" i="7"/>
  <c r="D131" i="39"/>
  <c r="D131" i="13"/>
  <c r="D186" i="7"/>
  <c r="D171" i="39"/>
  <c r="D171" i="13"/>
  <c r="D226" i="7"/>
  <c r="D174" i="39"/>
  <c r="D174" i="13"/>
  <c r="D229" i="7"/>
  <c r="D110" i="39"/>
  <c r="D110" i="13"/>
  <c r="D165" i="7"/>
  <c r="D46" i="39"/>
  <c r="D46" i="13"/>
  <c r="D101" i="7"/>
  <c r="D18" i="39"/>
  <c r="D18" i="13"/>
  <c r="D73" i="7"/>
  <c r="D138" i="39"/>
  <c r="D138" i="13"/>
  <c r="D193" i="7"/>
  <c r="D74" i="39"/>
  <c r="D74" i="13"/>
  <c r="D129" i="7"/>
  <c r="D39" i="39"/>
  <c r="D39" i="13"/>
  <c r="D94" i="7"/>
  <c r="D118" i="39"/>
  <c r="D118" i="13"/>
  <c r="D173" i="7"/>
  <c r="D173" i="39"/>
  <c r="D173" i="13"/>
  <c r="D228" i="7"/>
  <c r="D226" i="39"/>
  <c r="D226" i="13"/>
  <c r="D281" i="7"/>
  <c r="D58" i="39"/>
  <c r="D58" i="13"/>
  <c r="D113" i="7"/>
  <c r="D26" i="39"/>
  <c r="D26" i="13"/>
  <c r="D81" i="7"/>
  <c r="D90" i="39"/>
  <c r="D90" i="13"/>
  <c r="D145" i="7"/>
  <c r="D209" i="39"/>
  <c r="D209" i="13"/>
  <c r="D264" i="7"/>
  <c r="D71" i="39"/>
  <c r="D71" i="13"/>
  <c r="D126" i="7"/>
  <c r="D136" i="39"/>
  <c r="D136" i="13"/>
  <c r="D191" i="7"/>
  <c r="D181" i="39"/>
  <c r="D181" i="13"/>
  <c r="D236" i="7"/>
  <c r="D170" i="39"/>
  <c r="D170" i="13"/>
  <c r="D225" i="7"/>
  <c r="D106" i="39"/>
  <c r="D106" i="13"/>
  <c r="D161" i="7"/>
  <c r="D42" i="39"/>
  <c r="D42" i="13"/>
  <c r="D97" i="7"/>
  <c r="D14" i="39"/>
  <c r="D14" i="13"/>
  <c r="D69" i="7"/>
  <c r="D127" i="39"/>
  <c r="D127" i="13"/>
  <c r="D182" i="7"/>
  <c r="D63" i="39"/>
  <c r="D63" i="13"/>
  <c r="D118" i="7"/>
  <c r="D35" i="39"/>
  <c r="D35" i="13"/>
  <c r="D90" i="7"/>
  <c r="D128" i="39"/>
  <c r="D128" i="13"/>
  <c r="D183" i="7"/>
  <c r="D178" i="39"/>
  <c r="D178" i="13"/>
  <c r="D233" i="7"/>
  <c r="D230" i="39"/>
  <c r="D230" i="13"/>
  <c r="D285" i="7"/>
  <c r="D68" i="39"/>
  <c r="D68" i="13"/>
  <c r="D123" i="7"/>
  <c r="D41" i="39"/>
  <c r="D41" i="13"/>
  <c r="D96" i="7"/>
  <c r="D100" i="39"/>
  <c r="D100" i="13"/>
  <c r="D155" i="7"/>
  <c r="D213" i="39"/>
  <c r="D213" i="13"/>
  <c r="D268" i="7"/>
  <c r="E40" i="39"/>
  <c r="D86" i="39"/>
  <c r="D86" i="13"/>
  <c r="D141" i="7"/>
  <c r="D141" i="13"/>
  <c r="D141" i="39"/>
  <c r="D196" i="7"/>
  <c r="D186" i="39"/>
  <c r="D186" i="13"/>
  <c r="D241" i="7"/>
  <c r="D159" i="39"/>
  <c r="D159" i="13"/>
  <c r="D214" i="7"/>
  <c r="D95" i="39"/>
  <c r="D95" i="13"/>
  <c r="D150" i="7"/>
  <c r="D31" i="39"/>
  <c r="D31" i="13"/>
  <c r="D86" i="7"/>
  <c r="D187" i="39"/>
  <c r="D187" i="13"/>
  <c r="D242" i="7"/>
  <c r="D123" i="39"/>
  <c r="D123" i="13"/>
  <c r="D178" i="7"/>
  <c r="D59" i="39"/>
  <c r="D59" i="13"/>
  <c r="D114" i="7"/>
  <c r="D24" i="39"/>
  <c r="D24" i="13"/>
  <c r="D79" i="7"/>
  <c r="D133" i="39"/>
  <c r="D133" i="13"/>
  <c r="D188" i="7"/>
  <c r="D183" i="39"/>
  <c r="D183" i="13"/>
  <c r="D238" i="7"/>
  <c r="D241" i="39"/>
  <c r="D241" i="13"/>
  <c r="D296" i="7"/>
  <c r="D73" i="39"/>
  <c r="D73" i="13"/>
  <c r="D128" i="7"/>
  <c r="D55" i="39"/>
  <c r="D55" i="13"/>
  <c r="D110" i="7"/>
  <c r="D105" i="39"/>
  <c r="D105" i="13"/>
  <c r="D160" i="7"/>
  <c r="D228" i="39"/>
  <c r="D228" i="13"/>
  <c r="D283" i="7"/>
  <c r="E34" i="39"/>
  <c r="E37" i="39"/>
  <c r="D96" i="39"/>
  <c r="D96" i="13"/>
  <c r="D151" i="7"/>
  <c r="D146" i="39"/>
  <c r="D146" i="13"/>
  <c r="D201" i="7"/>
  <c r="D191" i="39"/>
  <c r="D191" i="13"/>
  <c r="D246" i="7"/>
  <c r="D155" i="39"/>
  <c r="D155" i="13"/>
  <c r="D210" i="7"/>
  <c r="D91" i="39"/>
  <c r="D91" i="13"/>
  <c r="D146" i="7"/>
  <c r="D27" i="39"/>
  <c r="D27" i="13"/>
  <c r="D82" i="7"/>
  <c r="D176" i="39"/>
  <c r="D176" i="13"/>
  <c r="D231" i="7"/>
  <c r="D112" i="39"/>
  <c r="D112" i="13"/>
  <c r="D167" i="7"/>
  <c r="D48" i="39"/>
  <c r="D48" i="13"/>
  <c r="D103" i="7"/>
  <c r="D20" i="39"/>
  <c r="D20" i="13"/>
  <c r="D75" i="7"/>
  <c r="D143" i="39"/>
  <c r="D143" i="13"/>
  <c r="D198" i="7"/>
  <c r="D188" i="39"/>
  <c r="D188" i="13"/>
  <c r="D243" i="7"/>
  <c r="D245" i="39"/>
  <c r="D245" i="13"/>
  <c r="D300" i="7"/>
  <c r="D83" i="39"/>
  <c r="D83" i="13"/>
  <c r="D138" i="7"/>
  <c r="D60" i="39"/>
  <c r="D60" i="13"/>
  <c r="D115" i="7"/>
  <c r="D115" i="39"/>
  <c r="D115" i="13"/>
  <c r="D170" i="7"/>
  <c r="D232" i="39"/>
  <c r="D232" i="13"/>
  <c r="D287" i="7"/>
  <c r="D101" i="13"/>
  <c r="D101" i="39"/>
  <c r="D156" i="7"/>
  <c r="D151" i="39"/>
  <c r="D151" i="13"/>
  <c r="D206" i="7"/>
  <c r="D202" i="39"/>
  <c r="D202" i="13"/>
  <c r="D257" i="7"/>
  <c r="D144" i="39"/>
  <c r="D144" i="13"/>
  <c r="D199" i="7"/>
  <c r="D80" i="39"/>
  <c r="D80" i="13"/>
  <c r="D135" i="7"/>
  <c r="D52" i="39"/>
  <c r="D52" i="13"/>
  <c r="D107" i="7"/>
  <c r="D172" i="39"/>
  <c r="D172" i="13"/>
  <c r="D227" i="7"/>
  <c r="D108" i="39"/>
  <c r="D108" i="13"/>
  <c r="D163" i="7"/>
  <c r="D44" i="39"/>
  <c r="D44" i="13"/>
  <c r="D99" i="7"/>
  <c r="D16" i="39"/>
  <c r="D16" i="13"/>
  <c r="D71" i="7"/>
  <c r="D148" i="39"/>
  <c r="D148" i="13"/>
  <c r="D203" i="7"/>
  <c r="D196" i="39"/>
  <c r="D196" i="13"/>
  <c r="D251" i="7"/>
  <c r="D15" i="39"/>
  <c r="D15" i="13"/>
  <c r="D70" i="7"/>
  <c r="D98" i="39"/>
  <c r="D98" i="13"/>
  <c r="D153" i="7"/>
  <c r="D65" i="39"/>
  <c r="D65" i="13"/>
  <c r="D120" i="7"/>
  <c r="D130" i="39"/>
  <c r="D130" i="13"/>
  <c r="D185" i="7"/>
  <c r="B21" i="37"/>
  <c r="D20" i="37"/>
  <c r="C21" i="37"/>
  <c r="B255" i="36"/>
  <c r="D19" i="39"/>
  <c r="D19" i="13"/>
  <c r="D74" i="7"/>
  <c r="D111" i="39"/>
  <c r="D111" i="13"/>
  <c r="D166" i="7"/>
  <c r="D156" i="39"/>
  <c r="D156" i="13"/>
  <c r="D211" i="7"/>
  <c r="D206" i="39"/>
  <c r="D206" i="13"/>
  <c r="D261" i="7"/>
  <c r="D140" i="39"/>
  <c r="D140" i="13"/>
  <c r="D195" i="7"/>
  <c r="D76" i="39"/>
  <c r="D76" i="13"/>
  <c r="D131" i="7"/>
  <c r="D37" i="39"/>
  <c r="D37" i="13"/>
  <c r="D92" i="7"/>
  <c r="D157" i="13"/>
  <c r="D157" i="39"/>
  <c r="D212" i="7"/>
  <c r="D93" i="39"/>
  <c r="D93" i="13"/>
  <c r="D148" i="7"/>
  <c r="D29" i="39"/>
  <c r="D29" i="13"/>
  <c r="D84" i="7"/>
  <c r="D45" i="39"/>
  <c r="D45" i="13"/>
  <c r="D100" i="7"/>
  <c r="D158" i="39"/>
  <c r="D158" i="13"/>
  <c r="D213" i="7"/>
  <c r="D200" i="39"/>
  <c r="D200" i="13"/>
  <c r="D255" i="7"/>
  <c r="D23" i="39"/>
  <c r="D23" i="13"/>
  <c r="D78" i="7"/>
  <c r="D113" i="39"/>
  <c r="D113" i="13"/>
  <c r="D168" i="7"/>
  <c r="D70" i="39"/>
  <c r="D70" i="13"/>
  <c r="D125" i="7"/>
  <c r="D145" i="39"/>
  <c r="D145" i="13"/>
  <c r="D200" i="7"/>
  <c r="B42" i="39"/>
  <c r="E41" i="39"/>
  <c r="C21" i="40"/>
  <c r="E20" i="40"/>
  <c r="D20" i="40"/>
  <c r="C30" i="35"/>
  <c r="C29" i="35" s="1"/>
  <c r="B11" i="11" s="1"/>
  <c r="M7" i="32"/>
  <c r="M11" i="32"/>
  <c r="M11" i="33"/>
  <c r="M10" i="33"/>
  <c r="M10" i="37"/>
  <c r="M13" i="37"/>
  <c r="M14" i="30"/>
  <c r="M15" i="32"/>
  <c r="J3" i="46"/>
  <c r="M22" i="30"/>
  <c r="AH2" i="46"/>
  <c r="B17" i="11"/>
  <c r="K29" i="34"/>
  <c r="B36" i="34" s="1"/>
  <c r="L3" i="39"/>
  <c r="M3" i="13"/>
  <c r="I2" i="37"/>
  <c r="I2" i="30"/>
  <c r="I2" i="32"/>
  <c r="B9" i="11"/>
  <c r="I2" i="33"/>
  <c r="I2" i="28"/>
  <c r="F4" i="13"/>
  <c r="G3" i="46" s="1"/>
  <c r="J2" i="40"/>
  <c r="F4" i="39"/>
  <c r="C4" i="12"/>
  <c r="C10" i="12"/>
  <c r="B395" i="7"/>
  <c r="C395" i="7" s="1"/>
  <c r="X3" i="28"/>
  <c r="Q373" i="7"/>
  <c r="F40" i="20"/>
  <c r="F41" i="20" s="1"/>
  <c r="C41" i="20" s="1"/>
  <c r="C43" i="20" s="1"/>
  <c r="G376" i="7"/>
  <c r="N2" i="12"/>
  <c r="K4" i="12" s="1"/>
  <c r="B10" i="12"/>
  <c r="C3" i="12"/>
  <c r="D3" i="12" s="1"/>
  <c r="L49" i="7" l="1"/>
  <c r="B9" i="46"/>
  <c r="E9" i="46" s="1"/>
  <c r="E69" i="7" s="1"/>
  <c r="D8" i="46"/>
  <c r="T8" i="46"/>
  <c r="AA8" i="46" s="1"/>
  <c r="B70" i="7"/>
  <c r="O69" i="7"/>
  <c r="J2" i="47"/>
  <c r="J3" i="47" s="1"/>
  <c r="J4" i="47" s="1"/>
  <c r="J5" i="47" s="1"/>
  <c r="J6" i="47" s="1"/>
  <c r="J7" i="47" s="1"/>
  <c r="J8" i="47" s="1"/>
  <c r="J9" i="47" s="1"/>
  <c r="J10" i="47" s="1"/>
  <c r="J11" i="47" s="1"/>
  <c r="J12" i="47" s="1"/>
  <c r="J13" i="47" s="1"/>
  <c r="J14" i="47" s="1"/>
  <c r="J15" i="47" s="1"/>
  <c r="J16" i="47" s="1"/>
  <c r="J17" i="47" s="1"/>
  <c r="J18" i="47" s="1"/>
  <c r="J19" i="47" s="1"/>
  <c r="J20" i="47" s="1"/>
  <c r="J21" i="47" s="1"/>
  <c r="J22" i="47" s="1"/>
  <c r="J23" i="47" s="1"/>
  <c r="J24" i="47" s="1"/>
  <c r="J25" i="47" s="1"/>
  <c r="J26" i="47" s="1"/>
  <c r="A274" i="50"/>
  <c r="B275" i="50"/>
  <c r="B357" i="50"/>
  <c r="A356" i="50"/>
  <c r="B113" i="50"/>
  <c r="A112" i="50"/>
  <c r="A286" i="50"/>
  <c r="B287" i="50"/>
  <c r="B65" i="50"/>
  <c r="A64" i="50"/>
  <c r="B223" i="50"/>
  <c r="A222" i="50"/>
  <c r="A100" i="50"/>
  <c r="B101" i="50"/>
  <c r="A211" i="50"/>
  <c r="B212" i="50"/>
  <c r="A160" i="50"/>
  <c r="B161" i="50"/>
  <c r="A394" i="50"/>
  <c r="B395" i="50"/>
  <c r="A383" i="50"/>
  <c r="B384" i="50"/>
  <c r="A196" i="50"/>
  <c r="B197" i="50"/>
  <c r="A372" i="50"/>
  <c r="B373" i="50"/>
  <c r="A52" i="50"/>
  <c r="B53" i="50"/>
  <c r="B238" i="50"/>
  <c r="A237" i="50"/>
  <c r="A30" i="50"/>
  <c r="B31" i="50"/>
  <c r="A88" i="50"/>
  <c r="B89" i="50"/>
  <c r="A260" i="50"/>
  <c r="B261" i="50"/>
  <c r="B150" i="50"/>
  <c r="A149" i="50"/>
  <c r="A332" i="50"/>
  <c r="B333" i="50"/>
  <c r="B174" i="50"/>
  <c r="A173" i="50"/>
  <c r="B345" i="50"/>
  <c r="A344" i="50"/>
  <c r="B321" i="50"/>
  <c r="A320" i="50"/>
  <c r="A310" i="50"/>
  <c r="B311" i="50"/>
  <c r="A128" i="50"/>
  <c r="B129" i="50"/>
  <c r="A129" i="50" s="1"/>
  <c r="B185" i="50"/>
  <c r="A184" i="50"/>
  <c r="A299" i="50"/>
  <c r="B300" i="50"/>
  <c r="B137" i="50"/>
  <c r="A136" i="50"/>
  <c r="B251" i="50"/>
  <c r="A250" i="50"/>
  <c r="A40" i="50"/>
  <c r="B41" i="50"/>
  <c r="B79" i="50"/>
  <c r="A78" i="50"/>
  <c r="I46" i="9"/>
  <c r="H15" i="7" s="1"/>
  <c r="O19" i="7" s="1"/>
  <c r="P19" i="7" s="1"/>
  <c r="D4" i="9"/>
  <c r="D3" i="9"/>
  <c r="V40" i="9"/>
  <c r="E15" i="13"/>
  <c r="B16" i="13"/>
  <c r="G11" i="11"/>
  <c r="J2" i="33"/>
  <c r="L13" i="33" s="1"/>
  <c r="S10" i="9"/>
  <c r="C45" i="20"/>
  <c r="H37" i="7"/>
  <c r="C44" i="20"/>
  <c r="AG3" i="46"/>
  <c r="R92" i="9"/>
  <c r="B18" i="11"/>
  <c r="H8" i="11" s="1"/>
  <c r="B28" i="28"/>
  <c r="D27" i="28"/>
  <c r="D395" i="7" s="1"/>
  <c r="C27" i="28"/>
  <c r="I4" i="39"/>
  <c r="J4" i="13"/>
  <c r="B40" i="34" s="1"/>
  <c r="B23" i="33"/>
  <c r="C22" i="33"/>
  <c r="D22" i="33"/>
  <c r="B22" i="32"/>
  <c r="C21" i="32"/>
  <c r="D21" i="32"/>
  <c r="B28" i="30"/>
  <c r="D27" i="30"/>
  <c r="C28" i="30"/>
  <c r="D21" i="40"/>
  <c r="E21" i="40"/>
  <c r="C22" i="40"/>
  <c r="B43" i="39"/>
  <c r="E42" i="39"/>
  <c r="C22" i="37"/>
  <c r="B22" i="37"/>
  <c r="D21" i="37"/>
  <c r="B256" i="36"/>
  <c r="AA7" i="46"/>
  <c r="H7" i="11"/>
  <c r="I7" i="11"/>
  <c r="G19" i="11"/>
  <c r="H19" i="11"/>
  <c r="I19" i="11"/>
  <c r="F19" i="11"/>
  <c r="E19" i="11"/>
  <c r="B24" i="11"/>
  <c r="G12" i="11" s="1"/>
  <c r="K55" i="7" s="1"/>
  <c r="AB16" i="35"/>
  <c r="G11" i="12"/>
  <c r="D4" i="12"/>
  <c r="D6" i="12" s="1"/>
  <c r="B396" i="7"/>
  <c r="C396" i="7" s="1"/>
  <c r="C24" i="20"/>
  <c r="C25" i="20"/>
  <c r="C26" i="20"/>
  <c r="C28" i="20" s="1"/>
  <c r="C12" i="13"/>
  <c r="K5" i="12"/>
  <c r="C67" i="7"/>
  <c r="C7" i="46"/>
  <c r="C12" i="39"/>
  <c r="L4" i="12"/>
  <c r="D7" i="46" s="1"/>
  <c r="C7" i="26" l="1"/>
  <c r="B39" i="34"/>
  <c r="D9" i="46"/>
  <c r="T9" i="46"/>
  <c r="AA9" i="46" s="1"/>
  <c r="B10" i="46"/>
  <c r="D10" i="46" s="1"/>
  <c r="B71" i="7"/>
  <c r="A65" i="50"/>
  <c r="B66" i="50"/>
  <c r="A287" i="50"/>
  <c r="B288" i="50"/>
  <c r="B358" i="50"/>
  <c r="A357" i="50"/>
  <c r="A275" i="50"/>
  <c r="B276" i="50"/>
  <c r="B102" i="50"/>
  <c r="A101" i="50"/>
  <c r="A223" i="50"/>
  <c r="B224" i="50"/>
  <c r="A113" i="50"/>
  <c r="B114" i="50"/>
  <c r="B162" i="50"/>
  <c r="A161" i="50"/>
  <c r="B213" i="50"/>
  <c r="A213" i="50" s="1"/>
  <c r="A212" i="50"/>
  <c r="B138" i="50"/>
  <c r="A137" i="50"/>
  <c r="A300" i="50"/>
  <c r="B301" i="50"/>
  <c r="A333" i="50"/>
  <c r="B334" i="50"/>
  <c r="B186" i="50"/>
  <c r="A185" i="50"/>
  <c r="A197" i="50"/>
  <c r="B198" i="50"/>
  <c r="A79" i="50"/>
  <c r="B80" i="50"/>
  <c r="A150" i="50"/>
  <c r="B151" i="50"/>
  <c r="B346" i="50"/>
  <c r="A345" i="50"/>
  <c r="A174" i="50"/>
  <c r="B175" i="50"/>
  <c r="A373" i="50"/>
  <c r="B374" i="50"/>
  <c r="A374" i="50" s="1"/>
  <c r="B312" i="50"/>
  <c r="A311" i="50"/>
  <c r="B262" i="50"/>
  <c r="A261" i="50"/>
  <c r="B385" i="50"/>
  <c r="A384" i="50"/>
  <c r="B239" i="50"/>
  <c r="A238" i="50"/>
  <c r="A41" i="50"/>
  <c r="B42" i="50"/>
  <c r="B90" i="50"/>
  <c r="A89" i="50"/>
  <c r="A395" i="50"/>
  <c r="B396" i="50"/>
  <c r="A396" i="50" s="1"/>
  <c r="A251" i="50"/>
  <c r="B252" i="50"/>
  <c r="A31" i="50"/>
  <c r="B32" i="50"/>
  <c r="B54" i="50"/>
  <c r="A53" i="50"/>
  <c r="B322" i="50"/>
  <c r="A321" i="50"/>
  <c r="E16" i="13"/>
  <c r="B17" i="13"/>
  <c r="AB14" i="35"/>
  <c r="B22" i="11"/>
  <c r="E12" i="11" s="1"/>
  <c r="I55" i="7" s="1"/>
  <c r="AB15" i="35"/>
  <c r="AB2" i="35"/>
  <c r="J2" i="28"/>
  <c r="L24" i="28" s="1"/>
  <c r="L392" i="7" s="1"/>
  <c r="F5" i="39"/>
  <c r="D7" i="39" s="1"/>
  <c r="L11" i="33"/>
  <c r="K2" i="40"/>
  <c r="M15" i="40" s="1"/>
  <c r="L15" i="33"/>
  <c r="J2" i="37"/>
  <c r="L11" i="37" s="1"/>
  <c r="L8" i="33"/>
  <c r="F5" i="13"/>
  <c r="G4" i="46" s="1"/>
  <c r="L7" i="33"/>
  <c r="L16" i="33"/>
  <c r="J2" i="30"/>
  <c r="L23" i="30" s="1"/>
  <c r="L17" i="33"/>
  <c r="L6" i="33"/>
  <c r="L10" i="33"/>
  <c r="L9" i="33"/>
  <c r="L12" i="33"/>
  <c r="L14" i="33"/>
  <c r="B10" i="11"/>
  <c r="J2" i="32"/>
  <c r="L8" i="32" s="1"/>
  <c r="C46" i="20"/>
  <c r="C51" i="20" s="1"/>
  <c r="C30" i="20"/>
  <c r="C31" i="20" s="1"/>
  <c r="H31" i="7"/>
  <c r="H38" i="7"/>
  <c r="C52" i="20"/>
  <c r="C62" i="20" s="1"/>
  <c r="I8" i="11"/>
  <c r="C28" i="28"/>
  <c r="D28" i="28"/>
  <c r="D396" i="7" s="1"/>
  <c r="B29" i="28"/>
  <c r="B24" i="33"/>
  <c r="C23" i="33"/>
  <c r="D23" i="33"/>
  <c r="B29" i="30"/>
  <c r="C29" i="30"/>
  <c r="D28" i="30"/>
  <c r="C22" i="32"/>
  <c r="D22" i="32"/>
  <c r="B23" i="32"/>
  <c r="C23" i="37"/>
  <c r="D22" i="37"/>
  <c r="B23" i="37"/>
  <c r="B44" i="39"/>
  <c r="E43" i="39"/>
  <c r="D22" i="40"/>
  <c r="C23" i="40"/>
  <c r="E22" i="40"/>
  <c r="B257" i="36"/>
  <c r="G13" i="11"/>
  <c r="K56" i="7" s="1"/>
  <c r="K14" i="11"/>
  <c r="B397" i="7"/>
  <c r="B398" i="7" s="1"/>
  <c r="D12" i="13"/>
  <c r="D67" i="7"/>
  <c r="C13" i="13"/>
  <c r="K6" i="12"/>
  <c r="C8" i="46"/>
  <c r="C13" i="39"/>
  <c r="C68" i="7"/>
  <c r="E10" i="46" l="1"/>
  <c r="E70" i="7" s="1"/>
  <c r="B11" i="46"/>
  <c r="D11" i="46" s="1"/>
  <c r="T10" i="46"/>
  <c r="AA10" i="46" s="1"/>
  <c r="B72" i="7"/>
  <c r="O71" i="7"/>
  <c r="A114" i="50"/>
  <c r="B115" i="50"/>
  <c r="A224" i="50"/>
  <c r="B225" i="50"/>
  <c r="A225" i="50" s="1"/>
  <c r="A102" i="50"/>
  <c r="B103" i="50"/>
  <c r="A288" i="50"/>
  <c r="B289" i="50"/>
  <c r="A358" i="50"/>
  <c r="B359" i="50"/>
  <c r="A66" i="50"/>
  <c r="B67" i="50"/>
  <c r="B277" i="50"/>
  <c r="A276" i="50"/>
  <c r="A162" i="50"/>
  <c r="B163" i="50"/>
  <c r="B386" i="50"/>
  <c r="A386" i="50" s="1"/>
  <c r="A385" i="50"/>
  <c r="B263" i="50"/>
  <c r="A262" i="50"/>
  <c r="A32" i="50"/>
  <c r="B33" i="50"/>
  <c r="A33" i="50" s="1"/>
  <c r="A312" i="50"/>
  <c r="B313" i="50"/>
  <c r="B253" i="50"/>
  <c r="A252" i="50"/>
  <c r="A186" i="50"/>
  <c r="B187" i="50"/>
  <c r="A301" i="50"/>
  <c r="B302" i="50"/>
  <c r="A302" i="50" s="1"/>
  <c r="A42" i="50"/>
  <c r="B43" i="50"/>
  <c r="A54" i="50"/>
  <c r="B55" i="50"/>
  <c r="A80" i="50"/>
  <c r="B81" i="50"/>
  <c r="A81" i="50" s="1"/>
  <c r="B199" i="50"/>
  <c r="A198" i="50"/>
  <c r="B335" i="50"/>
  <c r="A334" i="50"/>
  <c r="A90" i="50"/>
  <c r="B91" i="50"/>
  <c r="B176" i="50"/>
  <c r="A175" i="50"/>
  <c r="B323" i="50"/>
  <c r="A322" i="50"/>
  <c r="A239" i="50"/>
  <c r="B240" i="50"/>
  <c r="A346" i="50"/>
  <c r="B347" i="50"/>
  <c r="B139" i="50"/>
  <c r="A138" i="50"/>
  <c r="A151" i="50"/>
  <c r="B152" i="50"/>
  <c r="AD13" i="35"/>
  <c r="AC13" i="35"/>
  <c r="B18" i="13"/>
  <c r="E17" i="13"/>
  <c r="K12" i="11"/>
  <c r="E13" i="11"/>
  <c r="I56" i="7" s="1"/>
  <c r="AC1" i="35"/>
  <c r="J54" i="7" s="1"/>
  <c r="B23" i="11"/>
  <c r="F12" i="11" s="1"/>
  <c r="F13" i="11" s="1"/>
  <c r="L21" i="30"/>
  <c r="L17" i="30"/>
  <c r="L19" i="30"/>
  <c r="M12" i="40"/>
  <c r="L6" i="30"/>
  <c r="M16" i="40"/>
  <c r="M7" i="40"/>
  <c r="L7" i="30"/>
  <c r="M8" i="40"/>
  <c r="M9" i="40"/>
  <c r="M18" i="40"/>
  <c r="M6" i="40"/>
  <c r="M13" i="40"/>
  <c r="L16" i="30"/>
  <c r="M14" i="40"/>
  <c r="L10" i="30"/>
  <c r="M11" i="40"/>
  <c r="L9" i="30"/>
  <c r="L14" i="30"/>
  <c r="L18" i="30"/>
  <c r="M17" i="40"/>
  <c r="L15" i="30"/>
  <c r="M10" i="40"/>
  <c r="L12" i="37"/>
  <c r="L13" i="37"/>
  <c r="L3" i="28"/>
  <c r="L57" i="9" s="1"/>
  <c r="L9" i="37"/>
  <c r="L17" i="37"/>
  <c r="L7" i="37"/>
  <c r="L14" i="37"/>
  <c r="L8" i="37"/>
  <c r="L16" i="37"/>
  <c r="L6" i="37"/>
  <c r="L10" i="37"/>
  <c r="L15" i="37"/>
  <c r="L20" i="30"/>
  <c r="L7" i="32"/>
  <c r="L6" i="32"/>
  <c r="L22" i="30"/>
  <c r="L13" i="30"/>
  <c r="L8" i="30"/>
  <c r="L14" i="32"/>
  <c r="L3" i="30"/>
  <c r="L83" i="9" s="1"/>
  <c r="L11" i="30"/>
  <c r="L12" i="30"/>
  <c r="L15" i="32"/>
  <c r="L18" i="32"/>
  <c r="L16" i="32"/>
  <c r="L11" i="32"/>
  <c r="L17" i="32"/>
  <c r="L13" i="32"/>
  <c r="L9" i="32"/>
  <c r="L10" i="32"/>
  <c r="L8" i="13"/>
  <c r="L12" i="32"/>
  <c r="H39" i="7"/>
  <c r="N37" i="7" s="1"/>
  <c r="C53" i="20"/>
  <c r="C56" i="20" s="1"/>
  <c r="C57" i="20" s="1"/>
  <c r="H40" i="7" s="1"/>
  <c r="N38" i="7" s="1"/>
  <c r="H30" i="7"/>
  <c r="N27" i="7"/>
  <c r="I31" i="7"/>
  <c r="K31" i="7" s="1"/>
  <c r="E37" i="7"/>
  <c r="K38" i="7"/>
  <c r="N36" i="7"/>
  <c r="J38" i="7"/>
  <c r="E38" i="7"/>
  <c r="B30" i="28"/>
  <c r="D29" i="28"/>
  <c r="D397" i="7" s="1"/>
  <c r="C29" i="28"/>
  <c r="D24" i="33"/>
  <c r="B25" i="33"/>
  <c r="C24" i="33"/>
  <c r="C397" i="7"/>
  <c r="C23" i="32"/>
  <c r="B24" i="32"/>
  <c r="D23" i="32"/>
  <c r="D29" i="30"/>
  <c r="B30" i="30"/>
  <c r="C30" i="30"/>
  <c r="D23" i="40"/>
  <c r="C24" i="40"/>
  <c r="E23" i="40"/>
  <c r="B45" i="39"/>
  <c r="E44" i="39"/>
  <c r="B258" i="36"/>
  <c r="D23" i="37"/>
  <c r="C24" i="37"/>
  <c r="B24" i="37"/>
  <c r="C398" i="7"/>
  <c r="B399" i="7"/>
  <c r="K7" i="12"/>
  <c r="C14" i="13"/>
  <c r="C14" i="39"/>
  <c r="C69" i="7"/>
  <c r="C9" i="46"/>
  <c r="E11" i="46" l="1"/>
  <c r="E71" i="7" s="1"/>
  <c r="B12" i="46"/>
  <c r="E12" i="46" s="1"/>
  <c r="E72" i="7" s="1"/>
  <c r="T11" i="46"/>
  <c r="AA11" i="46" s="1"/>
  <c r="O66" i="7"/>
  <c r="P372" i="7" s="1"/>
  <c r="Q15" i="13"/>
  <c r="O10" i="46"/>
  <c r="B73" i="7"/>
  <c r="O72" i="7"/>
  <c r="A277" i="50"/>
  <c r="B278" i="50"/>
  <c r="A278" i="50" s="1"/>
  <c r="B290" i="50"/>
  <c r="A290" i="50" s="1"/>
  <c r="A289" i="50"/>
  <c r="A103" i="50"/>
  <c r="B104" i="50"/>
  <c r="A115" i="50"/>
  <c r="B116" i="50"/>
  <c r="A67" i="50"/>
  <c r="B68" i="50"/>
  <c r="A359" i="50"/>
  <c r="B360" i="50"/>
  <c r="B164" i="50"/>
  <c r="A163" i="50"/>
  <c r="A323" i="50"/>
  <c r="B324" i="50"/>
  <c r="B177" i="50"/>
  <c r="A177" i="50" s="1"/>
  <c r="A176" i="50"/>
  <c r="A187" i="50"/>
  <c r="B188" i="50"/>
  <c r="A152" i="50"/>
  <c r="B153" i="50"/>
  <c r="A153" i="50" s="1"/>
  <c r="B314" i="50"/>
  <c r="A314" i="50" s="1"/>
  <c r="A313" i="50"/>
  <c r="B336" i="50"/>
  <c r="A335" i="50"/>
  <c r="A139" i="50"/>
  <c r="B140" i="50"/>
  <c r="A347" i="50"/>
  <c r="B348" i="50"/>
  <c r="A43" i="50"/>
  <c r="B44" i="50"/>
  <c r="A91" i="50"/>
  <c r="B92" i="50"/>
  <c r="B254" i="50"/>
  <c r="A254" i="50" s="1"/>
  <c r="A253" i="50"/>
  <c r="B200" i="50"/>
  <c r="A199" i="50"/>
  <c r="B264" i="50"/>
  <c r="A263" i="50"/>
  <c r="B241" i="50"/>
  <c r="A240" i="50"/>
  <c r="A55" i="50"/>
  <c r="B56" i="50"/>
  <c r="J4" i="46"/>
  <c r="E18" i="13"/>
  <c r="B19" i="13"/>
  <c r="J55" i="7"/>
  <c r="J56" i="7"/>
  <c r="K13" i="11"/>
  <c r="L63" i="9"/>
  <c r="L64" i="9"/>
  <c r="H48" i="7"/>
  <c r="F23" i="8" s="1"/>
  <c r="F1" i="8" s="1"/>
  <c r="K2" i="8" s="1"/>
  <c r="L58" i="9"/>
  <c r="L61" i="9"/>
  <c r="L59" i="9"/>
  <c r="L62" i="9"/>
  <c r="L60" i="9"/>
  <c r="L80" i="9"/>
  <c r="L79" i="9"/>
  <c r="L53" i="9"/>
  <c r="L78" i="9"/>
  <c r="L82" i="9"/>
  <c r="L81" i="9"/>
  <c r="L55" i="9"/>
  <c r="L50" i="9"/>
  <c r="L47" i="9"/>
  <c r="L54" i="9"/>
  <c r="L65" i="9"/>
  <c r="L49" i="9"/>
  <c r="L51" i="9"/>
  <c r="L48" i="9"/>
  <c r="L52" i="9"/>
  <c r="L56" i="9"/>
  <c r="I39" i="7"/>
  <c r="K41" i="7" s="1"/>
  <c r="E39" i="7"/>
  <c r="K42" i="7"/>
  <c r="V33" i="9"/>
  <c r="N28" i="7"/>
  <c r="V34" i="9" s="1"/>
  <c r="L50" i="7"/>
  <c r="N41" i="7"/>
  <c r="C30" i="28"/>
  <c r="B31" i="28"/>
  <c r="D30" i="28"/>
  <c r="D398" i="7" s="1"/>
  <c r="C25" i="33"/>
  <c r="B26" i="33"/>
  <c r="D25" i="33"/>
  <c r="C31" i="30"/>
  <c r="D30" i="30"/>
  <c r="B31" i="30"/>
  <c r="D24" i="32"/>
  <c r="B25" i="32"/>
  <c r="C24" i="32"/>
  <c r="B259" i="36"/>
  <c r="C25" i="40"/>
  <c r="E24" i="40"/>
  <c r="D24" i="40"/>
  <c r="B46" i="39"/>
  <c r="E45" i="39"/>
  <c r="B25" i="37"/>
  <c r="D24" i="37"/>
  <c r="C25" i="37"/>
  <c r="B400" i="7"/>
  <c r="C399" i="7"/>
  <c r="C15" i="13"/>
  <c r="K8" i="12"/>
  <c r="C70" i="7"/>
  <c r="C15" i="39"/>
  <c r="C10" i="46"/>
  <c r="D12" i="46" l="1"/>
  <c r="B13" i="46"/>
  <c r="D13" i="46" s="1"/>
  <c r="T12" i="46"/>
  <c r="AA12" i="46" s="1"/>
  <c r="O70" i="7"/>
  <c r="B74" i="7"/>
  <c r="O73" i="7"/>
  <c r="A116" i="50"/>
  <c r="B117" i="50"/>
  <c r="A117" i="50" s="1"/>
  <c r="B105" i="50"/>
  <c r="A105" i="50" s="1"/>
  <c r="A104" i="50"/>
  <c r="A360" i="50"/>
  <c r="B361" i="50"/>
  <c r="B69" i="50"/>
  <c r="A69" i="50" s="1"/>
  <c r="A68" i="50"/>
  <c r="A164" i="50"/>
  <c r="B165" i="50"/>
  <c r="A165" i="50" s="1"/>
  <c r="B349" i="50"/>
  <c r="A348" i="50"/>
  <c r="B141" i="50"/>
  <c r="A141" i="50" s="1"/>
  <c r="A140" i="50"/>
  <c r="A336" i="50"/>
  <c r="B337" i="50"/>
  <c r="A264" i="50"/>
  <c r="B265" i="50"/>
  <c r="B189" i="50"/>
  <c r="A189" i="50" s="1"/>
  <c r="A188" i="50"/>
  <c r="B93" i="50"/>
  <c r="A93" i="50" s="1"/>
  <c r="A92" i="50"/>
  <c r="A56" i="50"/>
  <c r="B57" i="50"/>
  <c r="A57" i="50" s="1"/>
  <c r="B242" i="50"/>
  <c r="A242" i="50" s="1"/>
  <c r="A241" i="50"/>
  <c r="A200" i="50"/>
  <c r="B201" i="50"/>
  <c r="A201" i="50" s="1"/>
  <c r="B45" i="50"/>
  <c r="A45" i="50" s="1"/>
  <c r="A44" i="50"/>
  <c r="B325" i="50"/>
  <c r="A324" i="50"/>
  <c r="L46" i="7"/>
  <c r="B20" i="13"/>
  <c r="E19" i="13"/>
  <c r="J48" i="34"/>
  <c r="L48" i="34" s="1"/>
  <c r="B48" i="34" s="1"/>
  <c r="I3" i="40"/>
  <c r="H3" i="37"/>
  <c r="E5" i="37" s="1"/>
  <c r="G5" i="37" s="1"/>
  <c r="B18" i="34"/>
  <c r="H2" i="32"/>
  <c r="K13" i="32" s="1"/>
  <c r="C2" i="10"/>
  <c r="H2" i="33"/>
  <c r="K15" i="33" s="1"/>
  <c r="N31" i="7"/>
  <c r="K32" i="7"/>
  <c r="V36" i="9"/>
  <c r="D31" i="28"/>
  <c r="D399" i="7" s="1"/>
  <c r="C31" i="28"/>
  <c r="B32" i="28"/>
  <c r="C26" i="33"/>
  <c r="B27" i="33"/>
  <c r="D26" i="33"/>
  <c r="D31" i="30"/>
  <c r="C32" i="30"/>
  <c r="B32" i="30"/>
  <c r="D25" i="32"/>
  <c r="C25" i="32"/>
  <c r="B26" i="32"/>
  <c r="B47" i="39"/>
  <c r="E46" i="39"/>
  <c r="B260" i="36"/>
  <c r="C26" i="37"/>
  <c r="D25" i="37"/>
  <c r="B26" i="37"/>
  <c r="E25" i="40"/>
  <c r="D25" i="40"/>
  <c r="C26" i="40"/>
  <c r="B401" i="7"/>
  <c r="C400" i="7"/>
  <c r="K9" i="12"/>
  <c r="C16" i="13"/>
  <c r="C71" i="7"/>
  <c r="C11" i="46"/>
  <c r="C16" i="39"/>
  <c r="C8" i="26" l="1"/>
  <c r="E13" i="46"/>
  <c r="E73" i="7" s="1"/>
  <c r="T13" i="46"/>
  <c r="AA13" i="46" s="1"/>
  <c r="B14" i="46"/>
  <c r="E14" i="46" s="1"/>
  <c r="E74" i="7" s="1"/>
  <c r="B75" i="7"/>
  <c r="O74" i="7"/>
  <c r="B362" i="50"/>
  <c r="A362" i="50" s="1"/>
  <c r="A361" i="50"/>
  <c r="B326" i="50"/>
  <c r="A326" i="50" s="1"/>
  <c r="A325" i="50"/>
  <c r="B266" i="50"/>
  <c r="A266" i="50" s="1"/>
  <c r="A265" i="50"/>
  <c r="B338" i="50"/>
  <c r="A338" i="50" s="1"/>
  <c r="A337" i="50"/>
  <c r="A349" i="50"/>
  <c r="B350" i="50"/>
  <c r="A350" i="50" s="1"/>
  <c r="D5" i="50"/>
  <c r="K3" i="8"/>
  <c r="E6" i="37"/>
  <c r="G6" i="37" s="1"/>
  <c r="F15" i="40"/>
  <c r="H15" i="40" s="1"/>
  <c r="E14" i="37"/>
  <c r="G14" i="37" s="1"/>
  <c r="F8" i="40"/>
  <c r="H8" i="40" s="1"/>
  <c r="F7" i="40"/>
  <c r="H7" i="40" s="1"/>
  <c r="E10" i="37"/>
  <c r="G10" i="37" s="1"/>
  <c r="F14" i="40"/>
  <c r="H14" i="40" s="1"/>
  <c r="E7" i="37"/>
  <c r="G7" i="37" s="1"/>
  <c r="F10" i="40"/>
  <c r="H10" i="40" s="1"/>
  <c r="F12" i="40"/>
  <c r="H12" i="40" s="1"/>
  <c r="F16" i="40"/>
  <c r="H16" i="40" s="1"/>
  <c r="F6" i="40"/>
  <c r="H6" i="40" s="1"/>
  <c r="E15" i="37"/>
  <c r="G15" i="37" s="1"/>
  <c r="E12" i="37"/>
  <c r="G12" i="37" s="1"/>
  <c r="E8" i="37"/>
  <c r="G8" i="37" s="1"/>
  <c r="E16" i="37"/>
  <c r="G16" i="37" s="1"/>
  <c r="B21" i="13"/>
  <c r="E20" i="13"/>
  <c r="B6" i="11"/>
  <c r="G5" i="40"/>
  <c r="F17" i="40"/>
  <c r="H17" i="40" s="1"/>
  <c r="F9" i="40"/>
  <c r="H9" i="40" s="1"/>
  <c r="E13" i="37"/>
  <c r="G13" i="37" s="1"/>
  <c r="E17" i="37"/>
  <c r="G17" i="37" s="1"/>
  <c r="E9" i="37"/>
  <c r="G9" i="37" s="1"/>
  <c r="F13" i="40"/>
  <c r="H13" i="40" s="1"/>
  <c r="F11" i="40"/>
  <c r="H11" i="40" s="1"/>
  <c r="F5" i="40"/>
  <c r="E11" i="37"/>
  <c r="G11" i="37" s="1"/>
  <c r="H2" i="28"/>
  <c r="K3" i="28" s="1"/>
  <c r="I2" i="40"/>
  <c r="AE111" i="40" s="1"/>
  <c r="C3" i="39"/>
  <c r="H2" i="30"/>
  <c r="U2" i="30" s="1"/>
  <c r="V42" i="9"/>
  <c r="F5" i="37"/>
  <c r="F6" i="37" s="1"/>
  <c r="I6" i="37" s="1"/>
  <c r="F5" i="33"/>
  <c r="F5" i="30"/>
  <c r="F6" i="30" s="1"/>
  <c r="F5" i="28"/>
  <c r="F5" i="32"/>
  <c r="D7" i="36"/>
  <c r="H2" i="37"/>
  <c r="U2" i="37" s="1"/>
  <c r="C3" i="13"/>
  <c r="K8" i="13" s="1"/>
  <c r="K56" i="9" s="1"/>
  <c r="U2" i="33"/>
  <c r="E11" i="33"/>
  <c r="G11" i="33" s="1"/>
  <c r="K10" i="33"/>
  <c r="K17" i="33"/>
  <c r="E8" i="33"/>
  <c r="G8" i="33" s="1"/>
  <c r="E13" i="33"/>
  <c r="G13" i="33" s="1"/>
  <c r="K7" i="33"/>
  <c r="E15" i="33"/>
  <c r="G15" i="33" s="1"/>
  <c r="K11" i="33"/>
  <c r="K9" i="33"/>
  <c r="E6" i="33"/>
  <c r="G6" i="33" s="1"/>
  <c r="E16" i="33"/>
  <c r="G16" i="33" s="1"/>
  <c r="E12" i="33"/>
  <c r="G12" i="33" s="1"/>
  <c r="K14" i="33"/>
  <c r="K8" i="33"/>
  <c r="K12" i="33"/>
  <c r="E10" i="33"/>
  <c r="G10" i="33" s="1"/>
  <c r="E14" i="33"/>
  <c r="G14" i="33" s="1"/>
  <c r="E5" i="33"/>
  <c r="E7" i="33"/>
  <c r="G7" i="33" s="1"/>
  <c r="E9" i="33"/>
  <c r="G9" i="33" s="1"/>
  <c r="K13" i="33"/>
  <c r="K6" i="33"/>
  <c r="K16" i="33"/>
  <c r="K14" i="32"/>
  <c r="K12" i="32"/>
  <c r="E8" i="32"/>
  <c r="G8" i="32" s="1"/>
  <c r="K6" i="32"/>
  <c r="K10" i="32"/>
  <c r="K9" i="32"/>
  <c r="E5" i="32"/>
  <c r="G5" i="32" s="1"/>
  <c r="K16" i="32"/>
  <c r="K11" i="32"/>
  <c r="E6" i="32"/>
  <c r="G6" i="32" s="1"/>
  <c r="K18" i="32"/>
  <c r="E2" i="10"/>
  <c r="E10" i="32"/>
  <c r="G10" i="32" s="1"/>
  <c r="E9" i="32"/>
  <c r="G9" i="32" s="1"/>
  <c r="U2" i="32"/>
  <c r="E15" i="32"/>
  <c r="G15" i="32" s="1"/>
  <c r="K8" i="32"/>
  <c r="E7" i="32"/>
  <c r="G7" i="32" s="1"/>
  <c r="E14" i="32"/>
  <c r="G14" i="32" s="1"/>
  <c r="E13" i="32"/>
  <c r="G13" i="32" s="1"/>
  <c r="K17" i="32"/>
  <c r="E11" i="32"/>
  <c r="G11" i="32" s="1"/>
  <c r="K7" i="32"/>
  <c r="K15" i="32"/>
  <c r="E12" i="32"/>
  <c r="G12" i="32" s="1"/>
  <c r="E16" i="32"/>
  <c r="G16" i="32" s="1"/>
  <c r="T32" i="9"/>
  <c r="T31" i="9"/>
  <c r="C32" i="28"/>
  <c r="D32" i="28"/>
  <c r="D400" i="7" s="1"/>
  <c r="B33" i="28"/>
  <c r="B28" i="33"/>
  <c r="C27" i="33"/>
  <c r="D27" i="33"/>
  <c r="C33" i="30"/>
  <c r="D32" i="30"/>
  <c r="B33" i="30"/>
  <c r="C26" i="32"/>
  <c r="B27" i="32"/>
  <c r="D26" i="32"/>
  <c r="B48" i="39"/>
  <c r="E47" i="39"/>
  <c r="B261" i="36"/>
  <c r="D26" i="40"/>
  <c r="C27" i="40"/>
  <c r="E26" i="40"/>
  <c r="D26" i="37"/>
  <c r="C27" i="37"/>
  <c r="B27" i="37"/>
  <c r="C401" i="7"/>
  <c r="B402" i="7"/>
  <c r="K10" i="12"/>
  <c r="C17" i="13"/>
  <c r="C17" i="39"/>
  <c r="C72" i="7"/>
  <c r="C12" i="46"/>
  <c r="T14" i="46" l="1"/>
  <c r="AA14" i="46" s="1"/>
  <c r="D14" i="46"/>
  <c r="B15" i="46"/>
  <c r="D15" i="46" s="1"/>
  <c r="B76" i="7"/>
  <c r="O75" i="7"/>
  <c r="W181" i="39"/>
  <c r="H16" i="11"/>
  <c r="K7" i="11"/>
  <c r="D6" i="50"/>
  <c r="G5" i="50"/>
  <c r="F7" i="50"/>
  <c r="E8" i="50"/>
  <c r="E5" i="50"/>
  <c r="G8" i="50"/>
  <c r="G6" i="50"/>
  <c r="F10" i="50"/>
  <c r="E9" i="50"/>
  <c r="D9" i="50"/>
  <c r="F8" i="50"/>
  <c r="G9" i="50"/>
  <c r="G7" i="50"/>
  <c r="D8" i="50"/>
  <c r="E6" i="50"/>
  <c r="F5" i="50"/>
  <c r="E11" i="50"/>
  <c r="F9" i="50"/>
  <c r="D7" i="50"/>
  <c r="D11" i="50"/>
  <c r="F6" i="50"/>
  <c r="D12" i="50"/>
  <c r="G11" i="50"/>
  <c r="F12" i="50"/>
  <c r="G12" i="50"/>
  <c r="D10" i="50"/>
  <c r="E10" i="50"/>
  <c r="E12" i="50"/>
  <c r="F11" i="50"/>
  <c r="E7" i="50"/>
  <c r="G10" i="50"/>
  <c r="E21" i="13"/>
  <c r="B22" i="13"/>
  <c r="E16" i="11"/>
  <c r="E15" i="11"/>
  <c r="F16" i="11"/>
  <c r="F17" i="11"/>
  <c r="H15" i="11"/>
  <c r="G15" i="11"/>
  <c r="I15" i="11"/>
  <c r="G16" i="11"/>
  <c r="F8" i="11"/>
  <c r="I16" i="11"/>
  <c r="F15" i="11"/>
  <c r="E17" i="11"/>
  <c r="H17" i="11"/>
  <c r="I17" i="11"/>
  <c r="G17" i="11"/>
  <c r="K3" i="30"/>
  <c r="K78" i="9" s="1"/>
  <c r="AG2" i="46"/>
  <c r="B8" i="26"/>
  <c r="B9" i="26" s="1"/>
  <c r="H5" i="40"/>
  <c r="V2" i="28"/>
  <c r="W31" i="39"/>
  <c r="G6" i="40"/>
  <c r="L6" i="40" s="1"/>
  <c r="W156" i="39"/>
  <c r="W294" i="39"/>
  <c r="W122" i="39"/>
  <c r="W226" i="39"/>
  <c r="W268" i="39"/>
  <c r="W178" i="39"/>
  <c r="W39" i="39"/>
  <c r="W138" i="39"/>
  <c r="W62" i="39"/>
  <c r="W63" i="39"/>
  <c r="W247" i="39"/>
  <c r="W79" i="39"/>
  <c r="W174" i="39"/>
  <c r="W33" i="39"/>
  <c r="W88" i="39"/>
  <c r="W261" i="39"/>
  <c r="W289" i="39"/>
  <c r="W196" i="39"/>
  <c r="W288" i="39"/>
  <c r="W184" i="39"/>
  <c r="W109" i="39"/>
  <c r="W302" i="39"/>
  <c r="W201" i="39"/>
  <c r="W130" i="39"/>
  <c r="W65" i="39"/>
  <c r="W81" i="39"/>
  <c r="W262" i="39"/>
  <c r="W168" i="39"/>
  <c r="W82" i="39"/>
  <c r="W48" i="39"/>
  <c r="W78" i="39"/>
  <c r="W94" i="39"/>
  <c r="W146" i="39"/>
  <c r="W116" i="39"/>
  <c r="W83" i="39"/>
  <c r="W191" i="39"/>
  <c r="W20" i="39"/>
  <c r="W59" i="39"/>
  <c r="W274" i="39"/>
  <c r="W254" i="39"/>
  <c r="W68" i="39"/>
  <c r="W91" i="39"/>
  <c r="W291" i="39"/>
  <c r="W32" i="39"/>
  <c r="W112" i="39"/>
  <c r="W227" i="39"/>
  <c r="W292" i="39"/>
  <c r="W282" i="39"/>
  <c r="W42" i="39"/>
  <c r="P11" i="39"/>
  <c r="R42" i="39" s="1"/>
  <c r="W285" i="39"/>
  <c r="W41" i="39"/>
  <c r="W103" i="39"/>
  <c r="W310" i="39"/>
  <c r="W299" i="39"/>
  <c r="AE101" i="40"/>
  <c r="AE233" i="40"/>
  <c r="AE88" i="40"/>
  <c r="AE43" i="40"/>
  <c r="AE172" i="40"/>
  <c r="AE184" i="40"/>
  <c r="AE195" i="40"/>
  <c r="AE225" i="40"/>
  <c r="AE60" i="40"/>
  <c r="AE124" i="40"/>
  <c r="AE47" i="40"/>
  <c r="AE198" i="40"/>
  <c r="AE49" i="40"/>
  <c r="AE174" i="40"/>
  <c r="AE64" i="40"/>
  <c r="AE150" i="40"/>
  <c r="W306" i="39"/>
  <c r="W257" i="39"/>
  <c r="W228" i="39"/>
  <c r="W157" i="39"/>
  <c r="W87" i="39"/>
  <c r="W304" i="39"/>
  <c r="W169" i="39"/>
  <c r="AE116" i="40"/>
  <c r="W208" i="39"/>
  <c r="W46" i="39"/>
  <c r="W92" i="39"/>
  <c r="W154" i="39"/>
  <c r="W252" i="39"/>
  <c r="W165" i="39"/>
  <c r="AE123" i="40"/>
  <c r="W53" i="39"/>
  <c r="W185" i="39"/>
  <c r="AE208" i="40"/>
  <c r="W47" i="39"/>
  <c r="W96" i="39"/>
  <c r="W290" i="39"/>
  <c r="W281" i="39"/>
  <c r="W233" i="39"/>
  <c r="W295" i="39"/>
  <c r="W270" i="39"/>
  <c r="W51" i="39"/>
  <c r="AE92" i="40"/>
  <c r="W296" i="39"/>
  <c r="W297" i="39"/>
  <c r="W54" i="39"/>
  <c r="W129" i="39"/>
  <c r="W256" i="39"/>
  <c r="W307" i="39"/>
  <c r="W128" i="39"/>
  <c r="W70" i="39"/>
  <c r="W36" i="39"/>
  <c r="W121" i="39"/>
  <c r="W67" i="39"/>
  <c r="W197" i="39"/>
  <c r="W300" i="39"/>
  <c r="W279" i="39"/>
  <c r="W64" i="39"/>
  <c r="W145" i="39"/>
  <c r="W241" i="39"/>
  <c r="W286" i="39"/>
  <c r="W44" i="39"/>
  <c r="W195" i="39"/>
  <c r="I8" i="39"/>
  <c r="W266" i="39"/>
  <c r="W205" i="39"/>
  <c r="W166" i="39"/>
  <c r="W17" i="39"/>
  <c r="W18" i="39"/>
  <c r="W177" i="39"/>
  <c r="W19" i="39"/>
  <c r="W234" i="39"/>
  <c r="W159" i="39"/>
  <c r="AE83" i="40"/>
  <c r="W258" i="39"/>
  <c r="W135" i="39"/>
  <c r="W192" i="39"/>
  <c r="W141" i="39"/>
  <c r="W271" i="39"/>
  <c r="W55" i="39"/>
  <c r="W25" i="39"/>
  <c r="W143" i="39"/>
  <c r="W102" i="39"/>
  <c r="W243" i="39"/>
  <c r="W69" i="39"/>
  <c r="W189" i="39"/>
  <c r="W183" i="39"/>
  <c r="W199" i="39"/>
  <c r="W89" i="39"/>
  <c r="W126" i="39"/>
  <c r="W212" i="39"/>
  <c r="AE24" i="40"/>
  <c r="AB10" i="39"/>
  <c r="W164" i="39"/>
  <c r="W77" i="39"/>
  <c r="AE252" i="40"/>
  <c r="W182" i="39"/>
  <c r="W223" i="39"/>
  <c r="W38" i="39"/>
  <c r="W267" i="39"/>
  <c r="K51" i="9"/>
  <c r="K55" i="9"/>
  <c r="AE236" i="40"/>
  <c r="AE156" i="40"/>
  <c r="AE161" i="40"/>
  <c r="AE132" i="40"/>
  <c r="AE139" i="40"/>
  <c r="AE187" i="40"/>
  <c r="AE104" i="40"/>
  <c r="AE127" i="40"/>
  <c r="AE138" i="40"/>
  <c r="AE164" i="40"/>
  <c r="AE74" i="40"/>
  <c r="AE154" i="40"/>
  <c r="AE199" i="40"/>
  <c r="AE182" i="40"/>
  <c r="AE247" i="40"/>
  <c r="AE148" i="40"/>
  <c r="AE63" i="40"/>
  <c r="AE255" i="40"/>
  <c r="AE128" i="40"/>
  <c r="AE200" i="40"/>
  <c r="AE53" i="40"/>
  <c r="AE69" i="40"/>
  <c r="AE51" i="40"/>
  <c r="AE31" i="40"/>
  <c r="AE211" i="40"/>
  <c r="AE40" i="40"/>
  <c r="AE249" i="40"/>
  <c r="AE170" i="40"/>
  <c r="AE29" i="40"/>
  <c r="AE85" i="40"/>
  <c r="AE222" i="40"/>
  <c r="AE66" i="40"/>
  <c r="AE228" i="40"/>
  <c r="AE23" i="40"/>
  <c r="AE117" i="40"/>
  <c r="AE234" i="40"/>
  <c r="AE118" i="40"/>
  <c r="AE177" i="40"/>
  <c r="AE159" i="40"/>
  <c r="AE144" i="40"/>
  <c r="AE223" i="40"/>
  <c r="AE86" i="40"/>
  <c r="AE96" i="40"/>
  <c r="AE243" i="40"/>
  <c r="AE151" i="40"/>
  <c r="AE45" i="40"/>
  <c r="AE106" i="40"/>
  <c r="AE112" i="40"/>
  <c r="AE158" i="40"/>
  <c r="AE218" i="40"/>
  <c r="AE241" i="40"/>
  <c r="AE216" i="40"/>
  <c r="AE257" i="40"/>
  <c r="AE59" i="40"/>
  <c r="AE250" i="40"/>
  <c r="AE78" i="40"/>
  <c r="AE37" i="40"/>
  <c r="AE113" i="40"/>
  <c r="AE137" i="40"/>
  <c r="AE183" i="40"/>
  <c r="AE68" i="40"/>
  <c r="AE192" i="40"/>
  <c r="AE72" i="40"/>
  <c r="AE22" i="40"/>
  <c r="AE97" i="40"/>
  <c r="AE87" i="40"/>
  <c r="AE62" i="40"/>
  <c r="AE242" i="40"/>
  <c r="AE35" i="40"/>
  <c r="AE56" i="40"/>
  <c r="AE196" i="40"/>
  <c r="AE232" i="40"/>
  <c r="AE71" i="40"/>
  <c r="AE105" i="40"/>
  <c r="W75" i="39"/>
  <c r="W152" i="39"/>
  <c r="W204" i="39"/>
  <c r="W231" i="39"/>
  <c r="W260" i="39"/>
  <c r="W98" i="39"/>
  <c r="W60" i="39"/>
  <c r="W229" i="39"/>
  <c r="W16" i="39"/>
  <c r="W278" i="39"/>
  <c r="W217" i="39"/>
  <c r="W213" i="39"/>
  <c r="W167" i="39"/>
  <c r="W80" i="39"/>
  <c r="W117" i="39"/>
  <c r="W45" i="39"/>
  <c r="W127" i="39"/>
  <c r="W118" i="39"/>
  <c r="W124" i="39"/>
  <c r="W155" i="39"/>
  <c r="W269" i="39"/>
  <c r="W99" i="39"/>
  <c r="W113" i="39"/>
  <c r="W151" i="39"/>
  <c r="W72" i="39"/>
  <c r="W74" i="39"/>
  <c r="W193" i="39"/>
  <c r="W218" i="39"/>
  <c r="W28" i="39"/>
  <c r="W108" i="39"/>
  <c r="W186" i="39"/>
  <c r="W37" i="39"/>
  <c r="W237" i="39"/>
  <c r="K47" i="9"/>
  <c r="K48" i="9"/>
  <c r="K49" i="9"/>
  <c r="K65" i="9"/>
  <c r="K50" i="9"/>
  <c r="K54" i="9"/>
  <c r="K52" i="9"/>
  <c r="P9" i="13"/>
  <c r="J64" i="7" s="1"/>
  <c r="W131" i="39"/>
  <c r="W248" i="39"/>
  <c r="W190" i="39"/>
  <c r="W29" i="39"/>
  <c r="W176" i="39"/>
  <c r="W58" i="39"/>
  <c r="W43" i="39"/>
  <c r="W236" i="39"/>
  <c r="W249" i="39"/>
  <c r="W206" i="39"/>
  <c r="W105" i="39"/>
  <c r="W110" i="39"/>
  <c r="W14" i="39"/>
  <c r="W35" i="39"/>
  <c r="W308" i="39"/>
  <c r="W27" i="39"/>
  <c r="W311" i="39"/>
  <c r="W224" i="39"/>
  <c r="W253" i="39"/>
  <c r="W187" i="39"/>
  <c r="W301" i="39"/>
  <c r="K63" i="9"/>
  <c r="W170" i="39"/>
  <c r="W250" i="39"/>
  <c r="C2" i="46"/>
  <c r="F7" i="46" s="1"/>
  <c r="W242" i="39"/>
  <c r="W97" i="39"/>
  <c r="W259" i="39"/>
  <c r="W158" i="39"/>
  <c r="W214" i="39"/>
  <c r="W264" i="39"/>
  <c r="W24" i="39"/>
  <c r="W163" i="39"/>
  <c r="W244" i="39"/>
  <c r="W73" i="39"/>
  <c r="AE90" i="40"/>
  <c r="AE100" i="40"/>
  <c r="AE61" i="40"/>
  <c r="AE36" i="40"/>
  <c r="AE203" i="40"/>
  <c r="AE217" i="40"/>
  <c r="AE215" i="40"/>
  <c r="W140" i="39"/>
  <c r="W280" i="39"/>
  <c r="W106" i="39"/>
  <c r="W56" i="39"/>
  <c r="AE76" i="40"/>
  <c r="AE210" i="40"/>
  <c r="AE202" i="40"/>
  <c r="W263" i="39"/>
  <c r="W134" i="39"/>
  <c r="W273" i="39"/>
  <c r="AE50" i="40"/>
  <c r="AE229" i="40"/>
  <c r="AE58" i="40"/>
  <c r="W144" i="39"/>
  <c r="W276" i="39"/>
  <c r="W76" i="39"/>
  <c r="W239" i="39"/>
  <c r="AE221" i="40"/>
  <c r="AE48" i="40"/>
  <c r="AE44" i="40"/>
  <c r="W40" i="39"/>
  <c r="W95" i="39"/>
  <c r="W132" i="39"/>
  <c r="W219" i="39"/>
  <c r="AE239" i="40"/>
  <c r="AE197" i="40"/>
  <c r="W137" i="39"/>
  <c r="W22" i="39"/>
  <c r="W50" i="39"/>
  <c r="W100" i="39"/>
  <c r="AE173" i="40"/>
  <c r="AE220" i="40"/>
  <c r="K64" i="9"/>
  <c r="W13" i="39"/>
  <c r="W194" i="39"/>
  <c r="W275" i="39"/>
  <c r="W101" i="39"/>
  <c r="W309" i="39"/>
  <c r="AE165" i="40"/>
  <c r="AE41" i="40"/>
  <c r="AE219" i="40"/>
  <c r="AE204" i="40"/>
  <c r="AE245" i="40"/>
  <c r="AE231" i="40"/>
  <c r="AE122" i="40"/>
  <c r="AE115" i="40"/>
  <c r="W150" i="39"/>
  <c r="W265" i="39"/>
  <c r="W149" i="39"/>
  <c r="W293" i="39"/>
  <c r="AE80" i="40"/>
  <c r="AE193" i="40"/>
  <c r="AE147" i="40"/>
  <c r="W230" i="39"/>
  <c r="W86" i="39"/>
  <c r="W255" i="39"/>
  <c r="W107" i="39"/>
  <c r="AE186" i="40"/>
  <c r="V2" i="40"/>
  <c r="AE65" i="40"/>
  <c r="W216" i="39"/>
  <c r="W251" i="39"/>
  <c r="W111" i="39"/>
  <c r="W277" i="39"/>
  <c r="AE152" i="40"/>
  <c r="AE191" i="40"/>
  <c r="AE70" i="40"/>
  <c r="W225" i="39"/>
  <c r="W85" i="39"/>
  <c r="W298" i="39"/>
  <c r="W232" i="39"/>
  <c r="AE89" i="40"/>
  <c r="AE256" i="40"/>
  <c r="W245" i="39"/>
  <c r="W23" i="39"/>
  <c r="W153" i="39"/>
  <c r="W26" i="39"/>
  <c r="AE95" i="40"/>
  <c r="AE54" i="40"/>
  <c r="W49" i="39"/>
  <c r="W173" i="39"/>
  <c r="AE212" i="40"/>
  <c r="W61" i="39"/>
  <c r="W202" i="39"/>
  <c r="W104" i="39"/>
  <c r="K53" i="9"/>
  <c r="AE213" i="40"/>
  <c r="AE28" i="40"/>
  <c r="AE238" i="40"/>
  <c r="AE42" i="40"/>
  <c r="AE142" i="40"/>
  <c r="AE194" i="40"/>
  <c r="AE226" i="40"/>
  <c r="AE136" i="40"/>
  <c r="W207" i="39"/>
  <c r="W287" i="39"/>
  <c r="W284" i="39"/>
  <c r="W71" i="39"/>
  <c r="AE32" i="40"/>
  <c r="AE180" i="40"/>
  <c r="AE201" i="40"/>
  <c r="W209" i="39"/>
  <c r="W84" i="39"/>
  <c r="W147" i="39"/>
  <c r="W90" i="39"/>
  <c r="AE224" i="40"/>
  <c r="AE26" i="40"/>
  <c r="AE84" i="40"/>
  <c r="W21" i="39"/>
  <c r="W171" i="39"/>
  <c r="W215" i="39"/>
  <c r="W160" i="39"/>
  <c r="AE207" i="40"/>
  <c r="AE19" i="40"/>
  <c r="AE230" i="40"/>
  <c r="W57" i="39"/>
  <c r="W123" i="39"/>
  <c r="W283" i="39"/>
  <c r="W179" i="39"/>
  <c r="AE246" i="40"/>
  <c r="W203" i="39"/>
  <c r="W210" i="39"/>
  <c r="W66" i="39"/>
  <c r="W221" i="39"/>
  <c r="W238" i="39"/>
  <c r="AE20" i="40"/>
  <c r="AE163" i="40"/>
  <c r="W93" i="39"/>
  <c r="W180" i="39"/>
  <c r="W272" i="39"/>
  <c r="W148" i="39"/>
  <c r="W305" i="39"/>
  <c r="W161" i="39"/>
  <c r="AE75" i="40"/>
  <c r="AE120" i="40"/>
  <c r="AE240" i="40"/>
  <c r="AE135" i="40"/>
  <c r="AE205" i="40"/>
  <c r="AE185" i="40"/>
  <c r="AE149" i="40"/>
  <c r="W303" i="39"/>
  <c r="W136" i="39"/>
  <c r="W200" i="39"/>
  <c r="W120" i="39"/>
  <c r="AE235" i="40"/>
  <c r="AE94" i="40"/>
  <c r="AE237" i="40"/>
  <c r="W114" i="39"/>
  <c r="W188" i="39"/>
  <c r="W125" i="39"/>
  <c r="AE108" i="40"/>
  <c r="AE251" i="40"/>
  <c r="AE162" i="40"/>
  <c r="W30" i="39"/>
  <c r="W222" i="39"/>
  <c r="W235" i="39"/>
  <c r="W142" i="39"/>
  <c r="W175" i="39"/>
  <c r="AE114" i="40"/>
  <c r="AE55" i="40"/>
  <c r="W133" i="39"/>
  <c r="W211" i="39"/>
  <c r="W240" i="39"/>
  <c r="W34" i="39"/>
  <c r="W220" i="39"/>
  <c r="AE244" i="40"/>
  <c r="W15" i="39"/>
  <c r="W139" i="39"/>
  <c r="W52" i="39"/>
  <c r="W198" i="39"/>
  <c r="AE91" i="40"/>
  <c r="AE119" i="40"/>
  <c r="AE179" i="40"/>
  <c r="S11" i="13"/>
  <c r="F12" i="13" s="1"/>
  <c r="G8" i="13" s="1"/>
  <c r="W162" i="39"/>
  <c r="W246" i="39"/>
  <c r="W115" i="39"/>
  <c r="W119" i="39"/>
  <c r="F6" i="33"/>
  <c r="I6" i="33" s="1"/>
  <c r="P6" i="33" s="1"/>
  <c r="W4" i="33" s="1"/>
  <c r="J8" i="13"/>
  <c r="W172" i="39"/>
  <c r="AE27" i="40"/>
  <c r="AE189" i="40"/>
  <c r="AE253" i="40"/>
  <c r="AE126" i="40"/>
  <c r="AE73" i="40"/>
  <c r="AE30" i="40"/>
  <c r="AE93" i="40"/>
  <c r="AE82" i="40"/>
  <c r="AE167" i="40"/>
  <c r="AE67" i="40"/>
  <c r="AE52" i="40"/>
  <c r="AE121" i="40"/>
  <c r="AE125" i="40"/>
  <c r="AE141" i="40"/>
  <c r="AE131" i="40"/>
  <c r="AE155" i="40"/>
  <c r="AE209" i="40"/>
  <c r="AE254" i="40"/>
  <c r="AE99" i="40"/>
  <c r="AE227" i="40"/>
  <c r="AE175" i="40"/>
  <c r="AE143" i="40"/>
  <c r="AE134" i="40"/>
  <c r="AE146" i="40"/>
  <c r="AE77" i="40"/>
  <c r="AE98" i="40"/>
  <c r="AE160" i="40"/>
  <c r="AE102" i="40"/>
  <c r="AE79" i="40"/>
  <c r="AE81" i="40"/>
  <c r="AE190" i="40"/>
  <c r="AE169" i="40"/>
  <c r="AE39" i="40"/>
  <c r="AE248" i="40"/>
  <c r="AE57" i="40"/>
  <c r="AE153" i="40"/>
  <c r="AE157" i="40"/>
  <c r="AE33" i="40"/>
  <c r="AE176" i="40"/>
  <c r="AE171" i="40"/>
  <c r="AE166" i="40"/>
  <c r="AE214" i="40"/>
  <c r="AE21" i="40"/>
  <c r="AE103" i="40"/>
  <c r="AE181" i="40"/>
  <c r="AE206" i="40"/>
  <c r="AE140" i="40"/>
  <c r="AE107" i="40"/>
  <c r="AE178" i="40"/>
  <c r="AE145" i="40"/>
  <c r="AE38" i="40"/>
  <c r="AE129" i="40"/>
  <c r="AE110" i="40"/>
  <c r="AE168" i="40"/>
  <c r="AE25" i="40"/>
  <c r="AE188" i="40"/>
  <c r="AE130" i="40"/>
  <c r="AE133" i="40"/>
  <c r="AE109" i="40"/>
  <c r="AE46" i="40"/>
  <c r="AE34" i="40"/>
  <c r="F6" i="28"/>
  <c r="F373" i="7"/>
  <c r="I6" i="30"/>
  <c r="F7" i="30"/>
  <c r="K6" i="30"/>
  <c r="C9" i="26"/>
  <c r="W2" i="37" s="1"/>
  <c r="K6" i="37"/>
  <c r="W4" i="37" s="1"/>
  <c r="F7" i="37"/>
  <c r="I7" i="37" s="1"/>
  <c r="AG4" i="46"/>
  <c r="G5" i="33"/>
  <c r="F6" i="32"/>
  <c r="I6" i="32" s="1"/>
  <c r="P6" i="32" s="1"/>
  <c r="W4" i="32" s="1"/>
  <c r="K57" i="9"/>
  <c r="K61" i="9"/>
  <c r="K58" i="9"/>
  <c r="K60" i="9"/>
  <c r="K59" i="9"/>
  <c r="K62" i="9"/>
  <c r="D33" i="28"/>
  <c r="D401" i="7" s="1"/>
  <c r="B34" i="28"/>
  <c r="C33" i="28"/>
  <c r="B29" i="33"/>
  <c r="C28" i="33"/>
  <c r="D28" i="33"/>
  <c r="B28" i="32"/>
  <c r="D27" i="32"/>
  <c r="C27" i="32"/>
  <c r="D33" i="30"/>
  <c r="C34" i="30"/>
  <c r="B34" i="30"/>
  <c r="B262" i="36"/>
  <c r="D27" i="40"/>
  <c r="C28" i="40"/>
  <c r="E27" i="40"/>
  <c r="D27" i="37"/>
  <c r="B28" i="37"/>
  <c r="C28" i="37"/>
  <c r="B49" i="39"/>
  <c r="E48" i="39"/>
  <c r="B403" i="7"/>
  <c r="C402" i="7"/>
  <c r="C18" i="13"/>
  <c r="K11" i="12"/>
  <c r="C13" i="46"/>
  <c r="C18" i="39"/>
  <c r="C73" i="7"/>
  <c r="T15" i="46" l="1"/>
  <c r="AA15" i="46" s="1"/>
  <c r="E15" i="46"/>
  <c r="E75" i="7" s="1"/>
  <c r="B16" i="46"/>
  <c r="B17" i="46" s="1"/>
  <c r="B18" i="46" s="1"/>
  <c r="B77" i="7"/>
  <c r="O76" i="7"/>
  <c r="L7" i="46"/>
  <c r="F67" i="7"/>
  <c r="R67" i="7" s="1"/>
  <c r="E18" i="11"/>
  <c r="E21" i="11" s="1"/>
  <c r="I57" i="7" s="1"/>
  <c r="I18" i="11"/>
  <c r="I21" i="11" s="1"/>
  <c r="I22" i="11" s="1"/>
  <c r="M58" i="7" s="1"/>
  <c r="F18" i="11"/>
  <c r="F21" i="11" s="1"/>
  <c r="J57" i="7" s="1"/>
  <c r="H18" i="11"/>
  <c r="H21" i="11" s="1"/>
  <c r="H22" i="11" s="1"/>
  <c r="L58" i="7" s="1"/>
  <c r="G18" i="11"/>
  <c r="G21" i="11" s="1"/>
  <c r="H5" i="50"/>
  <c r="H11" i="50"/>
  <c r="H8" i="50"/>
  <c r="H6" i="50"/>
  <c r="H12" i="50"/>
  <c r="H10" i="50"/>
  <c r="H7" i="50"/>
  <c r="H9" i="50"/>
  <c r="E22" i="13"/>
  <c r="B23" i="13"/>
  <c r="K79" i="9"/>
  <c r="K83" i="9"/>
  <c r="K82" i="9"/>
  <c r="K81" i="9"/>
  <c r="K80" i="9"/>
  <c r="J6" i="40"/>
  <c r="X4" i="40" s="1"/>
  <c r="G7" i="40"/>
  <c r="J7" i="40" s="1"/>
  <c r="R24" i="39"/>
  <c r="R29" i="39"/>
  <c r="R48" i="39"/>
  <c r="U12" i="39"/>
  <c r="R17" i="39"/>
  <c r="R40" i="39"/>
  <c r="R43" i="39"/>
  <c r="R22" i="39"/>
  <c r="X12" i="39"/>
  <c r="R31" i="39"/>
  <c r="R35" i="39"/>
  <c r="R30" i="39"/>
  <c r="R41" i="39"/>
  <c r="R32" i="39"/>
  <c r="F12" i="39"/>
  <c r="S12" i="39" s="1"/>
  <c r="R33" i="39"/>
  <c r="R38" i="39"/>
  <c r="R28" i="39"/>
  <c r="R21" i="39"/>
  <c r="R36" i="39"/>
  <c r="R44" i="39"/>
  <c r="R13" i="39"/>
  <c r="R27" i="39"/>
  <c r="R46" i="39"/>
  <c r="R45" i="39"/>
  <c r="R15" i="39"/>
  <c r="R34" i="39"/>
  <c r="R18" i="39"/>
  <c r="R20" i="39"/>
  <c r="R26" i="39"/>
  <c r="R25" i="39"/>
  <c r="R47" i="39"/>
  <c r="R23" i="39"/>
  <c r="R12" i="39"/>
  <c r="R16" i="39"/>
  <c r="R37" i="39"/>
  <c r="R39" i="39"/>
  <c r="R19" i="39"/>
  <c r="R14" i="39"/>
  <c r="J47" i="34"/>
  <c r="L47" i="34" s="1"/>
  <c r="B46" i="34" s="1"/>
  <c r="M7" i="46"/>
  <c r="K7" i="46"/>
  <c r="J7" i="46"/>
  <c r="I7" i="46"/>
  <c r="U7" i="46"/>
  <c r="X7" i="46" s="1"/>
  <c r="H7" i="46"/>
  <c r="F7" i="33"/>
  <c r="F8" i="33" s="1"/>
  <c r="V12" i="13"/>
  <c r="K12" i="13"/>
  <c r="M12" i="13"/>
  <c r="L12" i="13"/>
  <c r="AB12" i="13"/>
  <c r="N12" i="13"/>
  <c r="U12" i="13" s="1"/>
  <c r="Y12" i="13"/>
  <c r="I7" i="30"/>
  <c r="K7" i="30"/>
  <c r="F8" i="30"/>
  <c r="P6" i="30"/>
  <c r="W4" i="30" s="1"/>
  <c r="L6" i="28"/>
  <c r="L374" i="7" s="1"/>
  <c r="I6" i="28"/>
  <c r="M6" i="28"/>
  <c r="M374" i="7" s="1"/>
  <c r="F7" i="28"/>
  <c r="K6" i="28"/>
  <c r="K374" i="7" s="1"/>
  <c r="F374" i="7"/>
  <c r="E9" i="26"/>
  <c r="W3" i="37"/>
  <c r="K7" i="37"/>
  <c r="P7" i="37" s="1"/>
  <c r="F8" i="37"/>
  <c r="I8" i="37" s="1"/>
  <c r="P6" i="37"/>
  <c r="F7" i="32"/>
  <c r="I7" i="32" s="1"/>
  <c r="P7" i="32" s="1"/>
  <c r="W5" i="32" s="1"/>
  <c r="C34" i="28"/>
  <c r="B35" i="28"/>
  <c r="D34" i="28"/>
  <c r="D402" i="7" s="1"/>
  <c r="B30" i="33"/>
  <c r="C29" i="33"/>
  <c r="D29" i="33"/>
  <c r="D34" i="30"/>
  <c r="B35" i="30"/>
  <c r="C35" i="30"/>
  <c r="C28" i="32"/>
  <c r="B29" i="32"/>
  <c r="D28" i="32"/>
  <c r="C29" i="37"/>
  <c r="D28" i="37"/>
  <c r="B29" i="37"/>
  <c r="C29" i="40"/>
  <c r="E28" i="40"/>
  <c r="D28" i="40"/>
  <c r="B263" i="36"/>
  <c r="B50" i="39"/>
  <c r="E49" i="39"/>
  <c r="R49" i="39" s="1"/>
  <c r="C403" i="7"/>
  <c r="B404" i="7"/>
  <c r="K12" i="12"/>
  <c r="C19" i="13"/>
  <c r="C74" i="7"/>
  <c r="C14" i="46"/>
  <c r="C19" i="39"/>
  <c r="T16" i="46" l="1"/>
  <c r="AA16" i="46" s="1"/>
  <c r="E17" i="46"/>
  <c r="E77" i="7" s="1"/>
  <c r="T17" i="46"/>
  <c r="AA17" i="46" s="1"/>
  <c r="D17" i="46"/>
  <c r="D16" i="46"/>
  <c r="E16" i="46"/>
  <c r="E76" i="7" s="1"/>
  <c r="M67" i="7"/>
  <c r="L67" i="7"/>
  <c r="J67" i="7"/>
  <c r="K67" i="7"/>
  <c r="O77" i="7"/>
  <c r="B78" i="7"/>
  <c r="X3" i="40"/>
  <c r="AC11" i="39"/>
  <c r="G24" i="11"/>
  <c r="G25" i="11" s="1"/>
  <c r="H24" i="11"/>
  <c r="H25" i="11" s="1"/>
  <c r="E24" i="11"/>
  <c r="E25" i="11" s="1"/>
  <c r="F24" i="11"/>
  <c r="F25" i="11" s="1"/>
  <c r="I24" i="11"/>
  <c r="I25" i="11" s="1"/>
  <c r="D16" i="50"/>
  <c r="H50" i="7" s="1"/>
  <c r="L48" i="7" s="1"/>
  <c r="G22" i="11"/>
  <c r="K58" i="7" s="1"/>
  <c r="K57" i="7"/>
  <c r="E23" i="13"/>
  <c r="B24" i="13"/>
  <c r="L57" i="7"/>
  <c r="F22" i="11"/>
  <c r="J58" i="7" s="1"/>
  <c r="E22" i="11"/>
  <c r="I58" i="7" s="1"/>
  <c r="M57" i="7"/>
  <c r="Q6" i="40"/>
  <c r="G8" i="40"/>
  <c r="L8" i="40" s="1"/>
  <c r="L7" i="40"/>
  <c r="Q7" i="40" s="1"/>
  <c r="H12" i="13"/>
  <c r="I12" i="13" s="1"/>
  <c r="Q12" i="39"/>
  <c r="V12" i="39"/>
  <c r="W12" i="39" s="1"/>
  <c r="T12" i="39"/>
  <c r="G12" i="39"/>
  <c r="D13" i="36" s="1"/>
  <c r="K12" i="39"/>
  <c r="K7" i="39" s="1"/>
  <c r="L12" i="39"/>
  <c r="G8" i="39"/>
  <c r="Y12" i="39"/>
  <c r="Z12" i="39" s="1"/>
  <c r="J12" i="39"/>
  <c r="W7" i="46"/>
  <c r="Y7" i="46"/>
  <c r="Z7" i="46"/>
  <c r="X12" i="13"/>
  <c r="Z12" i="13" s="1"/>
  <c r="I7" i="33"/>
  <c r="P7" i="33" s="1"/>
  <c r="W5" i="33" s="1"/>
  <c r="AA12" i="13"/>
  <c r="AC12" i="13" s="1"/>
  <c r="W12" i="13"/>
  <c r="P5" i="37"/>
  <c r="P7" i="30"/>
  <c r="W5" i="30" s="1"/>
  <c r="M7" i="28"/>
  <c r="M375" i="7" s="1"/>
  <c r="I7" i="28"/>
  <c r="K7" i="28"/>
  <c r="K375" i="7" s="1"/>
  <c r="F8" i="28"/>
  <c r="F375" i="7"/>
  <c r="L7" i="28"/>
  <c r="L375" i="7" s="1"/>
  <c r="I8" i="30"/>
  <c r="K8" i="30"/>
  <c r="F9" i="30"/>
  <c r="I374" i="7"/>
  <c r="Q6" i="28"/>
  <c r="Q374" i="7" s="1"/>
  <c r="X4" i="28"/>
  <c r="AG5" i="46"/>
  <c r="AB6" i="46" s="1"/>
  <c r="P5" i="33"/>
  <c r="W3" i="33" s="1"/>
  <c r="W2" i="33"/>
  <c r="P5" i="32"/>
  <c r="W3" i="32" s="1"/>
  <c r="X2" i="28"/>
  <c r="W2" i="32"/>
  <c r="Q5" i="40"/>
  <c r="W2" i="30"/>
  <c r="W5" i="37"/>
  <c r="K8" i="37"/>
  <c r="W6" i="37" s="1"/>
  <c r="F9" i="37"/>
  <c r="F10" i="37" s="1"/>
  <c r="F8" i="32"/>
  <c r="I8" i="32" s="1"/>
  <c r="P8" i="32" s="1"/>
  <c r="W6" i="32" s="1"/>
  <c r="F9" i="33"/>
  <c r="I8" i="33"/>
  <c r="P8" i="33" s="1"/>
  <c r="W6" i="33" s="1"/>
  <c r="D35" i="28"/>
  <c r="D403" i="7" s="1"/>
  <c r="B36" i="28"/>
  <c r="C35" i="28"/>
  <c r="C30" i="33"/>
  <c r="B31" i="33"/>
  <c r="D30" i="33"/>
  <c r="T18" i="46"/>
  <c r="AA18" i="46" s="1"/>
  <c r="E18" i="46"/>
  <c r="D18" i="46"/>
  <c r="B19" i="46"/>
  <c r="C29" i="32"/>
  <c r="B30" i="32"/>
  <c r="D29" i="32"/>
  <c r="C36" i="30"/>
  <c r="B36" i="30"/>
  <c r="D35" i="30"/>
  <c r="B51" i="39"/>
  <c r="E50" i="39"/>
  <c r="R50" i="39" s="1"/>
  <c r="B264" i="36"/>
  <c r="E29" i="40"/>
  <c r="D29" i="40"/>
  <c r="C30" i="40"/>
  <c r="B30" i="37"/>
  <c r="D29" i="37"/>
  <c r="C30" i="37"/>
  <c r="C404" i="7"/>
  <c r="B405" i="7"/>
  <c r="C20" i="13"/>
  <c r="K13" i="12"/>
  <c r="C15" i="46"/>
  <c r="C20" i="39"/>
  <c r="C75" i="7"/>
  <c r="Q33" i="9" l="1"/>
  <c r="L52" i="7"/>
  <c r="H67" i="7"/>
  <c r="E78" i="7"/>
  <c r="O78" i="7"/>
  <c r="B79" i="7"/>
  <c r="U8" i="46"/>
  <c r="Y8" i="46" s="1"/>
  <c r="V41" i="9"/>
  <c r="V43" i="9" s="1"/>
  <c r="V45" i="9" s="1"/>
  <c r="V47" i="9" s="1"/>
  <c r="Q36" i="9" s="1"/>
  <c r="Q32" i="9"/>
  <c r="Q31" i="9"/>
  <c r="H46" i="34"/>
  <c r="E47" i="34" s="1"/>
  <c r="B19" i="11"/>
  <c r="H9" i="11" s="1"/>
  <c r="Q40" i="9"/>
  <c r="Q37" i="9"/>
  <c r="Q38" i="9"/>
  <c r="Q34" i="9"/>
  <c r="M48" i="7"/>
  <c r="R24" i="9"/>
  <c r="Q39" i="9"/>
  <c r="E40" i="7"/>
  <c r="E41" i="7" s="1"/>
  <c r="B25" i="13"/>
  <c r="E24" i="13"/>
  <c r="G9" i="40"/>
  <c r="J9" i="40" s="1"/>
  <c r="X5" i="40"/>
  <c r="J8" i="40"/>
  <c r="Q8" i="40" s="1"/>
  <c r="I67" i="7"/>
  <c r="E3" i="10" s="1"/>
  <c r="J12" i="13"/>
  <c r="G12" i="13" s="1"/>
  <c r="H12" i="39"/>
  <c r="O12" i="39" s="1"/>
  <c r="P12" i="39"/>
  <c r="Z13" i="39" s="1"/>
  <c r="AB7" i="46"/>
  <c r="P8" i="30"/>
  <c r="W6" i="30" s="1"/>
  <c r="M8" i="28"/>
  <c r="M376" i="7" s="1"/>
  <c r="K8" i="28"/>
  <c r="K376" i="7" s="1"/>
  <c r="I8" i="28"/>
  <c r="F376" i="7"/>
  <c r="L8" i="28"/>
  <c r="L376" i="7" s="1"/>
  <c r="F9" i="28"/>
  <c r="I375" i="7"/>
  <c r="Q7" i="28"/>
  <c r="Q375" i="7" s="1"/>
  <c r="X5" i="28"/>
  <c r="F10" i="30"/>
  <c r="I9" i="30"/>
  <c r="K9" i="30"/>
  <c r="K9" i="37"/>
  <c r="I9" i="37"/>
  <c r="P8" i="37"/>
  <c r="F9" i="32"/>
  <c r="I9" i="32" s="1"/>
  <c r="P9" i="32" s="1"/>
  <c r="W7" i="32" s="1"/>
  <c r="I9" i="33"/>
  <c r="P9" i="33" s="1"/>
  <c r="W7" i="33" s="1"/>
  <c r="F10" i="33"/>
  <c r="I10" i="37"/>
  <c r="F11" i="37"/>
  <c r="K10" i="37"/>
  <c r="D36" i="28"/>
  <c r="D404" i="7" s="1"/>
  <c r="C36" i="28"/>
  <c r="B37" i="28"/>
  <c r="B32" i="33"/>
  <c r="C31" i="33"/>
  <c r="D31" i="33"/>
  <c r="B20" i="46"/>
  <c r="D19" i="46"/>
  <c r="T19" i="46"/>
  <c r="AA19" i="46" s="1"/>
  <c r="E19" i="46"/>
  <c r="B31" i="32"/>
  <c r="D30" i="32"/>
  <c r="C30" i="32"/>
  <c r="C37" i="30"/>
  <c r="D36" i="30"/>
  <c r="B37" i="30"/>
  <c r="B265" i="36"/>
  <c r="D30" i="37"/>
  <c r="B31" i="37"/>
  <c r="C31" i="37"/>
  <c r="D30" i="40"/>
  <c r="C31" i="40"/>
  <c r="E30" i="40"/>
  <c r="B52" i="39"/>
  <c r="E51" i="39"/>
  <c r="R51" i="39" s="1"/>
  <c r="B406" i="7"/>
  <c r="C405" i="7"/>
  <c r="C21" i="13"/>
  <c r="K14" i="12"/>
  <c r="C21" i="39"/>
  <c r="C16" i="46"/>
  <c r="C76" i="7"/>
  <c r="M52" i="7" l="1"/>
  <c r="R12" i="13"/>
  <c r="G67" i="7"/>
  <c r="Q67" i="7" s="1"/>
  <c r="E79" i="7"/>
  <c r="O79" i="7"/>
  <c r="B80" i="7"/>
  <c r="Z8" i="46"/>
  <c r="X8" i="46"/>
  <c r="W8" i="46"/>
  <c r="Q7" i="46"/>
  <c r="F8" i="46" s="1"/>
  <c r="P7" i="46"/>
  <c r="I9" i="11"/>
  <c r="Q35" i="9"/>
  <c r="V49" i="9"/>
  <c r="I12" i="39"/>
  <c r="AC12" i="39" s="1"/>
  <c r="B26" i="13"/>
  <c r="E25" i="13"/>
  <c r="G10" i="40"/>
  <c r="G11" i="40" s="1"/>
  <c r="L9" i="40"/>
  <c r="X7" i="40" s="1"/>
  <c r="X6" i="40"/>
  <c r="F13" i="13"/>
  <c r="S12" i="13"/>
  <c r="F13" i="39"/>
  <c r="Q13" i="39" s="1"/>
  <c r="P9" i="30"/>
  <c r="W7" i="30" s="1"/>
  <c r="K10" i="30"/>
  <c r="I10" i="30"/>
  <c r="F11" i="30"/>
  <c r="I376" i="7"/>
  <c r="X6" i="28"/>
  <c r="Q8" i="28"/>
  <c r="Q376" i="7" s="1"/>
  <c r="L9" i="28"/>
  <c r="L377" i="7" s="1"/>
  <c r="F377" i="7"/>
  <c r="K9" i="28"/>
  <c r="K377" i="7" s="1"/>
  <c r="F10" i="28"/>
  <c r="I9" i="28"/>
  <c r="M9" i="28"/>
  <c r="M377" i="7" s="1"/>
  <c r="P9" i="37"/>
  <c r="W7" i="37"/>
  <c r="F10" i="32"/>
  <c r="F11" i="32" s="1"/>
  <c r="F11" i="33"/>
  <c r="I10" i="33"/>
  <c r="P10" i="33" s="1"/>
  <c r="W8" i="33" s="1"/>
  <c r="K11" i="37"/>
  <c r="I11" i="37"/>
  <c r="F12" i="37"/>
  <c r="W8" i="37"/>
  <c r="P10" i="37"/>
  <c r="B38" i="28"/>
  <c r="C37" i="28"/>
  <c r="D37" i="28"/>
  <c r="D405" i="7" s="1"/>
  <c r="D20" i="46"/>
  <c r="E20" i="46"/>
  <c r="B21" i="46"/>
  <c r="T20" i="46"/>
  <c r="AA20" i="46" s="1"/>
  <c r="B33" i="33"/>
  <c r="C32" i="33"/>
  <c r="D32" i="33"/>
  <c r="D37" i="30"/>
  <c r="C38" i="30"/>
  <c r="B38" i="30"/>
  <c r="C31" i="32"/>
  <c r="D31" i="32"/>
  <c r="B32" i="32"/>
  <c r="B53" i="39"/>
  <c r="E52" i="39"/>
  <c r="R52" i="39" s="1"/>
  <c r="D31" i="40"/>
  <c r="C32" i="40"/>
  <c r="E31" i="40"/>
  <c r="B266" i="36"/>
  <c r="B32" i="37"/>
  <c r="D31" i="37"/>
  <c r="C32" i="37"/>
  <c r="B407" i="7"/>
  <c r="C406" i="7"/>
  <c r="K15" i="12"/>
  <c r="C22" i="13"/>
  <c r="C77" i="7"/>
  <c r="C17" i="46"/>
  <c r="C22" i="39"/>
  <c r="F68" i="7" l="1"/>
  <c r="R68" i="7" s="1"/>
  <c r="E80" i="7"/>
  <c r="O80" i="7"/>
  <c r="B81" i="7"/>
  <c r="V8" i="46"/>
  <c r="I8" i="46"/>
  <c r="K8" i="46"/>
  <c r="A8" i="46"/>
  <c r="M8" i="46" s="1"/>
  <c r="H8" i="46"/>
  <c r="J8" i="46"/>
  <c r="L8" i="46"/>
  <c r="E26" i="13"/>
  <c r="B27" i="13"/>
  <c r="Q9" i="40"/>
  <c r="L10" i="40"/>
  <c r="J10" i="40"/>
  <c r="M13" i="13"/>
  <c r="AB13" i="13"/>
  <c r="N13" i="13"/>
  <c r="P67" i="7"/>
  <c r="L13" i="13"/>
  <c r="K13" i="13"/>
  <c r="Y13" i="13"/>
  <c r="V13" i="13"/>
  <c r="V13" i="39"/>
  <c r="H13" i="39" s="1"/>
  <c r="Y13" i="39"/>
  <c r="X13" i="39" s="1"/>
  <c r="K13" i="39"/>
  <c r="J13" i="39"/>
  <c r="L13" i="39"/>
  <c r="S13" i="39"/>
  <c r="T13" i="39" s="1"/>
  <c r="P10" i="30"/>
  <c r="W8" i="30" s="1"/>
  <c r="Q9" i="28"/>
  <c r="Q377" i="7" s="1"/>
  <c r="I377" i="7"/>
  <c r="X7" i="28"/>
  <c r="L10" i="28"/>
  <c r="L378" i="7" s="1"/>
  <c r="F11" i="28"/>
  <c r="F378" i="7"/>
  <c r="K10" i="28"/>
  <c r="K378" i="7" s="1"/>
  <c r="I10" i="28"/>
  <c r="M10" i="28"/>
  <c r="M378" i="7" s="1"/>
  <c r="L11" i="40"/>
  <c r="J11" i="40"/>
  <c r="G12" i="40"/>
  <c r="K11" i="30"/>
  <c r="F12" i="30"/>
  <c r="I11" i="30"/>
  <c r="I10" i="32"/>
  <c r="P10" i="32" s="1"/>
  <c r="W8" i="32" s="1"/>
  <c r="I11" i="33"/>
  <c r="P11" i="33" s="1"/>
  <c r="W9" i="33" s="1"/>
  <c r="F12" i="33"/>
  <c r="F12" i="32"/>
  <c r="I11" i="32"/>
  <c r="P11" i="32" s="1"/>
  <c r="W9" i="32" s="1"/>
  <c r="P11" i="37"/>
  <c r="W9" i="37"/>
  <c r="K12" i="37"/>
  <c r="I12" i="37"/>
  <c r="F13" i="37"/>
  <c r="B39" i="28"/>
  <c r="D38" i="28"/>
  <c r="D406" i="7" s="1"/>
  <c r="C38" i="28"/>
  <c r="E21" i="46"/>
  <c r="B22" i="46"/>
  <c r="D21" i="46"/>
  <c r="T21" i="46"/>
  <c r="AA21" i="46" s="1"/>
  <c r="B34" i="33"/>
  <c r="C33" i="33"/>
  <c r="D33" i="33"/>
  <c r="C39" i="30"/>
  <c r="D38" i="30"/>
  <c r="B39" i="30"/>
  <c r="C32" i="32"/>
  <c r="B33" i="32"/>
  <c r="D32" i="32"/>
  <c r="B267" i="36"/>
  <c r="B33" i="37"/>
  <c r="D32" i="37"/>
  <c r="C33" i="37"/>
  <c r="C33" i="40"/>
  <c r="E32" i="40"/>
  <c r="D32" i="40"/>
  <c r="B54" i="39"/>
  <c r="E53" i="39"/>
  <c r="R53" i="39" s="1"/>
  <c r="B408" i="7"/>
  <c r="C407" i="7"/>
  <c r="C23" i="13"/>
  <c r="K16" i="12"/>
  <c r="C78" i="7"/>
  <c r="C18" i="46"/>
  <c r="C23" i="39"/>
  <c r="L68" i="7" l="1"/>
  <c r="AB8" i="46"/>
  <c r="M68" i="7"/>
  <c r="J68" i="7"/>
  <c r="K68" i="7"/>
  <c r="E81" i="7"/>
  <c r="O81" i="7"/>
  <c r="B82" i="7"/>
  <c r="U9" i="46"/>
  <c r="X9" i="46" s="1"/>
  <c r="G8" i="46"/>
  <c r="U13" i="13"/>
  <c r="W13" i="13" s="1"/>
  <c r="B28" i="13"/>
  <c r="E27" i="13"/>
  <c r="H13" i="13"/>
  <c r="H68" i="7" s="1"/>
  <c r="Q10" i="40"/>
  <c r="X8" i="40"/>
  <c r="AC13" i="13"/>
  <c r="AA13" i="13" s="1"/>
  <c r="Z13" i="13"/>
  <c r="X13" i="13" s="1"/>
  <c r="U13" i="39"/>
  <c r="G13" i="39" s="1"/>
  <c r="P13" i="39" s="1"/>
  <c r="F14" i="39" s="1"/>
  <c r="Q14" i="39" s="1"/>
  <c r="P11" i="30"/>
  <c r="W9" i="30" s="1"/>
  <c r="I11" i="28"/>
  <c r="L11" i="28"/>
  <c r="L379" i="7" s="1"/>
  <c r="K11" i="28"/>
  <c r="K379" i="7" s="1"/>
  <c r="F12" i="28"/>
  <c r="F379" i="7"/>
  <c r="M11" i="28"/>
  <c r="M379" i="7" s="1"/>
  <c r="L12" i="40"/>
  <c r="G13" i="40"/>
  <c r="J12" i="40"/>
  <c r="Q11" i="40"/>
  <c r="X9" i="40"/>
  <c r="K12" i="30"/>
  <c r="I12" i="30"/>
  <c r="F13" i="30"/>
  <c r="I378" i="7"/>
  <c r="Q10" i="28"/>
  <c r="Q378" i="7" s="1"/>
  <c r="X8" i="28"/>
  <c r="F13" i="33"/>
  <c r="I12" i="33"/>
  <c r="P12" i="33" s="1"/>
  <c r="W10" i="33" s="1"/>
  <c r="F13" i="32"/>
  <c r="I12" i="32"/>
  <c r="P12" i="32" s="1"/>
  <c r="W10" i="32" s="1"/>
  <c r="F14" i="37"/>
  <c r="K13" i="37"/>
  <c r="I13" i="37"/>
  <c r="P12" i="37"/>
  <c r="W10" i="37"/>
  <c r="B40" i="28"/>
  <c r="D39" i="28"/>
  <c r="D407" i="7" s="1"/>
  <c r="C39" i="28"/>
  <c r="B23" i="46"/>
  <c r="E22" i="46"/>
  <c r="T22" i="46"/>
  <c r="AA22" i="46" s="1"/>
  <c r="D22" i="46"/>
  <c r="D34" i="33"/>
  <c r="B35" i="33"/>
  <c r="C34" i="33"/>
  <c r="C33" i="32"/>
  <c r="D33" i="32"/>
  <c r="B34" i="32"/>
  <c r="D39" i="30"/>
  <c r="C40" i="30"/>
  <c r="B40" i="30"/>
  <c r="B55" i="39"/>
  <c r="E54" i="39"/>
  <c r="R54" i="39" s="1"/>
  <c r="E33" i="40"/>
  <c r="D33" i="40"/>
  <c r="C34" i="40"/>
  <c r="C34" i="37"/>
  <c r="D33" i="37"/>
  <c r="B34" i="37"/>
  <c r="B268" i="36"/>
  <c r="B409" i="7"/>
  <c r="C408" i="7"/>
  <c r="K17" i="12"/>
  <c r="C24" i="13"/>
  <c r="C19" i="46"/>
  <c r="C24" i="39"/>
  <c r="C79" i="7"/>
  <c r="D14" i="36" l="1"/>
  <c r="O82" i="7"/>
  <c r="E82" i="7"/>
  <c r="B83" i="7"/>
  <c r="P8" i="46"/>
  <c r="Z9" i="46"/>
  <c r="W9" i="46"/>
  <c r="V9" i="46" s="1"/>
  <c r="Y9" i="46"/>
  <c r="Q8" i="46"/>
  <c r="F9" i="46" s="1"/>
  <c r="I13" i="13"/>
  <c r="E28" i="13"/>
  <c r="B29" i="13"/>
  <c r="J13" i="13"/>
  <c r="G13" i="13" s="1"/>
  <c r="S13" i="13" s="1"/>
  <c r="J14" i="39"/>
  <c r="Z14" i="39"/>
  <c r="V14" i="39"/>
  <c r="U14" i="39" s="1"/>
  <c r="G14" i="39" s="1"/>
  <c r="I13" i="39"/>
  <c r="AC13" i="39" s="1"/>
  <c r="K14" i="39"/>
  <c r="S14" i="39"/>
  <c r="T14" i="39" s="1"/>
  <c r="L14" i="39"/>
  <c r="Y14" i="39"/>
  <c r="O13" i="39"/>
  <c r="P12" i="30"/>
  <c r="W10" i="30" s="1"/>
  <c r="L13" i="40"/>
  <c r="G14" i="40"/>
  <c r="J13" i="40"/>
  <c r="I13" i="30"/>
  <c r="F14" i="30"/>
  <c r="K13" i="30"/>
  <c r="F380" i="7"/>
  <c r="M12" i="28"/>
  <c r="M380" i="7" s="1"/>
  <c r="K12" i="28"/>
  <c r="K380" i="7" s="1"/>
  <c r="I12" i="28"/>
  <c r="F13" i="28"/>
  <c r="L12" i="28"/>
  <c r="L380" i="7" s="1"/>
  <c r="X10" i="40"/>
  <c r="Q12" i="40"/>
  <c r="I379" i="7"/>
  <c r="X9" i="28"/>
  <c r="Q11" i="28"/>
  <c r="Q379" i="7" s="1"/>
  <c r="F14" i="33"/>
  <c r="I13" i="33"/>
  <c r="P13" i="33" s="1"/>
  <c r="W11" i="33" s="1"/>
  <c r="W11" i="37"/>
  <c r="P13" i="37"/>
  <c r="F15" i="37"/>
  <c r="I14" i="37"/>
  <c r="K14" i="37"/>
  <c r="I13" i="32"/>
  <c r="P13" i="32" s="1"/>
  <c r="W11" i="32" s="1"/>
  <c r="F14" i="32"/>
  <c r="B41" i="28"/>
  <c r="D40" i="28"/>
  <c r="D408" i="7" s="1"/>
  <c r="C40" i="28"/>
  <c r="B36" i="33"/>
  <c r="C35" i="33"/>
  <c r="D35" i="33"/>
  <c r="E23" i="46"/>
  <c r="T23" i="46"/>
  <c r="AA23" i="46" s="1"/>
  <c r="B24" i="46"/>
  <c r="D23" i="46"/>
  <c r="C34" i="32"/>
  <c r="D34" i="32"/>
  <c r="B35" i="32"/>
  <c r="B41" i="30"/>
  <c r="D40" i="30"/>
  <c r="C41" i="30"/>
  <c r="C35" i="37"/>
  <c r="D34" i="37"/>
  <c r="B35" i="37"/>
  <c r="D34" i="40"/>
  <c r="C35" i="40"/>
  <c r="E34" i="40"/>
  <c r="B56" i="39"/>
  <c r="E55" i="39"/>
  <c r="R55" i="39" s="1"/>
  <c r="B269" i="36"/>
  <c r="C409" i="7"/>
  <c r="B410" i="7"/>
  <c r="K18" i="12"/>
  <c r="C25" i="13"/>
  <c r="C20" i="46"/>
  <c r="C25" i="39"/>
  <c r="C80" i="7"/>
  <c r="U10" i="46" l="1"/>
  <c r="Y10" i="46" s="1"/>
  <c r="D15" i="36"/>
  <c r="G68" i="7"/>
  <c r="O83" i="7"/>
  <c r="E83" i="7"/>
  <c r="B84" i="7"/>
  <c r="I68" i="7"/>
  <c r="E4" i="10" s="1"/>
  <c r="K9" i="46"/>
  <c r="AB9" i="46"/>
  <c r="L9" i="46"/>
  <c r="A9" i="46"/>
  <c r="M9" i="46" s="1"/>
  <c r="J9" i="46"/>
  <c r="H9" i="46"/>
  <c r="I9" i="46"/>
  <c r="B30" i="13"/>
  <c r="E29" i="13"/>
  <c r="H14" i="39"/>
  <c r="O14" i="39" s="1"/>
  <c r="R13" i="13"/>
  <c r="F14" i="13"/>
  <c r="N14" i="13" s="1"/>
  <c r="Z14" i="13" s="1"/>
  <c r="P14" i="39"/>
  <c r="F15" i="39" s="1"/>
  <c r="L15" i="39" s="1"/>
  <c r="X14" i="39"/>
  <c r="P13" i="30"/>
  <c r="W11" i="30" s="1"/>
  <c r="F15" i="30"/>
  <c r="I14" i="30"/>
  <c r="K14" i="30"/>
  <c r="L13" i="28"/>
  <c r="L381" i="7" s="1"/>
  <c r="K13" i="28"/>
  <c r="K381" i="7" s="1"/>
  <c r="I13" i="28"/>
  <c r="M13" i="28"/>
  <c r="M381" i="7" s="1"/>
  <c r="F14" i="28"/>
  <c r="F381" i="7"/>
  <c r="X11" i="40"/>
  <c r="Q13" i="40"/>
  <c r="Q12" i="28"/>
  <c r="Q380" i="7" s="1"/>
  <c r="X10" i="28"/>
  <c r="I380" i="7"/>
  <c r="J14" i="40"/>
  <c r="L14" i="40"/>
  <c r="G15" i="40"/>
  <c r="F15" i="33"/>
  <c r="I14" i="33"/>
  <c r="P14" i="33" s="1"/>
  <c r="W12" i="33" s="1"/>
  <c r="I14" i="32"/>
  <c r="P14" i="32" s="1"/>
  <c r="W12" i="32" s="1"/>
  <c r="F15" i="32"/>
  <c r="P14" i="37"/>
  <c r="W12" i="37"/>
  <c r="F16" i="37"/>
  <c r="K15" i="37"/>
  <c r="I15" i="37"/>
  <c r="D41" i="28"/>
  <c r="D409" i="7" s="1"/>
  <c r="C41" i="28"/>
  <c r="B42" i="28"/>
  <c r="B37" i="33"/>
  <c r="D36" i="33"/>
  <c r="C36" i="33"/>
  <c r="E24" i="46"/>
  <c r="B25" i="46"/>
  <c r="D24" i="46"/>
  <c r="T24" i="46"/>
  <c r="AA24" i="46" s="1"/>
  <c r="B42" i="30"/>
  <c r="D41" i="30"/>
  <c r="C42" i="30"/>
  <c r="D35" i="32"/>
  <c r="C35" i="32"/>
  <c r="B36" i="32"/>
  <c r="C36" i="37"/>
  <c r="D35" i="37"/>
  <c r="B36" i="37"/>
  <c r="B270" i="36"/>
  <c r="B57" i="39"/>
  <c r="E56" i="39"/>
  <c r="R56" i="39" s="1"/>
  <c r="D35" i="40"/>
  <c r="C36" i="40"/>
  <c r="E35" i="40"/>
  <c r="B411" i="7"/>
  <c r="C410" i="7"/>
  <c r="C26" i="13"/>
  <c r="K19" i="12"/>
  <c r="C81" i="7"/>
  <c r="C21" i="46"/>
  <c r="C26" i="39"/>
  <c r="W10" i="46" l="1"/>
  <c r="Z10" i="46"/>
  <c r="X10" i="46"/>
  <c r="M69" i="7"/>
  <c r="F69" i="7"/>
  <c r="R69" i="7" s="1"/>
  <c r="P68" i="7"/>
  <c r="O84" i="7"/>
  <c r="E84" i="7"/>
  <c r="B85" i="7"/>
  <c r="G9" i="46"/>
  <c r="I14" i="39"/>
  <c r="AC14" i="39" s="1"/>
  <c r="E30" i="13"/>
  <c r="B31" i="13"/>
  <c r="J15" i="39"/>
  <c r="V15" i="39"/>
  <c r="H15" i="39" s="1"/>
  <c r="Y15" i="39"/>
  <c r="Q15" i="39"/>
  <c r="K15" i="39"/>
  <c r="S15" i="39"/>
  <c r="T15" i="39" s="1"/>
  <c r="Z15" i="39"/>
  <c r="AC14" i="13"/>
  <c r="J14" i="13" s="1"/>
  <c r="K14" i="13"/>
  <c r="J69" i="7" s="1"/>
  <c r="V14" i="13"/>
  <c r="Y14" i="13"/>
  <c r="X14" i="13" s="1"/>
  <c r="M14" i="13"/>
  <c r="L69" i="7" s="1"/>
  <c r="U14" i="13"/>
  <c r="L14" i="13"/>
  <c r="K69" i="7" s="1"/>
  <c r="AB14" i="13"/>
  <c r="Q68" i="7"/>
  <c r="M14" i="28"/>
  <c r="M382" i="7" s="1"/>
  <c r="F382" i="7"/>
  <c r="L14" i="28"/>
  <c r="L382" i="7" s="1"/>
  <c r="I14" i="28"/>
  <c r="K14" i="28"/>
  <c r="K382" i="7" s="1"/>
  <c r="F15" i="28"/>
  <c r="X12" i="40"/>
  <c r="Q14" i="40"/>
  <c r="I381" i="7"/>
  <c r="Q13" i="28"/>
  <c r="Q381" i="7" s="1"/>
  <c r="X11" i="28"/>
  <c r="P14" i="30"/>
  <c r="W12" i="30" s="1"/>
  <c r="J15" i="40"/>
  <c r="G16" i="40"/>
  <c r="L15" i="40"/>
  <c r="F16" i="30"/>
  <c r="K15" i="30"/>
  <c r="I15" i="30"/>
  <c r="F16" i="33"/>
  <c r="I15" i="33"/>
  <c r="P15" i="33" s="1"/>
  <c r="W13" i="33" s="1"/>
  <c r="W13" i="37"/>
  <c r="P15" i="37"/>
  <c r="K16" i="37"/>
  <c r="I16" i="37"/>
  <c r="F17" i="37"/>
  <c r="F16" i="32"/>
  <c r="I15" i="32"/>
  <c r="P15" i="32" s="1"/>
  <c r="W13" i="32" s="1"/>
  <c r="C42" i="28"/>
  <c r="D42" i="28"/>
  <c r="D410" i="7" s="1"/>
  <c r="B43" i="28"/>
  <c r="D25" i="46"/>
  <c r="B26" i="46"/>
  <c r="E25" i="46"/>
  <c r="T25" i="46"/>
  <c r="AA25" i="46" s="1"/>
  <c r="C37" i="33"/>
  <c r="D37" i="33"/>
  <c r="B38" i="33"/>
  <c r="B37" i="32"/>
  <c r="D36" i="32"/>
  <c r="C36" i="32"/>
  <c r="B43" i="30"/>
  <c r="C43" i="30"/>
  <c r="D42" i="30"/>
  <c r="B271" i="36"/>
  <c r="C37" i="40"/>
  <c r="E36" i="40"/>
  <c r="D36" i="40"/>
  <c r="B37" i="37"/>
  <c r="D36" i="37"/>
  <c r="C37" i="37"/>
  <c r="B58" i="39"/>
  <c r="E57" i="39"/>
  <c r="R57" i="39" s="1"/>
  <c r="B412" i="7"/>
  <c r="C411" i="7"/>
  <c r="K20" i="12"/>
  <c r="C27" i="13"/>
  <c r="C82" i="7"/>
  <c r="C22" i="46"/>
  <c r="C27" i="39"/>
  <c r="V10" i="46" l="1"/>
  <c r="AB10" i="46" s="1"/>
  <c r="O85" i="7"/>
  <c r="E85" i="7"/>
  <c r="B86" i="7"/>
  <c r="Q9" i="46"/>
  <c r="F10" i="46" s="1"/>
  <c r="H10" i="46" s="1"/>
  <c r="P9" i="46"/>
  <c r="E31" i="13"/>
  <c r="B32" i="13"/>
  <c r="U15" i="39"/>
  <c r="G15" i="39" s="1"/>
  <c r="W14" i="13"/>
  <c r="X15" i="39"/>
  <c r="AA14" i="13"/>
  <c r="H14" i="13"/>
  <c r="H69" i="7" s="1"/>
  <c r="P15" i="30"/>
  <c r="W13" i="30" s="1"/>
  <c r="I16" i="30"/>
  <c r="F17" i="30"/>
  <c r="K16" i="30"/>
  <c r="G17" i="40"/>
  <c r="L16" i="40"/>
  <c r="J16" i="40"/>
  <c r="K15" i="28"/>
  <c r="K383" i="7" s="1"/>
  <c r="M15" i="28"/>
  <c r="M383" i="7" s="1"/>
  <c r="I15" i="28"/>
  <c r="F383" i="7"/>
  <c r="L15" i="28"/>
  <c r="L383" i="7" s="1"/>
  <c r="F16" i="28"/>
  <c r="Q15" i="40"/>
  <c r="X13" i="40"/>
  <c r="I382" i="7"/>
  <c r="Q14" i="28"/>
  <c r="Q382" i="7" s="1"/>
  <c r="X12" i="28"/>
  <c r="F17" i="33"/>
  <c r="I16" i="33"/>
  <c r="P16" i="33" s="1"/>
  <c r="W14" i="33" s="1"/>
  <c r="I16" i="32"/>
  <c r="P16" i="32" s="1"/>
  <c r="W14" i="32" s="1"/>
  <c r="F17" i="32"/>
  <c r="K17" i="37"/>
  <c r="F18" i="37"/>
  <c r="I17" i="37"/>
  <c r="W14" i="37"/>
  <c r="P16" i="37"/>
  <c r="D43" i="28"/>
  <c r="D411" i="7" s="1"/>
  <c r="B44" i="28"/>
  <c r="C43" i="28"/>
  <c r="D38" i="33"/>
  <c r="B39" i="33"/>
  <c r="C38" i="33"/>
  <c r="T26" i="46"/>
  <c r="AA26" i="46" s="1"/>
  <c r="D26" i="46"/>
  <c r="E26" i="46"/>
  <c r="B27" i="46"/>
  <c r="B44" i="30"/>
  <c r="D43" i="30"/>
  <c r="C44" i="30"/>
  <c r="B38" i="32"/>
  <c r="D37" i="32"/>
  <c r="C37" i="32"/>
  <c r="B59" i="39"/>
  <c r="E58" i="39"/>
  <c r="R58" i="39" s="1"/>
  <c r="E37" i="40"/>
  <c r="D37" i="40"/>
  <c r="C38" i="40"/>
  <c r="B38" i="37"/>
  <c r="D37" i="37"/>
  <c r="C38" i="37"/>
  <c r="B272" i="36"/>
  <c r="C412" i="7"/>
  <c r="B413" i="7"/>
  <c r="C28" i="13"/>
  <c r="K21" i="12"/>
  <c r="C23" i="46"/>
  <c r="C28" i="39"/>
  <c r="C83" i="7"/>
  <c r="U11" i="46" l="1"/>
  <c r="W11" i="46" s="1"/>
  <c r="D16" i="36"/>
  <c r="K10" i="46"/>
  <c r="J10" i="46"/>
  <c r="I10" i="46"/>
  <c r="L10" i="46"/>
  <c r="O86" i="7"/>
  <c r="E86" i="7"/>
  <c r="B87" i="7"/>
  <c r="A10" i="46"/>
  <c r="M10" i="46" s="1"/>
  <c r="I14" i="13"/>
  <c r="E32" i="13"/>
  <c r="B33" i="13"/>
  <c r="I15" i="39"/>
  <c r="AC15" i="39" s="1"/>
  <c r="P15" i="39"/>
  <c r="F16" i="39" s="1"/>
  <c r="O15" i="39"/>
  <c r="G14" i="13"/>
  <c r="Q16" i="40"/>
  <c r="X14" i="40"/>
  <c r="L16" i="28"/>
  <c r="L384" i="7" s="1"/>
  <c r="I16" i="28"/>
  <c r="F17" i="28"/>
  <c r="M16" i="28"/>
  <c r="M384" i="7" s="1"/>
  <c r="F384" i="7"/>
  <c r="K16" i="28"/>
  <c r="K384" i="7" s="1"/>
  <c r="G18" i="40"/>
  <c r="K37" i="40" s="1"/>
  <c r="J17" i="40"/>
  <c r="L17" i="40"/>
  <c r="F18" i="30"/>
  <c r="I17" i="30"/>
  <c r="K17" i="30"/>
  <c r="Q15" i="28"/>
  <c r="Q383" i="7" s="1"/>
  <c r="X13" i="28"/>
  <c r="I383" i="7"/>
  <c r="P16" i="30"/>
  <c r="W14" i="30" s="1"/>
  <c r="I17" i="33"/>
  <c r="P17" i="33" s="1"/>
  <c r="W15" i="33" s="1"/>
  <c r="F18" i="33"/>
  <c r="W15" i="37"/>
  <c r="P17" i="37"/>
  <c r="K18" i="37"/>
  <c r="L18" i="37"/>
  <c r="I18" i="37"/>
  <c r="J18" i="37" s="1"/>
  <c r="Q18" i="37"/>
  <c r="M18" i="37"/>
  <c r="F19" i="37"/>
  <c r="I17" i="32"/>
  <c r="P17" i="32" s="1"/>
  <c r="W15" i="32" s="1"/>
  <c r="F18" i="32"/>
  <c r="B45" i="28"/>
  <c r="D44" i="28"/>
  <c r="D412" i="7" s="1"/>
  <c r="C44" i="28"/>
  <c r="D27" i="46"/>
  <c r="E27" i="46"/>
  <c r="T27" i="46"/>
  <c r="AA27" i="46" s="1"/>
  <c r="B28" i="46"/>
  <c r="B40" i="33"/>
  <c r="D39" i="33"/>
  <c r="C39" i="33"/>
  <c r="D38" i="32"/>
  <c r="C38" i="32"/>
  <c r="B39" i="32"/>
  <c r="B45" i="30"/>
  <c r="C45" i="30"/>
  <c r="D44" i="30"/>
  <c r="B273" i="36"/>
  <c r="B60" i="39"/>
  <c r="E59" i="39"/>
  <c r="R59" i="39" s="1"/>
  <c r="D38" i="40"/>
  <c r="C39" i="40"/>
  <c r="E38" i="40"/>
  <c r="B39" i="37"/>
  <c r="C39" i="37"/>
  <c r="D38" i="37"/>
  <c r="C413" i="7"/>
  <c r="B414" i="7"/>
  <c r="C29" i="13"/>
  <c r="K22" i="12"/>
  <c r="C24" i="46"/>
  <c r="C29" i="39"/>
  <c r="C84" i="7"/>
  <c r="Y11" i="46" l="1"/>
  <c r="Z11" i="46"/>
  <c r="X11" i="46"/>
  <c r="V11" i="46" s="1"/>
  <c r="U12" i="46" s="1"/>
  <c r="X12" i="46" s="1"/>
  <c r="F15" i="13"/>
  <c r="V15" i="13" s="1"/>
  <c r="G69" i="7"/>
  <c r="G10" i="46"/>
  <c r="Q10" i="46" s="1"/>
  <c r="F11" i="46" s="1"/>
  <c r="E87" i="7"/>
  <c r="O87" i="7"/>
  <c r="B88" i="7"/>
  <c r="I69" i="7"/>
  <c r="E5" i="10" s="1"/>
  <c r="E33" i="13"/>
  <c r="B34" i="13"/>
  <c r="Z16" i="39"/>
  <c r="R14" i="13"/>
  <c r="S14" i="13"/>
  <c r="Z38" i="40"/>
  <c r="P17" i="30"/>
  <c r="W15" i="30" s="1"/>
  <c r="I17" i="28"/>
  <c r="L17" i="28"/>
  <c r="L385" i="7" s="1"/>
  <c r="F18" i="28"/>
  <c r="K17" i="28"/>
  <c r="K385" i="7" s="1"/>
  <c r="M17" i="28"/>
  <c r="M385" i="7" s="1"/>
  <c r="F385" i="7"/>
  <c r="I18" i="30"/>
  <c r="K18" i="30"/>
  <c r="F19" i="30"/>
  <c r="I384" i="7"/>
  <c r="X14" i="28"/>
  <c r="Q16" i="28"/>
  <c r="Q384" i="7" s="1"/>
  <c r="X15" i="40"/>
  <c r="Q17" i="40"/>
  <c r="K34" i="40"/>
  <c r="Z25" i="40"/>
  <c r="L18" i="40"/>
  <c r="K27" i="40"/>
  <c r="K30" i="40"/>
  <c r="Z19" i="40"/>
  <c r="K21" i="40"/>
  <c r="N18" i="40"/>
  <c r="K23" i="40"/>
  <c r="Z21" i="40"/>
  <c r="K31" i="40"/>
  <c r="Z35" i="40"/>
  <c r="K29" i="40"/>
  <c r="AD18" i="40"/>
  <c r="J18" i="40" s="1"/>
  <c r="Z20" i="40"/>
  <c r="AF18" i="40"/>
  <c r="Z31" i="40"/>
  <c r="Z18" i="40"/>
  <c r="Z27" i="40"/>
  <c r="K28" i="40"/>
  <c r="Z24" i="40"/>
  <c r="AG18" i="40"/>
  <c r="Z32" i="40"/>
  <c r="Z34" i="40"/>
  <c r="K20" i="40"/>
  <c r="K26" i="40"/>
  <c r="Z30" i="40"/>
  <c r="K22" i="40"/>
  <c r="AC18" i="40"/>
  <c r="AA18" i="40"/>
  <c r="K18" i="40"/>
  <c r="K32" i="40"/>
  <c r="K35" i="40"/>
  <c r="K19" i="40"/>
  <c r="Z26" i="40"/>
  <c r="K24" i="40"/>
  <c r="Z22" i="40"/>
  <c r="K33" i="40"/>
  <c r="Z28" i="40"/>
  <c r="Z29" i="40"/>
  <c r="Z23" i="40"/>
  <c r="K25" i="40"/>
  <c r="Z33" i="40"/>
  <c r="K36" i="40"/>
  <c r="Z36" i="40"/>
  <c r="Z37" i="40"/>
  <c r="P18" i="37"/>
  <c r="W16" i="37" s="1"/>
  <c r="K18" i="33"/>
  <c r="Q18" i="33"/>
  <c r="F19" i="33"/>
  <c r="M18" i="33"/>
  <c r="N18" i="33"/>
  <c r="I18" i="33"/>
  <c r="L18" i="33"/>
  <c r="L19" i="37"/>
  <c r="J19" i="37"/>
  <c r="I19" i="37"/>
  <c r="M19" i="37"/>
  <c r="K19" i="37"/>
  <c r="AC18" i="32"/>
  <c r="AE18" i="32"/>
  <c r="AB18" i="32"/>
  <c r="AF18" i="32"/>
  <c r="Z18" i="32"/>
  <c r="M18" i="32"/>
  <c r="N18" i="32"/>
  <c r="Y18" i="32" s="1"/>
  <c r="C45" i="28"/>
  <c r="B46" i="28"/>
  <c r="D45" i="28"/>
  <c r="D413" i="7" s="1"/>
  <c r="D28" i="46"/>
  <c r="B29" i="46"/>
  <c r="E28" i="46"/>
  <c r="T28" i="46"/>
  <c r="AA28" i="46" s="1"/>
  <c r="B41" i="33"/>
  <c r="C40" i="33"/>
  <c r="D40" i="33"/>
  <c r="S16" i="39"/>
  <c r="T16" i="39" s="1"/>
  <c r="V16" i="39"/>
  <c r="K16" i="39"/>
  <c r="J16" i="39"/>
  <c r="Y16" i="39"/>
  <c r="L16" i="39"/>
  <c r="Q16" i="39"/>
  <c r="B46" i="30"/>
  <c r="D45" i="30"/>
  <c r="C46" i="30"/>
  <c r="D39" i="32"/>
  <c r="C39" i="32"/>
  <c r="B40" i="32"/>
  <c r="K38" i="40"/>
  <c r="D39" i="40"/>
  <c r="C40" i="40"/>
  <c r="E39" i="40"/>
  <c r="Z39" i="40" s="1"/>
  <c r="D39" i="37"/>
  <c r="C40" i="37"/>
  <c r="B40" i="37"/>
  <c r="B274" i="36"/>
  <c r="B61" i="39"/>
  <c r="E60" i="39"/>
  <c r="R60" i="39" s="1"/>
  <c r="B415" i="7"/>
  <c r="C414" i="7"/>
  <c r="K23" i="12"/>
  <c r="C30" i="13"/>
  <c r="C85" i="7"/>
  <c r="C25" i="46"/>
  <c r="C30" i="39"/>
  <c r="Y12" i="46" l="1"/>
  <c r="Z12" i="46"/>
  <c r="AB11" i="46"/>
  <c r="W12" i="46"/>
  <c r="V12" i="46" s="1"/>
  <c r="K15" i="13"/>
  <c r="J70" i="7" s="1"/>
  <c r="Y15" i="13"/>
  <c r="M15" i="13"/>
  <c r="L70" i="7" s="1"/>
  <c r="L15" i="13"/>
  <c r="K70" i="7" s="1"/>
  <c r="N15" i="13"/>
  <c r="M70" i="7" s="1"/>
  <c r="AB15" i="13"/>
  <c r="F70" i="7"/>
  <c r="R70" i="7" s="1"/>
  <c r="P10" i="46"/>
  <c r="P69" i="7"/>
  <c r="H11" i="46"/>
  <c r="J11" i="46"/>
  <c r="K11" i="46"/>
  <c r="E88" i="7"/>
  <c r="O88" i="7"/>
  <c r="B89" i="7"/>
  <c r="A11" i="46"/>
  <c r="M11" i="46" s="1"/>
  <c r="L11" i="46"/>
  <c r="I11" i="46"/>
  <c r="I15" i="13"/>
  <c r="E34" i="13"/>
  <c r="B35" i="13"/>
  <c r="X16" i="39"/>
  <c r="Q69" i="7"/>
  <c r="P18" i="30"/>
  <c r="W16" i="30" s="1"/>
  <c r="AH18" i="40"/>
  <c r="Q18" i="40"/>
  <c r="X16" i="40"/>
  <c r="I18" i="40"/>
  <c r="AE18" i="40"/>
  <c r="L18" i="28"/>
  <c r="L386" i="7" s="1"/>
  <c r="F19" i="28"/>
  <c r="F386" i="7"/>
  <c r="I18" i="28"/>
  <c r="K18" i="28"/>
  <c r="K386" i="7" s="1"/>
  <c r="M18" i="28"/>
  <c r="M386" i="7" s="1"/>
  <c r="K19" i="30"/>
  <c r="I19" i="30"/>
  <c r="F20" i="30"/>
  <c r="I385" i="7"/>
  <c r="Q17" i="28"/>
  <c r="Q385" i="7" s="1"/>
  <c r="X15" i="28"/>
  <c r="AB18" i="40"/>
  <c r="P19" i="37"/>
  <c r="W17" i="37" s="1"/>
  <c r="H18" i="32"/>
  <c r="F19" i="32" s="1"/>
  <c r="I18" i="32"/>
  <c r="J18" i="33"/>
  <c r="P18" i="33" s="1"/>
  <c r="W16" i="33" s="1"/>
  <c r="AA18" i="32"/>
  <c r="N19" i="33"/>
  <c r="J19" i="33" s="1"/>
  <c r="P19" i="33" s="1"/>
  <c r="L19" i="33"/>
  <c r="I19" i="33"/>
  <c r="M19" i="33"/>
  <c r="K19" i="33"/>
  <c r="AG18" i="32"/>
  <c r="H19" i="37"/>
  <c r="AD18" i="32"/>
  <c r="B47" i="28"/>
  <c r="D46" i="28"/>
  <c r="D414" i="7" s="1"/>
  <c r="C46" i="28"/>
  <c r="H16" i="39"/>
  <c r="U16" i="39"/>
  <c r="G16" i="39" s="1"/>
  <c r="D17" i="36" s="1"/>
  <c r="D41" i="33"/>
  <c r="C41" i="33"/>
  <c r="B42" i="33"/>
  <c r="D29" i="46"/>
  <c r="E29" i="46"/>
  <c r="B30" i="46"/>
  <c r="T29" i="46"/>
  <c r="AA29" i="46" s="1"/>
  <c r="D40" i="32"/>
  <c r="B41" i="32"/>
  <c r="C40" i="32"/>
  <c r="C47" i="30"/>
  <c r="D46" i="30"/>
  <c r="B47" i="30"/>
  <c r="K39" i="40"/>
  <c r="C41" i="40"/>
  <c r="E40" i="40"/>
  <c r="Z40" i="40" s="1"/>
  <c r="D40" i="40"/>
  <c r="B275" i="36"/>
  <c r="B41" i="37"/>
  <c r="C41" i="37"/>
  <c r="D40" i="37"/>
  <c r="B62" i="39"/>
  <c r="E61" i="39"/>
  <c r="R61" i="39" s="1"/>
  <c r="C415" i="7"/>
  <c r="B416" i="7"/>
  <c r="C31" i="13"/>
  <c r="K24" i="12"/>
  <c r="C86" i="7"/>
  <c r="C26" i="46"/>
  <c r="C31" i="39"/>
  <c r="AB12" i="46" l="1"/>
  <c r="U13" i="46"/>
  <c r="X13" i="46" s="1"/>
  <c r="H15" i="13"/>
  <c r="H70" i="7" s="1"/>
  <c r="Z15" i="13"/>
  <c r="X15" i="13" s="1"/>
  <c r="AC15" i="13"/>
  <c r="AA15" i="13" s="1"/>
  <c r="U15" i="13"/>
  <c r="W15" i="13" s="1"/>
  <c r="G11" i="46"/>
  <c r="Q11" i="46" s="1"/>
  <c r="F12" i="46" s="1"/>
  <c r="O89" i="7"/>
  <c r="E89" i="7"/>
  <c r="B90" i="7"/>
  <c r="I70" i="7"/>
  <c r="E6" i="10" s="1"/>
  <c r="B36" i="13"/>
  <c r="E35" i="13"/>
  <c r="F20" i="28"/>
  <c r="K19" i="28"/>
  <c r="K387" i="7" s="1"/>
  <c r="M19" i="28"/>
  <c r="M387" i="7" s="1"/>
  <c r="I19" i="28"/>
  <c r="F387" i="7"/>
  <c r="L19" i="28"/>
  <c r="L387" i="7" s="1"/>
  <c r="I20" i="30"/>
  <c r="F21" i="30"/>
  <c r="K20" i="30"/>
  <c r="P19" i="30"/>
  <c r="W17" i="30" s="1"/>
  <c r="R18" i="40"/>
  <c r="G19" i="40"/>
  <c r="X16" i="28"/>
  <c r="I386" i="7"/>
  <c r="Q18" i="28"/>
  <c r="Q386" i="7" s="1"/>
  <c r="Q18" i="32"/>
  <c r="J18" i="32"/>
  <c r="P18" i="32" s="1"/>
  <c r="W16" i="32" s="1"/>
  <c r="I16" i="39"/>
  <c r="AC16" i="39" s="1"/>
  <c r="P259" i="33"/>
  <c r="W17" i="33"/>
  <c r="J259" i="33"/>
  <c r="H19" i="33"/>
  <c r="Q19" i="37"/>
  <c r="F20" i="37"/>
  <c r="L19" i="32"/>
  <c r="N19" i="32"/>
  <c r="Z19" i="32"/>
  <c r="K19" i="32"/>
  <c r="M19" i="32"/>
  <c r="AF19" i="32"/>
  <c r="AC19" i="32"/>
  <c r="D47" i="28"/>
  <c r="D415" i="7" s="1"/>
  <c r="B48" i="28"/>
  <c r="C47" i="28"/>
  <c r="C42" i="33"/>
  <c r="B43" i="33"/>
  <c r="D42" i="33"/>
  <c r="O16" i="39"/>
  <c r="P16" i="39"/>
  <c r="D30" i="46"/>
  <c r="E30" i="46"/>
  <c r="B31" i="46"/>
  <c r="T30" i="46"/>
  <c r="AA30" i="46" s="1"/>
  <c r="B42" i="32"/>
  <c r="C41" i="32"/>
  <c r="D41" i="32"/>
  <c r="D47" i="30"/>
  <c r="C48" i="30"/>
  <c r="B48" i="30"/>
  <c r="K40" i="40"/>
  <c r="E41" i="40"/>
  <c r="Z41" i="40" s="1"/>
  <c r="D41" i="40"/>
  <c r="C42" i="40"/>
  <c r="D41" i="37"/>
  <c r="C42" i="37"/>
  <c r="B42" i="37"/>
  <c r="B276" i="36"/>
  <c r="B63" i="39"/>
  <c r="E62" i="39"/>
  <c r="R62" i="39" s="1"/>
  <c r="B417" i="7"/>
  <c r="C416" i="7"/>
  <c r="K25" i="12"/>
  <c r="C32" i="13"/>
  <c r="C27" i="46"/>
  <c r="C32" i="39"/>
  <c r="C87" i="7"/>
  <c r="Y13" i="46" l="1"/>
  <c r="W13" i="46"/>
  <c r="V13" i="46" s="1"/>
  <c r="Z13" i="46"/>
  <c r="J15" i="13"/>
  <c r="G15" i="13" s="1"/>
  <c r="F16" i="13" s="1"/>
  <c r="AB16" i="13" s="1"/>
  <c r="P11" i="46"/>
  <c r="L12" i="46"/>
  <c r="I12" i="46"/>
  <c r="A12" i="46"/>
  <c r="M12" i="46" s="1"/>
  <c r="J12" i="46"/>
  <c r="H12" i="46"/>
  <c r="O90" i="7"/>
  <c r="E90" i="7"/>
  <c r="B91" i="7"/>
  <c r="K12" i="46"/>
  <c r="B37" i="13"/>
  <c r="E36" i="13"/>
  <c r="P20" i="30"/>
  <c r="W18" i="30" s="1"/>
  <c r="K21" i="30"/>
  <c r="I21" i="30"/>
  <c r="F22" i="30"/>
  <c r="AH19" i="40"/>
  <c r="M19" i="40"/>
  <c r="AD19" i="40"/>
  <c r="AA19" i="40"/>
  <c r="AB19" i="40" s="1"/>
  <c r="AG19" i="40"/>
  <c r="L19" i="40"/>
  <c r="N19" i="40"/>
  <c r="Q19" i="28"/>
  <c r="Q387" i="7" s="1"/>
  <c r="I387" i="7"/>
  <c r="X17" i="28"/>
  <c r="K20" i="28"/>
  <c r="K388" i="7" s="1"/>
  <c r="M20" i="28"/>
  <c r="M388" i="7" s="1"/>
  <c r="F388" i="7"/>
  <c r="F21" i="28"/>
  <c r="I20" i="28"/>
  <c r="L20" i="28"/>
  <c r="L388" i="7" s="1"/>
  <c r="P259" i="32"/>
  <c r="I19" i="32"/>
  <c r="F20" i="33"/>
  <c r="H259" i="33"/>
  <c r="Q19" i="33"/>
  <c r="AG19" i="32"/>
  <c r="AE19" i="32" s="1"/>
  <c r="AD19" i="32"/>
  <c r="Y19" i="32"/>
  <c r="AA19" i="32" s="1"/>
  <c r="J20" i="37"/>
  <c r="I20" i="37"/>
  <c r="M20" i="37"/>
  <c r="K20" i="37"/>
  <c r="L20" i="37"/>
  <c r="C48" i="28"/>
  <c r="D48" i="28"/>
  <c r="D416" i="7" s="1"/>
  <c r="B49" i="28"/>
  <c r="T31" i="46"/>
  <c r="AA31" i="46" s="1"/>
  <c r="E31" i="46"/>
  <c r="D31" i="46"/>
  <c r="B32" i="46"/>
  <c r="D43" i="33"/>
  <c r="C43" i="33"/>
  <c r="B44" i="33"/>
  <c r="Z17" i="39"/>
  <c r="F17" i="39"/>
  <c r="C49" i="30"/>
  <c r="B49" i="30"/>
  <c r="D48" i="30"/>
  <c r="D42" i="32"/>
  <c r="C42" i="32"/>
  <c r="B43" i="32"/>
  <c r="K41" i="40"/>
  <c r="B64" i="39"/>
  <c r="E63" i="39"/>
  <c r="R63" i="39" s="1"/>
  <c r="C43" i="37"/>
  <c r="D42" i="37"/>
  <c r="B43" i="37"/>
  <c r="D42" i="40"/>
  <c r="C43" i="40"/>
  <c r="E42" i="40"/>
  <c r="Z42" i="40" s="1"/>
  <c r="B277" i="36"/>
  <c r="B418" i="7"/>
  <c r="C417" i="7"/>
  <c r="K26" i="12"/>
  <c r="C33" i="13"/>
  <c r="C28" i="46"/>
  <c r="C33" i="39"/>
  <c r="C88" i="7"/>
  <c r="G70" i="7" l="1"/>
  <c r="Q70" i="7" s="1"/>
  <c r="R15" i="13"/>
  <c r="S15" i="13"/>
  <c r="AB13" i="46"/>
  <c r="U14" i="46"/>
  <c r="V16" i="13"/>
  <c r="N16" i="13"/>
  <c r="Z16" i="13" s="1"/>
  <c r="L16" i="13"/>
  <c r="K71" i="7" s="1"/>
  <c r="M16" i="13"/>
  <c r="L71" i="7" s="1"/>
  <c r="Y16" i="13"/>
  <c r="H16" i="13" s="1"/>
  <c r="H71" i="7" s="1"/>
  <c r="K16" i="13"/>
  <c r="J71" i="7" s="1"/>
  <c r="F71" i="7"/>
  <c r="R71" i="7" s="1"/>
  <c r="G12" i="46"/>
  <c r="O91" i="7"/>
  <c r="E91" i="7"/>
  <c r="B92" i="7"/>
  <c r="B38" i="13"/>
  <c r="E37" i="13"/>
  <c r="P20" i="37"/>
  <c r="W18" i="37" s="1"/>
  <c r="P21" i="30"/>
  <c r="W19" i="30" s="1"/>
  <c r="J19" i="40"/>
  <c r="AC19" i="40"/>
  <c r="I19" i="40" s="1"/>
  <c r="X18" i="28"/>
  <c r="Q20" i="28"/>
  <c r="Q388" i="7" s="1"/>
  <c r="I388" i="7"/>
  <c r="AF19" i="40"/>
  <c r="F389" i="7"/>
  <c r="I21" i="28"/>
  <c r="M21" i="28"/>
  <c r="M389" i="7" s="1"/>
  <c r="F22" i="28"/>
  <c r="K21" i="28"/>
  <c r="K389" i="7" s="1"/>
  <c r="L21" i="28"/>
  <c r="L389" i="7" s="1"/>
  <c r="K22" i="30"/>
  <c r="I22" i="30"/>
  <c r="F23" i="30"/>
  <c r="X17" i="40"/>
  <c r="Q19" i="40"/>
  <c r="AB19" i="32"/>
  <c r="H19" i="32" s="1"/>
  <c r="J19" i="32"/>
  <c r="P19" i="32" s="1"/>
  <c r="W17" i="32" s="1"/>
  <c r="N20" i="33"/>
  <c r="N259" i="33" s="1"/>
  <c r="L20" i="33"/>
  <c r="L259" i="33" s="1"/>
  <c r="K20" i="33"/>
  <c r="K259" i="33" s="1"/>
  <c r="I20" i="33"/>
  <c r="I259" i="33" s="1"/>
  <c r="P20" i="33"/>
  <c r="W18" i="33" s="1"/>
  <c r="M20" i="33"/>
  <c r="M259" i="33" s="1"/>
  <c r="H20" i="37"/>
  <c r="C49" i="28"/>
  <c r="B50" i="28"/>
  <c r="D49" i="28"/>
  <c r="D417" i="7" s="1"/>
  <c r="S17" i="39"/>
  <c r="T17" i="39" s="1"/>
  <c r="Q17" i="39"/>
  <c r="V17" i="39"/>
  <c r="K17" i="39"/>
  <c r="L17" i="39"/>
  <c r="J17" i="39"/>
  <c r="Y17" i="39"/>
  <c r="X17" i="39" s="1"/>
  <c r="C44" i="33"/>
  <c r="B45" i="33"/>
  <c r="D44" i="33"/>
  <c r="T32" i="46"/>
  <c r="AA32" i="46" s="1"/>
  <c r="D32" i="46"/>
  <c r="B33" i="46"/>
  <c r="E32" i="46"/>
  <c r="C50" i="30"/>
  <c r="B50" i="30"/>
  <c r="D49" i="30"/>
  <c r="B44" i="32"/>
  <c r="C43" i="32"/>
  <c r="D43" i="32"/>
  <c r="K42" i="40"/>
  <c r="D43" i="40"/>
  <c r="C44" i="40"/>
  <c r="E43" i="40"/>
  <c r="Z43" i="40" s="1"/>
  <c r="B278" i="36"/>
  <c r="C44" i="37"/>
  <c r="B44" i="37"/>
  <c r="D43" i="37"/>
  <c r="B65" i="39"/>
  <c r="E64" i="39"/>
  <c r="R64" i="39" s="1"/>
  <c r="B419" i="7"/>
  <c r="C418" i="7"/>
  <c r="C34" i="13"/>
  <c r="K27" i="12"/>
  <c r="C89" i="7"/>
  <c r="C29" i="46"/>
  <c r="C34" i="39"/>
  <c r="P70" i="7" l="1"/>
  <c r="M71" i="7"/>
  <c r="AC16" i="13"/>
  <c r="AA16" i="13" s="1"/>
  <c r="W14" i="46"/>
  <c r="Z14" i="46"/>
  <c r="X14" i="46"/>
  <c r="Y14" i="46"/>
  <c r="U16" i="13"/>
  <c r="W16" i="13" s="1"/>
  <c r="X16" i="13"/>
  <c r="P12" i="46"/>
  <c r="Q12" i="46"/>
  <c r="F13" i="46" s="1"/>
  <c r="A13" i="46" s="1"/>
  <c r="M13" i="46" s="1"/>
  <c r="E92" i="7"/>
  <c r="O92" i="7"/>
  <c r="B93" i="7"/>
  <c r="I16" i="13"/>
  <c r="B39" i="13"/>
  <c r="E38" i="13"/>
  <c r="I389" i="7"/>
  <c r="Q21" i="28"/>
  <c r="Q389" i="7" s="1"/>
  <c r="X19" i="28"/>
  <c r="K23" i="30"/>
  <c r="I23" i="30"/>
  <c r="F24" i="30"/>
  <c r="P22" i="30"/>
  <c r="W20" i="30" s="1"/>
  <c r="M22" i="28"/>
  <c r="M390" i="7" s="1"/>
  <c r="I22" i="28"/>
  <c r="L22" i="28"/>
  <c r="L390" i="7" s="1"/>
  <c r="F23" i="28"/>
  <c r="K22" i="28"/>
  <c r="K390" i="7" s="1"/>
  <c r="F390" i="7"/>
  <c r="G20" i="40"/>
  <c r="R19" i="40"/>
  <c r="F20" i="32"/>
  <c r="Q19" i="32"/>
  <c r="J20" i="33"/>
  <c r="H20" i="33" s="1"/>
  <c r="F21" i="37"/>
  <c r="Q20" i="37"/>
  <c r="D50" i="28"/>
  <c r="D418" i="7" s="1"/>
  <c r="B51" i="28"/>
  <c r="C50" i="28"/>
  <c r="B46" i="33"/>
  <c r="D45" i="33"/>
  <c r="C45" i="33"/>
  <c r="B34" i="46"/>
  <c r="D33" i="46"/>
  <c r="E33" i="46"/>
  <c r="T33" i="46"/>
  <c r="AA33" i="46" s="1"/>
  <c r="H17" i="39"/>
  <c r="U17" i="39"/>
  <c r="G17" i="39" s="1"/>
  <c r="D18" i="36" s="1"/>
  <c r="B45" i="32"/>
  <c r="D44" i="32"/>
  <c r="C44" i="32"/>
  <c r="C51" i="30"/>
  <c r="D50" i="30"/>
  <c r="B51" i="30"/>
  <c r="B279" i="36"/>
  <c r="K43" i="40"/>
  <c r="B66" i="39"/>
  <c r="E65" i="39"/>
  <c r="R65" i="39" s="1"/>
  <c r="C45" i="40"/>
  <c r="E44" i="40"/>
  <c r="Z44" i="40" s="1"/>
  <c r="D44" i="40"/>
  <c r="D44" i="37"/>
  <c r="B45" i="37"/>
  <c r="C45" i="37"/>
  <c r="B420" i="7"/>
  <c r="C419" i="7"/>
  <c r="K28" i="12"/>
  <c r="C35" i="13"/>
  <c r="C90" i="7"/>
  <c r="C30" i="46"/>
  <c r="C35" i="39"/>
  <c r="J16" i="13" l="1"/>
  <c r="G16" i="13" s="1"/>
  <c r="R16" i="13" s="1"/>
  <c r="V14" i="46"/>
  <c r="L13" i="46"/>
  <c r="H13" i="46"/>
  <c r="J13" i="46"/>
  <c r="I13" i="46"/>
  <c r="K13" i="46"/>
  <c r="E93" i="7"/>
  <c r="O93" i="7"/>
  <c r="B94" i="7"/>
  <c r="I71" i="7"/>
  <c r="E7" i="10" s="1"/>
  <c r="B40" i="13"/>
  <c r="E39" i="13"/>
  <c r="P23" i="30"/>
  <c r="W21" i="30" s="1"/>
  <c r="AH20" i="40"/>
  <c r="AG20" i="40"/>
  <c r="L20" i="40"/>
  <c r="AA20" i="40"/>
  <c r="AB20" i="40" s="1"/>
  <c r="AD20" i="40"/>
  <c r="N20" i="40"/>
  <c r="M20" i="40"/>
  <c r="L24" i="30"/>
  <c r="K24" i="30"/>
  <c r="F25" i="30"/>
  <c r="I24" i="30"/>
  <c r="N24" i="30"/>
  <c r="M24" i="30"/>
  <c r="Q24" i="30"/>
  <c r="L23" i="28"/>
  <c r="L391" i="7" s="1"/>
  <c r="K23" i="28"/>
  <c r="K391" i="7" s="1"/>
  <c r="F391" i="7"/>
  <c r="I23" i="28"/>
  <c r="F24" i="28"/>
  <c r="M23" i="28"/>
  <c r="M391" i="7" s="1"/>
  <c r="I390" i="7"/>
  <c r="Q22" i="28"/>
  <c r="Q390" i="7" s="1"/>
  <c r="X20" i="28"/>
  <c r="I17" i="39"/>
  <c r="AC17" i="39" s="1"/>
  <c r="H20" i="32"/>
  <c r="F21" i="32" s="1"/>
  <c r="N20" i="32"/>
  <c r="Z20" i="32"/>
  <c r="AF20" i="32"/>
  <c r="L20" i="32"/>
  <c r="AC20" i="32"/>
  <c r="M20" i="32"/>
  <c r="K20" i="32"/>
  <c r="J20" i="32"/>
  <c r="Q20" i="33"/>
  <c r="F21" i="33"/>
  <c r="K21" i="37"/>
  <c r="M21" i="37"/>
  <c r="L21" i="37"/>
  <c r="J21" i="37"/>
  <c r="I21" i="37"/>
  <c r="B52" i="28"/>
  <c r="D51" i="28"/>
  <c r="D419" i="7" s="1"/>
  <c r="C51" i="28"/>
  <c r="E34" i="46"/>
  <c r="B35" i="46"/>
  <c r="D34" i="46"/>
  <c r="T34" i="46"/>
  <c r="AA34" i="46" s="1"/>
  <c r="O17" i="39"/>
  <c r="P17" i="39"/>
  <c r="C46" i="33"/>
  <c r="B47" i="33"/>
  <c r="D46" i="33"/>
  <c r="C52" i="30"/>
  <c r="D51" i="30"/>
  <c r="B52" i="30"/>
  <c r="C45" i="32"/>
  <c r="B46" i="32"/>
  <c r="D45" i="32"/>
  <c r="K44" i="40"/>
  <c r="C46" i="37"/>
  <c r="D45" i="37"/>
  <c r="B46" i="37"/>
  <c r="E45" i="40"/>
  <c r="Z45" i="40" s="1"/>
  <c r="D45" i="40"/>
  <c r="C46" i="40"/>
  <c r="B67" i="39"/>
  <c r="E66" i="39"/>
  <c r="R66" i="39" s="1"/>
  <c r="B280" i="36"/>
  <c r="B421" i="7"/>
  <c r="C420" i="7"/>
  <c r="C36" i="13"/>
  <c r="K29" i="12"/>
  <c r="C31" i="46"/>
  <c r="C36" i="39"/>
  <c r="C91" i="7"/>
  <c r="G71" i="7" l="1"/>
  <c r="Q71" i="7" s="1"/>
  <c r="F17" i="13"/>
  <c r="N17" i="13" s="1"/>
  <c r="S16" i="13"/>
  <c r="U15" i="46"/>
  <c r="AB14" i="46"/>
  <c r="G13" i="46"/>
  <c r="Q13" i="46" s="1"/>
  <c r="F14" i="46" s="1"/>
  <c r="K14" i="46" s="1"/>
  <c r="E94" i="7"/>
  <c r="O94" i="7"/>
  <c r="B95" i="7"/>
  <c r="B41" i="13"/>
  <c r="E40" i="13"/>
  <c r="P21" i="37"/>
  <c r="W19" i="37" s="1"/>
  <c r="J24" i="30"/>
  <c r="M24" i="28"/>
  <c r="M392" i="7" s="1"/>
  <c r="F392" i="7"/>
  <c r="AG24" i="28"/>
  <c r="AA24" i="28"/>
  <c r="AC24" i="28"/>
  <c r="K24" i="28"/>
  <c r="K392" i="7" s="1"/>
  <c r="Z24" i="28"/>
  <c r="AD24" i="28"/>
  <c r="AF24" i="28"/>
  <c r="AC20" i="40"/>
  <c r="I20" i="40" s="1"/>
  <c r="J20" i="40"/>
  <c r="Q23" i="28"/>
  <c r="Q391" i="7" s="1"/>
  <c r="I391" i="7"/>
  <c r="X21" i="28"/>
  <c r="P24" i="30"/>
  <c r="W22" i="30" s="1"/>
  <c r="K25" i="30"/>
  <c r="N25" i="30"/>
  <c r="J25" i="30" s="1"/>
  <c r="I25" i="30"/>
  <c r="L25" i="30"/>
  <c r="M25" i="30"/>
  <c r="Q20" i="40"/>
  <c r="X18" i="40"/>
  <c r="AF20" i="40"/>
  <c r="I20" i="32"/>
  <c r="P20" i="32"/>
  <c r="W18" i="32" s="1"/>
  <c r="Q20" i="32"/>
  <c r="K21" i="32"/>
  <c r="M21" i="32"/>
  <c r="H21" i="32"/>
  <c r="F22" i="32" s="1"/>
  <c r="J21" i="32"/>
  <c r="AF21" i="32"/>
  <c r="Z21" i="32"/>
  <c r="N21" i="32"/>
  <c r="AG21" i="32" s="1"/>
  <c r="AC21" i="32"/>
  <c r="L21" i="32"/>
  <c r="AG20" i="32"/>
  <c r="AE20" i="32" s="1"/>
  <c r="AD20" i="32"/>
  <c r="AB20" i="32" s="1"/>
  <c r="Y20" i="32"/>
  <c r="AA20" i="32" s="1"/>
  <c r="H21" i="37"/>
  <c r="P21" i="33"/>
  <c r="W19" i="33" s="1"/>
  <c r="I21" i="33"/>
  <c r="K21" i="33"/>
  <c r="N21" i="33"/>
  <c r="J21" i="33" s="1"/>
  <c r="L21" i="33"/>
  <c r="M21" i="33"/>
  <c r="C52" i="28"/>
  <c r="D52" i="28"/>
  <c r="D420" i="7" s="1"/>
  <c r="B53" i="28"/>
  <c r="C47" i="33"/>
  <c r="B48" i="33"/>
  <c r="D47" i="33"/>
  <c r="F18" i="39"/>
  <c r="Z18" i="39"/>
  <c r="E35" i="46"/>
  <c r="B36" i="46"/>
  <c r="T35" i="46"/>
  <c r="AA35" i="46" s="1"/>
  <c r="D35" i="46"/>
  <c r="B47" i="32"/>
  <c r="D46" i="32"/>
  <c r="C46" i="32"/>
  <c r="B53" i="30"/>
  <c r="C53" i="30"/>
  <c r="D52" i="30"/>
  <c r="K45" i="40"/>
  <c r="B281" i="36"/>
  <c r="D46" i="37"/>
  <c r="B47" i="37"/>
  <c r="C47" i="37"/>
  <c r="B68" i="39"/>
  <c r="E67" i="39"/>
  <c r="R67" i="39" s="1"/>
  <c r="D46" i="40"/>
  <c r="C47" i="40"/>
  <c r="E46" i="40"/>
  <c r="Z46" i="40" s="1"/>
  <c r="B422" i="7"/>
  <c r="C421" i="7"/>
  <c r="C37" i="13"/>
  <c r="K30" i="12"/>
  <c r="C32" i="46"/>
  <c r="C37" i="39"/>
  <c r="C92" i="7"/>
  <c r="M17" i="13" l="1"/>
  <c r="L72" i="7" s="1"/>
  <c r="P71" i="7"/>
  <c r="L17" i="13"/>
  <c r="K72" i="7" s="1"/>
  <c r="F72" i="7"/>
  <c r="R72" i="7" s="1"/>
  <c r="V17" i="13"/>
  <c r="Y17" i="13"/>
  <c r="K17" i="13"/>
  <c r="J72" i="7" s="1"/>
  <c r="AB17" i="13"/>
  <c r="X15" i="46"/>
  <c r="Y15" i="46"/>
  <c r="Z15" i="46"/>
  <c r="W15" i="46"/>
  <c r="P13" i="46"/>
  <c r="U17" i="13"/>
  <c r="M72" i="7"/>
  <c r="H14" i="46"/>
  <c r="J14" i="46"/>
  <c r="L14" i="46"/>
  <c r="A14" i="46"/>
  <c r="M14" i="46" s="1"/>
  <c r="E95" i="7"/>
  <c r="O95" i="7"/>
  <c r="B96" i="7"/>
  <c r="I14" i="46"/>
  <c r="B42" i="13"/>
  <c r="E41" i="13"/>
  <c r="AC17" i="13"/>
  <c r="Z17" i="13"/>
  <c r="S392" i="7"/>
  <c r="C13" i="36"/>
  <c r="I24" i="28"/>
  <c r="I392" i="7" s="1"/>
  <c r="X22" i="28"/>
  <c r="AH24" i="28"/>
  <c r="AB24" i="28"/>
  <c r="AE24" i="28"/>
  <c r="H25" i="30"/>
  <c r="F26" i="30" s="1"/>
  <c r="G21" i="40"/>
  <c r="R20" i="40"/>
  <c r="I21" i="32"/>
  <c r="P21" i="32"/>
  <c r="W19" i="32" s="1"/>
  <c r="AE21" i="32"/>
  <c r="Q21" i="32"/>
  <c r="J22" i="32"/>
  <c r="AF22" i="32"/>
  <c r="H22" i="32"/>
  <c r="Q22" i="32" s="1"/>
  <c r="Z22" i="32"/>
  <c r="K22" i="32"/>
  <c r="N22" i="32"/>
  <c r="M22" i="32"/>
  <c r="L22" i="32"/>
  <c r="AC22" i="32"/>
  <c r="Y21" i="32"/>
  <c r="AA21" i="32" s="1"/>
  <c r="AD21" i="32"/>
  <c r="AB21" i="32" s="1"/>
  <c r="H21" i="33"/>
  <c r="F22" i="33" s="1"/>
  <c r="Q21" i="37"/>
  <c r="F22" i="37"/>
  <c r="C53" i="28"/>
  <c r="B54" i="28"/>
  <c r="D53" i="28"/>
  <c r="D421" i="7" s="1"/>
  <c r="Y18" i="39"/>
  <c r="X18" i="39" s="1"/>
  <c r="L18" i="39"/>
  <c r="J18" i="39"/>
  <c r="S18" i="39"/>
  <c r="T18" i="39" s="1"/>
  <c r="Q18" i="39"/>
  <c r="K18" i="39"/>
  <c r="V18" i="39"/>
  <c r="D48" i="33"/>
  <c r="C48" i="33"/>
  <c r="B49" i="33"/>
  <c r="D36" i="46"/>
  <c r="T36" i="46"/>
  <c r="AA36" i="46" s="1"/>
  <c r="B37" i="46"/>
  <c r="E36" i="46"/>
  <c r="D53" i="30"/>
  <c r="B54" i="30"/>
  <c r="C54" i="30"/>
  <c r="B48" i="32"/>
  <c r="C47" i="32"/>
  <c r="D47" i="32"/>
  <c r="K46" i="40"/>
  <c r="B69" i="39"/>
  <c r="E68" i="39"/>
  <c r="R68" i="39" s="1"/>
  <c r="C48" i="37"/>
  <c r="D47" i="37"/>
  <c r="B48" i="37"/>
  <c r="B282" i="36"/>
  <c r="D47" i="40"/>
  <c r="C48" i="40"/>
  <c r="E47" i="40"/>
  <c r="Z47" i="40" s="1"/>
  <c r="C422" i="7"/>
  <c r="B423" i="7"/>
  <c r="K31" i="12"/>
  <c r="C38" i="13"/>
  <c r="C93" i="7"/>
  <c r="C33" i="46"/>
  <c r="C38" i="39"/>
  <c r="H17" i="13" l="1"/>
  <c r="H72" i="7" s="1"/>
  <c r="W17" i="13"/>
  <c r="X17" i="13"/>
  <c r="AA17" i="13"/>
  <c r="V15" i="46"/>
  <c r="G14" i="46"/>
  <c r="P14" i="46" s="1"/>
  <c r="E96" i="7"/>
  <c r="O96" i="7"/>
  <c r="B97" i="7"/>
  <c r="I17" i="13"/>
  <c r="B43" i="13"/>
  <c r="E42" i="13"/>
  <c r="J17" i="13"/>
  <c r="C14" i="36"/>
  <c r="E13" i="36"/>
  <c r="J24" i="28"/>
  <c r="H24" i="28" s="1"/>
  <c r="R24" i="28" s="1"/>
  <c r="R392" i="7" s="1"/>
  <c r="Q25" i="30"/>
  <c r="P25" i="30"/>
  <c r="W23" i="30" s="1"/>
  <c r="I26" i="30"/>
  <c r="K26" i="30"/>
  <c r="N26" i="30"/>
  <c r="J26" i="30" s="1"/>
  <c r="M26" i="30"/>
  <c r="L26" i="30"/>
  <c r="AA21" i="40"/>
  <c r="AB21" i="40" s="1"/>
  <c r="L21" i="40"/>
  <c r="AG21" i="40"/>
  <c r="AH21" i="40"/>
  <c r="AD21" i="40"/>
  <c r="N21" i="40"/>
  <c r="M21" i="40"/>
  <c r="I22" i="32"/>
  <c r="P22" i="32"/>
  <c r="W20" i="32" s="1"/>
  <c r="F23" i="32"/>
  <c r="AG22" i="32"/>
  <c r="AE22" i="32" s="1"/>
  <c r="Y22" i="32"/>
  <c r="AA22" i="32" s="1"/>
  <c r="AD22" i="32"/>
  <c r="AB22" i="32" s="1"/>
  <c r="Q21" i="33"/>
  <c r="P22" i="33"/>
  <c r="W20" i="33" s="1"/>
  <c r="N22" i="33"/>
  <c r="J22" i="33" s="1"/>
  <c r="L22" i="33"/>
  <c r="M22" i="33"/>
  <c r="I22" i="33"/>
  <c r="K22" i="33"/>
  <c r="J22" i="37"/>
  <c r="M22" i="37"/>
  <c r="K22" i="37"/>
  <c r="L22" i="37"/>
  <c r="I22" i="37"/>
  <c r="C54" i="28"/>
  <c r="D54" i="28"/>
  <c r="D422" i="7" s="1"/>
  <c r="B55" i="28"/>
  <c r="U18" i="39"/>
  <c r="G18" i="39" s="1"/>
  <c r="D19" i="36" s="1"/>
  <c r="H18" i="39"/>
  <c r="B50" i="33"/>
  <c r="C49" i="33"/>
  <c r="D49" i="33"/>
  <c r="T37" i="46"/>
  <c r="AA37" i="46" s="1"/>
  <c r="E37" i="46"/>
  <c r="B38" i="46"/>
  <c r="D37" i="46"/>
  <c r="B49" i="32"/>
  <c r="C48" i="32"/>
  <c r="D48" i="32"/>
  <c r="D54" i="30"/>
  <c r="B55" i="30"/>
  <c r="C55" i="30"/>
  <c r="K47" i="40"/>
  <c r="B49" i="37"/>
  <c r="D48" i="37"/>
  <c r="C49" i="37"/>
  <c r="B283" i="36"/>
  <c r="B70" i="39"/>
  <c r="E69" i="39"/>
  <c r="R69" i="39" s="1"/>
  <c r="C49" i="40"/>
  <c r="E48" i="40"/>
  <c r="Z48" i="40" s="1"/>
  <c r="D48" i="40"/>
  <c r="B424" i="7"/>
  <c r="C423" i="7"/>
  <c r="C39" i="13"/>
  <c r="K32" i="12"/>
  <c r="C94" i="7"/>
  <c r="C34" i="46"/>
  <c r="C39" i="39"/>
  <c r="G17" i="13" l="1"/>
  <c r="S17" i="13" s="1"/>
  <c r="U16" i="46"/>
  <c r="AB15" i="46"/>
  <c r="Q14" i="46"/>
  <c r="F15" i="46" s="1"/>
  <c r="J15" i="46" s="1"/>
  <c r="O97" i="7"/>
  <c r="E97" i="7"/>
  <c r="B98" i="7"/>
  <c r="I72" i="7"/>
  <c r="E8" i="10" s="1"/>
  <c r="E43" i="13"/>
  <c r="B44" i="13"/>
  <c r="P22" i="37"/>
  <c r="W20" i="37" s="1"/>
  <c r="E14" i="36"/>
  <c r="C15" i="36"/>
  <c r="H392" i="7"/>
  <c r="F25" i="28"/>
  <c r="K25" i="28" s="1"/>
  <c r="K393" i="7" s="1"/>
  <c r="Q24" i="28"/>
  <c r="Q392" i="7" s="1"/>
  <c r="J392" i="7"/>
  <c r="H26" i="30"/>
  <c r="Q26" i="30" s="1"/>
  <c r="X19" i="40"/>
  <c r="Q21" i="40"/>
  <c r="AC21" i="40"/>
  <c r="I21" i="40" s="1"/>
  <c r="J21" i="40"/>
  <c r="AF21" i="40"/>
  <c r="I18" i="39"/>
  <c r="AC18" i="39" s="1"/>
  <c r="AF23" i="32"/>
  <c r="L23" i="32"/>
  <c r="N23" i="32"/>
  <c r="K23" i="32"/>
  <c r="AC23" i="32"/>
  <c r="J23" i="32"/>
  <c r="Z23" i="32"/>
  <c r="H23" i="32"/>
  <c r="Q23" i="32" s="1"/>
  <c r="M23" i="32"/>
  <c r="H22" i="37"/>
  <c r="F23" i="37" s="1"/>
  <c r="J23" i="37" s="1"/>
  <c r="H22" i="33"/>
  <c r="C55" i="28"/>
  <c r="D55" i="28"/>
  <c r="D423" i="7" s="1"/>
  <c r="B56" i="28"/>
  <c r="B51" i="33"/>
  <c r="C50" i="33"/>
  <c r="D50" i="33"/>
  <c r="O18" i="39"/>
  <c r="P18" i="39"/>
  <c r="D38" i="46"/>
  <c r="E38" i="46"/>
  <c r="B39" i="46"/>
  <c r="T38" i="46"/>
  <c r="AA38" i="46" s="1"/>
  <c r="D55" i="30"/>
  <c r="B56" i="30"/>
  <c r="C56" i="30"/>
  <c r="B50" i="32"/>
  <c r="D49" i="32"/>
  <c r="C49" i="32"/>
  <c r="B71" i="39"/>
  <c r="E70" i="39"/>
  <c r="R70" i="39" s="1"/>
  <c r="B284" i="36"/>
  <c r="K48" i="40"/>
  <c r="E49" i="40"/>
  <c r="Z49" i="40" s="1"/>
  <c r="D49" i="40"/>
  <c r="C50" i="40"/>
  <c r="D49" i="37"/>
  <c r="C50" i="37"/>
  <c r="B50" i="37"/>
  <c r="C424" i="7"/>
  <c r="B425" i="7"/>
  <c r="K33" i="12"/>
  <c r="C40" i="13"/>
  <c r="C35" i="46"/>
  <c r="C40" i="39"/>
  <c r="C95" i="7"/>
  <c r="G72" i="7" l="1"/>
  <c r="Q72" i="7" s="1"/>
  <c r="F18" i="13"/>
  <c r="AB18" i="13" s="1"/>
  <c r="R17" i="13"/>
  <c r="Y16" i="46"/>
  <c r="Z16" i="46"/>
  <c r="X16" i="46"/>
  <c r="W16" i="46"/>
  <c r="K15" i="46"/>
  <c r="H15" i="46"/>
  <c r="L15" i="46"/>
  <c r="I15" i="46"/>
  <c r="A15" i="46"/>
  <c r="M15" i="46" s="1"/>
  <c r="O98" i="7"/>
  <c r="E98" i="7"/>
  <c r="B99" i="7"/>
  <c r="B45" i="13"/>
  <c r="E44" i="13"/>
  <c r="N25" i="28"/>
  <c r="AE25" i="28" s="1"/>
  <c r="M25" i="28"/>
  <c r="M393" i="7" s="1"/>
  <c r="F393" i="7"/>
  <c r="S393" i="7" s="1"/>
  <c r="AG25" i="28"/>
  <c r="L25" i="28"/>
  <c r="L393" i="7" s="1"/>
  <c r="AD25" i="28"/>
  <c r="AA25" i="28"/>
  <c r="E15" i="36"/>
  <c r="C16" i="36"/>
  <c r="P26" i="30"/>
  <c r="W24" i="30" s="1"/>
  <c r="F27" i="30"/>
  <c r="N27" i="30" s="1"/>
  <c r="J27" i="30" s="1"/>
  <c r="R21" i="40"/>
  <c r="G22" i="40"/>
  <c r="I23" i="32"/>
  <c r="P23" i="32"/>
  <c r="W21" i="32" s="1"/>
  <c r="AG23" i="32"/>
  <c r="AE23" i="32" s="1"/>
  <c r="Y23" i="32"/>
  <c r="AA23" i="32" s="1"/>
  <c r="AD23" i="32"/>
  <c r="AB23" i="32" s="1"/>
  <c r="F24" i="32"/>
  <c r="K23" i="37"/>
  <c r="M23" i="37"/>
  <c r="L23" i="37"/>
  <c r="I23" i="37"/>
  <c r="H23" i="37" s="1"/>
  <c r="Q23" i="37" s="1"/>
  <c r="Q22" i="37"/>
  <c r="Q22" i="33"/>
  <c r="F23" i="33"/>
  <c r="D56" i="28"/>
  <c r="D424" i="7" s="1"/>
  <c r="C56" i="28"/>
  <c r="B57" i="28"/>
  <c r="Z19" i="39"/>
  <c r="F19" i="39"/>
  <c r="E39" i="46"/>
  <c r="B40" i="46"/>
  <c r="D39" i="46"/>
  <c r="T39" i="46"/>
  <c r="AA39" i="46" s="1"/>
  <c r="D51" i="33"/>
  <c r="B52" i="33"/>
  <c r="C51" i="33"/>
  <c r="D50" i="32"/>
  <c r="C50" i="32"/>
  <c r="B51" i="32"/>
  <c r="B57" i="30"/>
  <c r="D56" i="30"/>
  <c r="C57" i="30"/>
  <c r="B51" i="37"/>
  <c r="C51" i="37"/>
  <c r="D50" i="37"/>
  <c r="B72" i="39"/>
  <c r="E71" i="39"/>
  <c r="R71" i="39" s="1"/>
  <c r="K49" i="40"/>
  <c r="D50" i="40"/>
  <c r="C51" i="40"/>
  <c r="E50" i="40"/>
  <c r="Z50" i="40" s="1"/>
  <c r="B285" i="36"/>
  <c r="B426" i="7"/>
  <c r="C425" i="7"/>
  <c r="K34" i="12"/>
  <c r="C41" i="13"/>
  <c r="C36" i="46"/>
  <c r="C41" i="39"/>
  <c r="C96" i="7"/>
  <c r="P72" i="7" l="1"/>
  <c r="F73" i="7"/>
  <c r="R73" i="7" s="1"/>
  <c r="N18" i="13"/>
  <c r="AC18" i="13" s="1"/>
  <c r="AA18" i="13" s="1"/>
  <c r="V18" i="13"/>
  <c r="Y18" i="13"/>
  <c r="H18" i="13" s="1"/>
  <c r="H73" i="7" s="1"/>
  <c r="K18" i="13"/>
  <c r="J73" i="7" s="1"/>
  <c r="L18" i="13"/>
  <c r="K73" i="7" s="1"/>
  <c r="M18" i="13"/>
  <c r="L73" i="7" s="1"/>
  <c r="V16" i="46"/>
  <c r="G15" i="46"/>
  <c r="Q15" i="46" s="1"/>
  <c r="F16" i="46" s="1"/>
  <c r="O99" i="7"/>
  <c r="E99" i="7"/>
  <c r="B100" i="7"/>
  <c r="B46" i="13"/>
  <c r="E45" i="13"/>
  <c r="I25" i="28"/>
  <c r="I393" i="7" s="1"/>
  <c r="AH25" i="28"/>
  <c r="AF25" i="28" s="1"/>
  <c r="Z25" i="28"/>
  <c r="AB25" i="28" s="1"/>
  <c r="N393" i="7"/>
  <c r="X23" i="28"/>
  <c r="AC25" i="28"/>
  <c r="P23" i="37"/>
  <c r="W21" i="37" s="1"/>
  <c r="C17" i="36"/>
  <c r="E16" i="36"/>
  <c r="K27" i="30"/>
  <c r="M27" i="30"/>
  <c r="I27" i="30"/>
  <c r="H27" i="30" s="1"/>
  <c r="F28" i="30" s="1"/>
  <c r="L27" i="30"/>
  <c r="AD22" i="40"/>
  <c r="AH22" i="40"/>
  <c r="AG22" i="40"/>
  <c r="M22" i="40"/>
  <c r="N22" i="40"/>
  <c r="AA22" i="40"/>
  <c r="AB22" i="40" s="1"/>
  <c r="L22" i="40"/>
  <c r="H24" i="32"/>
  <c r="Q24" i="32" s="1"/>
  <c r="N24" i="32"/>
  <c r="AG24" i="32" s="1"/>
  <c r="AF24" i="32"/>
  <c r="J24" i="32"/>
  <c r="Z24" i="32"/>
  <c r="AC24" i="32"/>
  <c r="L24" i="32"/>
  <c r="M24" i="32"/>
  <c r="K24" i="32"/>
  <c r="P23" i="33"/>
  <c r="W21" i="33" s="1"/>
  <c r="K23" i="33"/>
  <c r="I23" i="33"/>
  <c r="N23" i="33"/>
  <c r="J23" i="33" s="1"/>
  <c r="M23" i="33"/>
  <c r="L23" i="33"/>
  <c r="F24" i="37"/>
  <c r="D57" i="28"/>
  <c r="D425" i="7" s="1"/>
  <c r="B58" i="28"/>
  <c r="C57" i="28"/>
  <c r="D52" i="33"/>
  <c r="C52" i="33"/>
  <c r="B53" i="33"/>
  <c r="S19" i="39"/>
  <c r="T19" i="39" s="1"/>
  <c r="V19" i="39"/>
  <c r="K19" i="39"/>
  <c r="Y19" i="39"/>
  <c r="X19" i="39" s="1"/>
  <c r="Q19" i="39"/>
  <c r="J19" i="39"/>
  <c r="L19" i="39"/>
  <c r="B41" i="46"/>
  <c r="D40" i="46"/>
  <c r="E40" i="46"/>
  <c r="T40" i="46"/>
  <c r="AA40" i="46" s="1"/>
  <c r="C58" i="30"/>
  <c r="D57" i="30"/>
  <c r="B58" i="30"/>
  <c r="C51" i="32"/>
  <c r="B52" i="32"/>
  <c r="D51" i="32"/>
  <c r="D51" i="40"/>
  <c r="C52" i="40"/>
  <c r="E51" i="40"/>
  <c r="Z51" i="40" s="1"/>
  <c r="B73" i="39"/>
  <c r="E72" i="39"/>
  <c r="R72" i="39" s="1"/>
  <c r="D51" i="37"/>
  <c r="C52" i="37"/>
  <c r="B52" i="37"/>
  <c r="B286" i="36"/>
  <c r="K50" i="40"/>
  <c r="C426" i="7"/>
  <c r="B427" i="7"/>
  <c r="C42" i="13"/>
  <c r="K35" i="12"/>
  <c r="C97" i="7"/>
  <c r="C37" i="46"/>
  <c r="C42" i="39"/>
  <c r="M73" i="7" l="1"/>
  <c r="U18" i="13"/>
  <c r="W18" i="13" s="1"/>
  <c r="Z18" i="13"/>
  <c r="X18" i="13" s="1"/>
  <c r="AB16" i="46"/>
  <c r="U17" i="46"/>
  <c r="P15" i="46"/>
  <c r="A16" i="46"/>
  <c r="M16" i="46" s="1"/>
  <c r="H16" i="46"/>
  <c r="K16" i="46"/>
  <c r="I16" i="46"/>
  <c r="J16" i="46"/>
  <c r="L16" i="46"/>
  <c r="O100" i="7"/>
  <c r="E100" i="7"/>
  <c r="B101" i="7"/>
  <c r="I18" i="13"/>
  <c r="E46" i="13"/>
  <c r="B47" i="13"/>
  <c r="J25" i="28"/>
  <c r="J393" i="7" s="1"/>
  <c r="C18" i="36"/>
  <c r="E17" i="36"/>
  <c r="AF22" i="40"/>
  <c r="Q27" i="30"/>
  <c r="P27" i="30"/>
  <c r="W25" i="30" s="1"/>
  <c r="AC22" i="40"/>
  <c r="I22" i="40" s="1"/>
  <c r="J22" i="40"/>
  <c r="Q22" i="40"/>
  <c r="X20" i="40"/>
  <c r="I28" i="30"/>
  <c r="M28" i="30"/>
  <c r="L28" i="30"/>
  <c r="N28" i="30"/>
  <c r="J28" i="30" s="1"/>
  <c r="K28" i="30"/>
  <c r="I24" i="32"/>
  <c r="P24" i="32"/>
  <c r="W22" i="32" s="1"/>
  <c r="AE24" i="32"/>
  <c r="F25" i="32"/>
  <c r="L25" i="32" s="1"/>
  <c r="AD24" i="32"/>
  <c r="AB24" i="32" s="1"/>
  <c r="Y24" i="32"/>
  <c r="AA24" i="32" s="1"/>
  <c r="H23" i="33"/>
  <c r="Q23" i="33" s="1"/>
  <c r="K24" i="37"/>
  <c r="M24" i="37"/>
  <c r="L24" i="37"/>
  <c r="J24" i="37"/>
  <c r="I24" i="37"/>
  <c r="B59" i="28"/>
  <c r="C58" i="28"/>
  <c r="D58" i="28"/>
  <c r="D426" i="7" s="1"/>
  <c r="D53" i="33"/>
  <c r="B54" i="33"/>
  <c r="C53" i="33"/>
  <c r="E41" i="46"/>
  <c r="T41" i="46"/>
  <c r="AA41" i="46" s="1"/>
  <c r="B42" i="46"/>
  <c r="D41" i="46"/>
  <c r="U19" i="39"/>
  <c r="G19" i="39" s="1"/>
  <c r="D20" i="36" s="1"/>
  <c r="H19" i="39"/>
  <c r="B53" i="32"/>
  <c r="D52" i="32"/>
  <c r="C52" i="32"/>
  <c r="B59" i="30"/>
  <c r="D58" i="30"/>
  <c r="C59" i="30"/>
  <c r="K51" i="40"/>
  <c r="C53" i="37"/>
  <c r="B53" i="37"/>
  <c r="D52" i="37"/>
  <c r="B74" i="39"/>
  <c r="E73" i="39"/>
  <c r="R73" i="39" s="1"/>
  <c r="C53" i="40"/>
  <c r="E52" i="40"/>
  <c r="Z52" i="40" s="1"/>
  <c r="D52" i="40"/>
  <c r="B287" i="36"/>
  <c r="B428" i="7"/>
  <c r="C427" i="7"/>
  <c r="K36" i="12"/>
  <c r="C43" i="13"/>
  <c r="C98" i="7"/>
  <c r="C38" i="46"/>
  <c r="C43" i="39"/>
  <c r="J18" i="13" l="1"/>
  <c r="G18" i="13" s="1"/>
  <c r="F19" i="13" s="1"/>
  <c r="W17" i="46"/>
  <c r="Z17" i="46"/>
  <c r="X17" i="46"/>
  <c r="Y17" i="46"/>
  <c r="G16" i="46"/>
  <c r="Q16" i="46" s="1"/>
  <c r="F17" i="46" s="1"/>
  <c r="K17" i="46" s="1"/>
  <c r="O101" i="7"/>
  <c r="E101" i="7"/>
  <c r="B102" i="7"/>
  <c r="I73" i="7"/>
  <c r="E9" i="10" s="1"/>
  <c r="B48" i="13"/>
  <c r="E47" i="13"/>
  <c r="H25" i="28"/>
  <c r="H393" i="7" s="1"/>
  <c r="E18" i="36"/>
  <c r="C19" i="36"/>
  <c r="H28" i="30"/>
  <c r="Q28" i="30" s="1"/>
  <c r="G23" i="40"/>
  <c r="R22" i="40"/>
  <c r="I19" i="39"/>
  <c r="AC19" i="39" s="1"/>
  <c r="Z25" i="32"/>
  <c r="J25" i="32"/>
  <c r="AF25" i="32"/>
  <c r="AC25" i="32"/>
  <c r="M25" i="32"/>
  <c r="H25" i="32"/>
  <c r="F26" i="32" s="1"/>
  <c r="N26" i="32" s="1"/>
  <c r="AG26" i="32" s="1"/>
  <c r="N25" i="32"/>
  <c r="AG25" i="32" s="1"/>
  <c r="K25" i="32"/>
  <c r="F24" i="33"/>
  <c r="K24" i="33" s="1"/>
  <c r="P24" i="37"/>
  <c r="W22" i="37" s="1"/>
  <c r="H24" i="37"/>
  <c r="Q24" i="37" s="1"/>
  <c r="C59" i="28"/>
  <c r="B60" i="28"/>
  <c r="D59" i="28"/>
  <c r="D427" i="7" s="1"/>
  <c r="E42" i="46"/>
  <c r="D42" i="46"/>
  <c r="T42" i="46"/>
  <c r="AA42" i="46" s="1"/>
  <c r="B43" i="46"/>
  <c r="B55" i="33"/>
  <c r="D54" i="33"/>
  <c r="C54" i="33"/>
  <c r="O19" i="39"/>
  <c r="P19" i="39"/>
  <c r="K52" i="40"/>
  <c r="B60" i="30"/>
  <c r="C60" i="30"/>
  <c r="D59" i="30"/>
  <c r="B54" i="32"/>
  <c r="D53" i="32"/>
  <c r="C53" i="32"/>
  <c r="B288" i="36"/>
  <c r="D53" i="37"/>
  <c r="C54" i="37"/>
  <c r="B54" i="37"/>
  <c r="E53" i="40"/>
  <c r="Z53" i="40" s="1"/>
  <c r="D53" i="40"/>
  <c r="C54" i="40"/>
  <c r="B75" i="39"/>
  <c r="E74" i="39"/>
  <c r="R74" i="39" s="1"/>
  <c r="C428" i="7"/>
  <c r="B429" i="7"/>
  <c r="C44" i="13"/>
  <c r="K37" i="12"/>
  <c r="C39" i="46"/>
  <c r="C44" i="39"/>
  <c r="C99" i="7"/>
  <c r="G73" i="7" l="1"/>
  <c r="Q73" i="7" s="1"/>
  <c r="R18" i="13"/>
  <c r="S18" i="13"/>
  <c r="V17" i="46"/>
  <c r="A17" i="46"/>
  <c r="M17" i="46" s="1"/>
  <c r="J17" i="46"/>
  <c r="N19" i="13"/>
  <c r="Z19" i="13" s="1"/>
  <c r="F74" i="7"/>
  <c r="R74" i="7" s="1"/>
  <c r="I17" i="46"/>
  <c r="L17" i="46"/>
  <c r="H17" i="46"/>
  <c r="P16" i="46"/>
  <c r="O102" i="7"/>
  <c r="E102" i="7"/>
  <c r="B103" i="7"/>
  <c r="E48" i="13"/>
  <c r="P48" i="13"/>
  <c r="B49" i="13"/>
  <c r="Y19" i="13"/>
  <c r="L19" i="13"/>
  <c r="K74" i="7" s="1"/>
  <c r="V19" i="13"/>
  <c r="AB19" i="13"/>
  <c r="K19" i="13"/>
  <c r="J74" i="7" s="1"/>
  <c r="M19" i="13"/>
  <c r="L74" i="7" s="1"/>
  <c r="F26" i="28"/>
  <c r="M26" i="28" s="1"/>
  <c r="M394" i="7" s="1"/>
  <c r="Q25" i="28"/>
  <c r="Q393" i="7" s="1"/>
  <c r="R25" i="28"/>
  <c r="R393" i="7" s="1"/>
  <c r="C20" i="36"/>
  <c r="C21" i="36" s="1"/>
  <c r="E19" i="36"/>
  <c r="F29" i="30"/>
  <c r="I29" i="30" s="1"/>
  <c r="P28" i="30"/>
  <c r="W26" i="30" s="1"/>
  <c r="AD23" i="40"/>
  <c r="AA23" i="40"/>
  <c r="AB23" i="40" s="1"/>
  <c r="L23" i="40"/>
  <c r="AH23" i="40"/>
  <c r="M23" i="40"/>
  <c r="AG23" i="40"/>
  <c r="N23" i="40"/>
  <c r="I25" i="32"/>
  <c r="P25" i="32"/>
  <c r="W23" i="32" s="1"/>
  <c r="AE25" i="32"/>
  <c r="AD25" i="32"/>
  <c r="AB25" i="32" s="1"/>
  <c r="K26" i="32"/>
  <c r="AC26" i="32"/>
  <c r="M26" i="32"/>
  <c r="L26" i="32"/>
  <c r="Y25" i="32"/>
  <c r="AA25" i="32" s="1"/>
  <c r="Q25" i="32"/>
  <c r="J26" i="32"/>
  <c r="AF26" i="32"/>
  <c r="AE26" i="32" s="1"/>
  <c r="Z26" i="32"/>
  <c r="H26" i="32"/>
  <c r="Q26" i="32" s="1"/>
  <c r="AD26" i="32"/>
  <c r="Y26" i="32"/>
  <c r="M24" i="33"/>
  <c r="N24" i="33"/>
  <c r="J24" i="33" s="1"/>
  <c r="L24" i="33"/>
  <c r="I24" i="33"/>
  <c r="P24" i="33"/>
  <c r="W22" i="33" s="1"/>
  <c r="F25" i="37"/>
  <c r="L25" i="37" s="1"/>
  <c r="D60" i="28"/>
  <c r="D428" i="7" s="1"/>
  <c r="C60" i="28"/>
  <c r="B61" i="28"/>
  <c r="Z20" i="39"/>
  <c r="F20" i="39"/>
  <c r="B44" i="46"/>
  <c r="T43" i="46"/>
  <c r="AA43" i="46" s="1"/>
  <c r="D43" i="46"/>
  <c r="E43" i="46"/>
  <c r="B56" i="33"/>
  <c r="D55" i="33"/>
  <c r="C55" i="33"/>
  <c r="D54" i="32"/>
  <c r="C54" i="32"/>
  <c r="B55" i="32"/>
  <c r="D60" i="30"/>
  <c r="B61" i="30"/>
  <c r="C61" i="30"/>
  <c r="K53" i="40"/>
  <c r="B76" i="39"/>
  <c r="E75" i="39"/>
  <c r="R75" i="39" s="1"/>
  <c r="B55" i="37"/>
  <c r="D54" i="37"/>
  <c r="C55" i="37"/>
  <c r="D54" i="40"/>
  <c r="C55" i="40"/>
  <c r="E54" i="40"/>
  <c r="Z54" i="40" s="1"/>
  <c r="B289" i="36"/>
  <c r="C429" i="7"/>
  <c r="B430" i="7"/>
  <c r="C45" i="13"/>
  <c r="K38" i="12"/>
  <c r="C40" i="46"/>
  <c r="C45" i="39"/>
  <c r="C100" i="7"/>
  <c r="P73" i="7" l="1"/>
  <c r="G17" i="46"/>
  <c r="P17" i="46" s="1"/>
  <c r="U19" i="13"/>
  <c r="W19" i="13" s="1"/>
  <c r="AB17" i="46"/>
  <c r="U18" i="46"/>
  <c r="AC19" i="13"/>
  <c r="AA19" i="13" s="1"/>
  <c r="M74" i="7"/>
  <c r="O103" i="7"/>
  <c r="E103" i="7"/>
  <c r="B104" i="7"/>
  <c r="E49" i="13"/>
  <c r="B50" i="13"/>
  <c r="X19" i="13"/>
  <c r="H19" i="13"/>
  <c r="H74" i="7" s="1"/>
  <c r="F394" i="7"/>
  <c r="S394" i="7" s="1"/>
  <c r="K26" i="28"/>
  <c r="K394" i="7" s="1"/>
  <c r="L26" i="28"/>
  <c r="L394" i="7" s="1"/>
  <c r="N26" i="28"/>
  <c r="Z26" i="28" s="1"/>
  <c r="AA26" i="28"/>
  <c r="AG26" i="28"/>
  <c r="AD26" i="28"/>
  <c r="E20" i="36"/>
  <c r="K29" i="30"/>
  <c r="N29" i="30"/>
  <c r="J29" i="30" s="1"/>
  <c r="H29" i="30" s="1"/>
  <c r="F30" i="30" s="1"/>
  <c r="M29" i="30"/>
  <c r="L29" i="30"/>
  <c r="AF23" i="40"/>
  <c r="X21" i="40"/>
  <c r="Q23" i="40"/>
  <c r="J23" i="40"/>
  <c r="AC23" i="40"/>
  <c r="I23" i="40" s="1"/>
  <c r="I26" i="32"/>
  <c r="P26" i="32"/>
  <c r="W24" i="32" s="1"/>
  <c r="AB26" i="32"/>
  <c r="F27" i="32"/>
  <c r="M27" i="32" s="1"/>
  <c r="AA26" i="32"/>
  <c r="H24" i="33"/>
  <c r="Q24" i="33" s="1"/>
  <c r="J25" i="37"/>
  <c r="I25" i="37"/>
  <c r="K25" i="37"/>
  <c r="M25" i="37"/>
  <c r="D61" i="28"/>
  <c r="D429" i="7" s="1"/>
  <c r="C61" i="28"/>
  <c r="B62" i="28"/>
  <c r="B45" i="46"/>
  <c r="T44" i="46"/>
  <c r="AA44" i="46" s="1"/>
  <c r="E44" i="46"/>
  <c r="D44" i="46"/>
  <c r="L20" i="39"/>
  <c r="Q20" i="39"/>
  <c r="J20" i="39"/>
  <c r="K20" i="39"/>
  <c r="Y20" i="39"/>
  <c r="X20" i="39" s="1"/>
  <c r="V20" i="39"/>
  <c r="S20" i="39"/>
  <c r="T20" i="39" s="1"/>
  <c r="C56" i="33"/>
  <c r="B57" i="33"/>
  <c r="D56" i="33"/>
  <c r="B62" i="30"/>
  <c r="C62" i="30"/>
  <c r="D61" i="30"/>
  <c r="C55" i="32"/>
  <c r="B56" i="32"/>
  <c r="D55" i="32"/>
  <c r="K54" i="40"/>
  <c r="B290" i="36"/>
  <c r="D55" i="40"/>
  <c r="C56" i="40"/>
  <c r="E55" i="40"/>
  <c r="Z55" i="40" s="1"/>
  <c r="B56" i="37"/>
  <c r="D55" i="37"/>
  <c r="C56" i="37"/>
  <c r="B77" i="39"/>
  <c r="E76" i="39"/>
  <c r="R76" i="39" s="1"/>
  <c r="C430" i="7"/>
  <c r="B431" i="7"/>
  <c r="K39" i="12"/>
  <c r="C46" i="13"/>
  <c r="C101" i="7"/>
  <c r="C41" i="46"/>
  <c r="C46" i="39"/>
  <c r="Q17" i="46" l="1"/>
  <c r="F18" i="46" s="1"/>
  <c r="J18" i="46" s="1"/>
  <c r="J19" i="13"/>
  <c r="G19" i="13" s="1"/>
  <c r="Z18" i="46"/>
  <c r="Y18" i="46"/>
  <c r="X18" i="46"/>
  <c r="W18" i="46"/>
  <c r="E104" i="7"/>
  <c r="O104" i="7"/>
  <c r="B105" i="7"/>
  <c r="I19" i="13"/>
  <c r="B51" i="13"/>
  <c r="E50" i="13"/>
  <c r="I26" i="28"/>
  <c r="I394" i="7" s="1"/>
  <c r="AE26" i="28"/>
  <c r="AC26" i="28" s="1"/>
  <c r="X24" i="28"/>
  <c r="N394" i="7"/>
  <c r="AB26" i="28"/>
  <c r="AH26" i="28"/>
  <c r="AF26" i="28" s="1"/>
  <c r="Q29" i="30"/>
  <c r="P29" i="30"/>
  <c r="W27" i="30" s="1"/>
  <c r="G24" i="40"/>
  <c r="R23" i="40"/>
  <c r="K27" i="32"/>
  <c r="AF27" i="32"/>
  <c r="L27" i="32"/>
  <c r="Z27" i="32"/>
  <c r="AC27" i="32"/>
  <c r="N27" i="32"/>
  <c r="AG27" i="32" s="1"/>
  <c r="H27" i="32"/>
  <c r="F28" i="32" s="1"/>
  <c r="N28" i="32" s="1"/>
  <c r="J27" i="32"/>
  <c r="F25" i="33"/>
  <c r="N25" i="33" s="1"/>
  <c r="J25" i="33" s="1"/>
  <c r="H25" i="37"/>
  <c r="F26" i="37" s="1"/>
  <c r="J26" i="37" s="1"/>
  <c r="P25" i="37"/>
  <c r="W23" i="37" s="1"/>
  <c r="C62" i="28"/>
  <c r="D62" i="28"/>
  <c r="D430" i="7" s="1"/>
  <c r="B63" i="28"/>
  <c r="C57" i="33"/>
  <c r="B58" i="33"/>
  <c r="D57" i="33"/>
  <c r="H20" i="39"/>
  <c r="U20" i="39"/>
  <c r="G20" i="39" s="1"/>
  <c r="D21" i="36" s="1"/>
  <c r="D45" i="46"/>
  <c r="B46" i="46"/>
  <c r="T45" i="46"/>
  <c r="AA45" i="46" s="1"/>
  <c r="E45" i="46"/>
  <c r="D56" i="32"/>
  <c r="B57" i="32"/>
  <c r="C56" i="32"/>
  <c r="B63" i="30"/>
  <c r="D62" i="30"/>
  <c r="C63" i="30"/>
  <c r="K55" i="40"/>
  <c r="B291" i="36"/>
  <c r="C57" i="40"/>
  <c r="E56" i="40"/>
  <c r="Z56" i="40" s="1"/>
  <c r="D56" i="40"/>
  <c r="D56" i="37"/>
  <c r="B57" i="37"/>
  <c r="C57" i="37"/>
  <c r="B78" i="39"/>
  <c r="E77" i="39"/>
  <c r="R77" i="39" s="1"/>
  <c r="C431" i="7"/>
  <c r="B432" i="7"/>
  <c r="L30" i="30"/>
  <c r="I30" i="30"/>
  <c r="M30" i="30"/>
  <c r="N30" i="30"/>
  <c r="J30" i="30" s="1"/>
  <c r="K30" i="30"/>
  <c r="C47" i="13"/>
  <c r="K40" i="12"/>
  <c r="C102" i="7"/>
  <c r="C42" i="46"/>
  <c r="C47" i="39"/>
  <c r="A18" i="46" l="1"/>
  <c r="M18" i="46" s="1"/>
  <c r="H18" i="46"/>
  <c r="I18" i="46"/>
  <c r="L18" i="46"/>
  <c r="K18" i="46"/>
  <c r="V18" i="46"/>
  <c r="R19" i="13"/>
  <c r="G74" i="7"/>
  <c r="Q74" i="7" s="1"/>
  <c r="E105" i="7"/>
  <c r="O105" i="7"/>
  <c r="B106" i="7"/>
  <c r="I74" i="7"/>
  <c r="E10" i="10" s="1"/>
  <c r="E51" i="13"/>
  <c r="B52" i="13"/>
  <c r="F20" i="13"/>
  <c r="S19" i="13"/>
  <c r="J26" i="28"/>
  <c r="H26" i="28" s="1"/>
  <c r="AD24" i="40"/>
  <c r="L24" i="40"/>
  <c r="AH24" i="40"/>
  <c r="N24" i="40"/>
  <c r="AA24" i="40"/>
  <c r="AB24" i="40" s="1"/>
  <c r="AG24" i="40"/>
  <c r="M24" i="40"/>
  <c r="I27" i="32"/>
  <c r="I20" i="39"/>
  <c r="AC20" i="39" s="1"/>
  <c r="P27" i="32"/>
  <c r="W25" i="32" s="1"/>
  <c r="AE27" i="32"/>
  <c r="AF28" i="32"/>
  <c r="M28" i="32"/>
  <c r="AC28" i="32"/>
  <c r="Y27" i="32"/>
  <c r="AA27" i="32" s="1"/>
  <c r="AD27" i="32"/>
  <c r="AB27" i="32" s="1"/>
  <c r="L28" i="32"/>
  <c r="H28" i="32"/>
  <c r="Q28" i="32" s="1"/>
  <c r="K28" i="32"/>
  <c r="Q27" i="32"/>
  <c r="J28" i="32"/>
  <c r="Z28" i="32"/>
  <c r="K25" i="33"/>
  <c r="L25" i="33"/>
  <c r="M25" i="33"/>
  <c r="I25" i="33"/>
  <c r="H25" i="33" s="1"/>
  <c r="P25" i="33"/>
  <c r="W23" i="33" s="1"/>
  <c r="AD28" i="32"/>
  <c r="Y28" i="32"/>
  <c r="AG28" i="32"/>
  <c r="Q25" i="37"/>
  <c r="K26" i="37"/>
  <c r="I26" i="37"/>
  <c r="H26" i="37" s="1"/>
  <c r="Q26" i="37" s="1"/>
  <c r="M26" i="37"/>
  <c r="L26" i="37"/>
  <c r="D63" i="28"/>
  <c r="D431" i="7" s="1"/>
  <c r="B64" i="28"/>
  <c r="C63" i="28"/>
  <c r="O20" i="39"/>
  <c r="P20" i="39"/>
  <c r="T46" i="46"/>
  <c r="AA46" i="46" s="1"/>
  <c r="E46" i="46"/>
  <c r="B47" i="46"/>
  <c r="D46" i="46"/>
  <c r="B59" i="33"/>
  <c r="D58" i="33"/>
  <c r="C58" i="33"/>
  <c r="D63" i="30"/>
  <c r="C64" i="30"/>
  <c r="B64" i="30"/>
  <c r="C57" i="32"/>
  <c r="D57" i="32"/>
  <c r="B58" i="32"/>
  <c r="B79" i="39"/>
  <c r="E78" i="39"/>
  <c r="R78" i="39" s="1"/>
  <c r="E57" i="40"/>
  <c r="Z57" i="40" s="1"/>
  <c r="D57" i="40"/>
  <c r="C58" i="40"/>
  <c r="B58" i="37"/>
  <c r="D57" i="37"/>
  <c r="C58" i="37"/>
  <c r="B292" i="36"/>
  <c r="K56" i="40"/>
  <c r="H30" i="30"/>
  <c r="P30" i="30" s="1"/>
  <c r="W28" i="30" s="1"/>
  <c r="C432" i="7"/>
  <c r="B433" i="7"/>
  <c r="K41" i="12"/>
  <c r="C48" i="13"/>
  <c r="C43" i="46"/>
  <c r="C48" i="39"/>
  <c r="C103" i="7"/>
  <c r="G18" i="46" l="1"/>
  <c r="P18" i="46" s="1"/>
  <c r="AB18" i="46"/>
  <c r="U19" i="46"/>
  <c r="M20" i="13"/>
  <c r="L75" i="7" s="1"/>
  <c r="F75" i="7"/>
  <c r="R75" i="7" s="1"/>
  <c r="E106" i="7"/>
  <c r="O106" i="7"/>
  <c r="B107" i="7"/>
  <c r="B53" i="13"/>
  <c r="E52" i="13"/>
  <c r="Y20" i="13"/>
  <c r="AB20" i="13"/>
  <c r="K20" i="13"/>
  <c r="J75" i="7" s="1"/>
  <c r="V20" i="13"/>
  <c r="N20" i="13"/>
  <c r="L20" i="13"/>
  <c r="K75" i="7" s="1"/>
  <c r="P74" i="7"/>
  <c r="J394" i="7"/>
  <c r="Q26" i="28"/>
  <c r="Q394" i="7" s="1"/>
  <c r="F27" i="28"/>
  <c r="R26" i="28"/>
  <c r="R394" i="7" s="1"/>
  <c r="H394" i="7"/>
  <c r="AF24" i="40"/>
  <c r="X22" i="40"/>
  <c r="Q24" i="40"/>
  <c r="J24" i="40"/>
  <c r="AC24" i="40"/>
  <c r="I24" i="40" s="1"/>
  <c r="I28" i="32"/>
  <c r="P28" i="32"/>
  <c r="W26" i="32" s="1"/>
  <c r="AB28" i="32"/>
  <c r="AE28" i="32"/>
  <c r="AA28" i="32"/>
  <c r="F29" i="32"/>
  <c r="AC29" i="32" s="1"/>
  <c r="Q25" i="33"/>
  <c r="F26" i="33"/>
  <c r="P26" i="37"/>
  <c r="W24" i="37" s="1"/>
  <c r="F27" i="37"/>
  <c r="I27" i="37" s="1"/>
  <c r="B65" i="28"/>
  <c r="D64" i="28"/>
  <c r="D432" i="7" s="1"/>
  <c r="C64" i="28"/>
  <c r="T47" i="46"/>
  <c r="AA47" i="46" s="1"/>
  <c r="B48" i="46"/>
  <c r="E47" i="46"/>
  <c r="D47" i="46"/>
  <c r="B60" i="33"/>
  <c r="D59" i="33"/>
  <c r="C59" i="33"/>
  <c r="F21" i="39"/>
  <c r="Z21" i="39"/>
  <c r="E21" i="36"/>
  <c r="C22" i="36"/>
  <c r="B65" i="30"/>
  <c r="D64" i="30"/>
  <c r="C65" i="30"/>
  <c r="D58" i="32"/>
  <c r="C58" i="32"/>
  <c r="B59" i="32"/>
  <c r="Q30" i="30"/>
  <c r="D58" i="40"/>
  <c r="C59" i="40"/>
  <c r="E58" i="40"/>
  <c r="Z58" i="40" s="1"/>
  <c r="B293" i="36"/>
  <c r="D58" i="37"/>
  <c r="C59" i="37"/>
  <c r="B59" i="37"/>
  <c r="B80" i="39"/>
  <c r="E79" i="39"/>
  <c r="R79" i="39" s="1"/>
  <c r="K57" i="40"/>
  <c r="F31" i="30"/>
  <c r="N31" i="30" s="1"/>
  <c r="J31" i="30" s="1"/>
  <c r="C433" i="7"/>
  <c r="B434" i="7"/>
  <c r="C49" i="13"/>
  <c r="K42" i="12"/>
  <c r="C44" i="46"/>
  <c r="C49" i="39"/>
  <c r="C104" i="7"/>
  <c r="Q18" i="46" l="1"/>
  <c r="F19" i="46" s="1"/>
  <c r="A19" i="46" s="1"/>
  <c r="M19" i="46" s="1"/>
  <c r="W19" i="46"/>
  <c r="Y19" i="46"/>
  <c r="Z19" i="46"/>
  <c r="X19" i="46"/>
  <c r="Z20" i="13"/>
  <c r="X20" i="13" s="1"/>
  <c r="M75" i="7"/>
  <c r="E107" i="7"/>
  <c r="O107" i="7"/>
  <c r="B108" i="7"/>
  <c r="H20" i="13"/>
  <c r="H75" i="7" s="1"/>
  <c r="E53" i="13"/>
  <c r="B54" i="13"/>
  <c r="U20" i="13"/>
  <c r="W20" i="13" s="1"/>
  <c r="AC20" i="13"/>
  <c r="AA20" i="13" s="1"/>
  <c r="AA27" i="28"/>
  <c r="F395" i="7"/>
  <c r="S395" i="7" s="1"/>
  <c r="M27" i="28"/>
  <c r="M395" i="7" s="1"/>
  <c r="K27" i="28"/>
  <c r="L27" i="28"/>
  <c r="L395" i="7" s="1"/>
  <c r="AD27" i="28"/>
  <c r="N27" i="28"/>
  <c r="AG27" i="28"/>
  <c r="R24" i="40"/>
  <c r="G25" i="40"/>
  <c r="M29" i="32"/>
  <c r="J29" i="32"/>
  <c r="N29" i="32"/>
  <c r="Y29" i="32" s="1"/>
  <c r="K29" i="32"/>
  <c r="AF29" i="32"/>
  <c r="L29" i="32"/>
  <c r="H29" i="32"/>
  <c r="F30" i="32" s="1"/>
  <c r="Z30" i="32" s="1"/>
  <c r="Z29" i="32"/>
  <c r="L26" i="33"/>
  <c r="M26" i="33"/>
  <c r="N26" i="33"/>
  <c r="J26" i="33" s="1"/>
  <c r="P26" i="33"/>
  <c r="W24" i="33" s="1"/>
  <c r="K26" i="33"/>
  <c r="I26" i="33"/>
  <c r="J27" i="37"/>
  <c r="H27" i="37" s="1"/>
  <c r="Q27" i="37" s="1"/>
  <c r="K27" i="37"/>
  <c r="L27" i="37"/>
  <c r="M27" i="37"/>
  <c r="D65" i="28"/>
  <c r="D433" i="7" s="1"/>
  <c r="C65" i="28"/>
  <c r="B66" i="28"/>
  <c r="E48" i="46"/>
  <c r="D48" i="46"/>
  <c r="T48" i="46"/>
  <c r="AA48" i="46" s="1"/>
  <c r="B49" i="46"/>
  <c r="J21" i="39"/>
  <c r="L21" i="39"/>
  <c r="Q21" i="39"/>
  <c r="Y21" i="39"/>
  <c r="X21" i="39" s="1"/>
  <c r="S21" i="39"/>
  <c r="T21" i="39" s="1"/>
  <c r="V21" i="39"/>
  <c r="K21" i="39"/>
  <c r="B61" i="33"/>
  <c r="D60" i="33"/>
  <c r="C60" i="33"/>
  <c r="C66" i="30"/>
  <c r="B66" i="30"/>
  <c r="D65" i="30"/>
  <c r="B60" i="32"/>
  <c r="D59" i="32"/>
  <c r="C59" i="32"/>
  <c r="B81" i="39"/>
  <c r="E80" i="39"/>
  <c r="R80" i="39" s="1"/>
  <c r="B294" i="36"/>
  <c r="K58" i="40"/>
  <c r="D59" i="40"/>
  <c r="C60" i="40"/>
  <c r="E59" i="40"/>
  <c r="Z59" i="40" s="1"/>
  <c r="D59" i="37"/>
  <c r="C60" i="37"/>
  <c r="B60" i="37"/>
  <c r="I31" i="30"/>
  <c r="H31" i="30" s="1"/>
  <c r="L31" i="30"/>
  <c r="K31" i="30"/>
  <c r="M31" i="30"/>
  <c r="B435" i="7"/>
  <c r="C434" i="7"/>
  <c r="K43" i="12"/>
  <c r="C50" i="13"/>
  <c r="C105" i="7"/>
  <c r="C45" i="46"/>
  <c r="C50" i="39"/>
  <c r="I19" i="46" l="1"/>
  <c r="J19" i="46"/>
  <c r="H19" i="46"/>
  <c r="L19" i="46"/>
  <c r="K19" i="46"/>
  <c r="V19" i="46"/>
  <c r="U20" i="46" s="1"/>
  <c r="Z20" i="46" s="1"/>
  <c r="E108" i="7"/>
  <c r="O108" i="7"/>
  <c r="B109" i="7"/>
  <c r="I20" i="13"/>
  <c r="E54" i="13"/>
  <c r="B55" i="13"/>
  <c r="J20" i="13"/>
  <c r="G20" i="13" s="1"/>
  <c r="I27" i="28"/>
  <c r="I395" i="7" s="1"/>
  <c r="N395" i="7"/>
  <c r="AH27" i="28"/>
  <c r="Z27" i="28"/>
  <c r="AB27" i="28" s="1"/>
  <c r="AE27" i="28"/>
  <c r="AC27" i="28" s="1"/>
  <c r="K395" i="7"/>
  <c r="X25" i="28"/>
  <c r="AG25" i="40"/>
  <c r="M25" i="40"/>
  <c r="AA25" i="40"/>
  <c r="AB25" i="40" s="1"/>
  <c r="N25" i="40"/>
  <c r="L25" i="40"/>
  <c r="AH25" i="40"/>
  <c r="AD25" i="40"/>
  <c r="I29" i="32"/>
  <c r="P29" i="32"/>
  <c r="W27" i="32" s="1"/>
  <c r="AG29" i="32"/>
  <c r="AE29" i="32" s="1"/>
  <c r="AD29" i="32"/>
  <c r="AB29" i="32" s="1"/>
  <c r="Q29" i="32"/>
  <c r="H30" i="32"/>
  <c r="F31" i="32" s="1"/>
  <c r="J30" i="32"/>
  <c r="L30" i="32"/>
  <c r="M30" i="32"/>
  <c r="AC30" i="32"/>
  <c r="AF30" i="32"/>
  <c r="N30" i="32"/>
  <c r="AD30" i="32" s="1"/>
  <c r="K30" i="32"/>
  <c r="AA29" i="32"/>
  <c r="H26" i="33"/>
  <c r="F28" i="37"/>
  <c r="J28" i="37" s="1"/>
  <c r="P27" i="37"/>
  <c r="W25" i="37" s="1"/>
  <c r="D66" i="28"/>
  <c r="D434" i="7" s="1"/>
  <c r="C66" i="28"/>
  <c r="B67" i="28"/>
  <c r="E49" i="46"/>
  <c r="T49" i="46"/>
  <c r="AA49" i="46" s="1"/>
  <c r="D49" i="46"/>
  <c r="B50" i="46"/>
  <c r="B62" i="33"/>
  <c r="C61" i="33"/>
  <c r="D61" i="33"/>
  <c r="H21" i="39"/>
  <c r="U21" i="39"/>
  <c r="G21" i="39" s="1"/>
  <c r="D22" i="36" s="1"/>
  <c r="D60" i="32"/>
  <c r="C60" i="32"/>
  <c r="B61" i="32"/>
  <c r="C67" i="30"/>
  <c r="B67" i="30"/>
  <c r="D66" i="30"/>
  <c r="K59" i="40"/>
  <c r="F32" i="30"/>
  <c r="K32" i="30" s="1"/>
  <c r="P31" i="30"/>
  <c r="W29" i="30" s="1"/>
  <c r="B295" i="36"/>
  <c r="D60" i="37"/>
  <c r="C61" i="37"/>
  <c r="B61" i="37"/>
  <c r="D60" i="40"/>
  <c r="C61" i="40"/>
  <c r="E60" i="40"/>
  <c r="Z60" i="40" s="1"/>
  <c r="B82" i="39"/>
  <c r="E81" i="39"/>
  <c r="R81" i="39" s="1"/>
  <c r="Q31" i="30"/>
  <c r="B436" i="7"/>
  <c r="C435" i="7"/>
  <c r="C51" i="13"/>
  <c r="K44" i="12"/>
  <c r="C106" i="7"/>
  <c r="C46" i="46"/>
  <c r="C51" i="39"/>
  <c r="G19" i="46" l="1"/>
  <c r="Q19" i="46" s="1"/>
  <c r="F20" i="46" s="1"/>
  <c r="I20" i="46" s="1"/>
  <c r="AB19" i="46"/>
  <c r="W20" i="46"/>
  <c r="Y20" i="46"/>
  <c r="X20" i="46"/>
  <c r="F21" i="13"/>
  <c r="L21" i="13" s="1"/>
  <c r="K76" i="7" s="1"/>
  <c r="G75" i="7"/>
  <c r="E109" i="7"/>
  <c r="O109" i="7"/>
  <c r="B110" i="7"/>
  <c r="I75" i="7"/>
  <c r="E11" i="10" s="1"/>
  <c r="B56" i="13"/>
  <c r="E55" i="13"/>
  <c r="R20" i="13"/>
  <c r="S20" i="13"/>
  <c r="AF27" i="28"/>
  <c r="J27" i="28"/>
  <c r="AF25" i="40"/>
  <c r="AC25" i="40"/>
  <c r="I25" i="40" s="1"/>
  <c r="J25" i="40"/>
  <c r="Q25" i="40"/>
  <c r="X23" i="40"/>
  <c r="I30" i="32"/>
  <c r="I21" i="39"/>
  <c r="AC21" i="39" s="1"/>
  <c r="P30" i="32"/>
  <c r="W28" i="32" s="1"/>
  <c r="Q30" i="32"/>
  <c r="AB30" i="32"/>
  <c r="Y30" i="32"/>
  <c r="AA30" i="32" s="1"/>
  <c r="AG30" i="32"/>
  <c r="AE30" i="32" s="1"/>
  <c r="AF31" i="32"/>
  <c r="H31" i="32"/>
  <c r="F32" i="32" s="1"/>
  <c r="AC31" i="32"/>
  <c r="K31" i="32"/>
  <c r="N31" i="32"/>
  <c r="M31" i="32"/>
  <c r="L31" i="32"/>
  <c r="J31" i="32"/>
  <c r="Z31" i="32"/>
  <c r="Q26" i="33"/>
  <c r="F27" i="33"/>
  <c r="K28" i="37"/>
  <c r="L28" i="37"/>
  <c r="I28" i="37"/>
  <c r="H28" i="37" s="1"/>
  <c r="M28" i="37"/>
  <c r="C67" i="28"/>
  <c r="D67" i="28"/>
  <c r="D435" i="7" s="1"/>
  <c r="B68" i="28"/>
  <c r="B63" i="33"/>
  <c r="D62" i="33"/>
  <c r="C62" i="33"/>
  <c r="D50" i="46"/>
  <c r="E50" i="46"/>
  <c r="B51" i="46"/>
  <c r="T50" i="46"/>
  <c r="AA50" i="46" s="1"/>
  <c r="O21" i="39"/>
  <c r="P21" i="39"/>
  <c r="D67" i="30"/>
  <c r="B68" i="30"/>
  <c r="C68" i="30"/>
  <c r="B62" i="32"/>
  <c r="D61" i="32"/>
  <c r="C61" i="32"/>
  <c r="L32" i="30"/>
  <c r="N32" i="30"/>
  <c r="J32" i="30" s="1"/>
  <c r="M32" i="30"/>
  <c r="I32" i="30"/>
  <c r="K60" i="40"/>
  <c r="B62" i="37"/>
  <c r="C62" i="37"/>
  <c r="D61" i="37"/>
  <c r="B83" i="39"/>
  <c r="E82" i="39"/>
  <c r="R82" i="39" s="1"/>
  <c r="D61" i="40"/>
  <c r="E61" i="40"/>
  <c r="Z61" i="40" s="1"/>
  <c r="C62" i="40"/>
  <c r="B296" i="36"/>
  <c r="C436" i="7"/>
  <c r="B437" i="7"/>
  <c r="K45" i="12"/>
  <c r="C52" i="13"/>
  <c r="C47" i="46"/>
  <c r="C52" i="39"/>
  <c r="C107" i="7"/>
  <c r="A20" i="46" l="1"/>
  <c r="M20" i="46" s="1"/>
  <c r="J20" i="46"/>
  <c r="K20" i="46"/>
  <c r="H20" i="46"/>
  <c r="P19" i="46"/>
  <c r="L20" i="46"/>
  <c r="V20" i="46"/>
  <c r="U21" i="46" s="1"/>
  <c r="X21" i="46" s="1"/>
  <c r="K21" i="13"/>
  <c r="J76" i="7" s="1"/>
  <c r="AB21" i="13"/>
  <c r="N21" i="13"/>
  <c r="M76" i="7" s="1"/>
  <c r="V21" i="13"/>
  <c r="Y21" i="13"/>
  <c r="F76" i="7"/>
  <c r="R76" i="7" s="1"/>
  <c r="M21" i="13"/>
  <c r="L76" i="7" s="1"/>
  <c r="P75" i="7"/>
  <c r="E110" i="7"/>
  <c r="O110" i="7"/>
  <c r="B111" i="7"/>
  <c r="I21" i="13"/>
  <c r="B57" i="13"/>
  <c r="E56" i="13"/>
  <c r="Q75" i="7"/>
  <c r="J395" i="7"/>
  <c r="H27" i="28"/>
  <c r="R25" i="40"/>
  <c r="G26" i="40"/>
  <c r="I31" i="32"/>
  <c r="P31" i="32"/>
  <c r="W29" i="32" s="1"/>
  <c r="Q31" i="32"/>
  <c r="Y31" i="32"/>
  <c r="AA31" i="32" s="1"/>
  <c r="AD31" i="32"/>
  <c r="AB31" i="32" s="1"/>
  <c r="AG31" i="32"/>
  <c r="AE31" i="32" s="1"/>
  <c r="AF32" i="32"/>
  <c r="L32" i="32"/>
  <c r="K32" i="32"/>
  <c r="J32" i="32"/>
  <c r="AC32" i="32"/>
  <c r="M32" i="32"/>
  <c r="Z32" i="32"/>
  <c r="H32" i="32"/>
  <c r="F33" i="32" s="1"/>
  <c r="N32" i="32"/>
  <c r="AG32" i="32" s="1"/>
  <c r="N27" i="33"/>
  <c r="J27" i="33" s="1"/>
  <c r="I27" i="33"/>
  <c r="K27" i="33"/>
  <c r="L27" i="33"/>
  <c r="M27" i="33"/>
  <c r="P27" i="33"/>
  <c r="W25" i="33" s="1"/>
  <c r="P28" i="37"/>
  <c r="W26" i="37" s="1"/>
  <c r="F29" i="37"/>
  <c r="Q28" i="37"/>
  <c r="B69" i="28"/>
  <c r="D68" i="28"/>
  <c r="D436" i="7" s="1"/>
  <c r="C68" i="28"/>
  <c r="C63" i="33"/>
  <c r="B64" i="33"/>
  <c r="D63" i="33"/>
  <c r="F22" i="39"/>
  <c r="Z22" i="39"/>
  <c r="T51" i="46"/>
  <c r="AA51" i="46" s="1"/>
  <c r="E51" i="46"/>
  <c r="B52" i="46"/>
  <c r="D51" i="46"/>
  <c r="E22" i="36"/>
  <c r="C23" i="36"/>
  <c r="C62" i="32"/>
  <c r="B63" i="32"/>
  <c r="D62" i="32"/>
  <c r="B69" i="30"/>
  <c r="D68" i="30"/>
  <c r="C69" i="30"/>
  <c r="H32" i="30"/>
  <c r="P32" i="30" s="1"/>
  <c r="W30" i="30" s="1"/>
  <c r="K61" i="40"/>
  <c r="B297" i="36"/>
  <c r="E62" i="40"/>
  <c r="Z62" i="40" s="1"/>
  <c r="D62" i="40"/>
  <c r="C63" i="40"/>
  <c r="B63" i="37"/>
  <c r="C63" i="37"/>
  <c r="D62" i="37"/>
  <c r="B84" i="39"/>
  <c r="E83" i="39"/>
  <c r="R83" i="39" s="1"/>
  <c r="B438" i="7"/>
  <c r="C437" i="7"/>
  <c r="C53" i="13"/>
  <c r="K46" i="12"/>
  <c r="C48" i="46"/>
  <c r="C53" i="39"/>
  <c r="C108" i="7"/>
  <c r="H21" i="13" l="1"/>
  <c r="H76" i="7" s="1"/>
  <c r="G20" i="46"/>
  <c r="Q20" i="46" s="1"/>
  <c r="F21" i="46" s="1"/>
  <c r="L21" i="46" s="1"/>
  <c r="Y21" i="46"/>
  <c r="W21" i="46"/>
  <c r="V21" i="46" s="1"/>
  <c r="U22" i="46" s="1"/>
  <c r="AB20" i="46"/>
  <c r="Z21" i="46"/>
  <c r="AC21" i="13"/>
  <c r="AA21" i="13" s="1"/>
  <c r="U21" i="13"/>
  <c r="W21" i="13" s="1"/>
  <c r="Z21" i="13"/>
  <c r="X21" i="13" s="1"/>
  <c r="O111" i="7"/>
  <c r="E111" i="7"/>
  <c r="B112" i="7"/>
  <c r="I76" i="7"/>
  <c r="E12" i="10" s="1"/>
  <c r="B58" i="13"/>
  <c r="E57" i="13"/>
  <c r="Q27" i="28"/>
  <c r="Q395" i="7" s="1"/>
  <c r="H395" i="7"/>
  <c r="R27" i="28"/>
  <c r="R395" i="7" s="1"/>
  <c r="F28" i="28"/>
  <c r="AG26" i="40"/>
  <c r="AD26" i="40"/>
  <c r="M26" i="40"/>
  <c r="AH26" i="40"/>
  <c r="AA26" i="40"/>
  <c r="AB26" i="40" s="1"/>
  <c r="N26" i="40"/>
  <c r="L26" i="40"/>
  <c r="I32" i="32"/>
  <c r="P32" i="32"/>
  <c r="W30" i="32" s="1"/>
  <c r="AE32" i="32"/>
  <c r="Q32" i="32"/>
  <c r="AD32" i="32"/>
  <c r="AB32" i="32" s="1"/>
  <c r="Y32" i="32"/>
  <c r="AA32" i="32" s="1"/>
  <c r="L33" i="32"/>
  <c r="H33" i="32"/>
  <c r="F34" i="32" s="1"/>
  <c r="AF33" i="32"/>
  <c r="M33" i="32"/>
  <c r="J33" i="32"/>
  <c r="N33" i="32"/>
  <c r="AG33" i="32" s="1"/>
  <c r="AC33" i="32"/>
  <c r="K33" i="32"/>
  <c r="Z33" i="32"/>
  <c r="H27" i="33"/>
  <c r="K29" i="37"/>
  <c r="M29" i="37"/>
  <c r="I29" i="37"/>
  <c r="L29" i="37"/>
  <c r="J29" i="37"/>
  <c r="C69" i="28"/>
  <c r="D69" i="28"/>
  <c r="D437" i="7" s="1"/>
  <c r="B70" i="28"/>
  <c r="J22" i="39"/>
  <c r="Y22" i="39"/>
  <c r="X22" i="39" s="1"/>
  <c r="V22" i="39"/>
  <c r="K22" i="39"/>
  <c r="L22" i="39"/>
  <c r="Q22" i="39"/>
  <c r="S22" i="39"/>
  <c r="T22" i="39" s="1"/>
  <c r="C64" i="33"/>
  <c r="B65" i="33"/>
  <c r="D64" i="33"/>
  <c r="E52" i="46"/>
  <c r="D52" i="46"/>
  <c r="B53" i="46"/>
  <c r="T52" i="46"/>
  <c r="AA52" i="46" s="1"/>
  <c r="F33" i="30"/>
  <c r="I33" i="30" s="1"/>
  <c r="Q32" i="30"/>
  <c r="K62" i="40"/>
  <c r="B70" i="30"/>
  <c r="D69" i="30"/>
  <c r="C70" i="30"/>
  <c r="C63" i="32"/>
  <c r="D63" i="32"/>
  <c r="B64" i="32"/>
  <c r="D63" i="37"/>
  <c r="B64" i="37"/>
  <c r="C64" i="37"/>
  <c r="B298" i="36"/>
  <c r="B85" i="39"/>
  <c r="E84" i="39"/>
  <c r="R84" i="39" s="1"/>
  <c r="E63" i="40"/>
  <c r="Z63" i="40" s="1"/>
  <c r="C64" i="40"/>
  <c r="D63" i="40"/>
  <c r="B439" i="7"/>
  <c r="C438" i="7"/>
  <c r="K47" i="12"/>
  <c r="C54" i="13"/>
  <c r="C109" i="7"/>
  <c r="C49" i="46"/>
  <c r="C54" i="39"/>
  <c r="A21" i="46" l="1"/>
  <c r="M21" i="46" s="1"/>
  <c r="P20" i="46"/>
  <c r="H21" i="46"/>
  <c r="I21" i="46"/>
  <c r="J21" i="46"/>
  <c r="K21" i="46"/>
  <c r="AB21" i="46"/>
  <c r="Z22" i="46"/>
  <c r="Y22" i="46"/>
  <c r="W22" i="46"/>
  <c r="X22" i="46"/>
  <c r="J21" i="13"/>
  <c r="G21" i="13" s="1"/>
  <c r="O112" i="7"/>
  <c r="E112" i="7"/>
  <c r="B113" i="7"/>
  <c r="B59" i="13"/>
  <c r="E58" i="13"/>
  <c r="M28" i="28"/>
  <c r="M396" i="7" s="1"/>
  <c r="AD28" i="28"/>
  <c r="L28" i="28"/>
  <c r="L396" i="7" s="1"/>
  <c r="K28" i="28"/>
  <c r="AG28" i="28"/>
  <c r="AA28" i="28"/>
  <c r="F396" i="7"/>
  <c r="S396" i="7" s="1"/>
  <c r="N28" i="28"/>
  <c r="AF26" i="40"/>
  <c r="Q26" i="40"/>
  <c r="X24" i="40"/>
  <c r="AC26" i="40"/>
  <c r="I26" i="40" s="1"/>
  <c r="J26" i="40"/>
  <c r="I33" i="32"/>
  <c r="P33" i="32"/>
  <c r="W31" i="32" s="1"/>
  <c r="Q33" i="32"/>
  <c r="AE33" i="32"/>
  <c r="AF34" i="32"/>
  <c r="N34" i="32"/>
  <c r="L34" i="32"/>
  <c r="H34" i="32"/>
  <c r="Q34" i="32" s="1"/>
  <c r="AC34" i="32"/>
  <c r="K34" i="32"/>
  <c r="J34" i="32"/>
  <c r="Z34" i="32"/>
  <c r="M34" i="32"/>
  <c r="Y33" i="32"/>
  <c r="AA33" i="32" s="1"/>
  <c r="AD33" i="32"/>
  <c r="AB33" i="32" s="1"/>
  <c r="F28" i="33"/>
  <c r="Q27" i="33"/>
  <c r="H29" i="37"/>
  <c r="F30" i="37" s="1"/>
  <c r="L30" i="37" s="1"/>
  <c r="P29" i="37"/>
  <c r="W27" i="37" s="1"/>
  <c r="C70" i="28"/>
  <c r="B71" i="28"/>
  <c r="D70" i="28"/>
  <c r="D438" i="7" s="1"/>
  <c r="L33" i="30"/>
  <c r="K33" i="30"/>
  <c r="C65" i="33"/>
  <c r="B66" i="33"/>
  <c r="D65" i="33"/>
  <c r="U22" i="39"/>
  <c r="G22" i="39" s="1"/>
  <c r="D23" i="36" s="1"/>
  <c r="H22" i="39"/>
  <c r="E53" i="46"/>
  <c r="D53" i="46"/>
  <c r="B54" i="46"/>
  <c r="T53" i="46"/>
  <c r="AA53" i="46" s="1"/>
  <c r="N33" i="30"/>
  <c r="J33" i="30" s="1"/>
  <c r="H33" i="30" s="1"/>
  <c r="F34" i="30" s="1"/>
  <c r="M33" i="30"/>
  <c r="C64" i="32"/>
  <c r="B65" i="32"/>
  <c r="D64" i="32"/>
  <c r="D70" i="30"/>
  <c r="C71" i="30"/>
  <c r="B71" i="30"/>
  <c r="K63" i="40"/>
  <c r="D64" i="40"/>
  <c r="C65" i="40"/>
  <c r="E64" i="40"/>
  <c r="Z64" i="40" s="1"/>
  <c r="B65" i="37"/>
  <c r="D64" i="37"/>
  <c r="C65" i="37"/>
  <c r="B86" i="39"/>
  <c r="E85" i="39"/>
  <c r="R85" i="39" s="1"/>
  <c r="B299" i="36"/>
  <c r="B440" i="7"/>
  <c r="C439" i="7"/>
  <c r="C55" i="13"/>
  <c r="K48" i="12"/>
  <c r="C110" i="7"/>
  <c r="C50" i="46"/>
  <c r="C55" i="39"/>
  <c r="G21" i="46" l="1"/>
  <c r="Q21" i="46" s="1"/>
  <c r="F22" i="46" s="1"/>
  <c r="L22" i="46" s="1"/>
  <c r="V22" i="46"/>
  <c r="U23" i="46" s="1"/>
  <c r="R21" i="13"/>
  <c r="G76" i="7"/>
  <c r="Q76" i="7" s="1"/>
  <c r="S21" i="13"/>
  <c r="F22" i="13"/>
  <c r="L22" i="13" s="1"/>
  <c r="K77" i="7" s="1"/>
  <c r="O113" i="7"/>
  <c r="E113" i="7"/>
  <c r="B114" i="7"/>
  <c r="E59" i="13"/>
  <c r="B60" i="13"/>
  <c r="I28" i="28"/>
  <c r="I396" i="7" s="1"/>
  <c r="N396" i="7"/>
  <c r="AE28" i="28"/>
  <c r="AC28" i="28" s="1"/>
  <c r="AH28" i="28"/>
  <c r="Z28" i="28"/>
  <c r="AB28" i="28" s="1"/>
  <c r="K396" i="7"/>
  <c r="X26" i="28"/>
  <c r="G27" i="40"/>
  <c r="R26" i="40"/>
  <c r="I34" i="32"/>
  <c r="I22" i="39"/>
  <c r="AC22" i="39" s="1"/>
  <c r="P34" i="32"/>
  <c r="W32" i="32" s="1"/>
  <c r="F35" i="32"/>
  <c r="AF35" i="32" s="1"/>
  <c r="AG34" i="32"/>
  <c r="AE34" i="32" s="1"/>
  <c r="AD34" i="32"/>
  <c r="AB34" i="32" s="1"/>
  <c r="Y34" i="32"/>
  <c r="AA34" i="32" s="1"/>
  <c r="I28" i="33"/>
  <c r="L28" i="33"/>
  <c r="N28" i="33"/>
  <c r="J28" i="33" s="1"/>
  <c r="K28" i="33"/>
  <c r="M28" i="33"/>
  <c r="P28" i="33"/>
  <c r="W26" i="33" s="1"/>
  <c r="K30" i="37"/>
  <c r="I30" i="37"/>
  <c r="M30" i="37"/>
  <c r="J30" i="37"/>
  <c r="Q29" i="37"/>
  <c r="D71" i="28"/>
  <c r="D439" i="7" s="1"/>
  <c r="C71" i="28"/>
  <c r="B72" i="28"/>
  <c r="O22" i="39"/>
  <c r="P22" i="39"/>
  <c r="B67" i="33"/>
  <c r="D66" i="33"/>
  <c r="C66" i="33"/>
  <c r="B55" i="46"/>
  <c r="D54" i="46"/>
  <c r="E54" i="46"/>
  <c r="T54" i="46"/>
  <c r="AA54" i="46" s="1"/>
  <c r="K34" i="30"/>
  <c r="N34" i="30"/>
  <c r="J34" i="30" s="1"/>
  <c r="L34" i="30"/>
  <c r="M34" i="30"/>
  <c r="I34" i="30"/>
  <c r="Q33" i="30"/>
  <c r="P33" i="30"/>
  <c r="W31" i="30" s="1"/>
  <c r="D65" i="32"/>
  <c r="C65" i="32"/>
  <c r="B66" i="32"/>
  <c r="D71" i="30"/>
  <c r="B72" i="30"/>
  <c r="C72" i="30"/>
  <c r="K64" i="40"/>
  <c r="D65" i="40"/>
  <c r="E65" i="40"/>
  <c r="Z65" i="40" s="1"/>
  <c r="C66" i="40"/>
  <c r="B300" i="36"/>
  <c r="B66" i="37"/>
  <c r="C66" i="37"/>
  <c r="D65" i="37"/>
  <c r="B87" i="39"/>
  <c r="E86" i="39"/>
  <c r="R86" i="39" s="1"/>
  <c r="B441" i="7"/>
  <c r="C440" i="7"/>
  <c r="K49" i="12"/>
  <c r="C56" i="13"/>
  <c r="C51" i="46"/>
  <c r="C56" i="39"/>
  <c r="C111" i="7"/>
  <c r="J22" i="46" l="1"/>
  <c r="K22" i="46"/>
  <c r="I22" i="46"/>
  <c r="H22" i="46"/>
  <c r="A22" i="46"/>
  <c r="M22" i="46" s="1"/>
  <c r="P21" i="46"/>
  <c r="F77" i="7"/>
  <c r="R77" i="7" s="1"/>
  <c r="AB22" i="46"/>
  <c r="P76" i="7"/>
  <c r="K22" i="13"/>
  <c r="J77" i="7" s="1"/>
  <c r="Y22" i="13"/>
  <c r="Y23" i="46"/>
  <c r="Z23" i="46"/>
  <c r="X23" i="46"/>
  <c r="W23" i="46"/>
  <c r="N22" i="13"/>
  <c r="M77" i="7" s="1"/>
  <c r="AB22" i="13"/>
  <c r="V22" i="13"/>
  <c r="M22" i="13"/>
  <c r="L77" i="7" s="1"/>
  <c r="O114" i="7"/>
  <c r="E114" i="7"/>
  <c r="B115" i="7"/>
  <c r="E60" i="13"/>
  <c r="B61" i="13"/>
  <c r="AF28" i="28"/>
  <c r="J28" i="28"/>
  <c r="AG27" i="40"/>
  <c r="M27" i="40"/>
  <c r="L27" i="40"/>
  <c r="AH27" i="40"/>
  <c r="N27" i="40"/>
  <c r="AD27" i="40"/>
  <c r="AA27" i="40"/>
  <c r="AB27" i="40" s="1"/>
  <c r="M35" i="32"/>
  <c r="J35" i="32"/>
  <c r="K35" i="32"/>
  <c r="H35" i="32"/>
  <c r="Q35" i="32" s="1"/>
  <c r="L35" i="32"/>
  <c r="N35" i="32"/>
  <c r="AD35" i="32" s="1"/>
  <c r="AC35" i="32"/>
  <c r="Z35" i="32"/>
  <c r="H28" i="33"/>
  <c r="P30" i="37"/>
  <c r="W28" i="37" s="1"/>
  <c r="H30" i="37"/>
  <c r="F31" i="37" s="1"/>
  <c r="M31" i="37" s="1"/>
  <c r="D72" i="28"/>
  <c r="D440" i="7" s="1"/>
  <c r="C72" i="28"/>
  <c r="B73" i="28"/>
  <c r="H34" i="30"/>
  <c r="F35" i="30" s="1"/>
  <c r="D67" i="33"/>
  <c r="C67" i="33"/>
  <c r="B68" i="33"/>
  <c r="Z23" i="39"/>
  <c r="F23" i="39"/>
  <c r="C24" i="36"/>
  <c r="E23" i="36"/>
  <c r="E55" i="46"/>
  <c r="T55" i="46"/>
  <c r="AA55" i="46" s="1"/>
  <c r="B56" i="46"/>
  <c r="D55" i="46"/>
  <c r="D72" i="30"/>
  <c r="C73" i="30"/>
  <c r="B73" i="30"/>
  <c r="C66" i="32"/>
  <c r="B67" i="32"/>
  <c r="D66" i="32"/>
  <c r="K65" i="40"/>
  <c r="C67" i="37"/>
  <c r="D66" i="37"/>
  <c r="B67" i="37"/>
  <c r="B301" i="36"/>
  <c r="E66" i="40"/>
  <c r="Z66" i="40" s="1"/>
  <c r="D66" i="40"/>
  <c r="C67" i="40"/>
  <c r="B88" i="39"/>
  <c r="E87" i="39"/>
  <c r="R87" i="39" s="1"/>
  <c r="B442" i="7"/>
  <c r="C441" i="7"/>
  <c r="C57" i="13"/>
  <c r="K50" i="12"/>
  <c r="C52" i="46"/>
  <c r="C57" i="39"/>
  <c r="C112" i="7"/>
  <c r="G22" i="46" l="1"/>
  <c r="P22" i="46" s="1"/>
  <c r="H22" i="13"/>
  <c r="H77" i="7" s="1"/>
  <c r="V23" i="46"/>
  <c r="AC22" i="13"/>
  <c r="AA22" i="13" s="1"/>
  <c r="Z22" i="13"/>
  <c r="X22" i="13" s="1"/>
  <c r="U22" i="13"/>
  <c r="W22" i="13" s="1"/>
  <c r="I22" i="13"/>
  <c r="I77" i="7" s="1"/>
  <c r="O115" i="7"/>
  <c r="E115" i="7"/>
  <c r="B116" i="7"/>
  <c r="B62" i="13"/>
  <c r="E61" i="13"/>
  <c r="J396" i="7"/>
  <c r="H28" i="28"/>
  <c r="AF27" i="40"/>
  <c r="J27" i="40"/>
  <c r="AC27" i="40"/>
  <c r="I27" i="40" s="1"/>
  <c r="Q27" i="40"/>
  <c r="X25" i="40"/>
  <c r="I35" i="32"/>
  <c r="P35" i="32"/>
  <c r="W33" i="32" s="1"/>
  <c r="Y35" i="32"/>
  <c r="AA35" i="32" s="1"/>
  <c r="F36" i="32"/>
  <c r="K36" i="32" s="1"/>
  <c r="AG35" i="32"/>
  <c r="AE35" i="32" s="1"/>
  <c r="AB35" i="32"/>
  <c r="Q28" i="33"/>
  <c r="F29" i="33"/>
  <c r="Q30" i="37"/>
  <c r="J31" i="37"/>
  <c r="K31" i="37"/>
  <c r="L31" i="37"/>
  <c r="I31" i="37"/>
  <c r="B74" i="28"/>
  <c r="D73" i="28"/>
  <c r="D441" i="7" s="1"/>
  <c r="C73" i="28"/>
  <c r="M35" i="30"/>
  <c r="N35" i="30"/>
  <c r="J35" i="30" s="1"/>
  <c r="Q34" i="30"/>
  <c r="P34" i="30"/>
  <c r="W32" i="30" s="1"/>
  <c r="I35" i="30"/>
  <c r="K35" i="30"/>
  <c r="L35" i="30"/>
  <c r="B57" i="46"/>
  <c r="D56" i="46"/>
  <c r="T56" i="46"/>
  <c r="AA56" i="46" s="1"/>
  <c r="E56" i="46"/>
  <c r="D68" i="33"/>
  <c r="B69" i="33"/>
  <c r="C68" i="33"/>
  <c r="Y23" i="39"/>
  <c r="X23" i="39" s="1"/>
  <c r="S23" i="39"/>
  <c r="T23" i="39" s="1"/>
  <c r="K23" i="39"/>
  <c r="L23" i="39"/>
  <c r="V23" i="39"/>
  <c r="J23" i="39"/>
  <c r="Q23" i="39"/>
  <c r="D73" i="30"/>
  <c r="B74" i="30"/>
  <c r="C74" i="30"/>
  <c r="B68" i="32"/>
  <c r="D67" i="32"/>
  <c r="C67" i="32"/>
  <c r="K66" i="40"/>
  <c r="E67" i="40"/>
  <c r="Z67" i="40" s="1"/>
  <c r="C68" i="40"/>
  <c r="D67" i="40"/>
  <c r="B302" i="36"/>
  <c r="D67" i="37"/>
  <c r="B68" i="37"/>
  <c r="C68" i="37"/>
  <c r="B89" i="39"/>
  <c r="E88" i="39"/>
  <c r="R88" i="39" s="1"/>
  <c r="C442" i="7"/>
  <c r="B443" i="7"/>
  <c r="K51" i="12"/>
  <c r="C58" i="13"/>
  <c r="C113" i="7"/>
  <c r="C53" i="46"/>
  <c r="C58" i="39"/>
  <c r="Q22" i="46" l="1"/>
  <c r="F23" i="46" s="1"/>
  <c r="J23" i="46" s="1"/>
  <c r="J22" i="13"/>
  <c r="G22" i="13" s="1"/>
  <c r="S22" i="13" s="1"/>
  <c r="AB23" i="46"/>
  <c r="U24" i="46"/>
  <c r="E116" i="7"/>
  <c r="O116" i="7"/>
  <c r="B117" i="7"/>
  <c r="E62" i="13"/>
  <c r="B63" i="13"/>
  <c r="F29" i="28"/>
  <c r="Q28" i="28"/>
  <c r="Q396" i="7" s="1"/>
  <c r="R28" i="28"/>
  <c r="R396" i="7" s="1"/>
  <c r="H396" i="7"/>
  <c r="G28" i="40"/>
  <c r="R27" i="40"/>
  <c r="AC36" i="32"/>
  <c r="H36" i="32"/>
  <c r="F37" i="32" s="1"/>
  <c r="N36" i="32"/>
  <c r="AG36" i="32" s="1"/>
  <c r="AF36" i="32"/>
  <c r="Z36" i="32"/>
  <c r="M36" i="32"/>
  <c r="L36" i="32"/>
  <c r="J36" i="32"/>
  <c r="M29" i="33"/>
  <c r="I29" i="33"/>
  <c r="N29" i="33"/>
  <c r="J29" i="33" s="1"/>
  <c r="L29" i="33"/>
  <c r="P29" i="33"/>
  <c r="W27" i="33" s="1"/>
  <c r="K29" i="33"/>
  <c r="H31" i="37"/>
  <c r="F32" i="37" s="1"/>
  <c r="P31" i="37"/>
  <c r="W29" i="37" s="1"/>
  <c r="B75" i="28"/>
  <c r="C74" i="28"/>
  <c r="D74" i="28"/>
  <c r="D442" i="7" s="1"/>
  <c r="H35" i="30"/>
  <c r="Q35" i="30" s="1"/>
  <c r="D57" i="46"/>
  <c r="B58" i="46"/>
  <c r="T57" i="46"/>
  <c r="AA57" i="46" s="1"/>
  <c r="E57" i="46"/>
  <c r="H23" i="39"/>
  <c r="U23" i="39"/>
  <c r="G23" i="39" s="1"/>
  <c r="D24" i="36" s="1"/>
  <c r="B70" i="33"/>
  <c r="C69" i="33"/>
  <c r="D69" i="33"/>
  <c r="B69" i="32"/>
  <c r="C68" i="32"/>
  <c r="D68" i="32"/>
  <c r="D74" i="30"/>
  <c r="C75" i="30"/>
  <c r="B75" i="30"/>
  <c r="K67" i="40"/>
  <c r="B303" i="36"/>
  <c r="D68" i="40"/>
  <c r="C69" i="40"/>
  <c r="E68" i="40"/>
  <c r="Z68" i="40" s="1"/>
  <c r="B90" i="39"/>
  <c r="E89" i="39"/>
  <c r="R89" i="39" s="1"/>
  <c r="B69" i="37"/>
  <c r="D68" i="37"/>
  <c r="C69" i="37"/>
  <c r="B444" i="7"/>
  <c r="C443" i="7"/>
  <c r="C59" i="13"/>
  <c r="K52" i="12"/>
  <c r="C114" i="7"/>
  <c r="C54" i="46"/>
  <c r="C59" i="39"/>
  <c r="K23" i="46" l="1"/>
  <c r="L23" i="46"/>
  <c r="I23" i="46"/>
  <c r="A23" i="46"/>
  <c r="M23" i="46" s="1"/>
  <c r="H23" i="46"/>
  <c r="R22" i="13"/>
  <c r="G77" i="7"/>
  <c r="Q77" i="7" s="1"/>
  <c r="F23" i="13"/>
  <c r="M23" i="13" s="1"/>
  <c r="L78" i="7" s="1"/>
  <c r="Z24" i="46"/>
  <c r="Y24" i="46"/>
  <c r="X24" i="46"/>
  <c r="W24" i="46"/>
  <c r="I23" i="13"/>
  <c r="I78" i="7" s="1"/>
  <c r="E117" i="7"/>
  <c r="O117" i="7"/>
  <c r="B118" i="7"/>
  <c r="B64" i="13"/>
  <c r="E63" i="13"/>
  <c r="N29" i="28"/>
  <c r="N397" i="7" s="1"/>
  <c r="AD29" i="28"/>
  <c r="F397" i="7"/>
  <c r="S397" i="7" s="1"/>
  <c r="AG29" i="28"/>
  <c r="AA29" i="28"/>
  <c r="L29" i="28"/>
  <c r="L397" i="7" s="1"/>
  <c r="M29" i="28"/>
  <c r="M397" i="7" s="1"/>
  <c r="K29" i="28"/>
  <c r="K397" i="7" s="1"/>
  <c r="AG28" i="40"/>
  <c r="AA28" i="40"/>
  <c r="AB28" i="40" s="1"/>
  <c r="N28" i="40"/>
  <c r="AH28" i="40"/>
  <c r="M28" i="40"/>
  <c r="AD28" i="40"/>
  <c r="L28" i="40"/>
  <c r="I36" i="32"/>
  <c r="P36" i="32"/>
  <c r="W34" i="32" s="1"/>
  <c r="I23" i="39"/>
  <c r="AC23" i="39" s="1"/>
  <c r="Q36" i="32"/>
  <c r="AD36" i="32"/>
  <c r="AB36" i="32" s="1"/>
  <c r="Y36" i="32"/>
  <c r="AA36" i="32" s="1"/>
  <c r="AE36" i="32"/>
  <c r="H29" i="33"/>
  <c r="F30" i="33" s="1"/>
  <c r="N30" i="33" s="1"/>
  <c r="J30" i="33" s="1"/>
  <c r="AC37" i="32"/>
  <c r="L37" i="32"/>
  <c r="J37" i="32"/>
  <c r="H37" i="32"/>
  <c r="F38" i="32" s="1"/>
  <c r="Z37" i="32"/>
  <c r="N37" i="32"/>
  <c r="AF37" i="32"/>
  <c r="M37" i="32"/>
  <c r="K37" i="32"/>
  <c r="Q31" i="37"/>
  <c r="M32" i="37"/>
  <c r="L32" i="37"/>
  <c r="K32" i="37"/>
  <c r="I32" i="37"/>
  <c r="J32" i="37"/>
  <c r="F36" i="30"/>
  <c r="I36" i="30" s="1"/>
  <c r="C75" i="28"/>
  <c r="B76" i="28"/>
  <c r="D75" i="28"/>
  <c r="D443" i="7" s="1"/>
  <c r="P35" i="30"/>
  <c r="W33" i="30" s="1"/>
  <c r="O23" i="39"/>
  <c r="P23" i="39"/>
  <c r="B59" i="46"/>
  <c r="D58" i="46"/>
  <c r="E58" i="46"/>
  <c r="T58" i="46"/>
  <c r="AA58" i="46" s="1"/>
  <c r="B71" i="33"/>
  <c r="D70" i="33"/>
  <c r="C70" i="33"/>
  <c r="B76" i="30"/>
  <c r="D75" i="30"/>
  <c r="C76" i="30"/>
  <c r="C69" i="32"/>
  <c r="B70" i="32"/>
  <c r="D69" i="32"/>
  <c r="K68" i="40"/>
  <c r="C70" i="37"/>
  <c r="B70" i="37"/>
  <c r="D69" i="37"/>
  <c r="D69" i="40"/>
  <c r="E69" i="40"/>
  <c r="Z69" i="40" s="1"/>
  <c r="C70" i="40"/>
  <c r="B304" i="36"/>
  <c r="B91" i="39"/>
  <c r="E90" i="39"/>
  <c r="R90" i="39" s="1"/>
  <c r="C444" i="7"/>
  <c r="B445" i="7"/>
  <c r="K53" i="12"/>
  <c r="C60" i="13"/>
  <c r="C55" i="46"/>
  <c r="C60" i="39"/>
  <c r="C115" i="7"/>
  <c r="G23" i="46" l="1"/>
  <c r="P23" i="46" s="1"/>
  <c r="V23" i="13"/>
  <c r="Y23" i="13"/>
  <c r="F78" i="7"/>
  <c r="R78" i="7" s="1"/>
  <c r="AB23" i="13"/>
  <c r="N23" i="13"/>
  <c r="M78" i="7" s="1"/>
  <c r="K23" i="13"/>
  <c r="J78" i="7" s="1"/>
  <c r="L23" i="13"/>
  <c r="K78" i="7" s="1"/>
  <c r="V24" i="46"/>
  <c r="E118" i="7"/>
  <c r="O118" i="7"/>
  <c r="B119" i="7"/>
  <c r="B65" i="13"/>
  <c r="E64" i="13"/>
  <c r="I29" i="28"/>
  <c r="I397" i="7" s="1"/>
  <c r="Z29" i="28"/>
  <c r="AB29" i="28" s="1"/>
  <c r="AE29" i="28"/>
  <c r="AC29" i="28" s="1"/>
  <c r="AH29" i="28"/>
  <c r="AF29" i="28" s="1"/>
  <c r="X27" i="28"/>
  <c r="AF28" i="40"/>
  <c r="Q28" i="40"/>
  <c r="X26" i="40"/>
  <c r="AC28" i="40"/>
  <c r="I28" i="40" s="1"/>
  <c r="J28" i="40"/>
  <c r="I37" i="32"/>
  <c r="P37" i="32"/>
  <c r="W35" i="32" s="1"/>
  <c r="P30" i="33"/>
  <c r="W28" i="33" s="1"/>
  <c r="M30" i="33"/>
  <c r="K30" i="33"/>
  <c r="L30" i="33"/>
  <c r="I30" i="33"/>
  <c r="H30" i="33" s="1"/>
  <c r="Q29" i="33"/>
  <c r="AD37" i="32"/>
  <c r="AB37" i="32" s="1"/>
  <c r="Y37" i="32"/>
  <c r="AA37" i="32" s="1"/>
  <c r="AC38" i="32"/>
  <c r="M38" i="32"/>
  <c r="K38" i="32"/>
  <c r="H38" i="32"/>
  <c r="F39" i="32" s="1"/>
  <c r="Z38" i="32"/>
  <c r="L38" i="32"/>
  <c r="N38" i="32"/>
  <c r="J38" i="32"/>
  <c r="AF38" i="32"/>
  <c r="AG37" i="32"/>
  <c r="AE37" i="32" s="1"/>
  <c r="Q37" i="32"/>
  <c r="P32" i="37"/>
  <c r="W30" i="37" s="1"/>
  <c r="H32" i="37"/>
  <c r="Q32" i="37" s="1"/>
  <c r="K36" i="30"/>
  <c r="M36" i="30"/>
  <c r="N36" i="30"/>
  <c r="J36" i="30" s="1"/>
  <c r="H36" i="30" s="1"/>
  <c r="L36" i="30"/>
  <c r="D76" i="28"/>
  <c r="D444" i="7" s="1"/>
  <c r="B77" i="28"/>
  <c r="C76" i="28"/>
  <c r="B72" i="33"/>
  <c r="C71" i="33"/>
  <c r="D71" i="33"/>
  <c r="F24" i="39"/>
  <c r="Z24" i="39"/>
  <c r="E24" i="36"/>
  <c r="C25" i="36"/>
  <c r="D59" i="46"/>
  <c r="B60" i="46"/>
  <c r="E59" i="46"/>
  <c r="T59" i="46"/>
  <c r="AA59" i="46" s="1"/>
  <c r="D70" i="32"/>
  <c r="C70" i="32"/>
  <c r="B71" i="32"/>
  <c r="C77" i="30"/>
  <c r="D76" i="30"/>
  <c r="B77" i="30"/>
  <c r="E70" i="40"/>
  <c r="Z70" i="40" s="1"/>
  <c r="D70" i="40"/>
  <c r="C71" i="40"/>
  <c r="B92" i="39"/>
  <c r="E91" i="39"/>
  <c r="R91" i="39" s="1"/>
  <c r="B305" i="36"/>
  <c r="B71" i="37"/>
  <c r="C71" i="37"/>
  <c r="D70" i="37"/>
  <c r="K69" i="40"/>
  <c r="C445" i="7"/>
  <c r="B446" i="7"/>
  <c r="C61" i="13"/>
  <c r="K54" i="12"/>
  <c r="C56" i="46"/>
  <c r="C61" i="39"/>
  <c r="C116" i="7"/>
  <c r="Q23" i="46" l="1"/>
  <c r="F24" i="46" s="1"/>
  <c r="L24" i="46" s="1"/>
  <c r="H23" i="13"/>
  <c r="H78" i="7" s="1"/>
  <c r="U23" i="13"/>
  <c r="W23" i="13" s="1"/>
  <c r="AC23" i="13"/>
  <c r="AA23" i="13" s="1"/>
  <c r="Z23" i="13"/>
  <c r="X23" i="13" s="1"/>
  <c r="AB24" i="46"/>
  <c r="U25" i="46"/>
  <c r="E119" i="7"/>
  <c r="O119" i="7"/>
  <c r="B120" i="7"/>
  <c r="B66" i="13"/>
  <c r="E65" i="13"/>
  <c r="J29" i="28"/>
  <c r="H29" i="28" s="1"/>
  <c r="G29" i="40"/>
  <c r="R28" i="40"/>
  <c r="I38" i="32"/>
  <c r="P38" i="32"/>
  <c r="W36" i="32" s="1"/>
  <c r="Q38" i="32"/>
  <c r="AD38" i="32"/>
  <c r="AB38" i="32" s="1"/>
  <c r="Y38" i="32"/>
  <c r="AA38" i="32" s="1"/>
  <c r="K39" i="32"/>
  <c r="N39" i="32"/>
  <c r="AG39" i="32" s="1"/>
  <c r="Z39" i="32"/>
  <c r="L39" i="32"/>
  <c r="M39" i="32"/>
  <c r="H39" i="32"/>
  <c r="Q39" i="32" s="1"/>
  <c r="AC39" i="32"/>
  <c r="J39" i="32"/>
  <c r="AF39" i="32"/>
  <c r="AG38" i="32"/>
  <c r="AE38" i="32" s="1"/>
  <c r="Q30" i="33"/>
  <c r="F31" i="33"/>
  <c r="F33" i="37"/>
  <c r="K33" i="37" s="1"/>
  <c r="B78" i="28"/>
  <c r="C77" i="28"/>
  <c r="D77" i="28"/>
  <c r="D445" i="7" s="1"/>
  <c r="L24" i="39"/>
  <c r="S24" i="39"/>
  <c r="T24" i="39" s="1"/>
  <c r="V24" i="39"/>
  <c r="K24" i="39"/>
  <c r="Q24" i="39"/>
  <c r="J24" i="39"/>
  <c r="Y24" i="39"/>
  <c r="X24" i="39" s="1"/>
  <c r="D60" i="46"/>
  <c r="E60" i="46"/>
  <c r="B61" i="46"/>
  <c r="T60" i="46"/>
  <c r="AA60" i="46" s="1"/>
  <c r="B73" i="33"/>
  <c r="C72" i="33"/>
  <c r="D72" i="33"/>
  <c r="C78" i="30"/>
  <c r="D77" i="30"/>
  <c r="B78" i="30"/>
  <c r="B72" i="32"/>
  <c r="D71" i="32"/>
  <c r="C71" i="32"/>
  <c r="K70" i="40"/>
  <c r="B306" i="36"/>
  <c r="C72" i="37"/>
  <c r="B72" i="37"/>
  <c r="D71" i="37"/>
  <c r="E71" i="40"/>
  <c r="Z71" i="40" s="1"/>
  <c r="C72" i="40"/>
  <c r="D71" i="40"/>
  <c r="B93" i="39"/>
  <c r="E92" i="39"/>
  <c r="R92" i="39" s="1"/>
  <c r="C446" i="7"/>
  <c r="B447" i="7"/>
  <c r="Q36" i="30"/>
  <c r="P36" i="30"/>
  <c r="W34" i="30" s="1"/>
  <c r="F37" i="30"/>
  <c r="K55" i="12"/>
  <c r="C62" i="13"/>
  <c r="C117" i="7"/>
  <c r="C57" i="46"/>
  <c r="C62" i="39"/>
  <c r="I24" i="46" l="1"/>
  <c r="J24" i="46"/>
  <c r="K24" i="46"/>
  <c r="A24" i="46"/>
  <c r="M24" i="46" s="1"/>
  <c r="H24" i="46"/>
  <c r="J23" i="13"/>
  <c r="G23" i="13" s="1"/>
  <c r="G78" i="7" s="1"/>
  <c r="Q78" i="7" s="1"/>
  <c r="W25" i="46"/>
  <c r="X25" i="46"/>
  <c r="Y25" i="46"/>
  <c r="Z25" i="46"/>
  <c r="E120" i="7"/>
  <c r="O120" i="7"/>
  <c r="B121" i="7"/>
  <c r="E66" i="13"/>
  <c r="B67" i="13"/>
  <c r="J397" i="7"/>
  <c r="Q29" i="28"/>
  <c r="Q397" i="7" s="1"/>
  <c r="F30" i="28"/>
  <c r="R29" i="28"/>
  <c r="R397" i="7" s="1"/>
  <c r="H397" i="7"/>
  <c r="AH29" i="40"/>
  <c r="AA29" i="40"/>
  <c r="AB29" i="40" s="1"/>
  <c r="N29" i="40"/>
  <c r="M29" i="40"/>
  <c r="AD29" i="40"/>
  <c r="AG29" i="40"/>
  <c r="L29" i="40"/>
  <c r="I39" i="32"/>
  <c r="P39" i="32"/>
  <c r="W37" i="32" s="1"/>
  <c r="AE39" i="32"/>
  <c r="F40" i="32"/>
  <c r="AD39" i="32"/>
  <c r="AB39" i="32" s="1"/>
  <c r="Y39" i="32"/>
  <c r="AA39" i="32" s="1"/>
  <c r="M31" i="33"/>
  <c r="N31" i="33"/>
  <c r="J31" i="33" s="1"/>
  <c r="K31" i="33"/>
  <c r="I31" i="33"/>
  <c r="L31" i="33"/>
  <c r="P31" i="33"/>
  <c r="W29" i="33" s="1"/>
  <c r="L33" i="37"/>
  <c r="I33" i="37"/>
  <c r="M33" i="37"/>
  <c r="J33" i="37"/>
  <c r="D78" i="28"/>
  <c r="D446" i="7" s="1"/>
  <c r="B79" i="28"/>
  <c r="C78" i="28"/>
  <c r="C73" i="33"/>
  <c r="D73" i="33"/>
  <c r="B74" i="33"/>
  <c r="H24" i="39"/>
  <c r="U24" i="39"/>
  <c r="G24" i="39" s="1"/>
  <c r="D25" i="36" s="1"/>
  <c r="B62" i="46"/>
  <c r="E61" i="46"/>
  <c r="T61" i="46"/>
  <c r="AA61" i="46" s="1"/>
  <c r="D61" i="46"/>
  <c r="C72" i="32"/>
  <c r="B73" i="32"/>
  <c r="D72" i="32"/>
  <c r="D78" i="30"/>
  <c r="B79" i="30"/>
  <c r="C79" i="30"/>
  <c r="K71" i="40"/>
  <c r="B73" i="37"/>
  <c r="D72" i="37"/>
  <c r="C73" i="37"/>
  <c r="D72" i="40"/>
  <c r="C73" i="40"/>
  <c r="E72" i="40"/>
  <c r="Z72" i="40" s="1"/>
  <c r="B94" i="39"/>
  <c r="E93" i="39"/>
  <c r="R93" i="39" s="1"/>
  <c r="B307" i="36"/>
  <c r="C447" i="7"/>
  <c r="B448" i="7"/>
  <c r="M37" i="30"/>
  <c r="L37" i="30"/>
  <c r="I37" i="30"/>
  <c r="K37" i="30"/>
  <c r="N37" i="30"/>
  <c r="J37" i="30" s="1"/>
  <c r="C63" i="13"/>
  <c r="K56" i="12"/>
  <c r="C118" i="7"/>
  <c r="C58" i="46"/>
  <c r="C63" i="39"/>
  <c r="G24" i="46" l="1"/>
  <c r="Q24" i="46" s="1"/>
  <c r="F25" i="46" s="1"/>
  <c r="S23" i="13"/>
  <c r="F24" i="13"/>
  <c r="Y24" i="13" s="1"/>
  <c r="R23" i="13"/>
  <c r="V25" i="46"/>
  <c r="U26" i="46" s="1"/>
  <c r="E121" i="7"/>
  <c r="O121" i="7"/>
  <c r="B122" i="7"/>
  <c r="E67" i="13"/>
  <c r="B68" i="13"/>
  <c r="AG30" i="28"/>
  <c r="K30" i="28"/>
  <c r="K398" i="7" s="1"/>
  <c r="F398" i="7"/>
  <c r="S398" i="7" s="1"/>
  <c r="N30" i="28"/>
  <c r="N398" i="7" s="1"/>
  <c r="L30" i="28"/>
  <c r="L398" i="7" s="1"/>
  <c r="M30" i="28"/>
  <c r="M398" i="7" s="1"/>
  <c r="AD30" i="28"/>
  <c r="AA30" i="28"/>
  <c r="X27" i="40"/>
  <c r="Q29" i="40"/>
  <c r="AC29" i="40"/>
  <c r="I29" i="40" s="1"/>
  <c r="J29" i="40"/>
  <c r="AF29" i="40"/>
  <c r="I24" i="39"/>
  <c r="AC24" i="39" s="1"/>
  <c r="K40" i="32"/>
  <c r="L40" i="32"/>
  <c r="AF40" i="32"/>
  <c r="N40" i="32"/>
  <c r="M40" i="32"/>
  <c r="J40" i="32"/>
  <c r="AC40" i="32"/>
  <c r="H40" i="32"/>
  <c r="F41" i="32" s="1"/>
  <c r="Z40" i="32"/>
  <c r="H31" i="33"/>
  <c r="P33" i="37"/>
  <c r="W31" i="37" s="1"/>
  <c r="H33" i="37"/>
  <c r="F34" i="37" s="1"/>
  <c r="D79" i="28"/>
  <c r="D447" i="7" s="1"/>
  <c r="C79" i="28"/>
  <c r="B80" i="28"/>
  <c r="O24" i="39"/>
  <c r="P24" i="39"/>
  <c r="B75" i="33"/>
  <c r="C74" i="33"/>
  <c r="D74" i="33"/>
  <c r="E62" i="46"/>
  <c r="B63" i="46"/>
  <c r="D62" i="46"/>
  <c r="T62" i="46"/>
  <c r="AA62" i="46" s="1"/>
  <c r="B74" i="32"/>
  <c r="D73" i="32"/>
  <c r="C73" i="32"/>
  <c r="D79" i="30"/>
  <c r="C80" i="30"/>
  <c r="B80" i="30"/>
  <c r="K72" i="40"/>
  <c r="B308" i="36"/>
  <c r="B95" i="39"/>
  <c r="E94" i="39"/>
  <c r="R94" i="39" s="1"/>
  <c r="D73" i="40"/>
  <c r="E73" i="40"/>
  <c r="Z73" i="40" s="1"/>
  <c r="C74" i="40"/>
  <c r="C74" i="37"/>
  <c r="B74" i="37"/>
  <c r="D73" i="37"/>
  <c r="C448" i="7"/>
  <c r="B449" i="7"/>
  <c r="H37" i="30"/>
  <c r="K57" i="12"/>
  <c r="C64" i="13"/>
  <c r="C59" i="46"/>
  <c r="C64" i="39"/>
  <c r="C119" i="7"/>
  <c r="P24" i="46" l="1"/>
  <c r="A25" i="46"/>
  <c r="M25" i="46" s="1"/>
  <c r="H25" i="46"/>
  <c r="J25" i="46"/>
  <c r="L25" i="46"/>
  <c r="K25" i="46"/>
  <c r="I25" i="46"/>
  <c r="N24" i="13"/>
  <c r="M79" i="7" s="1"/>
  <c r="V24" i="13"/>
  <c r="L24" i="13"/>
  <c r="K79" i="7" s="1"/>
  <c r="M24" i="13"/>
  <c r="L79" i="7" s="1"/>
  <c r="AB24" i="13"/>
  <c r="H24" i="13" s="1"/>
  <c r="H79" i="7" s="1"/>
  <c r="F79" i="7"/>
  <c r="R79" i="7" s="1"/>
  <c r="K24" i="13"/>
  <c r="J79" i="7" s="1"/>
  <c r="AB25" i="46"/>
  <c r="X26" i="46"/>
  <c r="Z26" i="46"/>
  <c r="Y26" i="46"/>
  <c r="W26" i="46"/>
  <c r="I24" i="13"/>
  <c r="I79" i="7" s="1"/>
  <c r="E122" i="7"/>
  <c r="O122" i="7"/>
  <c r="B123" i="7"/>
  <c r="B69" i="13"/>
  <c r="E68" i="13"/>
  <c r="I30" i="28"/>
  <c r="I398" i="7" s="1"/>
  <c r="Z30" i="28"/>
  <c r="AB30" i="28" s="1"/>
  <c r="AE30" i="28"/>
  <c r="AC30" i="28" s="1"/>
  <c r="AH30" i="28"/>
  <c r="AF30" i="28" s="1"/>
  <c r="X28" i="28"/>
  <c r="R29" i="40"/>
  <c r="G30" i="40"/>
  <c r="I40" i="32"/>
  <c r="P40" i="32"/>
  <c r="W38" i="32" s="1"/>
  <c r="H41" i="32"/>
  <c r="F42" i="32" s="1"/>
  <c r="K41" i="32"/>
  <c r="AF41" i="32"/>
  <c r="J41" i="32"/>
  <c r="Z41" i="32"/>
  <c r="AC41" i="32"/>
  <c r="M41" i="32"/>
  <c r="N41" i="32"/>
  <c r="L41" i="32"/>
  <c r="AG40" i="32"/>
  <c r="AE40" i="32" s="1"/>
  <c r="AD40" i="32"/>
  <c r="AB40" i="32" s="1"/>
  <c r="Y40" i="32"/>
  <c r="AA40" i="32" s="1"/>
  <c r="Q40" i="32"/>
  <c r="Q31" i="33"/>
  <c r="F32" i="33"/>
  <c r="Q33" i="37"/>
  <c r="L34" i="37"/>
  <c r="K34" i="37"/>
  <c r="J34" i="37"/>
  <c r="M34" i="37"/>
  <c r="I34" i="37"/>
  <c r="D80" i="28"/>
  <c r="D448" i="7" s="1"/>
  <c r="C80" i="28"/>
  <c r="B81" i="28"/>
  <c r="F25" i="39"/>
  <c r="Z25" i="39"/>
  <c r="E63" i="46"/>
  <c r="B64" i="46"/>
  <c r="T63" i="46"/>
  <c r="AA63" i="46" s="1"/>
  <c r="D63" i="46"/>
  <c r="C26" i="36"/>
  <c r="E25" i="36"/>
  <c r="D75" i="33"/>
  <c r="B76" i="33"/>
  <c r="C75" i="33"/>
  <c r="B81" i="30"/>
  <c r="C81" i="30"/>
  <c r="D80" i="30"/>
  <c r="D74" i="32"/>
  <c r="C74" i="32"/>
  <c r="B75" i="32"/>
  <c r="K73" i="40"/>
  <c r="E74" i="40"/>
  <c r="Z74" i="40" s="1"/>
  <c r="D74" i="40"/>
  <c r="C75" i="40"/>
  <c r="B96" i="39"/>
  <c r="E95" i="39"/>
  <c r="R95" i="39" s="1"/>
  <c r="B75" i="37"/>
  <c r="C75" i="37"/>
  <c r="D74" i="37"/>
  <c r="B309" i="36"/>
  <c r="C449" i="7"/>
  <c r="B450" i="7"/>
  <c r="P37" i="30"/>
  <c r="W35" i="30" s="1"/>
  <c r="F38" i="30"/>
  <c r="Q37" i="30"/>
  <c r="C65" i="13"/>
  <c r="K58" i="12"/>
  <c r="C60" i="46"/>
  <c r="C65" i="39"/>
  <c r="C120" i="7"/>
  <c r="G25" i="46" l="1"/>
  <c r="Q25" i="46" s="1"/>
  <c r="F26" i="46" s="1"/>
  <c r="U24" i="13"/>
  <c r="W24" i="13" s="1"/>
  <c r="AC24" i="13"/>
  <c r="AA24" i="13" s="1"/>
  <c r="Z24" i="13"/>
  <c r="X24" i="13" s="1"/>
  <c r="E15" i="10"/>
  <c r="V26" i="46"/>
  <c r="E123" i="7"/>
  <c r="O123" i="7"/>
  <c r="B124" i="7"/>
  <c r="E69" i="13"/>
  <c r="B70" i="13"/>
  <c r="J30" i="28"/>
  <c r="H30" i="28" s="1"/>
  <c r="L30" i="40"/>
  <c r="AD30" i="40"/>
  <c r="AG30" i="40"/>
  <c r="N30" i="40"/>
  <c r="AA30" i="40"/>
  <c r="AB30" i="40" s="1"/>
  <c r="M30" i="40"/>
  <c r="AH30" i="40"/>
  <c r="I41" i="32"/>
  <c r="P41" i="32"/>
  <c r="W39" i="32" s="1"/>
  <c r="Y41" i="32"/>
  <c r="AA41" i="32" s="1"/>
  <c r="AD41" i="32"/>
  <c r="AB41" i="32" s="1"/>
  <c r="Z42" i="32"/>
  <c r="AC42" i="32"/>
  <c r="AF42" i="32"/>
  <c r="J42" i="32"/>
  <c r="K42" i="32"/>
  <c r="H42" i="32"/>
  <c r="Q42" i="32" s="1"/>
  <c r="L42" i="32"/>
  <c r="M42" i="32"/>
  <c r="N42" i="32"/>
  <c r="AG42" i="32" s="1"/>
  <c r="AG41" i="32"/>
  <c r="AE41" i="32" s="1"/>
  <c r="Q41" i="32"/>
  <c r="L32" i="33"/>
  <c r="N32" i="33"/>
  <c r="J32" i="33" s="1"/>
  <c r="P32" i="33"/>
  <c r="W30" i="33" s="1"/>
  <c r="I32" i="33"/>
  <c r="M32" i="33"/>
  <c r="K32" i="33"/>
  <c r="P34" i="37"/>
  <c r="W32" i="37" s="1"/>
  <c r="H34" i="37"/>
  <c r="D81" i="28"/>
  <c r="D449" i="7" s="1"/>
  <c r="B82" i="28"/>
  <c r="C81" i="28"/>
  <c r="B77" i="33"/>
  <c r="C76" i="33"/>
  <c r="D76" i="33"/>
  <c r="T64" i="46"/>
  <c r="AA64" i="46" s="1"/>
  <c r="D64" i="46"/>
  <c r="B65" i="46"/>
  <c r="E64" i="46"/>
  <c r="L25" i="39"/>
  <c r="V25" i="39"/>
  <c r="K25" i="39"/>
  <c r="Q25" i="39"/>
  <c r="J25" i="39"/>
  <c r="S25" i="39"/>
  <c r="T25" i="39" s="1"/>
  <c r="Y25" i="39"/>
  <c r="X25" i="39" s="1"/>
  <c r="B82" i="30"/>
  <c r="C82" i="30"/>
  <c r="D81" i="30"/>
  <c r="B76" i="32"/>
  <c r="C75" i="32"/>
  <c r="D75" i="32"/>
  <c r="B97" i="39"/>
  <c r="E96" i="39"/>
  <c r="R96" i="39" s="1"/>
  <c r="K74" i="40"/>
  <c r="D75" i="37"/>
  <c r="B76" i="37"/>
  <c r="C76" i="37"/>
  <c r="B310" i="36"/>
  <c r="E75" i="40"/>
  <c r="Z75" i="40" s="1"/>
  <c r="C76" i="40"/>
  <c r="D75" i="40"/>
  <c r="C450" i="7"/>
  <c r="B451" i="7"/>
  <c r="K38" i="30"/>
  <c r="I38" i="30"/>
  <c r="L38" i="30"/>
  <c r="N38" i="30"/>
  <c r="J38" i="30" s="1"/>
  <c r="M38" i="30"/>
  <c r="C66" i="13"/>
  <c r="K59" i="12"/>
  <c r="C121" i="7"/>
  <c r="C61" i="46"/>
  <c r="C66" i="39"/>
  <c r="P25" i="46" l="1"/>
  <c r="H26" i="46"/>
  <c r="I26" i="46"/>
  <c r="A26" i="46"/>
  <c r="M26" i="46" s="1"/>
  <c r="K26" i="46"/>
  <c r="L26" i="46"/>
  <c r="J26" i="46"/>
  <c r="J24" i="13"/>
  <c r="G24" i="13" s="1"/>
  <c r="G79" i="7" s="1"/>
  <c r="Q79" i="7" s="1"/>
  <c r="AB26" i="46"/>
  <c r="U27" i="46"/>
  <c r="E124" i="7"/>
  <c r="O124" i="7"/>
  <c r="B125" i="7"/>
  <c r="E70" i="13"/>
  <c r="B71" i="13"/>
  <c r="J398" i="7"/>
  <c r="F31" i="28"/>
  <c r="R30" i="28"/>
  <c r="R398" i="7" s="1"/>
  <c r="Q30" i="28"/>
  <c r="Q398" i="7" s="1"/>
  <c r="H398" i="7"/>
  <c r="AF30" i="40"/>
  <c r="J30" i="40"/>
  <c r="AC30" i="40"/>
  <c r="I30" i="40" s="1"/>
  <c r="X28" i="40"/>
  <c r="Q30" i="40"/>
  <c r="I42" i="32"/>
  <c r="P42" i="32"/>
  <c r="W40" i="32" s="1"/>
  <c r="H32" i="33"/>
  <c r="F33" i="33" s="1"/>
  <c r="N33" i="33" s="1"/>
  <c r="J33" i="33" s="1"/>
  <c r="AE42" i="32"/>
  <c r="F43" i="32"/>
  <c r="AD42" i="32"/>
  <c r="AB42" i="32" s="1"/>
  <c r="Y42" i="32"/>
  <c r="AA42" i="32" s="1"/>
  <c r="F35" i="37"/>
  <c r="Q34" i="37"/>
  <c r="C82" i="28"/>
  <c r="B83" i="28"/>
  <c r="D82" i="28"/>
  <c r="D450" i="7" s="1"/>
  <c r="D65" i="46"/>
  <c r="E65" i="46"/>
  <c r="B66" i="46"/>
  <c r="T65" i="46"/>
  <c r="AA65" i="46" s="1"/>
  <c r="U25" i="39"/>
  <c r="G25" i="39" s="1"/>
  <c r="D26" i="36" s="1"/>
  <c r="H25" i="39"/>
  <c r="D77" i="33"/>
  <c r="B78" i="33"/>
  <c r="C77" i="33"/>
  <c r="B77" i="32"/>
  <c r="D76" i="32"/>
  <c r="C76" i="32"/>
  <c r="C83" i="30"/>
  <c r="B83" i="30"/>
  <c r="D82" i="30"/>
  <c r="D76" i="37"/>
  <c r="C77" i="37"/>
  <c r="B77" i="37"/>
  <c r="K75" i="40"/>
  <c r="D76" i="40"/>
  <c r="C77" i="40"/>
  <c r="E76" i="40"/>
  <c r="Z76" i="40" s="1"/>
  <c r="B311" i="36"/>
  <c r="B98" i="39"/>
  <c r="E97" i="39"/>
  <c r="R97" i="39" s="1"/>
  <c r="H38" i="30"/>
  <c r="F39" i="30" s="1"/>
  <c r="L39" i="30" s="1"/>
  <c r="B452" i="7"/>
  <c r="C451" i="7"/>
  <c r="C67" i="13"/>
  <c r="K60" i="12"/>
  <c r="C122" i="7"/>
  <c r="C62" i="46"/>
  <c r="C67" i="39"/>
  <c r="G26" i="46" l="1"/>
  <c r="P26" i="46" s="1"/>
  <c r="R24" i="13"/>
  <c r="S24" i="13"/>
  <c r="P79" i="7"/>
  <c r="F25" i="13"/>
  <c r="V25" i="13" s="1"/>
  <c r="X27" i="46"/>
  <c r="Y27" i="46"/>
  <c r="W27" i="46"/>
  <c r="Z27" i="46"/>
  <c r="I25" i="13"/>
  <c r="I80" i="7" s="1"/>
  <c r="O125" i="7"/>
  <c r="E125" i="7"/>
  <c r="B126" i="7"/>
  <c r="E71" i="13"/>
  <c r="B72" i="13"/>
  <c r="AD31" i="28"/>
  <c r="L31" i="28"/>
  <c r="L399" i="7" s="1"/>
  <c r="AG31" i="28"/>
  <c r="K31" i="28"/>
  <c r="K399" i="7" s="1"/>
  <c r="N31" i="28"/>
  <c r="N399" i="7" s="1"/>
  <c r="M31" i="28"/>
  <c r="M399" i="7" s="1"/>
  <c r="AA31" i="28"/>
  <c r="F399" i="7"/>
  <c r="S399" i="7" s="1"/>
  <c r="G31" i="40"/>
  <c r="R30" i="40"/>
  <c r="I25" i="39"/>
  <c r="AC25" i="39" s="1"/>
  <c r="I33" i="33"/>
  <c r="H33" i="33" s="1"/>
  <c r="F34" i="33" s="1"/>
  <c r="N34" i="33" s="1"/>
  <c r="J34" i="33" s="1"/>
  <c r="P33" i="33"/>
  <c r="W31" i="33" s="1"/>
  <c r="M33" i="33"/>
  <c r="L33" i="33"/>
  <c r="K33" i="33"/>
  <c r="Q32" i="33"/>
  <c r="M43" i="32"/>
  <c r="N43" i="32"/>
  <c r="AG43" i="32" s="1"/>
  <c r="AF43" i="32"/>
  <c r="K43" i="32"/>
  <c r="Z43" i="32"/>
  <c r="H43" i="32"/>
  <c r="F44" i="32" s="1"/>
  <c r="J43" i="32"/>
  <c r="AC43" i="32"/>
  <c r="L43" i="32"/>
  <c r="K35" i="37"/>
  <c r="L35" i="37"/>
  <c r="M35" i="37"/>
  <c r="I35" i="37"/>
  <c r="J35" i="37"/>
  <c r="C83" i="28"/>
  <c r="B84" i="28"/>
  <c r="D83" i="28"/>
  <c r="D451" i="7" s="1"/>
  <c r="D78" i="33"/>
  <c r="B79" i="33"/>
  <c r="C78" i="33"/>
  <c r="O25" i="39"/>
  <c r="P25" i="39"/>
  <c r="B67" i="46"/>
  <c r="T66" i="46"/>
  <c r="AA66" i="46" s="1"/>
  <c r="E66" i="46"/>
  <c r="D66" i="46"/>
  <c r="D83" i="30"/>
  <c r="B84" i="30"/>
  <c r="C84" i="30"/>
  <c r="D77" i="32"/>
  <c r="C77" i="32"/>
  <c r="B78" i="32"/>
  <c r="K76" i="40"/>
  <c r="D77" i="40"/>
  <c r="E77" i="40"/>
  <c r="Z77" i="40" s="1"/>
  <c r="C78" i="40"/>
  <c r="C78" i="37"/>
  <c r="B78" i="37"/>
  <c r="D77" i="37"/>
  <c r="B99" i="39"/>
  <c r="E98" i="39"/>
  <c r="R98" i="39" s="1"/>
  <c r="B312" i="36"/>
  <c r="K39" i="30"/>
  <c r="M39" i="30"/>
  <c r="N39" i="30"/>
  <c r="J39" i="30" s="1"/>
  <c r="Q38" i="30"/>
  <c r="P38" i="30"/>
  <c r="W36" i="30" s="1"/>
  <c r="I39" i="30"/>
  <c r="B453" i="7"/>
  <c r="C452" i="7"/>
  <c r="C68" i="13"/>
  <c r="K61" i="12"/>
  <c r="C63" i="46"/>
  <c r="C68" i="39"/>
  <c r="C123" i="7"/>
  <c r="Q26" i="46" l="1"/>
  <c r="F27" i="46" s="1"/>
  <c r="L27" i="46" s="1"/>
  <c r="M25" i="13"/>
  <c r="L80" i="7" s="1"/>
  <c r="K25" i="13"/>
  <c r="J80" i="7" s="1"/>
  <c r="L25" i="13"/>
  <c r="K80" i="7" s="1"/>
  <c r="Y25" i="13"/>
  <c r="AB25" i="13"/>
  <c r="F80" i="7"/>
  <c r="R80" i="7" s="1"/>
  <c r="N25" i="13"/>
  <c r="Z25" i="13" s="1"/>
  <c r="V27" i="46"/>
  <c r="O126" i="7"/>
  <c r="E126" i="7"/>
  <c r="B127" i="7"/>
  <c r="B73" i="13"/>
  <c r="E72" i="13"/>
  <c r="I31" i="28"/>
  <c r="I399" i="7" s="1"/>
  <c r="AH31" i="28"/>
  <c r="AF31" i="28" s="1"/>
  <c r="AE31" i="28"/>
  <c r="AC31" i="28" s="1"/>
  <c r="Z31" i="28"/>
  <c r="AB31" i="28" s="1"/>
  <c r="X29" i="28"/>
  <c r="L31" i="40"/>
  <c r="N31" i="40"/>
  <c r="M31" i="40"/>
  <c r="AA31" i="40"/>
  <c r="AB31" i="40" s="1"/>
  <c r="AG31" i="40"/>
  <c r="AD31" i="40"/>
  <c r="AH31" i="40"/>
  <c r="I43" i="32"/>
  <c r="P43" i="32"/>
  <c r="W41" i="32" s="1"/>
  <c r="Q33" i="33"/>
  <c r="I34" i="33"/>
  <c r="H34" i="33" s="1"/>
  <c r="P34" i="33"/>
  <c r="W32" i="33" s="1"/>
  <c r="L34" i="33"/>
  <c r="M34" i="33"/>
  <c r="K34" i="33"/>
  <c r="AE43" i="32"/>
  <c r="Z44" i="32"/>
  <c r="J44" i="32"/>
  <c r="AF44" i="32"/>
  <c r="M44" i="32"/>
  <c r="H44" i="32"/>
  <c r="Q44" i="32" s="1"/>
  <c r="L44" i="32"/>
  <c r="AC44" i="32"/>
  <c r="K44" i="32"/>
  <c r="N44" i="32"/>
  <c r="Q43" i="32"/>
  <c r="AD43" i="32"/>
  <c r="AB43" i="32" s="1"/>
  <c r="Y43" i="32"/>
  <c r="AA43" i="32" s="1"/>
  <c r="H35" i="37"/>
  <c r="F36" i="37" s="1"/>
  <c r="L36" i="37" s="1"/>
  <c r="P35" i="37"/>
  <c r="W33" i="37" s="1"/>
  <c r="B85" i="28"/>
  <c r="C84" i="28"/>
  <c r="D84" i="28"/>
  <c r="D452" i="7" s="1"/>
  <c r="E67" i="46"/>
  <c r="T67" i="46"/>
  <c r="AA67" i="46" s="1"/>
  <c r="D67" i="46"/>
  <c r="B68" i="46"/>
  <c r="F26" i="39"/>
  <c r="Z26" i="39"/>
  <c r="E26" i="36"/>
  <c r="C27" i="36"/>
  <c r="D79" i="33"/>
  <c r="C79" i="33"/>
  <c r="B80" i="33"/>
  <c r="B79" i="32"/>
  <c r="D78" i="32"/>
  <c r="C78" i="32"/>
  <c r="B85" i="30"/>
  <c r="C85" i="30"/>
  <c r="D84" i="30"/>
  <c r="H39" i="30"/>
  <c r="Q39" i="30" s="1"/>
  <c r="K77" i="40"/>
  <c r="E78" i="40"/>
  <c r="Z78" i="40" s="1"/>
  <c r="D78" i="40"/>
  <c r="C79" i="40"/>
  <c r="B100" i="39"/>
  <c r="E99" i="39"/>
  <c r="R99" i="39" s="1"/>
  <c r="B79" i="37"/>
  <c r="D78" i="37"/>
  <c r="C79" i="37"/>
  <c r="C453" i="7"/>
  <c r="B454" i="7"/>
  <c r="C69" i="13"/>
  <c r="K62" i="12"/>
  <c r="C64" i="46"/>
  <c r="C69" i="39"/>
  <c r="C124" i="7"/>
  <c r="H25" i="13" l="1"/>
  <c r="H80" i="7" s="1"/>
  <c r="A27" i="46"/>
  <c r="M27" i="46" s="1"/>
  <c r="K27" i="46"/>
  <c r="I27" i="46"/>
  <c r="H27" i="46"/>
  <c r="J27" i="46"/>
  <c r="X25" i="13"/>
  <c r="AC25" i="13"/>
  <c r="J25" i="13" s="1"/>
  <c r="U25" i="13"/>
  <c r="W25" i="13" s="1"/>
  <c r="M80" i="7"/>
  <c r="AB27" i="46"/>
  <c r="U28" i="46"/>
  <c r="O127" i="7"/>
  <c r="E127" i="7"/>
  <c r="B128" i="7"/>
  <c r="B74" i="13"/>
  <c r="E73" i="13"/>
  <c r="J31" i="28"/>
  <c r="H31" i="28" s="1"/>
  <c r="AF31" i="40"/>
  <c r="AC31" i="40"/>
  <c r="I31" i="40" s="1"/>
  <c r="J31" i="40"/>
  <c r="Q31" i="40"/>
  <c r="X29" i="40"/>
  <c r="I44" i="32"/>
  <c r="P44" i="32"/>
  <c r="W42" i="32" s="1"/>
  <c r="F45" i="32"/>
  <c r="AG44" i="32"/>
  <c r="AE44" i="32" s="1"/>
  <c r="AD44" i="32"/>
  <c r="AB44" i="32" s="1"/>
  <c r="Y44" i="32"/>
  <c r="AA44" i="32" s="1"/>
  <c r="F35" i="33"/>
  <c r="Q34" i="33"/>
  <c r="J36" i="37"/>
  <c r="I36" i="37"/>
  <c r="K36" i="37"/>
  <c r="M36" i="37"/>
  <c r="Q35" i="37"/>
  <c r="B86" i="28"/>
  <c r="C85" i="28"/>
  <c r="D85" i="28"/>
  <c r="D453" i="7" s="1"/>
  <c r="D80" i="33"/>
  <c r="B81" i="33"/>
  <c r="C80" i="33"/>
  <c r="Q26" i="39"/>
  <c r="V26" i="39"/>
  <c r="J26" i="39"/>
  <c r="K26" i="39"/>
  <c r="S26" i="39"/>
  <c r="T26" i="39" s="1"/>
  <c r="Y26" i="39"/>
  <c r="X26" i="39" s="1"/>
  <c r="L26" i="39"/>
  <c r="B69" i="46"/>
  <c r="T68" i="46"/>
  <c r="AA68" i="46" s="1"/>
  <c r="E68" i="46"/>
  <c r="D68" i="46"/>
  <c r="F40" i="30"/>
  <c r="N40" i="30" s="1"/>
  <c r="J40" i="30" s="1"/>
  <c r="P39" i="30"/>
  <c r="W37" i="30" s="1"/>
  <c r="D85" i="30"/>
  <c r="B86" i="30"/>
  <c r="C86" i="30"/>
  <c r="C79" i="32"/>
  <c r="D79" i="32"/>
  <c r="B80" i="32"/>
  <c r="B101" i="39"/>
  <c r="E100" i="39"/>
  <c r="R100" i="39" s="1"/>
  <c r="D79" i="37"/>
  <c r="B80" i="37"/>
  <c r="C80" i="37"/>
  <c r="K78" i="40"/>
  <c r="E79" i="40"/>
  <c r="Z79" i="40" s="1"/>
  <c r="D79" i="40"/>
  <c r="C80" i="40"/>
  <c r="C454" i="7"/>
  <c r="B455" i="7"/>
  <c r="K63" i="12"/>
  <c r="C70" i="13"/>
  <c r="C125" i="7"/>
  <c r="C70" i="39"/>
  <c r="C65" i="46"/>
  <c r="G27" i="46" l="1"/>
  <c r="Q27" i="46" s="1"/>
  <c r="F28" i="46" s="1"/>
  <c r="AA25" i="13"/>
  <c r="G25" i="13" s="1"/>
  <c r="Z28" i="46"/>
  <c r="W28" i="46"/>
  <c r="X28" i="46"/>
  <c r="Y28" i="46"/>
  <c r="O128" i="7"/>
  <c r="E128" i="7"/>
  <c r="B129" i="7"/>
  <c r="E74" i="13"/>
  <c r="B75" i="13"/>
  <c r="J399" i="7"/>
  <c r="R31" i="28"/>
  <c r="R399" i="7" s="1"/>
  <c r="Q31" i="28"/>
  <c r="Q399" i="7" s="1"/>
  <c r="F32" i="28"/>
  <c r="H399" i="7"/>
  <c r="R31" i="40"/>
  <c r="G32" i="40"/>
  <c r="M45" i="32"/>
  <c r="AF45" i="32"/>
  <c r="H45" i="32"/>
  <c r="Q45" i="32" s="1"/>
  <c r="Z45" i="32"/>
  <c r="N45" i="32"/>
  <c r="AG45" i="32" s="1"/>
  <c r="AC45" i="32"/>
  <c r="L45" i="32"/>
  <c r="J45" i="32"/>
  <c r="K45" i="32"/>
  <c r="M35" i="33"/>
  <c r="N35" i="33"/>
  <c r="J35" i="33" s="1"/>
  <c r="K35" i="33"/>
  <c r="L35" i="33"/>
  <c r="P35" i="33"/>
  <c r="W33" i="33" s="1"/>
  <c r="I35" i="33"/>
  <c r="H36" i="37"/>
  <c r="Q36" i="37" s="1"/>
  <c r="P36" i="37"/>
  <c r="W34" i="37" s="1"/>
  <c r="C86" i="28"/>
  <c r="D86" i="28"/>
  <c r="D454" i="7" s="1"/>
  <c r="B87" i="28"/>
  <c r="I40" i="30"/>
  <c r="H40" i="30" s="1"/>
  <c r="F41" i="30" s="1"/>
  <c r="K41" i="30" s="1"/>
  <c r="U26" i="39"/>
  <c r="G26" i="39" s="1"/>
  <c r="D27" i="36" s="1"/>
  <c r="H26" i="39"/>
  <c r="D69" i="46"/>
  <c r="E69" i="46"/>
  <c r="T69" i="46"/>
  <c r="AA69" i="46" s="1"/>
  <c r="B70" i="46"/>
  <c r="C81" i="33"/>
  <c r="B82" i="33"/>
  <c r="D81" i="33"/>
  <c r="K40" i="30"/>
  <c r="M40" i="30"/>
  <c r="L40" i="30"/>
  <c r="B81" i="32"/>
  <c r="C80" i="32"/>
  <c r="D80" i="32"/>
  <c r="B87" i="30"/>
  <c r="C87" i="30"/>
  <c r="D86" i="30"/>
  <c r="C81" i="40"/>
  <c r="D80" i="40"/>
  <c r="E80" i="40"/>
  <c r="Z80" i="40" s="1"/>
  <c r="B102" i="39"/>
  <c r="E101" i="39"/>
  <c r="R101" i="39" s="1"/>
  <c r="D80" i="37"/>
  <c r="B81" i="37"/>
  <c r="C81" i="37"/>
  <c r="K79" i="40"/>
  <c r="C455" i="7"/>
  <c r="B456" i="7"/>
  <c r="C71" i="13"/>
  <c r="K64" i="12"/>
  <c r="C126" i="7"/>
  <c r="C66" i="46"/>
  <c r="C71" i="39"/>
  <c r="A28" i="46" l="1"/>
  <c r="M28" i="46" s="1"/>
  <c r="L28" i="46"/>
  <c r="K28" i="46"/>
  <c r="H28" i="46"/>
  <c r="J28" i="46"/>
  <c r="P27" i="46"/>
  <c r="I28" i="46"/>
  <c r="F26" i="13"/>
  <c r="V26" i="13" s="1"/>
  <c r="G80" i="7"/>
  <c r="Q80" i="7" s="1"/>
  <c r="S25" i="13"/>
  <c r="R25" i="13"/>
  <c r="V28" i="46"/>
  <c r="AB28" i="46" s="1"/>
  <c r="I26" i="13"/>
  <c r="I81" i="7" s="1"/>
  <c r="O129" i="7"/>
  <c r="E129" i="7"/>
  <c r="B130" i="7"/>
  <c r="B76" i="13"/>
  <c r="E75" i="13"/>
  <c r="K32" i="28"/>
  <c r="K400" i="7" s="1"/>
  <c r="AG32" i="28"/>
  <c r="AA32" i="28"/>
  <c r="AD32" i="28"/>
  <c r="M32" i="28"/>
  <c r="M400" i="7" s="1"/>
  <c r="N32" i="28"/>
  <c r="N400" i="7" s="1"/>
  <c r="F400" i="7"/>
  <c r="S400" i="7" s="1"/>
  <c r="L32" i="28"/>
  <c r="L400" i="7" s="1"/>
  <c r="AA32" i="40"/>
  <c r="AB32" i="40" s="1"/>
  <c r="AD32" i="40"/>
  <c r="L32" i="40"/>
  <c r="N32" i="40"/>
  <c r="M32" i="40"/>
  <c r="AH32" i="40"/>
  <c r="AG32" i="40"/>
  <c r="I45" i="32"/>
  <c r="I26" i="39"/>
  <c r="AC26" i="39" s="1"/>
  <c r="P45" i="32"/>
  <c r="W43" i="32" s="1"/>
  <c r="AE45" i="32"/>
  <c r="F46" i="32"/>
  <c r="K46" i="32" s="1"/>
  <c r="AD45" i="32"/>
  <c r="AB45" i="32" s="1"/>
  <c r="Y45" i="32"/>
  <c r="AA45" i="32" s="1"/>
  <c r="H35" i="33"/>
  <c r="F37" i="37"/>
  <c r="I37" i="37" s="1"/>
  <c r="D87" i="28"/>
  <c r="D455" i="7" s="1"/>
  <c r="C87" i="28"/>
  <c r="B88" i="28"/>
  <c r="Q40" i="30"/>
  <c r="B83" i="33"/>
  <c r="C82" i="33"/>
  <c r="D82" i="33"/>
  <c r="O26" i="39"/>
  <c r="P26" i="39"/>
  <c r="E70" i="46"/>
  <c r="D70" i="46"/>
  <c r="B71" i="46"/>
  <c r="T70" i="46"/>
  <c r="AA70" i="46" s="1"/>
  <c r="P40" i="30"/>
  <c r="W38" i="30" s="1"/>
  <c r="K80" i="40"/>
  <c r="B88" i="30"/>
  <c r="C88" i="30"/>
  <c r="D87" i="30"/>
  <c r="B82" i="32"/>
  <c r="C81" i="32"/>
  <c r="D81" i="32"/>
  <c r="M41" i="30"/>
  <c r="L41" i="30"/>
  <c r="I41" i="30"/>
  <c r="N41" i="30"/>
  <c r="J41" i="30" s="1"/>
  <c r="B103" i="39"/>
  <c r="E102" i="39"/>
  <c r="R102" i="39" s="1"/>
  <c r="E81" i="40"/>
  <c r="Z81" i="40" s="1"/>
  <c r="C82" i="40"/>
  <c r="D81" i="40"/>
  <c r="C82" i="37"/>
  <c r="B82" i="37"/>
  <c r="D81" i="37"/>
  <c r="C456" i="7"/>
  <c r="B457" i="7"/>
  <c r="C72" i="13"/>
  <c r="K65" i="12"/>
  <c r="C127" i="7"/>
  <c r="C67" i="46"/>
  <c r="C72" i="39"/>
  <c r="G28" i="46" l="1"/>
  <c r="Q28" i="46" s="1"/>
  <c r="F29" i="46" s="1"/>
  <c r="L26" i="13"/>
  <c r="K81" i="7" s="1"/>
  <c r="K26" i="13"/>
  <c r="J81" i="7" s="1"/>
  <c r="M26" i="13"/>
  <c r="L81" i="7" s="1"/>
  <c r="N26" i="13"/>
  <c r="M81" i="7" s="1"/>
  <c r="Y26" i="13"/>
  <c r="AB26" i="13"/>
  <c r="H26" i="13" s="1"/>
  <c r="H81" i="7" s="1"/>
  <c r="F81" i="7"/>
  <c r="R81" i="7" s="1"/>
  <c r="U29" i="46"/>
  <c r="W29" i="46" s="1"/>
  <c r="O130" i="7"/>
  <c r="E130" i="7"/>
  <c r="B131" i="7"/>
  <c r="B77" i="13"/>
  <c r="E76" i="13"/>
  <c r="I32" i="28"/>
  <c r="I400" i="7" s="1"/>
  <c r="Z32" i="28"/>
  <c r="AB32" i="28" s="1"/>
  <c r="X30" i="28"/>
  <c r="AH32" i="28"/>
  <c r="AE32" i="28"/>
  <c r="AC32" i="28" s="1"/>
  <c r="AF32" i="40"/>
  <c r="X30" i="40"/>
  <c r="Q32" i="40"/>
  <c r="J32" i="40"/>
  <c r="AC32" i="40"/>
  <c r="I32" i="40" s="1"/>
  <c r="Z46" i="32"/>
  <c r="L46" i="32"/>
  <c r="AC46" i="32"/>
  <c r="AF46" i="32"/>
  <c r="J46" i="32"/>
  <c r="H46" i="32"/>
  <c r="Q46" i="32" s="1"/>
  <c r="M46" i="32"/>
  <c r="N46" i="32"/>
  <c r="Y46" i="32" s="1"/>
  <c r="Q35" i="33"/>
  <c r="F36" i="33"/>
  <c r="J37" i="37"/>
  <c r="H37" i="37" s="1"/>
  <c r="M37" i="37"/>
  <c r="L37" i="37"/>
  <c r="K37" i="37"/>
  <c r="C88" i="28"/>
  <c r="B89" i="28"/>
  <c r="D88" i="28"/>
  <c r="D456" i="7" s="1"/>
  <c r="D71" i="46"/>
  <c r="T71" i="46"/>
  <c r="AA71" i="46" s="1"/>
  <c r="E71" i="46"/>
  <c r="B72" i="46"/>
  <c r="F27" i="39"/>
  <c r="Z27" i="39"/>
  <c r="C28" i="36"/>
  <c r="E27" i="36"/>
  <c r="D83" i="33"/>
  <c r="B84" i="33"/>
  <c r="C83" i="33"/>
  <c r="B83" i="32"/>
  <c r="D82" i="32"/>
  <c r="C82" i="32"/>
  <c r="B89" i="30"/>
  <c r="D88" i="30"/>
  <c r="C89" i="30"/>
  <c r="H41" i="30"/>
  <c r="P41" i="30" s="1"/>
  <c r="W39" i="30" s="1"/>
  <c r="K81" i="40"/>
  <c r="B83" i="37"/>
  <c r="C83" i="37"/>
  <c r="D82" i="37"/>
  <c r="C83" i="40"/>
  <c r="E82" i="40"/>
  <c r="Z82" i="40" s="1"/>
  <c r="D82" i="40"/>
  <c r="B104" i="39"/>
  <c r="E103" i="39"/>
  <c r="R103" i="39" s="1"/>
  <c r="C457" i="7"/>
  <c r="B458" i="7"/>
  <c r="C73" i="13"/>
  <c r="K66" i="12"/>
  <c r="C128" i="7"/>
  <c r="C73" i="39"/>
  <c r="C68" i="46"/>
  <c r="P28" i="46" l="1"/>
  <c r="A29" i="46"/>
  <c r="M29" i="46" s="1"/>
  <c r="K29" i="46"/>
  <c r="J29" i="46"/>
  <c r="L29" i="46"/>
  <c r="I29" i="46"/>
  <c r="H29" i="46"/>
  <c r="AC26" i="13"/>
  <c r="U26" i="13"/>
  <c r="W26" i="13" s="1"/>
  <c r="Z26" i="13"/>
  <c r="Z29" i="46"/>
  <c r="X29" i="46"/>
  <c r="V29" i="46" s="1"/>
  <c r="Y29" i="46"/>
  <c r="O131" i="7"/>
  <c r="E131" i="7"/>
  <c r="B132" i="7"/>
  <c r="E77" i="13"/>
  <c r="B78" i="13"/>
  <c r="J32" i="28"/>
  <c r="AF32" i="28"/>
  <c r="R32" i="40"/>
  <c r="G33" i="40"/>
  <c r="I46" i="32"/>
  <c r="P46" i="32"/>
  <c r="W44" i="32" s="1"/>
  <c r="AA46" i="32"/>
  <c r="F47" i="32"/>
  <c r="M47" i="32" s="1"/>
  <c r="AG46" i="32"/>
  <c r="AE46" i="32" s="1"/>
  <c r="AD46" i="32"/>
  <c r="AB46" i="32" s="1"/>
  <c r="M36" i="33"/>
  <c r="N36" i="33"/>
  <c r="J36" i="33" s="1"/>
  <c r="I36" i="33"/>
  <c r="P36" i="33"/>
  <c r="W34" i="33" s="1"/>
  <c r="K36" i="33"/>
  <c r="L36" i="33"/>
  <c r="P37" i="37"/>
  <c r="W35" i="37" s="1"/>
  <c r="Q37" i="37"/>
  <c r="F38" i="37"/>
  <c r="D89" i="28"/>
  <c r="D457" i="7" s="1"/>
  <c r="C89" i="28"/>
  <c r="B90" i="28"/>
  <c r="Y27" i="39"/>
  <c r="X27" i="39" s="1"/>
  <c r="Q27" i="39"/>
  <c r="V27" i="39"/>
  <c r="K27" i="39"/>
  <c r="J27" i="39"/>
  <c r="S27" i="39"/>
  <c r="T27" i="39" s="1"/>
  <c r="L27" i="39"/>
  <c r="B85" i="33"/>
  <c r="D84" i="33"/>
  <c r="C84" i="33"/>
  <c r="B73" i="46"/>
  <c r="T72" i="46"/>
  <c r="AA72" i="46" s="1"/>
  <c r="E72" i="46"/>
  <c r="D72" i="46"/>
  <c r="Q41" i="30"/>
  <c r="F42" i="30"/>
  <c r="M42" i="30" s="1"/>
  <c r="D89" i="30"/>
  <c r="C90" i="30"/>
  <c r="B90" i="30"/>
  <c r="D83" i="32"/>
  <c r="B84" i="32"/>
  <c r="C83" i="32"/>
  <c r="B105" i="39"/>
  <c r="E104" i="39"/>
  <c r="R104" i="39" s="1"/>
  <c r="C84" i="37"/>
  <c r="D83" i="37"/>
  <c r="B84" i="37"/>
  <c r="K82" i="40"/>
  <c r="D83" i="40"/>
  <c r="C84" i="40"/>
  <c r="E83" i="40"/>
  <c r="Z83" i="40" s="1"/>
  <c r="C458" i="7"/>
  <c r="B459" i="7"/>
  <c r="K67" i="12"/>
  <c r="C74" i="13"/>
  <c r="C129" i="7"/>
  <c r="C69" i="46"/>
  <c r="C74" i="39"/>
  <c r="G29" i="46" l="1"/>
  <c r="Q29" i="46" s="1"/>
  <c r="F30" i="46" s="1"/>
  <c r="J26" i="13"/>
  <c r="AA26" i="13"/>
  <c r="X26" i="13"/>
  <c r="AB29" i="46"/>
  <c r="U30" i="46"/>
  <c r="I27" i="13"/>
  <c r="I82" i="7" s="1"/>
  <c r="O132" i="7"/>
  <c r="E132" i="7"/>
  <c r="B133" i="7"/>
  <c r="B79" i="13"/>
  <c r="E78" i="13"/>
  <c r="J400" i="7"/>
  <c r="H32" i="28"/>
  <c r="AA33" i="40"/>
  <c r="AB33" i="40" s="1"/>
  <c r="AH33" i="40"/>
  <c r="N33" i="40"/>
  <c r="M33" i="40"/>
  <c r="AG33" i="40"/>
  <c r="L33" i="40"/>
  <c r="AD33" i="40"/>
  <c r="J47" i="32"/>
  <c r="AC47" i="32"/>
  <c r="N47" i="32"/>
  <c r="AG47" i="32" s="1"/>
  <c r="AF47" i="32"/>
  <c r="K47" i="32"/>
  <c r="Z47" i="32"/>
  <c r="L47" i="32"/>
  <c r="H47" i="32"/>
  <c r="F48" i="32" s="1"/>
  <c r="K48" i="32" s="1"/>
  <c r="H36" i="33"/>
  <c r="Q36" i="33" s="1"/>
  <c r="I38" i="37"/>
  <c r="L38" i="37"/>
  <c r="M38" i="37"/>
  <c r="K38" i="37"/>
  <c r="J38" i="37"/>
  <c r="D90" i="28"/>
  <c r="D458" i="7" s="1"/>
  <c r="B91" i="28"/>
  <c r="C90" i="28"/>
  <c r="I42" i="30"/>
  <c r="D73" i="46"/>
  <c r="B74" i="46"/>
  <c r="E73" i="46"/>
  <c r="T73" i="46"/>
  <c r="AA73" i="46" s="1"/>
  <c r="H27" i="39"/>
  <c r="U27" i="39"/>
  <c r="G27" i="39" s="1"/>
  <c r="D28" i="36" s="1"/>
  <c r="B86" i="33"/>
  <c r="C85" i="33"/>
  <c r="D85" i="33"/>
  <c r="N42" i="30"/>
  <c r="J42" i="30" s="1"/>
  <c r="L42" i="30"/>
  <c r="K42" i="30"/>
  <c r="D84" i="32"/>
  <c r="C84" i="32"/>
  <c r="B85" i="32"/>
  <c r="B91" i="30"/>
  <c r="D90" i="30"/>
  <c r="C91" i="30"/>
  <c r="K83" i="40"/>
  <c r="D84" i="40"/>
  <c r="C85" i="40"/>
  <c r="E84" i="40"/>
  <c r="Z84" i="40" s="1"/>
  <c r="B106" i="39"/>
  <c r="E105" i="39"/>
  <c r="R105" i="39" s="1"/>
  <c r="B85" i="37"/>
  <c r="D84" i="37"/>
  <c r="C85" i="37"/>
  <c r="C459" i="7"/>
  <c r="B460" i="7"/>
  <c r="C75" i="13"/>
  <c r="K68" i="12"/>
  <c r="C130" i="7"/>
  <c r="C70" i="46"/>
  <c r="C75" i="39"/>
  <c r="P29" i="46" l="1"/>
  <c r="H30" i="46"/>
  <c r="L30" i="46"/>
  <c r="A30" i="46"/>
  <c r="M30" i="46" s="1"/>
  <c r="K30" i="46"/>
  <c r="I30" i="46"/>
  <c r="J30" i="46"/>
  <c r="G26" i="13"/>
  <c r="X30" i="46"/>
  <c r="Y30" i="46"/>
  <c r="W30" i="46"/>
  <c r="Z30" i="46"/>
  <c r="O133" i="7"/>
  <c r="E133" i="7"/>
  <c r="B134" i="7"/>
  <c r="E79" i="13"/>
  <c r="B80" i="13"/>
  <c r="H400" i="7"/>
  <c r="F33" i="28"/>
  <c r="Q32" i="28"/>
  <c r="Q400" i="7" s="1"/>
  <c r="R32" i="28"/>
  <c r="R400" i="7" s="1"/>
  <c r="J33" i="40"/>
  <c r="AC33" i="40"/>
  <c r="I33" i="40" s="1"/>
  <c r="Q33" i="40"/>
  <c r="X31" i="40"/>
  <c r="AF33" i="40"/>
  <c r="I47" i="32"/>
  <c r="I27" i="39"/>
  <c r="AC27" i="39" s="1"/>
  <c r="P47" i="32"/>
  <c r="W45" i="32" s="1"/>
  <c r="M48" i="32"/>
  <c r="AE47" i="32"/>
  <c r="AC48" i="32"/>
  <c r="AD47" i="32"/>
  <c r="AB47" i="32" s="1"/>
  <c r="Z48" i="32"/>
  <c r="H48" i="32"/>
  <c r="F49" i="32" s="1"/>
  <c r="Z49" i="32" s="1"/>
  <c r="Y47" i="32"/>
  <c r="AA47" i="32" s="1"/>
  <c r="J48" i="32"/>
  <c r="N48" i="32"/>
  <c r="AG48" i="32" s="1"/>
  <c r="L48" i="32"/>
  <c r="AF48" i="32"/>
  <c r="Q47" i="32"/>
  <c r="F37" i="33"/>
  <c r="L37" i="33" s="1"/>
  <c r="H38" i="37"/>
  <c r="Q38" i="37" s="1"/>
  <c r="P38" i="37"/>
  <c r="W36" i="37" s="1"/>
  <c r="D91" i="28"/>
  <c r="D459" i="7" s="1"/>
  <c r="C91" i="28"/>
  <c r="B92" i="28"/>
  <c r="H42" i="30"/>
  <c r="F43" i="30" s="1"/>
  <c r="M43" i="30" s="1"/>
  <c r="O27" i="39"/>
  <c r="P27" i="39"/>
  <c r="D86" i="33"/>
  <c r="C86" i="33"/>
  <c r="B87" i="33"/>
  <c r="D74" i="46"/>
  <c r="T74" i="46"/>
  <c r="AA74" i="46" s="1"/>
  <c r="B75" i="46"/>
  <c r="E74" i="46"/>
  <c r="B92" i="30"/>
  <c r="C92" i="30"/>
  <c r="D91" i="30"/>
  <c r="D85" i="32"/>
  <c r="B86" i="32"/>
  <c r="C85" i="32"/>
  <c r="B107" i="39"/>
  <c r="E106" i="39"/>
  <c r="R106" i="39" s="1"/>
  <c r="K84" i="40"/>
  <c r="C86" i="37"/>
  <c r="B86" i="37"/>
  <c r="D85" i="37"/>
  <c r="D85" i="40"/>
  <c r="C86" i="40"/>
  <c r="E85" i="40"/>
  <c r="Z85" i="40" s="1"/>
  <c r="B461" i="7"/>
  <c r="C460" i="7"/>
  <c r="C76" i="13"/>
  <c r="K69" i="12"/>
  <c r="C131" i="7"/>
  <c r="C71" i="46"/>
  <c r="C76" i="39"/>
  <c r="G30" i="46" l="1"/>
  <c r="F27" i="13"/>
  <c r="F82" i="7" s="1"/>
  <c r="R82" i="7" s="1"/>
  <c r="G81" i="7"/>
  <c r="Q81" i="7" s="1"/>
  <c r="R26" i="13"/>
  <c r="S26" i="13"/>
  <c r="V30" i="46"/>
  <c r="U31" i="46" s="1"/>
  <c r="Y31" i="46" s="1"/>
  <c r="E134" i="7"/>
  <c r="O134" i="7"/>
  <c r="B135" i="7"/>
  <c r="E80" i="13"/>
  <c r="B81" i="13"/>
  <c r="F401" i="7"/>
  <c r="S401" i="7" s="1"/>
  <c r="M33" i="28"/>
  <c r="M401" i="7" s="1"/>
  <c r="AD33" i="28"/>
  <c r="AA33" i="28"/>
  <c r="L33" i="28"/>
  <c r="L401" i="7" s="1"/>
  <c r="N33" i="28"/>
  <c r="K33" i="28"/>
  <c r="K401" i="7" s="1"/>
  <c r="AG33" i="28"/>
  <c r="R33" i="40"/>
  <c r="G34" i="40"/>
  <c r="I48" i="32"/>
  <c r="P48" i="32"/>
  <c r="W46" i="32" s="1"/>
  <c r="H49" i="32"/>
  <c r="Q49" i="32" s="1"/>
  <c r="J49" i="32"/>
  <c r="AE48" i="32"/>
  <c r="AC49" i="32"/>
  <c r="N37" i="33"/>
  <c r="J37" i="33" s="1"/>
  <c r="L49" i="32"/>
  <c r="AD48" i="32"/>
  <c r="AB48" i="32" s="1"/>
  <c r="N49" i="32"/>
  <c r="AG49" i="32" s="1"/>
  <c r="Y48" i="32"/>
  <c r="AA48" i="32" s="1"/>
  <c r="Q48" i="32"/>
  <c r="M49" i="32"/>
  <c r="AF49" i="32"/>
  <c r="K49" i="32"/>
  <c r="P37" i="33"/>
  <c r="W35" i="33" s="1"/>
  <c r="K37" i="33"/>
  <c r="M37" i="33"/>
  <c r="I37" i="33"/>
  <c r="F39" i="37"/>
  <c r="I43" i="30"/>
  <c r="Q42" i="30"/>
  <c r="K43" i="30"/>
  <c r="L43" i="30"/>
  <c r="N43" i="30"/>
  <c r="J43" i="30" s="1"/>
  <c r="B93" i="28"/>
  <c r="C92" i="28"/>
  <c r="D92" i="28"/>
  <c r="D460" i="7" s="1"/>
  <c r="P42" i="30"/>
  <c r="W40" i="30" s="1"/>
  <c r="C87" i="33"/>
  <c r="B88" i="33"/>
  <c r="D87" i="33"/>
  <c r="F28" i="39"/>
  <c r="Z28" i="39"/>
  <c r="E75" i="46"/>
  <c r="D75" i="46"/>
  <c r="B76" i="46"/>
  <c r="T75" i="46"/>
  <c r="AA75" i="46" s="1"/>
  <c r="C29" i="36"/>
  <c r="E28" i="36"/>
  <c r="B87" i="32"/>
  <c r="D86" i="32"/>
  <c r="C86" i="32"/>
  <c r="D92" i="30"/>
  <c r="C93" i="30"/>
  <c r="B93" i="30"/>
  <c r="K85" i="40"/>
  <c r="C87" i="37"/>
  <c r="D86" i="37"/>
  <c r="B87" i="37"/>
  <c r="B108" i="39"/>
  <c r="E107" i="39"/>
  <c r="R107" i="39" s="1"/>
  <c r="D86" i="40"/>
  <c r="C87" i="40"/>
  <c r="E86" i="40"/>
  <c r="Z86" i="40" s="1"/>
  <c r="C461" i="7"/>
  <c r="B462" i="7"/>
  <c r="K70" i="12"/>
  <c r="C77" i="13"/>
  <c r="C132" i="7"/>
  <c r="C77" i="39"/>
  <c r="C72" i="46"/>
  <c r="Q30" i="46" l="1"/>
  <c r="F31" i="46" s="1"/>
  <c r="P30" i="46"/>
  <c r="K27" i="13"/>
  <c r="J82" i="7" s="1"/>
  <c r="M27" i="13"/>
  <c r="L82" i="7" s="1"/>
  <c r="AB27" i="13"/>
  <c r="N27" i="13"/>
  <c r="M82" i="7" s="1"/>
  <c r="L27" i="13"/>
  <c r="K82" i="7" s="1"/>
  <c r="V27" i="13"/>
  <c r="Y27" i="13"/>
  <c r="H27" i="13" s="1"/>
  <c r="H82" i="7" s="1"/>
  <c r="AB30" i="46"/>
  <c r="X31" i="46"/>
  <c r="Z31" i="46"/>
  <c r="W31" i="46"/>
  <c r="E135" i="7"/>
  <c r="O135" i="7"/>
  <c r="B136" i="7"/>
  <c r="E81" i="13"/>
  <c r="B82" i="13"/>
  <c r="I33" i="28"/>
  <c r="I401" i="7" s="1"/>
  <c r="X31" i="28"/>
  <c r="AE33" i="28"/>
  <c r="AC33" i="28" s="1"/>
  <c r="N401" i="7"/>
  <c r="Z33" i="28"/>
  <c r="AB33" i="28" s="1"/>
  <c r="AH33" i="28"/>
  <c r="N34" i="40"/>
  <c r="M34" i="40"/>
  <c r="AA34" i="40"/>
  <c r="AB34" i="40" s="1"/>
  <c r="L34" i="40"/>
  <c r="AG34" i="40"/>
  <c r="AH34" i="40"/>
  <c r="AD34" i="40"/>
  <c r="I49" i="32"/>
  <c r="P49" i="32"/>
  <c r="W47" i="32" s="1"/>
  <c r="F50" i="32"/>
  <c r="AC50" i="32" s="1"/>
  <c r="AD49" i="32"/>
  <c r="AB49" i="32" s="1"/>
  <c r="H37" i="33"/>
  <c r="Q37" i="33" s="1"/>
  <c r="Y49" i="32"/>
  <c r="AA49" i="32" s="1"/>
  <c r="AE49" i="32"/>
  <c r="I39" i="37"/>
  <c r="M39" i="37"/>
  <c r="J39" i="37"/>
  <c r="K39" i="37"/>
  <c r="L39" i="37"/>
  <c r="H43" i="30"/>
  <c r="P43" i="30" s="1"/>
  <c r="W41" i="30" s="1"/>
  <c r="C93" i="28"/>
  <c r="D93" i="28"/>
  <c r="D461" i="7" s="1"/>
  <c r="B94" i="28"/>
  <c r="E76" i="46"/>
  <c r="B77" i="46"/>
  <c r="T76" i="46"/>
  <c r="AA76" i="46" s="1"/>
  <c r="D76" i="46"/>
  <c r="C88" i="33"/>
  <c r="D88" i="33"/>
  <c r="B89" i="33"/>
  <c r="S28" i="39"/>
  <c r="T28" i="39" s="1"/>
  <c r="K28" i="39"/>
  <c r="L28" i="39"/>
  <c r="J28" i="39"/>
  <c r="Y28" i="39"/>
  <c r="X28" i="39" s="1"/>
  <c r="Q28" i="39"/>
  <c r="V28" i="39"/>
  <c r="C87" i="32"/>
  <c r="B88" i="32"/>
  <c r="D87" i="32"/>
  <c r="C94" i="30"/>
  <c r="B94" i="30"/>
  <c r="D93" i="30"/>
  <c r="K86" i="40"/>
  <c r="B88" i="37"/>
  <c r="C88" i="37"/>
  <c r="D87" i="37"/>
  <c r="D87" i="40"/>
  <c r="E87" i="40"/>
  <c r="Z87" i="40" s="1"/>
  <c r="C88" i="40"/>
  <c r="B109" i="39"/>
  <c r="E108" i="39"/>
  <c r="R108" i="39" s="1"/>
  <c r="B463" i="7"/>
  <c r="C462" i="7"/>
  <c r="K71" i="12"/>
  <c r="C78" i="13"/>
  <c r="C133" i="7"/>
  <c r="C73" i="46"/>
  <c r="C78" i="39"/>
  <c r="U27" i="13" l="1"/>
  <c r="Z27" i="13"/>
  <c r="H31" i="46"/>
  <c r="A31" i="46"/>
  <c r="M31" i="46" s="1"/>
  <c r="I31" i="46"/>
  <c r="J31" i="46"/>
  <c r="K31" i="46"/>
  <c r="L31" i="46"/>
  <c r="AC27" i="13"/>
  <c r="V31" i="46"/>
  <c r="U32" i="46" s="1"/>
  <c r="W32" i="46" s="1"/>
  <c r="I28" i="13"/>
  <c r="I83" i="7" s="1"/>
  <c r="E136" i="7"/>
  <c r="O136" i="7"/>
  <c r="B137" i="7"/>
  <c r="E82" i="13"/>
  <c r="B83" i="13"/>
  <c r="AF33" i="28"/>
  <c r="J33" i="28"/>
  <c r="AF34" i="40"/>
  <c r="AC34" i="40"/>
  <c r="I34" i="40" s="1"/>
  <c r="J34" i="40"/>
  <c r="X32" i="40"/>
  <c r="Q34" i="40"/>
  <c r="M50" i="32"/>
  <c r="K50" i="32"/>
  <c r="F38" i="33"/>
  <c r="M38" i="33" s="1"/>
  <c r="J50" i="32"/>
  <c r="Z50" i="32"/>
  <c r="AF50" i="32"/>
  <c r="H50" i="32"/>
  <c r="Q50" i="32" s="1"/>
  <c r="L50" i="32"/>
  <c r="N50" i="32"/>
  <c r="Y50" i="32" s="1"/>
  <c r="H39" i="37"/>
  <c r="P39" i="37"/>
  <c r="W37" i="37" s="1"/>
  <c r="F44" i="30"/>
  <c r="I44" i="30" s="1"/>
  <c r="Q43" i="30"/>
  <c r="B95" i="28"/>
  <c r="D94" i="28"/>
  <c r="D462" i="7" s="1"/>
  <c r="C94" i="28"/>
  <c r="U28" i="39"/>
  <c r="G28" i="39" s="1"/>
  <c r="D29" i="36" s="1"/>
  <c r="H28" i="39"/>
  <c r="B90" i="33"/>
  <c r="D89" i="33"/>
  <c r="C89" i="33"/>
  <c r="D77" i="46"/>
  <c r="B78" i="46"/>
  <c r="E77" i="46"/>
  <c r="T77" i="46"/>
  <c r="AA77" i="46" s="1"/>
  <c r="B89" i="32"/>
  <c r="D88" i="32"/>
  <c r="C88" i="32"/>
  <c r="B95" i="30"/>
  <c r="D94" i="30"/>
  <c r="C95" i="30"/>
  <c r="K87" i="40"/>
  <c r="B110" i="39"/>
  <c r="E109" i="39"/>
  <c r="R109" i="39" s="1"/>
  <c r="B89" i="37"/>
  <c r="D88" i="37"/>
  <c r="C89" i="37"/>
  <c r="C89" i="40"/>
  <c r="D88" i="40"/>
  <c r="E88" i="40"/>
  <c r="Z88" i="40" s="1"/>
  <c r="C463" i="7"/>
  <c r="B464" i="7"/>
  <c r="C79" i="13"/>
  <c r="K72" i="12"/>
  <c r="C134" i="7"/>
  <c r="C74" i="46"/>
  <c r="C79" i="39"/>
  <c r="J27" i="13" l="1"/>
  <c r="W27" i="13"/>
  <c r="X27" i="13"/>
  <c r="G31" i="46"/>
  <c r="Q31" i="46" s="1"/>
  <c r="F32" i="46" s="1"/>
  <c r="AA27" i="13"/>
  <c r="Z32" i="46"/>
  <c r="AB31" i="46"/>
  <c r="Y32" i="46"/>
  <c r="X32" i="46"/>
  <c r="V32" i="46" s="1"/>
  <c r="U33" i="46" s="1"/>
  <c r="Y33" i="46" s="1"/>
  <c r="E137" i="7"/>
  <c r="O137" i="7"/>
  <c r="B138" i="7"/>
  <c r="B84" i="13"/>
  <c r="E83" i="13"/>
  <c r="J401" i="7"/>
  <c r="H33" i="28"/>
  <c r="R34" i="40"/>
  <c r="G35" i="40"/>
  <c r="I50" i="32"/>
  <c r="I28" i="39"/>
  <c r="AC28" i="39" s="1"/>
  <c r="P50" i="32"/>
  <c r="W48" i="32" s="1"/>
  <c r="K38" i="33"/>
  <c r="P38" i="33"/>
  <c r="W36" i="33" s="1"/>
  <c r="AA50" i="32"/>
  <c r="I38" i="33"/>
  <c r="L38" i="33"/>
  <c r="N38" i="33"/>
  <c r="J38" i="33" s="1"/>
  <c r="AG50" i="32"/>
  <c r="AE50" i="32" s="1"/>
  <c r="AD50" i="32"/>
  <c r="AB50" i="32" s="1"/>
  <c r="F51" i="32"/>
  <c r="M51" i="32" s="1"/>
  <c r="Q39" i="37"/>
  <c r="F40" i="37"/>
  <c r="N44" i="30"/>
  <c r="J44" i="30" s="1"/>
  <c r="H44" i="30" s="1"/>
  <c r="F45" i="30" s="1"/>
  <c r="N45" i="30" s="1"/>
  <c r="J45" i="30" s="1"/>
  <c r="L44" i="30"/>
  <c r="M44" i="30"/>
  <c r="K44" i="30"/>
  <c r="C95" i="28"/>
  <c r="B96" i="28"/>
  <c r="D95" i="28"/>
  <c r="D463" i="7" s="1"/>
  <c r="C90" i="33"/>
  <c r="D90" i="33"/>
  <c r="B91" i="33"/>
  <c r="E78" i="46"/>
  <c r="T78" i="46"/>
  <c r="AA78" i="46" s="1"/>
  <c r="D78" i="46"/>
  <c r="B79" i="46"/>
  <c r="O28" i="39"/>
  <c r="P28" i="39"/>
  <c r="B96" i="30"/>
  <c r="D95" i="30"/>
  <c r="C96" i="30"/>
  <c r="C89" i="32"/>
  <c r="B90" i="32"/>
  <c r="D89" i="32"/>
  <c r="K88" i="40"/>
  <c r="B90" i="37"/>
  <c r="C90" i="37"/>
  <c r="D89" i="37"/>
  <c r="E89" i="40"/>
  <c r="Z89" i="40" s="1"/>
  <c r="C90" i="40"/>
  <c r="D89" i="40"/>
  <c r="B111" i="39"/>
  <c r="E110" i="39"/>
  <c r="R110" i="39" s="1"/>
  <c r="B465" i="7"/>
  <c r="C464" i="7"/>
  <c r="C80" i="13"/>
  <c r="K73" i="12"/>
  <c r="C135" i="7"/>
  <c r="C75" i="46"/>
  <c r="C80" i="39"/>
  <c r="G27" i="13" l="1"/>
  <c r="P31" i="46"/>
  <c r="A32" i="46"/>
  <c r="M32" i="46" s="1"/>
  <c r="J32" i="46"/>
  <c r="L32" i="46"/>
  <c r="K32" i="46"/>
  <c r="H32" i="46"/>
  <c r="I32" i="46"/>
  <c r="Z33" i="46"/>
  <c r="AB32" i="46"/>
  <c r="W33" i="46"/>
  <c r="X33" i="46"/>
  <c r="E138" i="7"/>
  <c r="O138" i="7"/>
  <c r="B139" i="7"/>
  <c r="P84" i="13"/>
  <c r="B85" i="13"/>
  <c r="E84" i="13"/>
  <c r="F34" i="28"/>
  <c r="H401" i="7"/>
  <c r="Q33" i="28"/>
  <c r="Q401" i="7" s="1"/>
  <c r="R33" i="28"/>
  <c r="R401" i="7" s="1"/>
  <c r="AG35" i="40"/>
  <c r="N35" i="40"/>
  <c r="AD35" i="40"/>
  <c r="L35" i="40"/>
  <c r="AA35" i="40"/>
  <c r="AB35" i="40" s="1"/>
  <c r="M35" i="40"/>
  <c r="AH35" i="40"/>
  <c r="H38" i="33"/>
  <c r="Q38" i="33" s="1"/>
  <c r="J51" i="32"/>
  <c r="Z51" i="32"/>
  <c r="N51" i="32"/>
  <c r="AG51" i="32" s="1"/>
  <c r="L51" i="32"/>
  <c r="H51" i="32"/>
  <c r="F52" i="32" s="1"/>
  <c r="N52" i="32" s="1"/>
  <c r="Y52" i="32" s="1"/>
  <c r="AF51" i="32"/>
  <c r="AC51" i="32"/>
  <c r="K51" i="32"/>
  <c r="K40" i="37"/>
  <c r="L40" i="37"/>
  <c r="J40" i="37"/>
  <c r="M40" i="37"/>
  <c r="I40" i="37"/>
  <c r="Q44" i="30"/>
  <c r="P44" i="30"/>
  <c r="W42" i="30" s="1"/>
  <c r="C96" i="28"/>
  <c r="B97" i="28"/>
  <c r="D96" i="28"/>
  <c r="D464" i="7" s="1"/>
  <c r="I45" i="30"/>
  <c r="H45" i="30" s="1"/>
  <c r="Q45" i="30" s="1"/>
  <c r="L45" i="30"/>
  <c r="M45" i="30"/>
  <c r="K45" i="30"/>
  <c r="E29" i="36"/>
  <c r="C30" i="36"/>
  <c r="T79" i="46"/>
  <c r="AA79" i="46" s="1"/>
  <c r="B80" i="46"/>
  <c r="D79" i="46"/>
  <c r="E79" i="46"/>
  <c r="B92" i="33"/>
  <c r="C91" i="33"/>
  <c r="D91" i="33"/>
  <c r="F29" i="39"/>
  <c r="Z29" i="39"/>
  <c r="D90" i="32"/>
  <c r="C90" i="32"/>
  <c r="B91" i="32"/>
  <c r="B97" i="30"/>
  <c r="C97" i="30"/>
  <c r="D96" i="30"/>
  <c r="K89" i="40"/>
  <c r="C91" i="37"/>
  <c r="D90" i="37"/>
  <c r="B91" i="37"/>
  <c r="B112" i="39"/>
  <c r="E111" i="39"/>
  <c r="R111" i="39" s="1"/>
  <c r="C91" i="40"/>
  <c r="E90" i="40"/>
  <c r="Z90" i="40" s="1"/>
  <c r="D90" i="40"/>
  <c r="B466" i="7"/>
  <c r="C465" i="7"/>
  <c r="K74" i="12"/>
  <c r="C81" i="13"/>
  <c r="C136" i="7"/>
  <c r="C81" i="39"/>
  <c r="C76" i="46"/>
  <c r="R27" i="13" l="1"/>
  <c r="F28" i="13"/>
  <c r="F83" i="7" s="1"/>
  <c r="R83" i="7" s="1"/>
  <c r="S27" i="13"/>
  <c r="G82" i="7"/>
  <c r="Q82" i="7" s="1"/>
  <c r="G32" i="46"/>
  <c r="Q32" i="46" s="1"/>
  <c r="F33" i="46" s="1"/>
  <c r="V33" i="46"/>
  <c r="U34" i="46" s="1"/>
  <c r="Y34" i="46" s="1"/>
  <c r="I29" i="13"/>
  <c r="I84" i="7" s="1"/>
  <c r="O139" i="7"/>
  <c r="E139" i="7"/>
  <c r="B140" i="7"/>
  <c r="B86" i="13"/>
  <c r="E85" i="13"/>
  <c r="AG34" i="28"/>
  <c r="L34" i="28"/>
  <c r="L402" i="7" s="1"/>
  <c r="AD34" i="28"/>
  <c r="AA34" i="28"/>
  <c r="M34" i="28"/>
  <c r="M402" i="7" s="1"/>
  <c r="N34" i="28"/>
  <c r="N402" i="7" s="1"/>
  <c r="F402" i="7"/>
  <c r="S402" i="7" s="1"/>
  <c r="K34" i="28"/>
  <c r="K402" i="7" s="1"/>
  <c r="AF35" i="40"/>
  <c r="X33" i="40"/>
  <c r="Q35" i="40"/>
  <c r="J35" i="40"/>
  <c r="AC35" i="40"/>
  <c r="I35" i="40" s="1"/>
  <c r="I51" i="32"/>
  <c r="P51" i="32"/>
  <c r="W49" i="32" s="1"/>
  <c r="F39" i="33"/>
  <c r="L39" i="33" s="1"/>
  <c r="AD51" i="32"/>
  <c r="AB51" i="32" s="1"/>
  <c r="Y51" i="32"/>
  <c r="AA51" i="32" s="1"/>
  <c r="Q51" i="32"/>
  <c r="L52" i="32"/>
  <c r="AF52" i="32"/>
  <c r="M52" i="32"/>
  <c r="AD52" i="32"/>
  <c r="AG52" i="32"/>
  <c r="H52" i="32"/>
  <c r="Q52" i="32" s="1"/>
  <c r="J52" i="32"/>
  <c r="K52" i="32"/>
  <c r="AE51" i="32"/>
  <c r="AC52" i="32"/>
  <c r="Z52" i="32"/>
  <c r="AA52" i="32" s="1"/>
  <c r="H40" i="37"/>
  <c r="P40" i="37"/>
  <c r="W38" i="37" s="1"/>
  <c r="B98" i="28"/>
  <c r="C97" i="28"/>
  <c r="D97" i="28"/>
  <c r="D465" i="7" s="1"/>
  <c r="F46" i="30"/>
  <c r="M46" i="30" s="1"/>
  <c r="P45" i="30"/>
  <c r="W43" i="30" s="1"/>
  <c r="L29" i="39"/>
  <c r="V29" i="39"/>
  <c r="K29" i="39"/>
  <c r="Q29" i="39"/>
  <c r="J29" i="39"/>
  <c r="Y29" i="39"/>
  <c r="X29" i="39" s="1"/>
  <c r="S29" i="39"/>
  <c r="T29" i="39" s="1"/>
  <c r="C92" i="33"/>
  <c r="D92" i="33"/>
  <c r="B93" i="33"/>
  <c r="D80" i="46"/>
  <c r="B81" i="46"/>
  <c r="E80" i="46"/>
  <c r="T80" i="46"/>
  <c r="AA80" i="46" s="1"/>
  <c r="C98" i="30"/>
  <c r="B98" i="30"/>
  <c r="D97" i="30"/>
  <c r="C91" i="32"/>
  <c r="B92" i="32"/>
  <c r="D91" i="32"/>
  <c r="K90" i="40"/>
  <c r="B92" i="37"/>
  <c r="C92" i="37"/>
  <c r="D91" i="37"/>
  <c r="B113" i="39"/>
  <c r="E112" i="39"/>
  <c r="R112" i="39" s="1"/>
  <c r="D91" i="40"/>
  <c r="C92" i="40"/>
  <c r="E91" i="40"/>
  <c r="Z91" i="40" s="1"/>
  <c r="B467" i="7"/>
  <c r="C466" i="7"/>
  <c r="C82" i="13"/>
  <c r="K75" i="12"/>
  <c r="C137" i="7"/>
  <c r="C77" i="46"/>
  <c r="C82" i="39"/>
  <c r="K28" i="13" l="1"/>
  <c r="J83" i="7" s="1"/>
  <c r="Y28" i="13"/>
  <c r="V28" i="13"/>
  <c r="N28" i="13"/>
  <c r="AB28" i="13"/>
  <c r="L28" i="13"/>
  <c r="K83" i="7" s="1"/>
  <c r="M28" i="13"/>
  <c r="L83" i="7" s="1"/>
  <c r="P32" i="46"/>
  <c r="H33" i="46"/>
  <c r="L33" i="46"/>
  <c r="I33" i="46"/>
  <c r="A33" i="46"/>
  <c r="M33" i="46" s="1"/>
  <c r="K33" i="46"/>
  <c r="J33" i="46"/>
  <c r="AB33" i="46"/>
  <c r="W34" i="46"/>
  <c r="X34" i="46"/>
  <c r="Z34" i="46"/>
  <c r="O140" i="7"/>
  <c r="E140" i="7"/>
  <c r="B141" i="7"/>
  <c r="E86" i="13"/>
  <c r="B87" i="13"/>
  <c r="I34" i="28"/>
  <c r="I402" i="7" s="1"/>
  <c r="AE34" i="28"/>
  <c r="AC34" i="28" s="1"/>
  <c r="Z34" i="28"/>
  <c r="AB34" i="28" s="1"/>
  <c r="AH34" i="28"/>
  <c r="X32" i="28"/>
  <c r="G36" i="40"/>
  <c r="R35" i="40"/>
  <c r="I52" i="32"/>
  <c r="P52" i="32"/>
  <c r="W50" i="32" s="1"/>
  <c r="P39" i="33"/>
  <c r="W37" i="33" s="1"/>
  <c r="M39" i="33"/>
  <c r="I39" i="33"/>
  <c r="K39" i="33"/>
  <c r="N39" i="33"/>
  <c r="J39" i="33" s="1"/>
  <c r="AB52" i="32"/>
  <c r="AE52" i="32"/>
  <c r="F53" i="32"/>
  <c r="L53" i="32" s="1"/>
  <c r="F41" i="37"/>
  <c r="Q40" i="37"/>
  <c r="D98" i="28"/>
  <c r="D466" i="7" s="1"/>
  <c r="B99" i="28"/>
  <c r="C98" i="28"/>
  <c r="K46" i="30"/>
  <c r="L46" i="30"/>
  <c r="N46" i="30"/>
  <c r="J46" i="30" s="1"/>
  <c r="I46" i="30"/>
  <c r="E81" i="46"/>
  <c r="T81" i="46"/>
  <c r="AA81" i="46" s="1"/>
  <c r="B82" i="46"/>
  <c r="D81" i="46"/>
  <c r="B94" i="33"/>
  <c r="D93" i="33"/>
  <c r="C93" i="33"/>
  <c r="U29" i="39"/>
  <c r="G29" i="39" s="1"/>
  <c r="D30" i="36" s="1"/>
  <c r="H29" i="39"/>
  <c r="C92" i="32"/>
  <c r="D92" i="32"/>
  <c r="B93" i="32"/>
  <c r="B99" i="30"/>
  <c r="D98" i="30"/>
  <c r="C99" i="30"/>
  <c r="K91" i="40"/>
  <c r="D92" i="40"/>
  <c r="C93" i="40"/>
  <c r="E92" i="40"/>
  <c r="Z92" i="40" s="1"/>
  <c r="B114" i="39"/>
  <c r="E113" i="39"/>
  <c r="R113" i="39" s="1"/>
  <c r="C93" i="37"/>
  <c r="B93" i="37"/>
  <c r="D92" i="37"/>
  <c r="B468" i="7"/>
  <c r="C467" i="7"/>
  <c r="K76" i="12"/>
  <c r="C83" i="13"/>
  <c r="C138" i="7"/>
  <c r="C78" i="46"/>
  <c r="C83" i="39"/>
  <c r="H28" i="13" l="1"/>
  <c r="H83" i="7" s="1"/>
  <c r="U28" i="13"/>
  <c r="Z28" i="13"/>
  <c r="AC28" i="13"/>
  <c r="AA28" i="13" s="1"/>
  <c r="M83" i="7"/>
  <c r="G33" i="46"/>
  <c r="P33" i="46" s="1"/>
  <c r="V34" i="46"/>
  <c r="AB34" i="46" s="1"/>
  <c r="O141" i="7"/>
  <c r="E141" i="7"/>
  <c r="B142" i="7"/>
  <c r="B88" i="13"/>
  <c r="E87" i="13"/>
  <c r="J34" i="28"/>
  <c r="AF34" i="28"/>
  <c r="M36" i="40"/>
  <c r="AD36" i="40"/>
  <c r="L36" i="40"/>
  <c r="AA36" i="40"/>
  <c r="AB36" i="40" s="1"/>
  <c r="AH36" i="40"/>
  <c r="AG36" i="40"/>
  <c r="N36" i="40"/>
  <c r="I29" i="39"/>
  <c r="AC29" i="39" s="1"/>
  <c r="H39" i="33"/>
  <c r="Q39" i="33" s="1"/>
  <c r="J53" i="32"/>
  <c r="H53" i="32"/>
  <c r="F54" i="32" s="1"/>
  <c r="L54" i="32" s="1"/>
  <c r="AC53" i="32"/>
  <c r="Z53" i="32"/>
  <c r="AF53" i="32"/>
  <c r="K53" i="32"/>
  <c r="N53" i="32"/>
  <c r="AG53" i="32" s="1"/>
  <c r="M53" i="32"/>
  <c r="K41" i="37"/>
  <c r="M41" i="37"/>
  <c r="L41" i="37"/>
  <c r="J41" i="37"/>
  <c r="I41" i="37"/>
  <c r="B100" i="28"/>
  <c r="D99" i="28"/>
  <c r="D467" i="7" s="1"/>
  <c r="C99" i="28"/>
  <c r="H46" i="30"/>
  <c r="P46" i="30" s="1"/>
  <c r="W44" i="30" s="1"/>
  <c r="B95" i="33"/>
  <c r="C94" i="33"/>
  <c r="D94" i="33"/>
  <c r="D82" i="46"/>
  <c r="E82" i="46"/>
  <c r="T82" i="46"/>
  <c r="AA82" i="46" s="1"/>
  <c r="B83" i="46"/>
  <c r="O29" i="39"/>
  <c r="P29" i="39"/>
  <c r="B100" i="30"/>
  <c r="D99" i="30"/>
  <c r="C100" i="30"/>
  <c r="B94" i="32"/>
  <c r="D93" i="32"/>
  <c r="C93" i="32"/>
  <c r="B94" i="37"/>
  <c r="C94" i="37"/>
  <c r="D93" i="37"/>
  <c r="B115" i="39"/>
  <c r="E114" i="39"/>
  <c r="R114" i="39" s="1"/>
  <c r="K92" i="40"/>
  <c r="D93" i="40"/>
  <c r="C94" i="40"/>
  <c r="E93" i="40"/>
  <c r="Z93" i="40" s="1"/>
  <c r="B469" i="7"/>
  <c r="C468" i="7"/>
  <c r="C84" i="13"/>
  <c r="K77" i="12"/>
  <c r="C139" i="7"/>
  <c r="C79" i="46"/>
  <c r="C84" i="39"/>
  <c r="J28" i="13" l="1"/>
  <c r="W28" i="13"/>
  <c r="X28" i="13"/>
  <c r="Q33" i="46"/>
  <c r="F34" i="46" s="1"/>
  <c r="L34" i="46" s="1"/>
  <c r="U35" i="46"/>
  <c r="Z35" i="46" s="1"/>
  <c r="I30" i="13"/>
  <c r="I85" i="7" s="1"/>
  <c r="O142" i="7"/>
  <c r="E142" i="7"/>
  <c r="B143" i="7"/>
  <c r="B89" i="13"/>
  <c r="E88" i="13"/>
  <c r="J402" i="7"/>
  <c r="H34" i="28"/>
  <c r="AF36" i="40"/>
  <c r="X34" i="40"/>
  <c r="Q36" i="40"/>
  <c r="AC36" i="40"/>
  <c r="I36" i="40" s="1"/>
  <c r="J36" i="40"/>
  <c r="I53" i="32"/>
  <c r="P53" i="32"/>
  <c r="W51" i="32" s="1"/>
  <c r="F40" i="33"/>
  <c r="M40" i="33" s="1"/>
  <c r="M54" i="32"/>
  <c r="K54" i="32"/>
  <c r="Q53" i="32"/>
  <c r="AF54" i="32"/>
  <c r="AC54" i="32"/>
  <c r="J54" i="32"/>
  <c r="Z54" i="32"/>
  <c r="N54" i="32"/>
  <c r="AD54" i="32" s="1"/>
  <c r="H54" i="32"/>
  <c r="F55" i="32" s="1"/>
  <c r="L55" i="32" s="1"/>
  <c r="AD53" i="32"/>
  <c r="AB53" i="32" s="1"/>
  <c r="Y53" i="32"/>
  <c r="AA53" i="32" s="1"/>
  <c r="AE53" i="32"/>
  <c r="H41" i="37"/>
  <c r="F42" i="37" s="1"/>
  <c r="L42" i="37" s="1"/>
  <c r="P41" i="37"/>
  <c r="W39" i="37" s="1"/>
  <c r="Q46" i="30"/>
  <c r="F47" i="30"/>
  <c r="L47" i="30" s="1"/>
  <c r="C100" i="28"/>
  <c r="D100" i="28"/>
  <c r="D468" i="7" s="1"/>
  <c r="B101" i="28"/>
  <c r="Z30" i="39"/>
  <c r="F30" i="39"/>
  <c r="E30" i="36"/>
  <c r="C31" i="36"/>
  <c r="E83" i="46"/>
  <c r="T83" i="46"/>
  <c r="AA83" i="46" s="1"/>
  <c r="B84" i="46"/>
  <c r="D83" i="46"/>
  <c r="B96" i="33"/>
  <c r="D95" i="33"/>
  <c r="C95" i="33"/>
  <c r="B95" i="32"/>
  <c r="D94" i="32"/>
  <c r="C94" i="32"/>
  <c r="C101" i="30"/>
  <c r="B101" i="30"/>
  <c r="D100" i="30"/>
  <c r="B116" i="39"/>
  <c r="E115" i="39"/>
  <c r="R115" i="39" s="1"/>
  <c r="K93" i="40"/>
  <c r="D94" i="37"/>
  <c r="C95" i="37"/>
  <c r="B95" i="37"/>
  <c r="D94" i="40"/>
  <c r="C95" i="40"/>
  <c r="E94" i="40"/>
  <c r="Z94" i="40" s="1"/>
  <c r="C469" i="7"/>
  <c r="B470" i="7"/>
  <c r="K78" i="12"/>
  <c r="C85" i="13"/>
  <c r="C140" i="7"/>
  <c r="C85" i="39"/>
  <c r="C80" i="46"/>
  <c r="G28" i="13" l="1"/>
  <c r="G83" i="7" s="1"/>
  <c r="Q83" i="7" s="1"/>
  <c r="J34" i="46"/>
  <c r="H34" i="46"/>
  <c r="K34" i="46"/>
  <c r="A34" i="46"/>
  <c r="M34" i="46" s="1"/>
  <c r="I34" i="46"/>
  <c r="X35" i="46"/>
  <c r="Y35" i="46"/>
  <c r="W35" i="46"/>
  <c r="E143" i="7"/>
  <c r="O143" i="7"/>
  <c r="B144" i="7"/>
  <c r="B90" i="13"/>
  <c r="E89" i="13"/>
  <c r="H402" i="7"/>
  <c r="F35" i="28"/>
  <c r="R34" i="28"/>
  <c r="R402" i="7" s="1"/>
  <c r="Q34" i="28"/>
  <c r="Q402" i="7" s="1"/>
  <c r="G37" i="40"/>
  <c r="R36" i="40"/>
  <c r="I54" i="32"/>
  <c r="P54" i="32"/>
  <c r="W52" i="32" s="1"/>
  <c r="N40" i="33"/>
  <c r="J40" i="33" s="1"/>
  <c r="L40" i="33"/>
  <c r="P40" i="33"/>
  <c r="W38" i="33" s="1"/>
  <c r="K40" i="33"/>
  <c r="I40" i="33"/>
  <c r="AB54" i="32"/>
  <c r="M55" i="32"/>
  <c r="H55" i="32"/>
  <c r="Q55" i="32" s="1"/>
  <c r="AG54" i="32"/>
  <c r="AE54" i="32" s="1"/>
  <c r="Y54" i="32"/>
  <c r="AA54" i="32" s="1"/>
  <c r="N55" i="32"/>
  <c r="AG55" i="32" s="1"/>
  <c r="AC55" i="32"/>
  <c r="J55" i="32"/>
  <c r="K55" i="32"/>
  <c r="Q54" i="32"/>
  <c r="AF55" i="32"/>
  <c r="Z55" i="32"/>
  <c r="K42" i="37"/>
  <c r="I42" i="37"/>
  <c r="M42" i="37"/>
  <c r="J42" i="37"/>
  <c r="Q41" i="37"/>
  <c r="M47" i="30"/>
  <c r="I47" i="30"/>
  <c r="N47" i="30"/>
  <c r="J47" i="30" s="1"/>
  <c r="K47" i="30"/>
  <c r="B102" i="28"/>
  <c r="D101" i="28"/>
  <c r="D469" i="7" s="1"/>
  <c r="C101" i="28"/>
  <c r="B97" i="33"/>
  <c r="C96" i="33"/>
  <c r="D96" i="33"/>
  <c r="T84" i="46"/>
  <c r="AA84" i="46" s="1"/>
  <c r="B85" i="46"/>
  <c r="E84" i="46"/>
  <c r="D84" i="46"/>
  <c r="J30" i="39"/>
  <c r="K30" i="39"/>
  <c r="L30" i="39"/>
  <c r="S30" i="39"/>
  <c r="T30" i="39" s="1"/>
  <c r="Q30" i="39"/>
  <c r="Y30" i="39"/>
  <c r="X30" i="39" s="1"/>
  <c r="V30" i="39"/>
  <c r="D101" i="30"/>
  <c r="C102" i="30"/>
  <c r="B102" i="30"/>
  <c r="C95" i="32"/>
  <c r="B96" i="32"/>
  <c r="D95" i="32"/>
  <c r="B96" i="37"/>
  <c r="C96" i="37"/>
  <c r="D95" i="37"/>
  <c r="K94" i="40"/>
  <c r="D95" i="40"/>
  <c r="E95" i="40"/>
  <c r="Z95" i="40" s="1"/>
  <c r="C96" i="40"/>
  <c r="B117" i="39"/>
  <c r="E116" i="39"/>
  <c r="R116" i="39" s="1"/>
  <c r="C470" i="7"/>
  <c r="B471" i="7"/>
  <c r="C86" i="13"/>
  <c r="K79" i="12"/>
  <c r="C141" i="7"/>
  <c r="C81" i="46"/>
  <c r="C86" i="39"/>
  <c r="F29" i="13" l="1"/>
  <c r="F84" i="7" s="1"/>
  <c r="R84" i="7" s="1"/>
  <c r="R28" i="13"/>
  <c r="S28" i="13"/>
  <c r="L29" i="13"/>
  <c r="K84" i="7" s="1"/>
  <c r="G34" i="46"/>
  <c r="Q34" i="46" s="1"/>
  <c r="F35" i="46" s="1"/>
  <c r="V35" i="46"/>
  <c r="U36" i="46" s="1"/>
  <c r="X36" i="46" s="1"/>
  <c r="E144" i="7"/>
  <c r="O144" i="7"/>
  <c r="B145" i="7"/>
  <c r="E90" i="13"/>
  <c r="B91" i="13"/>
  <c r="M35" i="28"/>
  <c r="M403" i="7" s="1"/>
  <c r="AD35" i="28"/>
  <c r="AA35" i="28"/>
  <c r="L35" i="28"/>
  <c r="L403" i="7" s="1"/>
  <c r="F403" i="7"/>
  <c r="S403" i="7" s="1"/>
  <c r="K35" i="28"/>
  <c r="K403" i="7" s="1"/>
  <c r="AG35" i="28"/>
  <c r="N35" i="28"/>
  <c r="N403" i="7" s="1"/>
  <c r="N37" i="40"/>
  <c r="M37" i="40"/>
  <c r="AH37" i="40"/>
  <c r="AD37" i="40"/>
  <c r="L37" i="40"/>
  <c r="AG37" i="40"/>
  <c r="AA37" i="40"/>
  <c r="AB37" i="40" s="1"/>
  <c r="I55" i="32"/>
  <c r="P55" i="32"/>
  <c r="W53" i="32" s="1"/>
  <c r="H40" i="33"/>
  <c r="F41" i="33" s="1"/>
  <c r="F56" i="32"/>
  <c r="N56" i="32" s="1"/>
  <c r="AG56" i="32" s="1"/>
  <c r="AD55" i="32"/>
  <c r="AB55" i="32" s="1"/>
  <c r="Y55" i="32"/>
  <c r="AA55" i="32" s="1"/>
  <c r="AE55" i="32"/>
  <c r="P42" i="37"/>
  <c r="W40" i="37" s="1"/>
  <c r="H42" i="37"/>
  <c r="F43" i="37" s="1"/>
  <c r="H47" i="30"/>
  <c r="P47" i="30" s="1"/>
  <c r="W45" i="30" s="1"/>
  <c r="B103" i="28"/>
  <c r="D102" i="28"/>
  <c r="D470" i="7" s="1"/>
  <c r="C102" i="28"/>
  <c r="H30" i="39"/>
  <c r="U30" i="39"/>
  <c r="G30" i="39" s="1"/>
  <c r="D31" i="36" s="1"/>
  <c r="B98" i="33"/>
  <c r="C97" i="33"/>
  <c r="D97" i="33"/>
  <c r="T85" i="46"/>
  <c r="AA85" i="46" s="1"/>
  <c r="D85" i="46"/>
  <c r="B86" i="46"/>
  <c r="E85" i="46"/>
  <c r="D96" i="32"/>
  <c r="C96" i="32"/>
  <c r="B97" i="32"/>
  <c r="C103" i="30"/>
  <c r="B103" i="30"/>
  <c r="D102" i="30"/>
  <c r="C97" i="40"/>
  <c r="D96" i="40"/>
  <c r="E96" i="40"/>
  <c r="Z96" i="40" s="1"/>
  <c r="B118" i="39"/>
  <c r="E117" i="39"/>
  <c r="R117" i="39" s="1"/>
  <c r="C97" i="37"/>
  <c r="B97" i="37"/>
  <c r="D96" i="37"/>
  <c r="K95" i="40"/>
  <c r="C471" i="7"/>
  <c r="B472" i="7"/>
  <c r="K80" i="12"/>
  <c r="C87" i="13"/>
  <c r="C142" i="7"/>
  <c r="C82" i="46"/>
  <c r="C87" i="39"/>
  <c r="AB29" i="13" l="1"/>
  <c r="Y29" i="13"/>
  <c r="V29" i="13"/>
  <c r="M29" i="13"/>
  <c r="L84" i="7" s="1"/>
  <c r="K29" i="13"/>
  <c r="J84" i="7" s="1"/>
  <c r="N29" i="13"/>
  <c r="P34" i="46"/>
  <c r="I35" i="46"/>
  <c r="J35" i="46"/>
  <c r="K35" i="46"/>
  <c r="H35" i="46"/>
  <c r="L35" i="46"/>
  <c r="A35" i="46"/>
  <c r="M35" i="46" s="1"/>
  <c r="AB35" i="46"/>
  <c r="W36" i="46"/>
  <c r="V36" i="46" s="1"/>
  <c r="Y36" i="46"/>
  <c r="Z36" i="46"/>
  <c r="I31" i="13"/>
  <c r="I86" i="7" s="1"/>
  <c r="E145" i="7"/>
  <c r="O145" i="7"/>
  <c r="B146" i="7"/>
  <c r="E91" i="13"/>
  <c r="B92" i="13"/>
  <c r="I35" i="28"/>
  <c r="I403" i="7" s="1"/>
  <c r="X33" i="28"/>
  <c r="AH35" i="28"/>
  <c r="AE35" i="28"/>
  <c r="AC35" i="28" s="1"/>
  <c r="Z35" i="28"/>
  <c r="AB35" i="28" s="1"/>
  <c r="AF37" i="40"/>
  <c r="X35" i="40"/>
  <c r="Q37" i="40"/>
  <c r="J37" i="40"/>
  <c r="AC37" i="40"/>
  <c r="I37" i="40" s="1"/>
  <c r="Q40" i="33"/>
  <c r="I30" i="39"/>
  <c r="AC30" i="39" s="1"/>
  <c r="M56" i="32"/>
  <c r="Y56" i="32"/>
  <c r="AC56" i="32"/>
  <c r="AD56" i="32"/>
  <c r="J56" i="32"/>
  <c r="AF56" i="32"/>
  <c r="AE56" i="32" s="1"/>
  <c r="Z56" i="32"/>
  <c r="K56" i="32"/>
  <c r="L56" i="32"/>
  <c r="H56" i="32"/>
  <c r="F57" i="32" s="1"/>
  <c r="J57" i="32" s="1"/>
  <c r="P41" i="33"/>
  <c r="W39" i="33" s="1"/>
  <c r="M41" i="33"/>
  <c r="L41" i="33"/>
  <c r="K41" i="33"/>
  <c r="I41" i="33"/>
  <c r="N41" i="33"/>
  <c r="J41" i="33" s="1"/>
  <c r="Q42" i="37"/>
  <c r="K43" i="37"/>
  <c r="M43" i="37"/>
  <c r="L43" i="37"/>
  <c r="I43" i="37"/>
  <c r="J43" i="37"/>
  <c r="F48" i="30"/>
  <c r="K48" i="30" s="1"/>
  <c r="Q47" i="30"/>
  <c r="D103" i="28"/>
  <c r="D471" i="7" s="1"/>
  <c r="C103" i="28"/>
  <c r="B104" i="28"/>
  <c r="T86" i="46"/>
  <c r="AA86" i="46" s="1"/>
  <c r="D86" i="46"/>
  <c r="E86" i="46"/>
  <c r="B87" i="46"/>
  <c r="B99" i="33"/>
  <c r="C98" i="33"/>
  <c r="D98" i="33"/>
  <c r="O30" i="39"/>
  <c r="P30" i="39"/>
  <c r="B104" i="30"/>
  <c r="C104" i="30"/>
  <c r="D103" i="30"/>
  <c r="C97" i="32"/>
  <c r="B98" i="32"/>
  <c r="D97" i="32"/>
  <c r="K96" i="40"/>
  <c r="C98" i="37"/>
  <c r="D97" i="37"/>
  <c r="B98" i="37"/>
  <c r="E97" i="40"/>
  <c r="Z97" i="40" s="1"/>
  <c r="C98" i="40"/>
  <c r="D97" i="40"/>
  <c r="B119" i="39"/>
  <c r="E118" i="39"/>
  <c r="R118" i="39" s="1"/>
  <c r="C472" i="7"/>
  <c r="B473" i="7"/>
  <c r="C88" i="13"/>
  <c r="K81" i="12"/>
  <c r="C143" i="7"/>
  <c r="C83" i="46"/>
  <c r="C88" i="39"/>
  <c r="H29" i="13" l="1"/>
  <c r="H84" i="7" s="1"/>
  <c r="U29" i="13"/>
  <c r="M84" i="7"/>
  <c r="Z29" i="13"/>
  <c r="E20" i="10"/>
  <c r="AC29" i="13"/>
  <c r="AA29" i="13" s="1"/>
  <c r="G35" i="46"/>
  <c r="E146" i="7"/>
  <c r="O146" i="7"/>
  <c r="B147" i="7"/>
  <c r="B93" i="13"/>
  <c r="E92" i="13"/>
  <c r="AF35" i="28"/>
  <c r="J35" i="28"/>
  <c r="G38" i="40"/>
  <c r="R37" i="40"/>
  <c r="I56" i="32"/>
  <c r="K57" i="32"/>
  <c r="AC57" i="32"/>
  <c r="P56" i="32"/>
  <c r="W54" i="32" s="1"/>
  <c r="AA56" i="32"/>
  <c r="AB56" i="32"/>
  <c r="Q56" i="32"/>
  <c r="N57" i="32"/>
  <c r="AG57" i="32" s="1"/>
  <c r="Z57" i="32"/>
  <c r="L57" i="32"/>
  <c r="M57" i="32"/>
  <c r="H57" i="32"/>
  <c r="F58" i="32" s="1"/>
  <c r="N58" i="32" s="1"/>
  <c r="AG58" i="32" s="1"/>
  <c r="AF57" i="32"/>
  <c r="H41" i="33"/>
  <c r="P43" i="37"/>
  <c r="W41" i="37" s="1"/>
  <c r="H43" i="37"/>
  <c r="Q43" i="37" s="1"/>
  <c r="L48" i="30"/>
  <c r="M48" i="30"/>
  <c r="N48" i="30"/>
  <c r="J48" i="30" s="1"/>
  <c r="I48" i="30"/>
  <c r="D104" i="28"/>
  <c r="D472" i="7" s="1"/>
  <c r="B105" i="28"/>
  <c r="C104" i="28"/>
  <c r="Z31" i="39"/>
  <c r="F31" i="39"/>
  <c r="C32" i="36"/>
  <c r="E31" i="36"/>
  <c r="AB36" i="46"/>
  <c r="U37" i="46"/>
  <c r="D87" i="46"/>
  <c r="T87" i="46"/>
  <c r="AA87" i="46" s="1"/>
  <c r="B88" i="46"/>
  <c r="E87" i="46"/>
  <c r="C99" i="33"/>
  <c r="B100" i="33"/>
  <c r="D99" i="33"/>
  <c r="D98" i="32"/>
  <c r="B99" i="32"/>
  <c r="C98" i="32"/>
  <c r="D104" i="30"/>
  <c r="B105" i="30"/>
  <c r="C105" i="30"/>
  <c r="B120" i="39"/>
  <c r="E119" i="39"/>
  <c r="R119" i="39" s="1"/>
  <c r="D98" i="37"/>
  <c r="C99" i="37"/>
  <c r="B99" i="37"/>
  <c r="K97" i="40"/>
  <c r="C99" i="40"/>
  <c r="E98" i="40"/>
  <c r="Z98" i="40" s="1"/>
  <c r="D98" i="40"/>
  <c r="B474" i="7"/>
  <c r="C473" i="7"/>
  <c r="K82" i="12"/>
  <c r="C89" i="13"/>
  <c r="C144" i="7"/>
  <c r="C89" i="39"/>
  <c r="C84" i="46"/>
  <c r="J29" i="13" l="1"/>
  <c r="W29" i="13"/>
  <c r="X29" i="13"/>
  <c r="P35" i="46"/>
  <c r="Q35" i="46"/>
  <c r="F36" i="46" s="1"/>
  <c r="E147" i="7"/>
  <c r="O147" i="7"/>
  <c r="B148" i="7"/>
  <c r="B94" i="13"/>
  <c r="E93" i="13"/>
  <c r="H35" i="28"/>
  <c r="J403" i="7"/>
  <c r="AH38" i="40"/>
  <c r="L38" i="40"/>
  <c r="N38" i="40"/>
  <c r="AG38" i="40"/>
  <c r="AA38" i="40"/>
  <c r="AB38" i="40" s="1"/>
  <c r="M38" i="40"/>
  <c r="AD38" i="40"/>
  <c r="I57" i="32"/>
  <c r="P57" i="32"/>
  <c r="W55" i="32" s="1"/>
  <c r="AD57" i="32"/>
  <c r="AB57" i="32" s="1"/>
  <c r="Y57" i="32"/>
  <c r="AA57" i="32" s="1"/>
  <c r="AE57" i="32"/>
  <c r="AC58" i="32"/>
  <c r="H58" i="32"/>
  <c r="F59" i="32" s="1"/>
  <c r="J59" i="32" s="1"/>
  <c r="L58" i="32"/>
  <c r="Z58" i="32"/>
  <c r="AF58" i="32"/>
  <c r="AE58" i="32" s="1"/>
  <c r="J58" i="32"/>
  <c r="Q57" i="32"/>
  <c r="M58" i="32"/>
  <c r="K58" i="32"/>
  <c r="Y58" i="32"/>
  <c r="AD58" i="32"/>
  <c r="Q41" i="33"/>
  <c r="F42" i="33"/>
  <c r="F44" i="37"/>
  <c r="L44" i="37" s="1"/>
  <c r="H48" i="30"/>
  <c r="P48" i="30" s="1"/>
  <c r="W46" i="30" s="1"/>
  <c r="C105" i="28"/>
  <c r="D105" i="28"/>
  <c r="D473" i="7" s="1"/>
  <c r="B106" i="28"/>
  <c r="C100" i="33"/>
  <c r="B101" i="33"/>
  <c r="D100" i="33"/>
  <c r="E88" i="46"/>
  <c r="D88" i="46"/>
  <c r="T88" i="46"/>
  <c r="AA88" i="46" s="1"/>
  <c r="B89" i="46"/>
  <c r="V31" i="39"/>
  <c r="L31" i="39"/>
  <c r="Y31" i="39"/>
  <c r="X31" i="39" s="1"/>
  <c r="J31" i="39"/>
  <c r="Q31" i="39"/>
  <c r="K31" i="39"/>
  <c r="S31" i="39"/>
  <c r="T31" i="39" s="1"/>
  <c r="Z37" i="46"/>
  <c r="X37" i="46"/>
  <c r="Y37" i="46"/>
  <c r="W37" i="46"/>
  <c r="C106" i="30"/>
  <c r="D105" i="30"/>
  <c r="B106" i="30"/>
  <c r="C99" i="32"/>
  <c r="B100" i="32"/>
  <c r="D99" i="32"/>
  <c r="K98" i="40"/>
  <c r="B100" i="37"/>
  <c r="D99" i="37"/>
  <c r="C100" i="37"/>
  <c r="D99" i="40"/>
  <c r="C100" i="40"/>
  <c r="E99" i="40"/>
  <c r="Z99" i="40" s="1"/>
  <c r="B121" i="39"/>
  <c r="E120" i="39"/>
  <c r="R120" i="39" s="1"/>
  <c r="C474" i="7"/>
  <c r="B475" i="7"/>
  <c r="C90" i="13"/>
  <c r="K83" i="12"/>
  <c r="C145" i="7"/>
  <c r="C85" i="46"/>
  <c r="C90" i="39"/>
  <c r="G29" i="13" l="1"/>
  <c r="G84" i="7" s="1"/>
  <c r="J36" i="46"/>
  <c r="H36" i="46"/>
  <c r="A36" i="46"/>
  <c r="M36" i="46" s="1"/>
  <c r="L36" i="46"/>
  <c r="I36" i="46"/>
  <c r="K36" i="46"/>
  <c r="E148" i="7"/>
  <c r="O148" i="7"/>
  <c r="B149" i="7"/>
  <c r="E94" i="13"/>
  <c r="B95" i="13"/>
  <c r="F36" i="28"/>
  <c r="H403" i="7"/>
  <c r="Q35" i="28"/>
  <c r="Q403" i="7" s="1"/>
  <c r="R35" i="28"/>
  <c r="R403" i="7" s="1"/>
  <c r="AC38" i="40"/>
  <c r="I38" i="40" s="1"/>
  <c r="J38" i="40"/>
  <c r="Q38" i="40"/>
  <c r="X36" i="40"/>
  <c r="AF38" i="40"/>
  <c r="I58" i="32"/>
  <c r="AB58" i="32"/>
  <c r="Q58" i="32"/>
  <c r="P58" i="32"/>
  <c r="W56" i="32" s="1"/>
  <c r="AC59" i="32"/>
  <c r="Z59" i="32"/>
  <c r="H59" i="32"/>
  <c r="Q59" i="32" s="1"/>
  <c r="AF59" i="32"/>
  <c r="N59" i="32"/>
  <c r="Y59" i="32" s="1"/>
  <c r="AA58" i="32"/>
  <c r="M59" i="32"/>
  <c r="K59" i="32"/>
  <c r="L59" i="32"/>
  <c r="N42" i="33"/>
  <c r="J42" i="33" s="1"/>
  <c r="M42" i="33"/>
  <c r="L42" i="33"/>
  <c r="I42" i="33"/>
  <c r="P42" i="33"/>
  <c r="W40" i="33" s="1"/>
  <c r="K42" i="33"/>
  <c r="I44" i="37"/>
  <c r="M44" i="37"/>
  <c r="J44" i="37"/>
  <c r="K44" i="37"/>
  <c r="Q48" i="30"/>
  <c r="F49" i="30"/>
  <c r="I49" i="30" s="1"/>
  <c r="D106" i="28"/>
  <c r="D474" i="7" s="1"/>
  <c r="C106" i="28"/>
  <c r="B107" i="28"/>
  <c r="V37" i="46"/>
  <c r="U31" i="39"/>
  <c r="G31" i="39" s="1"/>
  <c r="D32" i="36" s="1"/>
  <c r="H31" i="39"/>
  <c r="D89" i="46"/>
  <c r="E89" i="46"/>
  <c r="B90" i="46"/>
  <c r="T89" i="46"/>
  <c r="AA89" i="46" s="1"/>
  <c r="B102" i="33"/>
  <c r="C101" i="33"/>
  <c r="D101" i="33"/>
  <c r="K99" i="40"/>
  <c r="B107" i="30"/>
  <c r="D106" i="30"/>
  <c r="C107" i="30"/>
  <c r="B101" i="32"/>
  <c r="D100" i="32"/>
  <c r="C100" i="32"/>
  <c r="B122" i="39"/>
  <c r="E121" i="39"/>
  <c r="R121" i="39" s="1"/>
  <c r="B101" i="37"/>
  <c r="D100" i="37"/>
  <c r="C101" i="37"/>
  <c r="D100" i="40"/>
  <c r="C101" i="40"/>
  <c r="E100" i="40"/>
  <c r="Z100" i="40" s="1"/>
  <c r="B476" i="7"/>
  <c r="C475" i="7"/>
  <c r="K84" i="12"/>
  <c r="C91" i="13"/>
  <c r="C146" i="7"/>
  <c r="C86" i="46"/>
  <c r="C91" i="39"/>
  <c r="R29" i="13" l="1"/>
  <c r="S29" i="13"/>
  <c r="Q84" i="7"/>
  <c r="P84" i="7"/>
  <c r="F30" i="13"/>
  <c r="F85" i="7" s="1"/>
  <c r="R85" i="7" s="1"/>
  <c r="G36" i="46"/>
  <c r="P36" i="46" s="1"/>
  <c r="AB37" i="46"/>
  <c r="I32" i="13"/>
  <c r="I87" i="7" s="1"/>
  <c r="E149" i="7"/>
  <c r="O149" i="7"/>
  <c r="B150" i="7"/>
  <c r="B96" i="13"/>
  <c r="E95" i="13"/>
  <c r="F404" i="7"/>
  <c r="S404" i="7" s="1"/>
  <c r="M36" i="28"/>
  <c r="M404" i="7" s="1"/>
  <c r="N36" i="28"/>
  <c r="N404" i="7" s="1"/>
  <c r="AG36" i="28"/>
  <c r="L36" i="28"/>
  <c r="L404" i="7" s="1"/>
  <c r="AD36" i="28"/>
  <c r="AA36" i="28"/>
  <c r="K36" i="28"/>
  <c r="K404" i="7" s="1"/>
  <c r="G39" i="40"/>
  <c r="R38" i="40"/>
  <c r="I59" i="32"/>
  <c r="AA59" i="32"/>
  <c r="P59" i="32"/>
  <c r="W57" i="32" s="1"/>
  <c r="F60" i="32"/>
  <c r="J60" i="32" s="1"/>
  <c r="I31" i="39"/>
  <c r="AC31" i="39" s="1"/>
  <c r="AD59" i="32"/>
  <c r="AB59" i="32" s="1"/>
  <c r="AG59" i="32"/>
  <c r="AE59" i="32" s="1"/>
  <c r="H42" i="33"/>
  <c r="Q42" i="33" s="1"/>
  <c r="H44" i="37"/>
  <c r="Q44" i="37" s="1"/>
  <c r="L49" i="30"/>
  <c r="K49" i="30"/>
  <c r="P44" i="37"/>
  <c r="W42" i="37" s="1"/>
  <c r="M49" i="30"/>
  <c r="N49" i="30"/>
  <c r="J49" i="30" s="1"/>
  <c r="H49" i="30" s="1"/>
  <c r="F50" i="30" s="1"/>
  <c r="M50" i="30" s="1"/>
  <c r="C107" i="28"/>
  <c r="B108" i="28"/>
  <c r="D107" i="28"/>
  <c r="D475" i="7" s="1"/>
  <c r="U38" i="46"/>
  <c r="X38" i="46" s="1"/>
  <c r="O31" i="39"/>
  <c r="P31" i="39"/>
  <c r="C102" i="33"/>
  <c r="B103" i="33"/>
  <c r="D102" i="33"/>
  <c r="T90" i="46"/>
  <c r="AA90" i="46" s="1"/>
  <c r="D90" i="46"/>
  <c r="B91" i="46"/>
  <c r="E90" i="46"/>
  <c r="D101" i="32"/>
  <c r="B102" i="32"/>
  <c r="C101" i="32"/>
  <c r="D107" i="30"/>
  <c r="C108" i="30"/>
  <c r="B108" i="30"/>
  <c r="C102" i="37"/>
  <c r="D101" i="37"/>
  <c r="B102" i="37"/>
  <c r="B123" i="39"/>
  <c r="E122" i="39"/>
  <c r="R122" i="39" s="1"/>
  <c r="K100" i="40"/>
  <c r="D101" i="40"/>
  <c r="C102" i="40"/>
  <c r="E101" i="40"/>
  <c r="Z101" i="40" s="1"/>
  <c r="C476" i="7"/>
  <c r="B477" i="7"/>
  <c r="C92" i="13"/>
  <c r="K85" i="12"/>
  <c r="C147" i="7"/>
  <c r="C87" i="46"/>
  <c r="C92" i="39"/>
  <c r="N30" i="13" l="1"/>
  <c r="M85" i="7" s="1"/>
  <c r="AB30" i="13"/>
  <c r="M30" i="13"/>
  <c r="L85" i="7" s="1"/>
  <c r="Y30" i="13"/>
  <c r="V30" i="13"/>
  <c r="L30" i="13"/>
  <c r="K85" i="7" s="1"/>
  <c r="K30" i="13"/>
  <c r="J85" i="7" s="1"/>
  <c r="Q36" i="46"/>
  <c r="F37" i="46" s="1"/>
  <c r="H37" i="46" s="1"/>
  <c r="E150" i="7"/>
  <c r="O150" i="7"/>
  <c r="B151" i="7"/>
  <c r="B97" i="13"/>
  <c r="E96" i="13"/>
  <c r="I36" i="28"/>
  <c r="I404" i="7" s="1"/>
  <c r="AE36" i="28"/>
  <c r="AC36" i="28" s="1"/>
  <c r="Z36" i="28"/>
  <c r="AB36" i="28" s="1"/>
  <c r="AH36" i="28"/>
  <c r="AF36" i="28" s="1"/>
  <c r="X34" i="28"/>
  <c r="AA39" i="40"/>
  <c r="AB39" i="40" s="1"/>
  <c r="AH39" i="40"/>
  <c r="N39" i="40"/>
  <c r="AG39" i="40"/>
  <c r="AD39" i="40"/>
  <c r="M39" i="40"/>
  <c r="L39" i="40"/>
  <c r="H60" i="32"/>
  <c r="Q60" i="32" s="1"/>
  <c r="L60" i="32"/>
  <c r="N60" i="32"/>
  <c r="Y60" i="32" s="1"/>
  <c r="K60" i="32"/>
  <c r="AC60" i="32"/>
  <c r="M60" i="32"/>
  <c r="Z60" i="32"/>
  <c r="AF60" i="32"/>
  <c r="F43" i="33"/>
  <c r="I43" i="33" s="1"/>
  <c r="F45" i="37"/>
  <c r="K45" i="37" s="1"/>
  <c r="K50" i="30"/>
  <c r="N50" i="30"/>
  <c r="J50" i="30" s="1"/>
  <c r="I50" i="30"/>
  <c r="L50" i="30"/>
  <c r="Q49" i="30"/>
  <c r="P49" i="30"/>
  <c r="W47" i="30" s="1"/>
  <c r="Z38" i="46"/>
  <c r="Y38" i="46"/>
  <c r="W38" i="46"/>
  <c r="V38" i="46" s="1"/>
  <c r="C108" i="28"/>
  <c r="D108" i="28"/>
  <c r="D476" i="7" s="1"/>
  <c r="B109" i="28"/>
  <c r="F32" i="39"/>
  <c r="Z32" i="39"/>
  <c r="E32" i="36"/>
  <c r="C33" i="36"/>
  <c r="B104" i="33"/>
  <c r="C103" i="33"/>
  <c r="D103" i="33"/>
  <c r="E91" i="46"/>
  <c r="T91" i="46"/>
  <c r="AA91" i="46" s="1"/>
  <c r="B92" i="46"/>
  <c r="D91" i="46"/>
  <c r="C109" i="30"/>
  <c r="D108" i="30"/>
  <c r="B109" i="30"/>
  <c r="B103" i="32"/>
  <c r="C102" i="32"/>
  <c r="D102" i="32"/>
  <c r="K101" i="40"/>
  <c r="D102" i="40"/>
  <c r="C103" i="40"/>
  <c r="E102" i="40"/>
  <c r="Z102" i="40" s="1"/>
  <c r="D102" i="37"/>
  <c r="C103" i="37"/>
  <c r="B103" i="37"/>
  <c r="B124" i="39"/>
  <c r="E123" i="39"/>
  <c r="R123" i="39" s="1"/>
  <c r="C477" i="7"/>
  <c r="B478" i="7"/>
  <c r="K86" i="12"/>
  <c r="C93" i="13"/>
  <c r="C148" i="7"/>
  <c r="C93" i="39"/>
  <c r="C88" i="46"/>
  <c r="U30" i="13" l="1"/>
  <c r="Z30" i="13"/>
  <c r="AC30" i="13"/>
  <c r="H30" i="13"/>
  <c r="H85" i="7" s="1"/>
  <c r="E21" i="10"/>
  <c r="K37" i="46"/>
  <c r="J37" i="46"/>
  <c r="A37" i="46"/>
  <c r="M37" i="46" s="1"/>
  <c r="I37" i="46"/>
  <c r="L37" i="46"/>
  <c r="E151" i="7"/>
  <c r="O151" i="7"/>
  <c r="B152" i="7"/>
  <c r="B98" i="13"/>
  <c r="E97" i="13"/>
  <c r="J36" i="28"/>
  <c r="H36" i="28" s="1"/>
  <c r="Q39" i="40"/>
  <c r="X37" i="40"/>
  <c r="J39" i="40"/>
  <c r="AC39" i="40"/>
  <c r="I39" i="40" s="1"/>
  <c r="AF39" i="40"/>
  <c r="I60" i="32"/>
  <c r="F61" i="32"/>
  <c r="N61" i="32" s="1"/>
  <c r="AG61" i="32" s="1"/>
  <c r="AD60" i="32"/>
  <c r="AB60" i="32" s="1"/>
  <c r="AA60" i="32"/>
  <c r="AG60" i="32"/>
  <c r="AE60" i="32" s="1"/>
  <c r="P60" i="32"/>
  <c r="W58" i="32" s="1"/>
  <c r="K43" i="33"/>
  <c r="P43" i="33"/>
  <c r="W41" i="33" s="1"/>
  <c r="L43" i="33"/>
  <c r="M43" i="33"/>
  <c r="N43" i="33"/>
  <c r="J43" i="33" s="1"/>
  <c r="H43" i="33" s="1"/>
  <c r="F44" i="33" s="1"/>
  <c r="L45" i="37"/>
  <c r="M45" i="37"/>
  <c r="J45" i="37"/>
  <c r="I45" i="37"/>
  <c r="H50" i="30"/>
  <c r="F51" i="30" s="1"/>
  <c r="M51" i="30" s="1"/>
  <c r="B110" i="28"/>
  <c r="D109" i="28"/>
  <c r="D477" i="7" s="1"/>
  <c r="C109" i="28"/>
  <c r="AB38" i="46"/>
  <c r="U39" i="46"/>
  <c r="D104" i="33"/>
  <c r="C104" i="33"/>
  <c r="B105" i="33"/>
  <c r="D92" i="46"/>
  <c r="E92" i="46"/>
  <c r="B93" i="46"/>
  <c r="T92" i="46"/>
  <c r="AA92" i="46" s="1"/>
  <c r="V32" i="39"/>
  <c r="K32" i="39"/>
  <c r="Y32" i="39"/>
  <c r="X32" i="39" s="1"/>
  <c r="Q32" i="39"/>
  <c r="J32" i="39"/>
  <c r="S32" i="39"/>
  <c r="T32" i="39" s="1"/>
  <c r="L32" i="39"/>
  <c r="D103" i="32"/>
  <c r="C103" i="32"/>
  <c r="B104" i="32"/>
  <c r="C110" i="30"/>
  <c r="D109" i="30"/>
  <c r="B110" i="30"/>
  <c r="K102" i="40"/>
  <c r="B125" i="39"/>
  <c r="E124" i="39"/>
  <c r="R124" i="39" s="1"/>
  <c r="B104" i="37"/>
  <c r="D103" i="37"/>
  <c r="C104" i="37"/>
  <c r="D103" i="40"/>
  <c r="E103" i="40"/>
  <c r="Z103" i="40" s="1"/>
  <c r="C104" i="40"/>
  <c r="B479" i="7"/>
  <c r="C478" i="7"/>
  <c r="C94" i="13"/>
  <c r="K87" i="12"/>
  <c r="C149" i="7"/>
  <c r="C89" i="46"/>
  <c r="C94" i="39"/>
  <c r="J30" i="13" l="1"/>
  <c r="AA30" i="13"/>
  <c r="W30" i="13"/>
  <c r="X30" i="13"/>
  <c r="G37" i="46"/>
  <c r="Q37" i="46" s="1"/>
  <c r="F38" i="46" s="1"/>
  <c r="E152" i="7"/>
  <c r="O152" i="7"/>
  <c r="B153" i="7"/>
  <c r="B99" i="13"/>
  <c r="E98" i="13"/>
  <c r="J404" i="7"/>
  <c r="R36" i="28"/>
  <c r="R404" i="7" s="1"/>
  <c r="Q36" i="28"/>
  <c r="Q404" i="7" s="1"/>
  <c r="F37" i="28"/>
  <c r="H404" i="7"/>
  <c r="R39" i="40"/>
  <c r="G40" i="40"/>
  <c r="K61" i="32"/>
  <c r="AF61" i="32"/>
  <c r="AE61" i="32" s="1"/>
  <c r="Z61" i="32"/>
  <c r="J61" i="32"/>
  <c r="M61" i="32"/>
  <c r="AC61" i="32"/>
  <c r="AD61" i="32"/>
  <c r="Y61" i="32"/>
  <c r="H61" i="32"/>
  <c r="Q61" i="32" s="1"/>
  <c r="L61" i="32"/>
  <c r="Q43" i="33"/>
  <c r="P44" i="33"/>
  <c r="W42" i="33" s="1"/>
  <c r="L44" i="33"/>
  <c r="N44" i="33"/>
  <c r="J44" i="33" s="1"/>
  <c r="I44" i="33"/>
  <c r="M44" i="33"/>
  <c r="K44" i="33"/>
  <c r="N51" i="30"/>
  <c r="J51" i="30" s="1"/>
  <c r="K51" i="30"/>
  <c r="P45" i="37"/>
  <c r="W43" i="37" s="1"/>
  <c r="H45" i="37"/>
  <c r="F46" i="37" s="1"/>
  <c r="J46" i="37" s="1"/>
  <c r="L51" i="30"/>
  <c r="I51" i="30"/>
  <c r="P50" i="30"/>
  <c r="W48" i="30" s="1"/>
  <c r="Q50" i="30"/>
  <c r="C110" i="28"/>
  <c r="B111" i="28"/>
  <c r="D110" i="28"/>
  <c r="D478" i="7" s="1"/>
  <c r="H32" i="39"/>
  <c r="U32" i="39"/>
  <c r="G32" i="39" s="1"/>
  <c r="D33" i="36" s="1"/>
  <c r="B106" i="33"/>
  <c r="C105" i="33"/>
  <c r="D105" i="33"/>
  <c r="T93" i="46"/>
  <c r="AA93" i="46" s="1"/>
  <c r="E93" i="46"/>
  <c r="D93" i="46"/>
  <c r="B94" i="46"/>
  <c r="W39" i="46"/>
  <c r="X39" i="46"/>
  <c r="Y39" i="46"/>
  <c r="Z39" i="46"/>
  <c r="C104" i="32"/>
  <c r="B105" i="32"/>
  <c r="D104" i="32"/>
  <c r="K103" i="40"/>
  <c r="B111" i="30"/>
  <c r="D110" i="30"/>
  <c r="C111" i="30"/>
  <c r="B105" i="37"/>
  <c r="D104" i="37"/>
  <c r="C105" i="37"/>
  <c r="B126" i="39"/>
  <c r="E125" i="39"/>
  <c r="R125" i="39" s="1"/>
  <c r="C105" i="40"/>
  <c r="D104" i="40"/>
  <c r="E104" i="40"/>
  <c r="Z104" i="40" s="1"/>
  <c r="C479" i="7"/>
  <c r="B480" i="7"/>
  <c r="K88" i="12"/>
  <c r="C95" i="13"/>
  <c r="C150" i="7"/>
  <c r="C90" i="46"/>
  <c r="C95" i="39"/>
  <c r="G30" i="13" l="1"/>
  <c r="G85" i="7" s="1"/>
  <c r="P37" i="46"/>
  <c r="L38" i="46"/>
  <c r="H38" i="46"/>
  <c r="I38" i="46"/>
  <c r="K38" i="46"/>
  <c r="J38" i="46"/>
  <c r="A38" i="46"/>
  <c r="M38" i="46" s="1"/>
  <c r="O153" i="7"/>
  <c r="E153" i="7"/>
  <c r="B154" i="7"/>
  <c r="E99" i="13"/>
  <c r="B100" i="13"/>
  <c r="M37" i="28"/>
  <c r="M405" i="7" s="1"/>
  <c r="F405" i="7"/>
  <c r="S405" i="7" s="1"/>
  <c r="K37" i="28"/>
  <c r="L37" i="28"/>
  <c r="L405" i="7" s="1"/>
  <c r="AA37" i="28"/>
  <c r="AG37" i="28"/>
  <c r="AD37" i="28"/>
  <c r="N37" i="28"/>
  <c r="AA40" i="40"/>
  <c r="AB40" i="40" s="1"/>
  <c r="N40" i="40"/>
  <c r="AH40" i="40"/>
  <c r="M40" i="40"/>
  <c r="L40" i="40"/>
  <c r="AD40" i="40"/>
  <c r="AG40" i="40"/>
  <c r="AA61" i="32"/>
  <c r="I61" i="32"/>
  <c r="AB61" i="32"/>
  <c r="P61" i="32"/>
  <c r="W59" i="32" s="1"/>
  <c r="F62" i="32"/>
  <c r="I32" i="39"/>
  <c r="AC32" i="39" s="1"/>
  <c r="H44" i="33"/>
  <c r="H51" i="30"/>
  <c r="Q51" i="30" s="1"/>
  <c r="K46" i="37"/>
  <c r="Q45" i="37"/>
  <c r="L46" i="37"/>
  <c r="M46" i="37"/>
  <c r="I46" i="37"/>
  <c r="H46" i="37" s="1"/>
  <c r="D111" i="28"/>
  <c r="D479" i="7" s="1"/>
  <c r="C111" i="28"/>
  <c r="B112" i="28"/>
  <c r="D94" i="46"/>
  <c r="B95" i="46"/>
  <c r="T94" i="46"/>
  <c r="AA94" i="46" s="1"/>
  <c r="E94" i="46"/>
  <c r="D106" i="33"/>
  <c r="C106" i="33"/>
  <c r="B107" i="33"/>
  <c r="O32" i="39"/>
  <c r="P32" i="39"/>
  <c r="V39" i="46"/>
  <c r="D111" i="30"/>
  <c r="B112" i="30"/>
  <c r="C112" i="30"/>
  <c r="D105" i="32"/>
  <c r="B106" i="32"/>
  <c r="C105" i="32"/>
  <c r="K104" i="40"/>
  <c r="B127" i="39"/>
  <c r="E126" i="39"/>
  <c r="R126" i="39" s="1"/>
  <c r="E105" i="40"/>
  <c r="Z105" i="40" s="1"/>
  <c r="C106" i="40"/>
  <c r="D105" i="40"/>
  <c r="C106" i="37"/>
  <c r="D105" i="37"/>
  <c r="B106" i="37"/>
  <c r="C480" i="7"/>
  <c r="B481" i="7"/>
  <c r="C96" i="13"/>
  <c r="K89" i="12"/>
  <c r="C151" i="7"/>
  <c r="C91" i="46"/>
  <c r="C96" i="39"/>
  <c r="P85" i="7" l="1"/>
  <c r="Q85" i="7"/>
  <c r="F31" i="13"/>
  <c r="F86" i="7" s="1"/>
  <c r="R86" i="7" s="1"/>
  <c r="S30" i="13"/>
  <c r="R30" i="13"/>
  <c r="G38" i="46"/>
  <c r="U40" i="46"/>
  <c r="Y40" i="46" s="1"/>
  <c r="I33" i="13"/>
  <c r="I88" i="7" s="1"/>
  <c r="O154" i="7"/>
  <c r="E154" i="7"/>
  <c r="B155" i="7"/>
  <c r="B101" i="13"/>
  <c r="E100" i="13"/>
  <c r="I37" i="28"/>
  <c r="I405" i="7" s="1"/>
  <c r="Z37" i="28"/>
  <c r="AB37" i="28" s="1"/>
  <c r="N405" i="7"/>
  <c r="AH37" i="28"/>
  <c r="AE37" i="28"/>
  <c r="AC37" i="28" s="1"/>
  <c r="K405" i="7"/>
  <c r="X35" i="28"/>
  <c r="AC40" i="40"/>
  <c r="I40" i="40" s="1"/>
  <c r="J40" i="40"/>
  <c r="X38" i="40"/>
  <c r="Q40" i="40"/>
  <c r="AF40" i="40"/>
  <c r="H62" i="32"/>
  <c r="Z62" i="32"/>
  <c r="M62" i="32"/>
  <c r="K62" i="32"/>
  <c r="AC62" i="32"/>
  <c r="N62" i="32"/>
  <c r="L62" i="32"/>
  <c r="J62" i="32"/>
  <c r="AF62" i="32"/>
  <c r="Q44" i="33"/>
  <c r="F45" i="33"/>
  <c r="P46" i="37"/>
  <c r="W44" i="37" s="1"/>
  <c r="F52" i="30"/>
  <c r="K52" i="30" s="1"/>
  <c r="P51" i="30"/>
  <c r="W49" i="30" s="1"/>
  <c r="F47" i="37"/>
  <c r="J47" i="37" s="1"/>
  <c r="Q46" i="37"/>
  <c r="C112" i="28"/>
  <c r="D112" i="28"/>
  <c r="D480" i="7" s="1"/>
  <c r="B113" i="28"/>
  <c r="AB39" i="46"/>
  <c r="F33" i="39"/>
  <c r="Z33" i="39"/>
  <c r="E95" i="46"/>
  <c r="T95" i="46"/>
  <c r="AA95" i="46" s="1"/>
  <c r="B96" i="46"/>
  <c r="D95" i="46"/>
  <c r="E33" i="36"/>
  <c r="C34" i="36"/>
  <c r="C107" i="33"/>
  <c r="D107" i="33"/>
  <c r="B108" i="33"/>
  <c r="D112" i="30"/>
  <c r="B113" i="30"/>
  <c r="C113" i="30"/>
  <c r="K105" i="40"/>
  <c r="C106" i="32"/>
  <c r="B107" i="32"/>
  <c r="D106" i="32"/>
  <c r="D106" i="37"/>
  <c r="C107" i="37"/>
  <c r="B107" i="37"/>
  <c r="C107" i="40"/>
  <c r="E106" i="40"/>
  <c r="Z106" i="40" s="1"/>
  <c r="D106" i="40"/>
  <c r="B128" i="39"/>
  <c r="E127" i="39"/>
  <c r="R127" i="39" s="1"/>
  <c r="C481" i="7"/>
  <c r="B482" i="7"/>
  <c r="K90" i="12"/>
  <c r="C97" i="13"/>
  <c r="C152" i="7"/>
  <c r="C97" i="39"/>
  <c r="C92" i="46"/>
  <c r="Y31" i="13" l="1"/>
  <c r="AB31" i="13"/>
  <c r="H31" i="13" s="1"/>
  <c r="H86" i="7" s="1"/>
  <c r="L31" i="13"/>
  <c r="K86" i="7" s="1"/>
  <c r="V31" i="13"/>
  <c r="M31" i="13"/>
  <c r="L86" i="7" s="1"/>
  <c r="N31" i="13"/>
  <c r="M86" i="7" s="1"/>
  <c r="K31" i="13"/>
  <c r="J86" i="7" s="1"/>
  <c r="P38" i="46"/>
  <c r="Q38" i="46"/>
  <c r="F39" i="46" s="1"/>
  <c r="X40" i="46"/>
  <c r="Z40" i="46"/>
  <c r="W40" i="46"/>
  <c r="O155" i="7"/>
  <c r="E155" i="7"/>
  <c r="B156" i="7"/>
  <c r="E101" i="13"/>
  <c r="B102" i="13"/>
  <c r="AF37" i="28"/>
  <c r="J37" i="28"/>
  <c r="G41" i="40"/>
  <c r="R40" i="40"/>
  <c r="I62" i="32"/>
  <c r="P62" i="32"/>
  <c r="W60" i="32" s="1"/>
  <c r="AD62" i="32"/>
  <c r="AB62" i="32" s="1"/>
  <c r="Y62" i="32"/>
  <c r="AA62" i="32" s="1"/>
  <c r="AG62" i="32"/>
  <c r="AE62" i="32" s="1"/>
  <c r="Q62" i="32"/>
  <c r="F63" i="32"/>
  <c r="K45" i="33"/>
  <c r="N45" i="33"/>
  <c r="J45" i="33" s="1"/>
  <c r="P45" i="33"/>
  <c r="W43" i="33" s="1"/>
  <c r="M45" i="33"/>
  <c r="I45" i="33"/>
  <c r="L45" i="33"/>
  <c r="K47" i="37"/>
  <c r="L52" i="30"/>
  <c r="N52" i="30"/>
  <c r="J52" i="30" s="1"/>
  <c r="M52" i="30"/>
  <c r="I52" i="30"/>
  <c r="M47" i="37"/>
  <c r="L47" i="37"/>
  <c r="I47" i="37"/>
  <c r="H47" i="37" s="1"/>
  <c r="C113" i="28"/>
  <c r="B114" i="28"/>
  <c r="D113" i="28"/>
  <c r="D481" i="7" s="1"/>
  <c r="B97" i="46"/>
  <c r="D96" i="46"/>
  <c r="T96" i="46"/>
  <c r="AA96" i="46" s="1"/>
  <c r="E96" i="46"/>
  <c r="B109" i="33"/>
  <c r="C108" i="33"/>
  <c r="D108" i="33"/>
  <c r="V33" i="39"/>
  <c r="K33" i="39"/>
  <c r="J33" i="39"/>
  <c r="Y33" i="39"/>
  <c r="X33" i="39" s="1"/>
  <c r="Q33" i="39"/>
  <c r="L33" i="39"/>
  <c r="S33" i="39"/>
  <c r="T33" i="39" s="1"/>
  <c r="C107" i="32"/>
  <c r="D107" i="32"/>
  <c r="B108" i="32"/>
  <c r="C114" i="30"/>
  <c r="D113" i="30"/>
  <c r="B114" i="30"/>
  <c r="K106" i="40"/>
  <c r="B108" i="37"/>
  <c r="D107" i="37"/>
  <c r="C108" i="37"/>
  <c r="B129" i="39"/>
  <c r="E128" i="39"/>
  <c r="R128" i="39" s="1"/>
  <c r="C108" i="40"/>
  <c r="D107" i="40"/>
  <c r="E107" i="40"/>
  <c r="Z107" i="40" s="1"/>
  <c r="C482" i="7"/>
  <c r="B483" i="7"/>
  <c r="C98" i="13"/>
  <c r="K91" i="12"/>
  <c r="C153" i="7"/>
  <c r="C93" i="46"/>
  <c r="C98" i="39"/>
  <c r="U31" i="13" l="1"/>
  <c r="Z31" i="13"/>
  <c r="AC31" i="13"/>
  <c r="H39" i="46"/>
  <c r="J39" i="46"/>
  <c r="A39" i="46"/>
  <c r="M39" i="46" s="1"/>
  <c r="L39" i="46"/>
  <c r="I39" i="46"/>
  <c r="K39" i="46"/>
  <c r="V40" i="46"/>
  <c r="AB40" i="46" s="1"/>
  <c r="O156" i="7"/>
  <c r="E156" i="7"/>
  <c r="B157" i="7"/>
  <c r="E102" i="13"/>
  <c r="B103" i="13"/>
  <c r="J405" i="7"/>
  <c r="H37" i="28"/>
  <c r="AH41" i="40"/>
  <c r="AA41" i="40"/>
  <c r="AB41" i="40" s="1"/>
  <c r="AG41" i="40"/>
  <c r="M41" i="40"/>
  <c r="AD41" i="40"/>
  <c r="L41" i="40"/>
  <c r="N41" i="40"/>
  <c r="H63" i="32"/>
  <c r="N63" i="32"/>
  <c r="L63" i="32"/>
  <c r="Z63" i="32"/>
  <c r="J63" i="32"/>
  <c r="K63" i="32"/>
  <c r="AC63" i="32"/>
  <c r="M63" i="32"/>
  <c r="AF63" i="32"/>
  <c r="H45" i="33"/>
  <c r="P47" i="37"/>
  <c r="W45" i="37" s="1"/>
  <c r="H52" i="30"/>
  <c r="F53" i="30" s="1"/>
  <c r="N53" i="30" s="1"/>
  <c r="J53" i="30" s="1"/>
  <c r="Q47" i="37"/>
  <c r="F48" i="37"/>
  <c r="B115" i="28"/>
  <c r="C114" i="28"/>
  <c r="D114" i="28"/>
  <c r="D482" i="7" s="1"/>
  <c r="D109" i="33"/>
  <c r="B110" i="33"/>
  <c r="C109" i="33"/>
  <c r="H33" i="39"/>
  <c r="U33" i="39"/>
  <c r="G33" i="39" s="1"/>
  <c r="D34" i="36" s="1"/>
  <c r="T97" i="46"/>
  <c r="AA97" i="46" s="1"/>
  <c r="E97" i="46"/>
  <c r="B98" i="46"/>
  <c r="D97" i="46"/>
  <c r="D108" i="32"/>
  <c r="C108" i="32"/>
  <c r="B109" i="32"/>
  <c r="C115" i="30"/>
  <c r="B115" i="30"/>
  <c r="D114" i="30"/>
  <c r="K107" i="40"/>
  <c r="C109" i="37"/>
  <c r="D108" i="37"/>
  <c r="B109" i="37"/>
  <c r="D108" i="40"/>
  <c r="E108" i="40"/>
  <c r="Z108" i="40" s="1"/>
  <c r="C109" i="40"/>
  <c r="B130" i="39"/>
  <c r="E129" i="39"/>
  <c r="R129" i="39" s="1"/>
  <c r="C483" i="7"/>
  <c r="B484" i="7"/>
  <c r="K92" i="12"/>
  <c r="C99" i="13"/>
  <c r="C154" i="7"/>
  <c r="C94" i="46"/>
  <c r="C99" i="39"/>
  <c r="J31" i="13" l="1"/>
  <c r="W31" i="13"/>
  <c r="AA31" i="13"/>
  <c r="X31" i="13"/>
  <c r="G39" i="46"/>
  <c r="Q39" i="46" s="1"/>
  <c r="F40" i="46" s="1"/>
  <c r="U41" i="46"/>
  <c r="Z41" i="46" s="1"/>
  <c r="O157" i="7"/>
  <c r="E157" i="7"/>
  <c r="B158" i="7"/>
  <c r="B104" i="13"/>
  <c r="E103" i="13"/>
  <c r="R37" i="28"/>
  <c r="R405" i="7" s="1"/>
  <c r="H405" i="7"/>
  <c r="F38" i="28"/>
  <c r="Q37" i="28"/>
  <c r="Q405" i="7" s="1"/>
  <c r="Q41" i="40"/>
  <c r="X39" i="40"/>
  <c r="AC41" i="40"/>
  <c r="I41" i="40" s="1"/>
  <c r="J41" i="40"/>
  <c r="AF41" i="40"/>
  <c r="I63" i="32"/>
  <c r="P63" i="32"/>
  <c r="W61" i="32" s="1"/>
  <c r="Y63" i="32"/>
  <c r="AA63" i="32" s="1"/>
  <c r="AG63" i="32"/>
  <c r="AE63" i="32" s="1"/>
  <c r="AD63" i="32"/>
  <c r="AB63" i="32" s="1"/>
  <c r="F64" i="32"/>
  <c r="Q63" i="32"/>
  <c r="I33" i="39"/>
  <c r="AC33" i="39" s="1"/>
  <c r="F46" i="33"/>
  <c r="Q45" i="33"/>
  <c r="I53" i="30"/>
  <c r="H53" i="30" s="1"/>
  <c r="Q53" i="30" s="1"/>
  <c r="M53" i="30"/>
  <c r="L53" i="30"/>
  <c r="P52" i="30"/>
  <c r="W50" i="30" s="1"/>
  <c r="Q52" i="30"/>
  <c r="K53" i="30"/>
  <c r="M48" i="37"/>
  <c r="J48" i="37"/>
  <c r="L48" i="37"/>
  <c r="K48" i="37"/>
  <c r="I48" i="37"/>
  <c r="D115" i="28"/>
  <c r="D483" i="7" s="1"/>
  <c r="B116" i="28"/>
  <c r="C115" i="28"/>
  <c r="T98" i="46"/>
  <c r="AA98" i="46" s="1"/>
  <c r="E98" i="46"/>
  <c r="B99" i="46"/>
  <c r="D98" i="46"/>
  <c r="B111" i="33"/>
  <c r="C110" i="33"/>
  <c r="D110" i="33"/>
  <c r="O33" i="39"/>
  <c r="P33" i="39"/>
  <c r="D115" i="30"/>
  <c r="C116" i="30"/>
  <c r="B116" i="30"/>
  <c r="C109" i="32"/>
  <c r="B110" i="32"/>
  <c r="D109" i="32"/>
  <c r="K108" i="40"/>
  <c r="B131" i="39"/>
  <c r="E130" i="39"/>
  <c r="R130" i="39" s="1"/>
  <c r="D109" i="37"/>
  <c r="B110" i="37"/>
  <c r="C110" i="37"/>
  <c r="D109" i="40"/>
  <c r="C110" i="40"/>
  <c r="E109" i="40"/>
  <c r="Z109" i="40" s="1"/>
  <c r="B485" i="7"/>
  <c r="C484" i="7"/>
  <c r="C100" i="13"/>
  <c r="K93" i="12"/>
  <c r="C155" i="7"/>
  <c r="C95" i="46"/>
  <c r="C100" i="39"/>
  <c r="G31" i="13" l="1"/>
  <c r="G86" i="7" s="1"/>
  <c r="Q86" i="7" s="1"/>
  <c r="P39" i="46"/>
  <c r="K40" i="46"/>
  <c r="H40" i="46"/>
  <c r="L40" i="46"/>
  <c r="A40" i="46"/>
  <c r="M40" i="46" s="1"/>
  <c r="I40" i="46"/>
  <c r="J40" i="46"/>
  <c r="X41" i="46"/>
  <c r="W41" i="46"/>
  <c r="Y41" i="46"/>
  <c r="I34" i="13"/>
  <c r="I89" i="7" s="1"/>
  <c r="O158" i="7"/>
  <c r="E158" i="7"/>
  <c r="B159" i="7"/>
  <c r="E104" i="13"/>
  <c r="B105" i="13"/>
  <c r="K38" i="28"/>
  <c r="M38" i="28"/>
  <c r="M406" i="7" s="1"/>
  <c r="F406" i="7"/>
  <c r="S406" i="7" s="1"/>
  <c r="N38" i="28"/>
  <c r="L38" i="28"/>
  <c r="L406" i="7" s="1"/>
  <c r="AA38" i="28"/>
  <c r="AD38" i="28"/>
  <c r="AG38" i="28"/>
  <c r="G42" i="40"/>
  <c r="R41" i="40"/>
  <c r="AC64" i="32"/>
  <c r="J64" i="32"/>
  <c r="N64" i="32"/>
  <c r="AG64" i="32" s="1"/>
  <c r="M64" i="32"/>
  <c r="AF64" i="32"/>
  <c r="Z64" i="32"/>
  <c r="H64" i="32"/>
  <c r="F65" i="32" s="1"/>
  <c r="K64" i="32"/>
  <c r="L64" i="32"/>
  <c r="N46" i="33"/>
  <c r="J46" i="33" s="1"/>
  <c r="K46" i="33"/>
  <c r="P46" i="33"/>
  <c r="W44" i="33" s="1"/>
  <c r="I46" i="33"/>
  <c r="L46" i="33"/>
  <c r="M46" i="33"/>
  <c r="F54" i="30"/>
  <c r="K54" i="30" s="1"/>
  <c r="P53" i="30"/>
  <c r="W51" i="30" s="1"/>
  <c r="P48" i="37"/>
  <c r="W46" i="37" s="1"/>
  <c r="H48" i="37"/>
  <c r="C116" i="28"/>
  <c r="D116" i="28"/>
  <c r="D484" i="7" s="1"/>
  <c r="B117" i="28"/>
  <c r="C111" i="33"/>
  <c r="B112" i="33"/>
  <c r="D111" i="33"/>
  <c r="F34" i="39"/>
  <c r="Z34" i="39"/>
  <c r="B100" i="46"/>
  <c r="D99" i="46"/>
  <c r="E99" i="46"/>
  <c r="T99" i="46"/>
  <c r="AA99" i="46" s="1"/>
  <c r="C35" i="36"/>
  <c r="E34" i="36"/>
  <c r="B111" i="32"/>
  <c r="C110" i="32"/>
  <c r="D110" i="32"/>
  <c r="B117" i="30"/>
  <c r="D116" i="30"/>
  <c r="C117" i="30"/>
  <c r="K109" i="40"/>
  <c r="D110" i="37"/>
  <c r="C111" i="37"/>
  <c r="B111" i="37"/>
  <c r="E110" i="40"/>
  <c r="Z110" i="40" s="1"/>
  <c r="C111" i="40"/>
  <c r="D110" i="40"/>
  <c r="B132" i="39"/>
  <c r="E131" i="39"/>
  <c r="R131" i="39" s="1"/>
  <c r="C485" i="7"/>
  <c r="B486" i="7"/>
  <c r="K94" i="12"/>
  <c r="C101" i="13"/>
  <c r="C156" i="7"/>
  <c r="C101" i="39"/>
  <c r="C96" i="46"/>
  <c r="S31" i="13" l="1"/>
  <c r="R31" i="13"/>
  <c r="F32" i="13"/>
  <c r="AB32" i="13"/>
  <c r="K32" i="13"/>
  <c r="J87" i="7" s="1"/>
  <c r="N32" i="13"/>
  <c r="M87" i="7" s="1"/>
  <c r="F87" i="7"/>
  <c r="R87" i="7" s="1"/>
  <c r="M32" i="13"/>
  <c r="L87" i="7" s="1"/>
  <c r="L32" i="13"/>
  <c r="K87" i="7" s="1"/>
  <c r="Y32" i="13"/>
  <c r="V32" i="13"/>
  <c r="G40" i="46"/>
  <c r="Q40" i="46" s="1"/>
  <c r="F41" i="46" s="1"/>
  <c r="V41" i="46"/>
  <c r="U42" i="46" s="1"/>
  <c r="O159" i="7"/>
  <c r="E159" i="7"/>
  <c r="B160" i="7"/>
  <c r="B106" i="13"/>
  <c r="E105" i="13"/>
  <c r="I38" i="28"/>
  <c r="I406" i="7" s="1"/>
  <c r="N406" i="7"/>
  <c r="Z38" i="28"/>
  <c r="AB38" i="28" s="1"/>
  <c r="AE38" i="28"/>
  <c r="AC38" i="28" s="1"/>
  <c r="AH38" i="28"/>
  <c r="K406" i="7"/>
  <c r="X36" i="28"/>
  <c r="AA42" i="40"/>
  <c r="AB42" i="40" s="1"/>
  <c r="M42" i="40"/>
  <c r="N42" i="40"/>
  <c r="AG42" i="40"/>
  <c r="AD42" i="40"/>
  <c r="AH42" i="40"/>
  <c r="L42" i="40"/>
  <c r="I64" i="32"/>
  <c r="Z65" i="32"/>
  <c r="J65" i="32"/>
  <c r="AC65" i="32"/>
  <c r="M65" i="32"/>
  <c r="H65" i="32"/>
  <c r="Q65" i="32" s="1"/>
  <c r="L65" i="32"/>
  <c r="AF65" i="32"/>
  <c r="N65" i="32"/>
  <c r="K65" i="32"/>
  <c r="Q64" i="32"/>
  <c r="Y64" i="32"/>
  <c r="AA64" i="32" s="1"/>
  <c r="AD64" i="32"/>
  <c r="AB64" i="32" s="1"/>
  <c r="AE64" i="32"/>
  <c r="P64" i="32"/>
  <c r="W62" i="32" s="1"/>
  <c r="H46" i="33"/>
  <c r="L54" i="30"/>
  <c r="N54" i="30"/>
  <c r="J54" i="30" s="1"/>
  <c r="M54" i="30"/>
  <c r="I54" i="30"/>
  <c r="F49" i="37"/>
  <c r="Q48" i="37"/>
  <c r="D117" i="28"/>
  <c r="D485" i="7" s="1"/>
  <c r="C117" i="28"/>
  <c r="B118" i="28"/>
  <c r="L34" i="39"/>
  <c r="Q34" i="39"/>
  <c r="Y34" i="39"/>
  <c r="X34" i="39" s="1"/>
  <c r="J34" i="39"/>
  <c r="S34" i="39"/>
  <c r="T34" i="39" s="1"/>
  <c r="K34" i="39"/>
  <c r="V34" i="39"/>
  <c r="D112" i="33"/>
  <c r="B113" i="33"/>
  <c r="C112" i="33"/>
  <c r="D100" i="46"/>
  <c r="T100" i="46"/>
  <c r="AA100" i="46" s="1"/>
  <c r="B101" i="46"/>
  <c r="E100" i="46"/>
  <c r="D117" i="30"/>
  <c r="B118" i="30"/>
  <c r="C118" i="30"/>
  <c r="C111" i="32"/>
  <c r="B112" i="32"/>
  <c r="D111" i="32"/>
  <c r="B133" i="39"/>
  <c r="E132" i="39"/>
  <c r="R132" i="39" s="1"/>
  <c r="K110" i="40"/>
  <c r="E111" i="40"/>
  <c r="Z111" i="40" s="1"/>
  <c r="C112" i="40"/>
  <c r="D111" i="40"/>
  <c r="B112" i="37"/>
  <c r="D111" i="37"/>
  <c r="C112" i="37"/>
  <c r="B487" i="7"/>
  <c r="C486" i="7"/>
  <c r="C102" i="13"/>
  <c r="K95" i="12"/>
  <c r="C157" i="7"/>
  <c r="C97" i="46"/>
  <c r="C102" i="39"/>
  <c r="H32" i="13" l="1"/>
  <c r="H87" i="7" s="1"/>
  <c r="Z32" i="13"/>
  <c r="U32" i="13"/>
  <c r="AC32" i="13"/>
  <c r="E23" i="10"/>
  <c r="P40" i="46"/>
  <c r="A41" i="46"/>
  <c r="M41" i="46" s="1"/>
  <c r="L41" i="46"/>
  <c r="K41" i="46"/>
  <c r="I41" i="46"/>
  <c r="H41" i="46"/>
  <c r="J41" i="46"/>
  <c r="AB41" i="46"/>
  <c r="O160" i="7"/>
  <c r="E160" i="7"/>
  <c r="B161" i="7"/>
  <c r="B107" i="13"/>
  <c r="E106" i="13"/>
  <c r="AF38" i="28"/>
  <c r="J38" i="28"/>
  <c r="AF42" i="40"/>
  <c r="Q42" i="40"/>
  <c r="X40" i="40"/>
  <c r="J42" i="40"/>
  <c r="AC42" i="40"/>
  <c r="I42" i="40" s="1"/>
  <c r="I65" i="32"/>
  <c r="Y65" i="32"/>
  <c r="AA65" i="32" s="1"/>
  <c r="AD65" i="32"/>
  <c r="AB65" i="32" s="1"/>
  <c r="AG65" i="32"/>
  <c r="AE65" i="32" s="1"/>
  <c r="F66" i="32"/>
  <c r="P65" i="32"/>
  <c r="W63" i="32" s="1"/>
  <c r="Q46" i="33"/>
  <c r="F47" i="33"/>
  <c r="H54" i="30"/>
  <c r="P54" i="30" s="1"/>
  <c r="W52" i="30" s="1"/>
  <c r="L49" i="37"/>
  <c r="K49" i="37"/>
  <c r="I49" i="37"/>
  <c r="J49" i="37"/>
  <c r="M49" i="37"/>
  <c r="D118" i="28"/>
  <c r="D486" i="7" s="1"/>
  <c r="B119" i="28"/>
  <c r="C118" i="28"/>
  <c r="B102" i="46"/>
  <c r="D101" i="46"/>
  <c r="T101" i="46"/>
  <c r="AA101" i="46" s="1"/>
  <c r="E101" i="46"/>
  <c r="H34" i="39"/>
  <c r="U34" i="39"/>
  <c r="G34" i="39" s="1"/>
  <c r="D35" i="36" s="1"/>
  <c r="Y42" i="46"/>
  <c r="X42" i="46"/>
  <c r="W42" i="46"/>
  <c r="Z42" i="46"/>
  <c r="D113" i="33"/>
  <c r="B114" i="33"/>
  <c r="C113" i="33"/>
  <c r="D118" i="30"/>
  <c r="C119" i="30"/>
  <c r="B119" i="30"/>
  <c r="D112" i="32"/>
  <c r="C112" i="32"/>
  <c r="B113" i="32"/>
  <c r="K111" i="40"/>
  <c r="D112" i="40"/>
  <c r="C113" i="40"/>
  <c r="E112" i="40"/>
  <c r="Z112" i="40" s="1"/>
  <c r="C113" i="37"/>
  <c r="D112" i="37"/>
  <c r="B113" i="37"/>
  <c r="B134" i="39"/>
  <c r="E133" i="39"/>
  <c r="R133" i="39" s="1"/>
  <c r="B488" i="7"/>
  <c r="C487" i="7"/>
  <c r="C103" i="13"/>
  <c r="K96" i="12"/>
  <c r="C158" i="7"/>
  <c r="C98" i="46"/>
  <c r="C103" i="39"/>
  <c r="X32" i="13" l="1"/>
  <c r="J32" i="13"/>
  <c r="AA32" i="13"/>
  <c r="W32" i="13"/>
  <c r="G41" i="46"/>
  <c r="Q41" i="46" s="1"/>
  <c r="F42" i="46" s="1"/>
  <c r="I35" i="13"/>
  <c r="I90" i="7" s="1"/>
  <c r="O161" i="7"/>
  <c r="E161" i="7"/>
  <c r="B162" i="7"/>
  <c r="E107" i="13"/>
  <c r="B108" i="13"/>
  <c r="H38" i="28"/>
  <c r="J406" i="7"/>
  <c r="G43" i="40"/>
  <c r="R42" i="40"/>
  <c r="AF66" i="32"/>
  <c r="AC66" i="32"/>
  <c r="Z66" i="32"/>
  <c r="J66" i="32"/>
  <c r="M66" i="32"/>
  <c r="L66" i="32"/>
  <c r="K66" i="32"/>
  <c r="H66" i="32"/>
  <c r="N66" i="32"/>
  <c r="I34" i="39"/>
  <c r="AC34" i="39" s="1"/>
  <c r="P47" i="33"/>
  <c r="W45" i="33" s="1"/>
  <c r="N47" i="33"/>
  <c r="J47" i="33" s="1"/>
  <c r="I47" i="33"/>
  <c r="L47" i="33"/>
  <c r="M47" i="33"/>
  <c r="K47" i="33"/>
  <c r="Q54" i="30"/>
  <c r="F55" i="30"/>
  <c r="N55" i="30" s="1"/>
  <c r="J55" i="30" s="1"/>
  <c r="H49" i="37"/>
  <c r="P49" i="37"/>
  <c r="W47" i="37" s="1"/>
  <c r="B120" i="28"/>
  <c r="D119" i="28"/>
  <c r="D487" i="7" s="1"/>
  <c r="C119" i="28"/>
  <c r="O34" i="39"/>
  <c r="P34" i="39"/>
  <c r="V42" i="46"/>
  <c r="C114" i="33"/>
  <c r="D114" i="33"/>
  <c r="B115" i="33"/>
  <c r="D102" i="46"/>
  <c r="E102" i="46"/>
  <c r="B103" i="46"/>
  <c r="T102" i="46"/>
  <c r="AA102" i="46" s="1"/>
  <c r="C113" i="32"/>
  <c r="D113" i="32"/>
  <c r="B114" i="32"/>
  <c r="B120" i="30"/>
  <c r="C120" i="30"/>
  <c r="D119" i="30"/>
  <c r="K112" i="40"/>
  <c r="D113" i="40"/>
  <c r="E113" i="40"/>
  <c r="Z113" i="40" s="1"/>
  <c r="C114" i="40"/>
  <c r="B135" i="39"/>
  <c r="E134" i="39"/>
  <c r="R134" i="39" s="1"/>
  <c r="D113" i="37"/>
  <c r="B114" i="37"/>
  <c r="C114" i="37"/>
  <c r="B489" i="7"/>
  <c r="C488" i="7"/>
  <c r="C104" i="13"/>
  <c r="K97" i="12"/>
  <c r="C159" i="7"/>
  <c r="C99" i="46"/>
  <c r="C104" i="39"/>
  <c r="G32" i="13" l="1"/>
  <c r="P41" i="46"/>
  <c r="I42" i="46"/>
  <c r="J42" i="46"/>
  <c r="A42" i="46"/>
  <c r="M42" i="46" s="1"/>
  <c r="H42" i="46"/>
  <c r="K42" i="46"/>
  <c r="L42" i="46"/>
  <c r="E162" i="7"/>
  <c r="O162" i="7"/>
  <c r="B163" i="7"/>
  <c r="E108" i="13"/>
  <c r="B109" i="13"/>
  <c r="F39" i="28"/>
  <c r="R38" i="28"/>
  <c r="R406" i="7" s="1"/>
  <c r="Q38" i="28"/>
  <c r="Q406" i="7" s="1"/>
  <c r="H406" i="7"/>
  <c r="N43" i="40"/>
  <c r="M43" i="40"/>
  <c r="AH43" i="40"/>
  <c r="AD43" i="40"/>
  <c r="L43" i="40"/>
  <c r="AG43" i="40"/>
  <c r="AA43" i="40"/>
  <c r="AB43" i="40" s="1"/>
  <c r="I66" i="32"/>
  <c r="Q66" i="32"/>
  <c r="F67" i="32"/>
  <c r="P66" i="32"/>
  <c r="W64" i="32" s="1"/>
  <c r="AG66" i="32"/>
  <c r="AE66" i="32" s="1"/>
  <c r="AD66" i="32"/>
  <c r="AB66" i="32" s="1"/>
  <c r="Y66" i="32"/>
  <c r="AA66" i="32" s="1"/>
  <c r="H47" i="33"/>
  <c r="Q47" i="33" s="1"/>
  <c r="K55" i="30"/>
  <c r="M55" i="30"/>
  <c r="I55" i="30"/>
  <c r="H55" i="30" s="1"/>
  <c r="Q55" i="30" s="1"/>
  <c r="L55" i="30"/>
  <c r="F50" i="37"/>
  <c r="Q49" i="37"/>
  <c r="C120" i="28"/>
  <c r="B121" i="28"/>
  <c r="D120" i="28"/>
  <c r="D488" i="7" s="1"/>
  <c r="T103" i="46"/>
  <c r="AA103" i="46" s="1"/>
  <c r="D103" i="46"/>
  <c r="B104" i="46"/>
  <c r="E103" i="46"/>
  <c r="AB42" i="46"/>
  <c r="U43" i="46"/>
  <c r="Z35" i="39"/>
  <c r="F35" i="39"/>
  <c r="C115" i="33"/>
  <c r="B116" i="33"/>
  <c r="D115" i="33"/>
  <c r="C36" i="36"/>
  <c r="E35" i="36"/>
  <c r="B121" i="30"/>
  <c r="D120" i="30"/>
  <c r="C121" i="30"/>
  <c r="B115" i="32"/>
  <c r="C114" i="32"/>
  <c r="D114" i="32"/>
  <c r="E114" i="40"/>
  <c r="Z114" i="40" s="1"/>
  <c r="D114" i="40"/>
  <c r="C115" i="40"/>
  <c r="B136" i="39"/>
  <c r="E135" i="39"/>
  <c r="R135" i="39" s="1"/>
  <c r="C115" i="37"/>
  <c r="D114" i="37"/>
  <c r="B115" i="37"/>
  <c r="K113" i="40"/>
  <c r="C489" i="7"/>
  <c r="B490" i="7"/>
  <c r="C105" i="13"/>
  <c r="K98" i="12"/>
  <c r="C160" i="7"/>
  <c r="C105" i="39"/>
  <c r="C100" i="46"/>
  <c r="G87" i="7" l="1"/>
  <c r="R32" i="13"/>
  <c r="S32" i="13"/>
  <c r="F33" i="13"/>
  <c r="F88" i="7" s="1"/>
  <c r="R88" i="7" s="1"/>
  <c r="G42" i="46"/>
  <c r="P42" i="46" s="1"/>
  <c r="E163" i="7"/>
  <c r="O163" i="7"/>
  <c r="B164" i="7"/>
  <c r="B110" i="13"/>
  <c r="E109" i="13"/>
  <c r="AD39" i="28"/>
  <c r="AA39" i="28"/>
  <c r="AG39" i="28"/>
  <c r="N39" i="28"/>
  <c r="N407" i="7" s="1"/>
  <c r="F407" i="7"/>
  <c r="S407" i="7" s="1"/>
  <c r="L39" i="28"/>
  <c r="L407" i="7" s="1"/>
  <c r="K39" i="28"/>
  <c r="K407" i="7" s="1"/>
  <c r="M39" i="28"/>
  <c r="M407" i="7" s="1"/>
  <c r="AF43" i="40"/>
  <c r="X41" i="40"/>
  <c r="Q43" i="40"/>
  <c r="J43" i="40"/>
  <c r="AC43" i="40"/>
  <c r="I43" i="40" s="1"/>
  <c r="Z67" i="32"/>
  <c r="L67" i="32"/>
  <c r="AF67" i="32"/>
  <c r="H67" i="32"/>
  <c r="K67" i="32"/>
  <c r="J67" i="32"/>
  <c r="AC67" i="32"/>
  <c r="M67" i="32"/>
  <c r="N67" i="32"/>
  <c r="F48" i="33"/>
  <c r="P48" i="33" s="1"/>
  <c r="W46" i="33" s="1"/>
  <c r="F56" i="30"/>
  <c r="K56" i="30" s="1"/>
  <c r="P55" i="30"/>
  <c r="W53" i="30" s="1"/>
  <c r="J50" i="37"/>
  <c r="K50" i="37"/>
  <c r="M50" i="37"/>
  <c r="L50" i="37"/>
  <c r="I50" i="37"/>
  <c r="C121" i="28"/>
  <c r="D121" i="28"/>
  <c r="D489" i="7" s="1"/>
  <c r="B122" i="28"/>
  <c r="W43" i="46"/>
  <c r="X43" i="46"/>
  <c r="Z43" i="46"/>
  <c r="Y43" i="46"/>
  <c r="D116" i="33"/>
  <c r="B117" i="33"/>
  <c r="C116" i="33"/>
  <c r="E104" i="46"/>
  <c r="D104" i="46"/>
  <c r="B105" i="46"/>
  <c r="T104" i="46"/>
  <c r="AA104" i="46" s="1"/>
  <c r="K35" i="39"/>
  <c r="V35" i="39"/>
  <c r="J35" i="39"/>
  <c r="Y35" i="39"/>
  <c r="X35" i="39" s="1"/>
  <c r="S35" i="39"/>
  <c r="T35" i="39" s="1"/>
  <c r="L35" i="39"/>
  <c r="Q35" i="39"/>
  <c r="B122" i="30"/>
  <c r="C122" i="30"/>
  <c r="D121" i="30"/>
  <c r="C115" i="32"/>
  <c r="B116" i="32"/>
  <c r="D115" i="32"/>
  <c r="K114" i="40"/>
  <c r="B137" i="39"/>
  <c r="E136" i="39"/>
  <c r="R136" i="39" s="1"/>
  <c r="B116" i="37"/>
  <c r="D115" i="37"/>
  <c r="C116" i="37"/>
  <c r="E115" i="40"/>
  <c r="Z115" i="40" s="1"/>
  <c r="C116" i="40"/>
  <c r="D115" i="40"/>
  <c r="B491" i="7"/>
  <c r="C490" i="7"/>
  <c r="C106" i="13"/>
  <c r="K99" i="12"/>
  <c r="C161" i="7"/>
  <c r="C101" i="46"/>
  <c r="C106" i="39"/>
  <c r="Q87" i="7" l="1"/>
  <c r="P87" i="7"/>
  <c r="M33" i="13"/>
  <c r="L88" i="7" s="1"/>
  <c r="AB33" i="13"/>
  <c r="L33" i="13"/>
  <c r="K88" i="7" s="1"/>
  <c r="V33" i="13"/>
  <c r="Y33" i="13"/>
  <c r="N33" i="13"/>
  <c r="M88" i="7" s="1"/>
  <c r="K33" i="13"/>
  <c r="J88" i="7" s="1"/>
  <c r="H33" i="13"/>
  <c r="H88" i="7" s="1"/>
  <c r="Q42" i="46"/>
  <c r="F43" i="46" s="1"/>
  <c r="H43" i="46" s="1"/>
  <c r="E164" i="7"/>
  <c r="O164" i="7"/>
  <c r="B165" i="7"/>
  <c r="E110" i="13"/>
  <c r="B111" i="13"/>
  <c r="I39" i="28"/>
  <c r="I407" i="7" s="1"/>
  <c r="X37" i="28"/>
  <c r="AH39" i="28"/>
  <c r="AF39" i="28" s="1"/>
  <c r="Z39" i="28"/>
  <c r="AB39" i="28" s="1"/>
  <c r="AE39" i="28"/>
  <c r="AC39" i="28" s="1"/>
  <c r="G44" i="40"/>
  <c r="R43" i="40"/>
  <c r="I67" i="32"/>
  <c r="P67" i="32"/>
  <c r="W65" i="32" s="1"/>
  <c r="F68" i="32"/>
  <c r="Q67" i="32"/>
  <c r="AG67" i="32"/>
  <c r="AE67" i="32" s="1"/>
  <c r="AD67" i="32"/>
  <c r="AB67" i="32" s="1"/>
  <c r="Y67" i="32"/>
  <c r="AA67" i="32" s="1"/>
  <c r="N48" i="33"/>
  <c r="J48" i="33" s="1"/>
  <c r="K48" i="33"/>
  <c r="M48" i="33"/>
  <c r="L48" i="33"/>
  <c r="I48" i="33"/>
  <c r="M56" i="30"/>
  <c r="N56" i="30"/>
  <c r="J56" i="30" s="1"/>
  <c r="L56" i="30"/>
  <c r="I56" i="30"/>
  <c r="P50" i="37"/>
  <c r="W48" i="37" s="1"/>
  <c r="H50" i="37"/>
  <c r="C122" i="28"/>
  <c r="D122" i="28"/>
  <c r="D490" i="7" s="1"/>
  <c r="B123" i="28"/>
  <c r="V43" i="46"/>
  <c r="D105" i="46"/>
  <c r="E105" i="46"/>
  <c r="T105" i="46"/>
  <c r="AA105" i="46" s="1"/>
  <c r="B106" i="46"/>
  <c r="H35" i="39"/>
  <c r="U35" i="39"/>
  <c r="G35" i="39" s="1"/>
  <c r="D36" i="36" s="1"/>
  <c r="C117" i="33"/>
  <c r="D117" i="33"/>
  <c r="B118" i="33"/>
  <c r="C123" i="30"/>
  <c r="D122" i="30"/>
  <c r="B123" i="30"/>
  <c r="D116" i="32"/>
  <c r="C116" i="32"/>
  <c r="B117" i="32"/>
  <c r="K115" i="40"/>
  <c r="B138" i="39"/>
  <c r="E137" i="39"/>
  <c r="R137" i="39" s="1"/>
  <c r="C117" i="40"/>
  <c r="D116" i="40"/>
  <c r="E116" i="40"/>
  <c r="Z116" i="40" s="1"/>
  <c r="C117" i="37"/>
  <c r="B117" i="37"/>
  <c r="D116" i="37"/>
  <c r="C491" i="7"/>
  <c r="B492" i="7"/>
  <c r="C107" i="13"/>
  <c r="K100" i="12"/>
  <c r="C162" i="7"/>
  <c r="C102" i="46"/>
  <c r="C107" i="39"/>
  <c r="AC33" i="13" l="1"/>
  <c r="Z33" i="13"/>
  <c r="U33" i="13"/>
  <c r="E24" i="10"/>
  <c r="J43" i="46"/>
  <c r="A43" i="46"/>
  <c r="M43" i="46" s="1"/>
  <c r="K43" i="46"/>
  <c r="L43" i="46"/>
  <c r="I43" i="46"/>
  <c r="AB43" i="46"/>
  <c r="E165" i="7"/>
  <c r="O165" i="7"/>
  <c r="B166" i="7"/>
  <c r="B112" i="13"/>
  <c r="E111" i="13"/>
  <c r="J39" i="28"/>
  <c r="H39" i="28" s="1"/>
  <c r="L44" i="40"/>
  <c r="AA44" i="40"/>
  <c r="AB44" i="40" s="1"/>
  <c r="AD44" i="40"/>
  <c r="N44" i="40"/>
  <c r="AG44" i="40"/>
  <c r="AH44" i="40"/>
  <c r="M44" i="40"/>
  <c r="K68" i="32"/>
  <c r="N68" i="32"/>
  <c r="AG68" i="32" s="1"/>
  <c r="Z68" i="32"/>
  <c r="AC68" i="32"/>
  <c r="L68" i="32"/>
  <c r="H68" i="32"/>
  <c r="F69" i="32" s="1"/>
  <c r="M68" i="32"/>
  <c r="J68" i="32"/>
  <c r="AF68" i="32"/>
  <c r="I35" i="39"/>
  <c r="AC35" i="39" s="1"/>
  <c r="H48" i="33"/>
  <c r="Q48" i="33" s="1"/>
  <c r="H56" i="30"/>
  <c r="F57" i="30" s="1"/>
  <c r="L57" i="30" s="1"/>
  <c r="Q50" i="37"/>
  <c r="F51" i="37"/>
  <c r="B124" i="28"/>
  <c r="D123" i="28"/>
  <c r="D491" i="7" s="1"/>
  <c r="C123" i="28"/>
  <c r="U44" i="46"/>
  <c r="Y44" i="46" s="1"/>
  <c r="C118" i="33"/>
  <c r="B119" i="33"/>
  <c r="D118" i="33"/>
  <c r="D106" i="46"/>
  <c r="B107" i="46"/>
  <c r="E106" i="46"/>
  <c r="T106" i="46"/>
  <c r="AA106" i="46" s="1"/>
  <c r="O35" i="39"/>
  <c r="P35" i="39"/>
  <c r="B118" i="32"/>
  <c r="D117" i="32"/>
  <c r="C117" i="32"/>
  <c r="D123" i="30"/>
  <c r="B124" i="30"/>
  <c r="C124" i="30"/>
  <c r="K116" i="40"/>
  <c r="D117" i="40"/>
  <c r="E117" i="40"/>
  <c r="Z117" i="40" s="1"/>
  <c r="C118" i="40"/>
  <c r="B139" i="39"/>
  <c r="E138" i="39"/>
  <c r="R138" i="39" s="1"/>
  <c r="D117" i="37"/>
  <c r="B118" i="37"/>
  <c r="C118" i="37"/>
  <c r="B493" i="7"/>
  <c r="C492" i="7"/>
  <c r="C108" i="13"/>
  <c r="K101" i="12"/>
  <c r="C163" i="7"/>
  <c r="C103" i="46"/>
  <c r="C108" i="39"/>
  <c r="J33" i="13" l="1"/>
  <c r="AA33" i="13"/>
  <c r="X33" i="13"/>
  <c r="W33" i="13"/>
  <c r="G43" i="46"/>
  <c r="P43" i="46" s="1"/>
  <c r="I36" i="13"/>
  <c r="I91" i="7" s="1"/>
  <c r="O166" i="7"/>
  <c r="E166" i="7"/>
  <c r="B167" i="7"/>
  <c r="B113" i="13"/>
  <c r="E112" i="13"/>
  <c r="J407" i="7"/>
  <c r="R39" i="28"/>
  <c r="R407" i="7" s="1"/>
  <c r="F40" i="28"/>
  <c r="H407" i="7"/>
  <c r="Q39" i="28"/>
  <c r="Q407" i="7" s="1"/>
  <c r="AF44" i="40"/>
  <c r="J44" i="40"/>
  <c r="AC44" i="40"/>
  <c r="I44" i="40" s="1"/>
  <c r="Q44" i="40"/>
  <c r="X42" i="40"/>
  <c r="I68" i="32"/>
  <c r="AE68" i="32"/>
  <c r="Z69" i="32"/>
  <c r="AC69" i="32"/>
  <c r="AF69" i="32"/>
  <c r="H69" i="32"/>
  <c r="Q69" i="32" s="1"/>
  <c r="L69" i="32"/>
  <c r="M69" i="32"/>
  <c r="K69" i="32"/>
  <c r="J69" i="32"/>
  <c r="N69" i="32"/>
  <c r="AD68" i="32"/>
  <c r="AB68" i="32" s="1"/>
  <c r="Y68" i="32"/>
  <c r="AA68" i="32" s="1"/>
  <c r="Q68" i="32"/>
  <c r="P68" i="32"/>
  <c r="W66" i="32" s="1"/>
  <c r="F49" i="33"/>
  <c r="I49" i="33" s="1"/>
  <c r="I57" i="30"/>
  <c r="M57" i="30"/>
  <c r="Q56" i="30"/>
  <c r="N57" i="30"/>
  <c r="J57" i="30" s="1"/>
  <c r="K57" i="30"/>
  <c r="P56" i="30"/>
  <c r="W54" i="30" s="1"/>
  <c r="K51" i="37"/>
  <c r="M51" i="37"/>
  <c r="J51" i="37"/>
  <c r="I51" i="37"/>
  <c r="L51" i="37"/>
  <c r="W44" i="46"/>
  <c r="Z44" i="46"/>
  <c r="C124" i="28"/>
  <c r="D124" i="28"/>
  <c r="D492" i="7" s="1"/>
  <c r="B125" i="28"/>
  <c r="X44" i="46"/>
  <c r="E36" i="36"/>
  <c r="C37" i="36"/>
  <c r="B120" i="33"/>
  <c r="D119" i="33"/>
  <c r="C119" i="33"/>
  <c r="B108" i="46"/>
  <c r="E107" i="46"/>
  <c r="T107" i="46"/>
  <c r="AA107" i="46" s="1"/>
  <c r="D107" i="46"/>
  <c r="F36" i="39"/>
  <c r="Z36" i="39"/>
  <c r="B125" i="30"/>
  <c r="C125" i="30"/>
  <c r="D124" i="30"/>
  <c r="B119" i="32"/>
  <c r="D118" i="32"/>
  <c r="C118" i="32"/>
  <c r="D118" i="37"/>
  <c r="B119" i="37"/>
  <c r="C119" i="37"/>
  <c r="K117" i="40"/>
  <c r="E118" i="40"/>
  <c r="Z118" i="40" s="1"/>
  <c r="D118" i="40"/>
  <c r="C119" i="40"/>
  <c r="B140" i="39"/>
  <c r="E139" i="39"/>
  <c r="R139" i="39" s="1"/>
  <c r="C493" i="7"/>
  <c r="B494" i="7"/>
  <c r="C109" i="13"/>
  <c r="K102" i="12"/>
  <c r="C164" i="7"/>
  <c r="C109" i="39"/>
  <c r="C104" i="46"/>
  <c r="G33" i="13" l="1"/>
  <c r="G88" i="7" s="1"/>
  <c r="Q43" i="46"/>
  <c r="F44" i="46" s="1"/>
  <c r="O167" i="7"/>
  <c r="E167" i="7"/>
  <c r="B168" i="7"/>
  <c r="B114" i="13"/>
  <c r="E113" i="13"/>
  <c r="F408" i="7"/>
  <c r="S408" i="7" s="1"/>
  <c r="K40" i="28"/>
  <c r="AD40" i="28"/>
  <c r="AG40" i="28"/>
  <c r="AA40" i="28"/>
  <c r="L40" i="28"/>
  <c r="L408" i="7" s="1"/>
  <c r="N40" i="28"/>
  <c r="M40" i="28"/>
  <c r="M408" i="7" s="1"/>
  <c r="G45" i="40"/>
  <c r="R44" i="40"/>
  <c r="I69" i="32"/>
  <c r="P69" i="32"/>
  <c r="W67" i="32" s="1"/>
  <c r="F70" i="32"/>
  <c r="AG69" i="32"/>
  <c r="AE69" i="32" s="1"/>
  <c r="AD69" i="32"/>
  <c r="AB69" i="32" s="1"/>
  <c r="Y69" i="32"/>
  <c r="AA69" i="32" s="1"/>
  <c r="K49" i="33"/>
  <c r="P49" i="33"/>
  <c r="W47" i="33" s="1"/>
  <c r="N49" i="33"/>
  <c r="J49" i="33" s="1"/>
  <c r="H49" i="33" s="1"/>
  <c r="Q49" i="33" s="1"/>
  <c r="M49" i="33"/>
  <c r="L49" i="33"/>
  <c r="H57" i="30"/>
  <c r="Q57" i="30" s="1"/>
  <c r="H51" i="37"/>
  <c r="P51" i="37"/>
  <c r="W49" i="37" s="1"/>
  <c r="V44" i="46"/>
  <c r="C125" i="28"/>
  <c r="B126" i="28"/>
  <c r="D125" i="28"/>
  <c r="D493" i="7" s="1"/>
  <c r="T108" i="46"/>
  <c r="AA108" i="46" s="1"/>
  <c r="E108" i="46"/>
  <c r="B109" i="46"/>
  <c r="D108" i="46"/>
  <c r="Y36" i="39"/>
  <c r="X36" i="39" s="1"/>
  <c r="L36" i="39"/>
  <c r="J36" i="39"/>
  <c r="S36" i="39"/>
  <c r="T36" i="39" s="1"/>
  <c r="Q36" i="39"/>
  <c r="V36" i="39"/>
  <c r="K36" i="39"/>
  <c r="B121" i="33"/>
  <c r="D120" i="33"/>
  <c r="C120" i="33"/>
  <c r="B126" i="30"/>
  <c r="D125" i="30"/>
  <c r="C126" i="30"/>
  <c r="D119" i="32"/>
  <c r="B120" i="32"/>
  <c r="C119" i="32"/>
  <c r="K118" i="40"/>
  <c r="E119" i="40"/>
  <c r="Z119" i="40" s="1"/>
  <c r="C120" i="40"/>
  <c r="D119" i="40"/>
  <c r="B141" i="39"/>
  <c r="E140" i="39"/>
  <c r="R140" i="39" s="1"/>
  <c r="C120" i="37"/>
  <c r="B120" i="37"/>
  <c r="D119" i="37"/>
  <c r="B495" i="7"/>
  <c r="C494" i="7"/>
  <c r="C110" i="13"/>
  <c r="K103" i="12"/>
  <c r="C165" i="7"/>
  <c r="C105" i="46"/>
  <c r="C110" i="39"/>
  <c r="Q88" i="7" l="1"/>
  <c r="F34" i="13"/>
  <c r="F89" i="7" s="1"/>
  <c r="P88" i="7"/>
  <c r="R33" i="13"/>
  <c r="S33" i="13"/>
  <c r="L44" i="46"/>
  <c r="H44" i="46"/>
  <c r="K44" i="46"/>
  <c r="I44" i="46"/>
  <c r="J44" i="46"/>
  <c r="A44" i="46"/>
  <c r="M44" i="46" s="1"/>
  <c r="AB44" i="46"/>
  <c r="O168" i="7"/>
  <c r="E168" i="7"/>
  <c r="B169" i="7"/>
  <c r="B115" i="13"/>
  <c r="E114" i="13"/>
  <c r="I40" i="28"/>
  <c r="I408" i="7" s="1"/>
  <c r="AH40" i="28"/>
  <c r="N408" i="7"/>
  <c r="AE40" i="28"/>
  <c r="AC40" i="28" s="1"/>
  <c r="Z40" i="28"/>
  <c r="AB40" i="28" s="1"/>
  <c r="K408" i="7"/>
  <c r="X38" i="28"/>
  <c r="AG45" i="40"/>
  <c r="N45" i="40"/>
  <c r="M45" i="40"/>
  <c r="L45" i="40"/>
  <c r="AH45" i="40"/>
  <c r="AD45" i="40"/>
  <c r="AA45" i="40"/>
  <c r="AB45" i="40" s="1"/>
  <c r="Z70" i="32"/>
  <c r="H70" i="32"/>
  <c r="Q70" i="32" s="1"/>
  <c r="K70" i="32"/>
  <c r="J70" i="32"/>
  <c r="M70" i="32"/>
  <c r="N70" i="32"/>
  <c r="AG70" i="32" s="1"/>
  <c r="AF70" i="32"/>
  <c r="L70" i="32"/>
  <c r="AC70" i="32"/>
  <c r="F50" i="33"/>
  <c r="L50" i="33" s="1"/>
  <c r="F58" i="30"/>
  <c r="I58" i="30" s="1"/>
  <c r="P57" i="30"/>
  <c r="W55" i="30" s="1"/>
  <c r="U45" i="46"/>
  <c r="Y45" i="46" s="1"/>
  <c r="F52" i="37"/>
  <c r="Q51" i="37"/>
  <c r="B127" i="28"/>
  <c r="C126" i="28"/>
  <c r="D126" i="28"/>
  <c r="D494" i="7" s="1"/>
  <c r="H36" i="39"/>
  <c r="U36" i="39"/>
  <c r="G36" i="39" s="1"/>
  <c r="D37" i="36" s="1"/>
  <c r="C121" i="33"/>
  <c r="B122" i="33"/>
  <c r="D121" i="33"/>
  <c r="T109" i="46"/>
  <c r="AA109" i="46" s="1"/>
  <c r="E109" i="46"/>
  <c r="D109" i="46"/>
  <c r="B110" i="46"/>
  <c r="C120" i="32"/>
  <c r="B121" i="32"/>
  <c r="D120" i="32"/>
  <c r="B127" i="30"/>
  <c r="D126" i="30"/>
  <c r="C127" i="30"/>
  <c r="K119" i="40"/>
  <c r="C121" i="37"/>
  <c r="B121" i="37"/>
  <c r="D120" i="37"/>
  <c r="D120" i="40"/>
  <c r="C121" i="40"/>
  <c r="E120" i="40"/>
  <c r="Z120" i="40" s="1"/>
  <c r="B142" i="39"/>
  <c r="E141" i="39"/>
  <c r="R141" i="39" s="1"/>
  <c r="C495" i="7"/>
  <c r="B496" i="7"/>
  <c r="C111" i="13"/>
  <c r="K104" i="12"/>
  <c r="C166" i="7"/>
  <c r="C106" i="46"/>
  <c r="C111" i="39"/>
  <c r="Y34" i="13" l="1"/>
  <c r="N34" i="13"/>
  <c r="AB34" i="13"/>
  <c r="L34" i="13"/>
  <c r="K89" i="7" s="1"/>
  <c r="V34" i="13"/>
  <c r="K34" i="13"/>
  <c r="J89" i="7" s="1"/>
  <c r="M34" i="13"/>
  <c r="L89" i="7" s="1"/>
  <c r="R89" i="7"/>
  <c r="G44" i="46"/>
  <c r="O169" i="7"/>
  <c r="E169" i="7"/>
  <c r="B170" i="7"/>
  <c r="E115" i="13"/>
  <c r="B116" i="13"/>
  <c r="AF40" i="28"/>
  <c r="J40" i="28"/>
  <c r="AF45" i="40"/>
  <c r="AC45" i="40"/>
  <c r="I45" i="40" s="1"/>
  <c r="J45" i="40"/>
  <c r="Q45" i="40"/>
  <c r="X43" i="40"/>
  <c r="F71" i="32"/>
  <c r="M71" i="32" s="1"/>
  <c r="I70" i="32"/>
  <c r="Y70" i="32"/>
  <c r="AA70" i="32" s="1"/>
  <c r="AD70" i="32"/>
  <c r="AB70" i="32" s="1"/>
  <c r="P70" i="32"/>
  <c r="W68" i="32" s="1"/>
  <c r="AE70" i="32"/>
  <c r="I36" i="39"/>
  <c r="AC36" i="39" s="1"/>
  <c r="N50" i="33"/>
  <c r="J50" i="33" s="1"/>
  <c r="K50" i="33"/>
  <c r="M50" i="33"/>
  <c r="I50" i="33"/>
  <c r="P50" i="33"/>
  <c r="W48" i="33" s="1"/>
  <c r="K58" i="30"/>
  <c r="M58" i="30"/>
  <c r="N58" i="30"/>
  <c r="J58" i="30" s="1"/>
  <c r="H58" i="30" s="1"/>
  <c r="Q58" i="30" s="1"/>
  <c r="L58" i="30"/>
  <c r="Z45" i="46"/>
  <c r="X45" i="46"/>
  <c r="W45" i="46"/>
  <c r="J52" i="37"/>
  <c r="K52" i="37"/>
  <c r="M52" i="37"/>
  <c r="L52" i="37"/>
  <c r="I52" i="37"/>
  <c r="D127" i="28"/>
  <c r="D495" i="7" s="1"/>
  <c r="B128" i="28"/>
  <c r="C127" i="28"/>
  <c r="D122" i="33"/>
  <c r="B123" i="33"/>
  <c r="C122" i="33"/>
  <c r="T110" i="46"/>
  <c r="AA110" i="46" s="1"/>
  <c r="B111" i="46"/>
  <c r="D110" i="46"/>
  <c r="E110" i="46"/>
  <c r="O36" i="39"/>
  <c r="P36" i="39"/>
  <c r="B128" i="30"/>
  <c r="D127" i="30"/>
  <c r="C128" i="30"/>
  <c r="D121" i="32"/>
  <c r="C121" i="32"/>
  <c r="B122" i="32"/>
  <c r="K120" i="40"/>
  <c r="B143" i="39"/>
  <c r="E142" i="39"/>
  <c r="R142" i="39" s="1"/>
  <c r="D121" i="40"/>
  <c r="E121" i="40"/>
  <c r="Z121" i="40" s="1"/>
  <c r="C122" i="40"/>
  <c r="C122" i="37"/>
  <c r="B122" i="37"/>
  <c r="D121" i="37"/>
  <c r="B497" i="7"/>
  <c r="C496" i="7"/>
  <c r="C112" i="13"/>
  <c r="K105" i="12"/>
  <c r="C167" i="7"/>
  <c r="C107" i="46"/>
  <c r="C112" i="39"/>
  <c r="AC34" i="13" l="1"/>
  <c r="AA34" i="13" s="1"/>
  <c r="H34" i="13"/>
  <c r="H89" i="7" s="1"/>
  <c r="U34" i="13"/>
  <c r="M89" i="7"/>
  <c r="Z34" i="13"/>
  <c r="E25" i="10"/>
  <c r="Q44" i="46"/>
  <c r="F45" i="46" s="1"/>
  <c r="P44" i="46"/>
  <c r="O170" i="7"/>
  <c r="E170" i="7"/>
  <c r="B171" i="7"/>
  <c r="B117" i="13"/>
  <c r="E116" i="13"/>
  <c r="H40" i="28"/>
  <c r="J408" i="7"/>
  <c r="R45" i="40"/>
  <c r="G46" i="40"/>
  <c r="K71" i="32"/>
  <c r="J71" i="32"/>
  <c r="Z71" i="32"/>
  <c r="AC71" i="32"/>
  <c r="AF71" i="32"/>
  <c r="H71" i="32"/>
  <c r="F72" i="32" s="1"/>
  <c r="K72" i="32" s="1"/>
  <c r="N71" i="32"/>
  <c r="Y71" i="32" s="1"/>
  <c r="L71" i="32"/>
  <c r="H50" i="33"/>
  <c r="Q50" i="33" s="1"/>
  <c r="F59" i="30"/>
  <c r="L59" i="30" s="1"/>
  <c r="P58" i="30"/>
  <c r="W56" i="30" s="1"/>
  <c r="V45" i="46"/>
  <c r="P52" i="37"/>
  <c r="W50" i="37" s="1"/>
  <c r="H52" i="37"/>
  <c r="D128" i="28"/>
  <c r="D496" i="7" s="1"/>
  <c r="B129" i="28"/>
  <c r="C128" i="28"/>
  <c r="Z37" i="39"/>
  <c r="F37" i="39"/>
  <c r="E37" i="36"/>
  <c r="C38" i="36"/>
  <c r="B112" i="46"/>
  <c r="T111" i="46"/>
  <c r="AA111" i="46" s="1"/>
  <c r="E111" i="46"/>
  <c r="D111" i="46"/>
  <c r="B124" i="33"/>
  <c r="C123" i="33"/>
  <c r="D123" i="33"/>
  <c r="C122" i="32"/>
  <c r="B123" i="32"/>
  <c r="D122" i="32"/>
  <c r="K121" i="40"/>
  <c r="D128" i="30"/>
  <c r="C129" i="30"/>
  <c r="B129" i="30"/>
  <c r="D122" i="37"/>
  <c r="B123" i="37"/>
  <c r="C123" i="37"/>
  <c r="E122" i="40"/>
  <c r="Z122" i="40" s="1"/>
  <c r="D122" i="40"/>
  <c r="C123" i="40"/>
  <c r="B144" i="39"/>
  <c r="E143" i="39"/>
  <c r="R143" i="39" s="1"/>
  <c r="B498" i="7"/>
  <c r="C497" i="7"/>
  <c r="C113" i="13"/>
  <c r="K106" i="12"/>
  <c r="C168" i="7"/>
  <c r="C113" i="39"/>
  <c r="C108" i="46"/>
  <c r="J34" i="13" l="1"/>
  <c r="W34" i="13"/>
  <c r="X34" i="13"/>
  <c r="H45" i="46"/>
  <c r="I45" i="46"/>
  <c r="K45" i="46"/>
  <c r="A45" i="46"/>
  <c r="M45" i="46" s="1"/>
  <c r="L45" i="46"/>
  <c r="J45" i="46"/>
  <c r="AB45" i="46"/>
  <c r="I37" i="13"/>
  <c r="I92" i="7" s="1"/>
  <c r="O171" i="7"/>
  <c r="E171" i="7"/>
  <c r="B172" i="7"/>
  <c r="E117" i="13"/>
  <c r="B118" i="13"/>
  <c r="R40" i="28"/>
  <c r="R408" i="7" s="1"/>
  <c r="Q40" i="28"/>
  <c r="Q408" i="7" s="1"/>
  <c r="H408" i="7"/>
  <c r="F41" i="28"/>
  <c r="AH46" i="40"/>
  <c r="AG46" i="40"/>
  <c r="N46" i="40"/>
  <c r="L46" i="40"/>
  <c r="AA46" i="40"/>
  <c r="AB46" i="40" s="1"/>
  <c r="AD46" i="40"/>
  <c r="M46" i="40"/>
  <c r="I71" i="32"/>
  <c r="AA71" i="32"/>
  <c r="Q71" i="32"/>
  <c r="P71" i="32"/>
  <c r="W69" i="32" s="1"/>
  <c r="AG71" i="32"/>
  <c r="AE71" i="32" s="1"/>
  <c r="M72" i="32"/>
  <c r="AD71" i="32"/>
  <c r="AB71" i="32" s="1"/>
  <c r="AF72" i="32"/>
  <c r="N72" i="32"/>
  <c r="AG72" i="32" s="1"/>
  <c r="AC72" i="32"/>
  <c r="Z72" i="32"/>
  <c r="H72" i="32"/>
  <c r="F73" i="32" s="1"/>
  <c r="J73" i="32" s="1"/>
  <c r="L72" i="32"/>
  <c r="J72" i="32"/>
  <c r="F51" i="33"/>
  <c r="I51" i="33" s="1"/>
  <c r="I59" i="30"/>
  <c r="N59" i="30"/>
  <c r="J59" i="30" s="1"/>
  <c r="M59" i="30"/>
  <c r="K59" i="30"/>
  <c r="U46" i="46"/>
  <c r="W46" i="46" s="1"/>
  <c r="Q52" i="37"/>
  <c r="F53" i="37"/>
  <c r="B130" i="28"/>
  <c r="C129" i="28"/>
  <c r="D129" i="28"/>
  <c r="D497" i="7" s="1"/>
  <c r="D124" i="33"/>
  <c r="C124" i="33"/>
  <c r="B125" i="33"/>
  <c r="B113" i="46"/>
  <c r="D112" i="46"/>
  <c r="T112" i="46"/>
  <c r="AA112" i="46" s="1"/>
  <c r="E112" i="46"/>
  <c r="S37" i="39"/>
  <c r="T37" i="39" s="1"/>
  <c r="Q37" i="39"/>
  <c r="J37" i="39"/>
  <c r="L37" i="39"/>
  <c r="K37" i="39"/>
  <c r="V37" i="39"/>
  <c r="Y37" i="39"/>
  <c r="X37" i="39" s="1"/>
  <c r="C123" i="32"/>
  <c r="D123" i="32"/>
  <c r="B124" i="32"/>
  <c r="B130" i="30"/>
  <c r="C130" i="30"/>
  <c r="D129" i="30"/>
  <c r="B145" i="39"/>
  <c r="E144" i="39"/>
  <c r="R144" i="39" s="1"/>
  <c r="K122" i="40"/>
  <c r="E123" i="40"/>
  <c r="Z123" i="40" s="1"/>
  <c r="C124" i="40"/>
  <c r="D123" i="40"/>
  <c r="C124" i="37"/>
  <c r="B124" i="37"/>
  <c r="D123" i="37"/>
  <c r="B499" i="7"/>
  <c r="C498" i="7"/>
  <c r="C114" i="13"/>
  <c r="K107" i="12"/>
  <c r="C169" i="7"/>
  <c r="C109" i="46"/>
  <c r="C114" i="39"/>
  <c r="G34" i="13" l="1"/>
  <c r="G89" i="7" s="1"/>
  <c r="G45" i="46"/>
  <c r="O172" i="7"/>
  <c r="E172" i="7"/>
  <c r="B173" i="7"/>
  <c r="B119" i="13"/>
  <c r="E118" i="13"/>
  <c r="N41" i="28"/>
  <c r="N409" i="7" s="1"/>
  <c r="AG41" i="28"/>
  <c r="K41" i="28"/>
  <c r="K409" i="7" s="1"/>
  <c r="L41" i="28"/>
  <c r="L409" i="7" s="1"/>
  <c r="M41" i="28"/>
  <c r="M409" i="7" s="1"/>
  <c r="AA41" i="28"/>
  <c r="F409" i="7"/>
  <c r="S409" i="7" s="1"/>
  <c r="AD41" i="28"/>
  <c r="AC46" i="40"/>
  <c r="I46" i="40" s="1"/>
  <c r="J46" i="40"/>
  <c r="X44" i="40"/>
  <c r="Q46" i="40"/>
  <c r="AF46" i="40"/>
  <c r="I72" i="32"/>
  <c r="AE72" i="32"/>
  <c r="P72" i="32"/>
  <c r="W70" i="32" s="1"/>
  <c r="Y72" i="32"/>
  <c r="AA72" i="32" s="1"/>
  <c r="N73" i="32"/>
  <c r="AG73" i="32" s="1"/>
  <c r="Z73" i="32"/>
  <c r="M73" i="32"/>
  <c r="AD72" i="32"/>
  <c r="AB72" i="32" s="1"/>
  <c r="Q72" i="32"/>
  <c r="H73" i="32"/>
  <c r="Q73" i="32" s="1"/>
  <c r="K73" i="32"/>
  <c r="L73" i="32"/>
  <c r="AC73" i="32"/>
  <c r="AF73" i="32"/>
  <c r="K51" i="33"/>
  <c r="L51" i="33"/>
  <c r="N51" i="33"/>
  <c r="J51" i="33" s="1"/>
  <c r="H51" i="33" s="1"/>
  <c r="F52" i="33" s="1"/>
  <c r="N52" i="33" s="1"/>
  <c r="J52" i="33" s="1"/>
  <c r="P51" i="33"/>
  <c r="W49" i="33" s="1"/>
  <c r="M51" i="33"/>
  <c r="H59" i="30"/>
  <c r="Q59" i="30" s="1"/>
  <c r="Z46" i="46"/>
  <c r="Y46" i="46"/>
  <c r="X46" i="46"/>
  <c r="V46" i="46" s="1"/>
  <c r="K53" i="37"/>
  <c r="J53" i="37"/>
  <c r="M53" i="37"/>
  <c r="L53" i="37"/>
  <c r="I53" i="37"/>
  <c r="B131" i="28"/>
  <c r="C130" i="28"/>
  <c r="D130" i="28"/>
  <c r="D498" i="7" s="1"/>
  <c r="B114" i="46"/>
  <c r="E113" i="46"/>
  <c r="T113" i="46"/>
  <c r="AA113" i="46" s="1"/>
  <c r="D113" i="46"/>
  <c r="B126" i="33"/>
  <c r="D125" i="33"/>
  <c r="C125" i="33"/>
  <c r="U37" i="39"/>
  <c r="G37" i="39" s="1"/>
  <c r="D38" i="36" s="1"/>
  <c r="H37" i="39"/>
  <c r="C124" i="32"/>
  <c r="D124" i="32"/>
  <c r="B125" i="32"/>
  <c r="B131" i="30"/>
  <c r="C131" i="30"/>
  <c r="D130" i="30"/>
  <c r="K123" i="40"/>
  <c r="C125" i="40"/>
  <c r="D124" i="40"/>
  <c r="E124" i="40"/>
  <c r="Z124" i="40" s="1"/>
  <c r="C125" i="37"/>
  <c r="D124" i="37"/>
  <c r="B125" i="37"/>
  <c r="B146" i="39"/>
  <c r="E145" i="39"/>
  <c r="R145" i="39" s="1"/>
  <c r="C499" i="7"/>
  <c r="B500" i="7"/>
  <c r="C115" i="13"/>
  <c r="K108" i="12"/>
  <c r="C170" i="7"/>
  <c r="C110" i="46"/>
  <c r="C115" i="39"/>
  <c r="Q89" i="7" l="1"/>
  <c r="P89" i="7"/>
  <c r="F35" i="13"/>
  <c r="F90" i="7" s="1"/>
  <c r="S34" i="13"/>
  <c r="R34" i="13"/>
  <c r="Q45" i="46"/>
  <c r="F46" i="46" s="1"/>
  <c r="P45" i="46"/>
  <c r="O173" i="7"/>
  <c r="E173" i="7"/>
  <c r="B174" i="7"/>
  <c r="B120" i="13"/>
  <c r="E119" i="13"/>
  <c r="Z41" i="28"/>
  <c r="AB41" i="28" s="1"/>
  <c r="AH41" i="28"/>
  <c r="AF41" i="28" s="1"/>
  <c r="I41" i="28"/>
  <c r="I409" i="7" s="1"/>
  <c r="AE41" i="28"/>
  <c r="AC41" i="28" s="1"/>
  <c r="X39" i="28"/>
  <c r="R46" i="40"/>
  <c r="G47" i="40"/>
  <c r="I73" i="32"/>
  <c r="Y73" i="32"/>
  <c r="AA73" i="32" s="1"/>
  <c r="AD73" i="32"/>
  <c r="AB73" i="32" s="1"/>
  <c r="AE73" i="32"/>
  <c r="P73" i="32"/>
  <c r="W71" i="32" s="1"/>
  <c r="F74" i="32"/>
  <c r="AF74" i="32" s="1"/>
  <c r="I37" i="39"/>
  <c r="AC37" i="39" s="1"/>
  <c r="M52" i="33"/>
  <c r="Q51" i="33"/>
  <c r="K52" i="33"/>
  <c r="L52" i="33"/>
  <c r="I52" i="33"/>
  <c r="H52" i="33" s="1"/>
  <c r="F53" i="33" s="1"/>
  <c r="N53" i="33" s="1"/>
  <c r="J53" i="33" s="1"/>
  <c r="P52" i="33"/>
  <c r="W50" i="33" s="1"/>
  <c r="F60" i="30"/>
  <c r="K60" i="30" s="1"/>
  <c r="P59" i="30"/>
  <c r="W57" i="30" s="1"/>
  <c r="H53" i="37"/>
  <c r="F54" i="37" s="1"/>
  <c r="P53" i="37"/>
  <c r="W51" i="37" s="1"/>
  <c r="D131" i="28"/>
  <c r="D499" i="7" s="1"/>
  <c r="B132" i="28"/>
  <c r="C131" i="28"/>
  <c r="B127" i="33"/>
  <c r="C126" i="33"/>
  <c r="D126" i="33"/>
  <c r="AB46" i="46"/>
  <c r="U47" i="46"/>
  <c r="O37" i="39"/>
  <c r="P37" i="39"/>
  <c r="E114" i="46"/>
  <c r="B115" i="46"/>
  <c r="T114" i="46"/>
  <c r="AA114" i="46" s="1"/>
  <c r="D114" i="46"/>
  <c r="C132" i="30"/>
  <c r="D131" i="30"/>
  <c r="B132" i="30"/>
  <c r="C125" i="32"/>
  <c r="B126" i="32"/>
  <c r="D125" i="32"/>
  <c r="K124" i="40"/>
  <c r="D125" i="37"/>
  <c r="C126" i="37"/>
  <c r="B126" i="37"/>
  <c r="B147" i="39"/>
  <c r="E146" i="39"/>
  <c r="R146" i="39" s="1"/>
  <c r="D125" i="40"/>
  <c r="E125" i="40"/>
  <c r="Z125" i="40" s="1"/>
  <c r="C126" i="40"/>
  <c r="B501" i="7"/>
  <c r="C500" i="7"/>
  <c r="C116" i="13"/>
  <c r="K109" i="12"/>
  <c r="C171" i="7"/>
  <c r="C111" i="46"/>
  <c r="C116" i="39"/>
  <c r="N35" i="13" l="1"/>
  <c r="M90" i="7" s="1"/>
  <c r="R90" i="7"/>
  <c r="Y35" i="13"/>
  <c r="L35" i="13"/>
  <c r="K90" i="7" s="1"/>
  <c r="V35" i="13"/>
  <c r="M35" i="13"/>
  <c r="L90" i="7" s="1"/>
  <c r="K35" i="13"/>
  <c r="J90" i="7" s="1"/>
  <c r="AB35" i="13"/>
  <c r="J46" i="46"/>
  <c r="I46" i="46"/>
  <c r="L46" i="46"/>
  <c r="A46" i="46"/>
  <c r="M46" i="46" s="1"/>
  <c r="H46" i="46"/>
  <c r="K46" i="46"/>
  <c r="O174" i="7"/>
  <c r="E174" i="7"/>
  <c r="B175" i="7"/>
  <c r="B121" i="13"/>
  <c r="E120" i="13"/>
  <c r="P120" i="13"/>
  <c r="J41" i="28"/>
  <c r="H41" i="28" s="1"/>
  <c r="M47" i="40"/>
  <c r="N47" i="40"/>
  <c r="L47" i="40"/>
  <c r="AA47" i="40"/>
  <c r="AB47" i="40" s="1"/>
  <c r="AD47" i="40"/>
  <c r="AH47" i="40"/>
  <c r="AG47" i="40"/>
  <c r="M74" i="32"/>
  <c r="J74" i="32"/>
  <c r="H74" i="32"/>
  <c r="Q74" i="32" s="1"/>
  <c r="L74" i="32"/>
  <c r="N74" i="32"/>
  <c r="AG74" i="32" s="1"/>
  <c r="AE74" i="32" s="1"/>
  <c r="Z74" i="32"/>
  <c r="AC74" i="32"/>
  <c r="K74" i="32"/>
  <c r="L53" i="33"/>
  <c r="Q52" i="33"/>
  <c r="I53" i="33"/>
  <c r="H53" i="33" s="1"/>
  <c r="F54" i="33" s="1"/>
  <c r="P54" i="33" s="1"/>
  <c r="W52" i="33" s="1"/>
  <c r="K53" i="33"/>
  <c r="M53" i="33"/>
  <c r="P53" i="33"/>
  <c r="W51" i="33" s="1"/>
  <c r="M60" i="30"/>
  <c r="N60" i="30"/>
  <c r="J60" i="30" s="1"/>
  <c r="I60" i="30"/>
  <c r="L60" i="30"/>
  <c r="Q53" i="37"/>
  <c r="J54" i="37"/>
  <c r="L54" i="37"/>
  <c r="I54" i="37"/>
  <c r="K54" i="37"/>
  <c r="M54" i="37"/>
  <c r="D132" i="28"/>
  <c r="D500" i="7" s="1"/>
  <c r="B133" i="28"/>
  <c r="C132" i="28"/>
  <c r="B116" i="46"/>
  <c r="T115" i="46"/>
  <c r="AA115" i="46" s="1"/>
  <c r="D115" i="46"/>
  <c r="E115" i="46"/>
  <c r="Z38" i="39"/>
  <c r="F38" i="39"/>
  <c r="C39" i="36"/>
  <c r="E38" i="36"/>
  <c r="X47" i="46"/>
  <c r="W47" i="46"/>
  <c r="Z47" i="46"/>
  <c r="Y47" i="46"/>
  <c r="C127" i="33"/>
  <c r="B128" i="33"/>
  <c r="D127" i="33"/>
  <c r="D126" i="32"/>
  <c r="B127" i="32"/>
  <c r="C126" i="32"/>
  <c r="D132" i="30"/>
  <c r="B133" i="30"/>
  <c r="C133" i="30"/>
  <c r="K125" i="40"/>
  <c r="B148" i="39"/>
  <c r="E147" i="39"/>
  <c r="R147" i="39" s="1"/>
  <c r="D126" i="37"/>
  <c r="B127" i="37"/>
  <c r="C127" i="37"/>
  <c r="E126" i="40"/>
  <c r="Z126" i="40" s="1"/>
  <c r="C127" i="40"/>
  <c r="D126" i="40"/>
  <c r="B502" i="7"/>
  <c r="C501" i="7"/>
  <c r="C117" i="13"/>
  <c r="K110" i="12"/>
  <c r="C172" i="7"/>
  <c r="C117" i="39"/>
  <c r="C112" i="46"/>
  <c r="U35" i="13" l="1"/>
  <c r="Z35" i="13"/>
  <c r="AC35" i="13"/>
  <c r="H35" i="13"/>
  <c r="H90" i="7" s="1"/>
  <c r="E26" i="10"/>
  <c r="G46" i="46"/>
  <c r="I38" i="13"/>
  <c r="I93" i="7" s="1"/>
  <c r="E175" i="7"/>
  <c r="O175" i="7"/>
  <c r="B176" i="7"/>
  <c r="B122" i="13"/>
  <c r="E121" i="13"/>
  <c r="J409" i="7"/>
  <c r="R41" i="28"/>
  <c r="R409" i="7" s="1"/>
  <c r="Q41" i="28"/>
  <c r="Q409" i="7" s="1"/>
  <c r="H409" i="7"/>
  <c r="F42" i="28"/>
  <c r="AF47" i="40"/>
  <c r="J47" i="40"/>
  <c r="AC47" i="40"/>
  <c r="I47" i="40" s="1"/>
  <c r="Q47" i="40"/>
  <c r="X45" i="40"/>
  <c r="I74" i="32"/>
  <c r="P74" i="32"/>
  <c r="W72" i="32" s="1"/>
  <c r="F75" i="32"/>
  <c r="N75" i="32" s="1"/>
  <c r="AG75" i="32" s="1"/>
  <c r="AD74" i="32"/>
  <c r="AB74" i="32" s="1"/>
  <c r="Y74" i="32"/>
  <c r="AA74" i="32" s="1"/>
  <c r="Q53" i="33"/>
  <c r="L54" i="33"/>
  <c r="N54" i="33"/>
  <c r="J54" i="33" s="1"/>
  <c r="M54" i="33"/>
  <c r="K54" i="33"/>
  <c r="I54" i="33"/>
  <c r="H60" i="30"/>
  <c r="Q60" i="30" s="1"/>
  <c r="P54" i="37"/>
  <c r="W52" i="37" s="1"/>
  <c r="H54" i="37"/>
  <c r="Q54" i="37" s="1"/>
  <c r="C133" i="28"/>
  <c r="D133" i="28"/>
  <c r="D501" i="7" s="1"/>
  <c r="B134" i="28"/>
  <c r="V47" i="46"/>
  <c r="C128" i="33"/>
  <c r="B129" i="33"/>
  <c r="D128" i="33"/>
  <c r="S38" i="39"/>
  <c r="T38" i="39" s="1"/>
  <c r="V38" i="39"/>
  <c r="K38" i="39"/>
  <c r="Q38" i="39"/>
  <c r="Y38" i="39"/>
  <c r="X38" i="39" s="1"/>
  <c r="L38" i="39"/>
  <c r="J38" i="39"/>
  <c r="B117" i="46"/>
  <c r="E116" i="46"/>
  <c r="T116" i="46"/>
  <c r="AA116" i="46" s="1"/>
  <c r="D116" i="46"/>
  <c r="D133" i="30"/>
  <c r="B134" i="30"/>
  <c r="C134" i="30"/>
  <c r="B128" i="32"/>
  <c r="C127" i="32"/>
  <c r="D127" i="32"/>
  <c r="D127" i="37"/>
  <c r="C128" i="37"/>
  <c r="B128" i="37"/>
  <c r="K126" i="40"/>
  <c r="B149" i="39"/>
  <c r="E148" i="39"/>
  <c r="R148" i="39" s="1"/>
  <c r="E127" i="40"/>
  <c r="Z127" i="40" s="1"/>
  <c r="C128" i="40"/>
  <c r="D127" i="40"/>
  <c r="B503" i="7"/>
  <c r="C502" i="7"/>
  <c r="K111" i="12"/>
  <c r="C118" i="13"/>
  <c r="C173" i="7"/>
  <c r="C113" i="46"/>
  <c r="C118" i="39"/>
  <c r="J35" i="13" l="1"/>
  <c r="X35" i="13"/>
  <c r="W35" i="13"/>
  <c r="AA35" i="13"/>
  <c r="P46" i="46"/>
  <c r="Q46" i="46"/>
  <c r="F47" i="46" s="1"/>
  <c r="E176" i="7"/>
  <c r="O176" i="7"/>
  <c r="B177" i="7"/>
  <c r="B123" i="13"/>
  <c r="E122" i="13"/>
  <c r="L42" i="28"/>
  <c r="L410" i="7" s="1"/>
  <c r="AG42" i="28"/>
  <c r="AD42" i="28"/>
  <c r="K42" i="28"/>
  <c r="N42" i="28"/>
  <c r="AA42" i="28"/>
  <c r="M42" i="28"/>
  <c r="M410" i="7" s="1"/>
  <c r="F410" i="7"/>
  <c r="S410" i="7" s="1"/>
  <c r="G48" i="40"/>
  <c r="R47" i="40"/>
  <c r="AC75" i="32"/>
  <c r="Z75" i="32"/>
  <c r="J75" i="32"/>
  <c r="L75" i="32"/>
  <c r="Y75" i="32"/>
  <c r="AD75" i="32"/>
  <c r="AF75" i="32"/>
  <c r="K75" i="32"/>
  <c r="M75" i="32"/>
  <c r="H75" i="32"/>
  <c r="Q75" i="32" s="1"/>
  <c r="H54" i="33"/>
  <c r="F61" i="30"/>
  <c r="M61" i="30" s="1"/>
  <c r="P60" i="30"/>
  <c r="W58" i="30" s="1"/>
  <c r="F55" i="37"/>
  <c r="L55" i="37" s="1"/>
  <c r="C134" i="28"/>
  <c r="D134" i="28"/>
  <c r="D502" i="7" s="1"/>
  <c r="B135" i="28"/>
  <c r="U38" i="39"/>
  <c r="G38" i="39" s="1"/>
  <c r="D39" i="36" s="1"/>
  <c r="H38" i="39"/>
  <c r="B130" i="33"/>
  <c r="C129" i="33"/>
  <c r="D129" i="33"/>
  <c r="D117" i="46"/>
  <c r="T117" i="46"/>
  <c r="AA117" i="46" s="1"/>
  <c r="E117" i="46"/>
  <c r="B118" i="46"/>
  <c r="U48" i="46"/>
  <c r="AB47" i="46"/>
  <c r="D128" i="32"/>
  <c r="B129" i="32"/>
  <c r="C128" i="32"/>
  <c r="B135" i="30"/>
  <c r="C135" i="30"/>
  <c r="D134" i="30"/>
  <c r="K127" i="40"/>
  <c r="C129" i="37"/>
  <c r="D128" i="37"/>
  <c r="B129" i="37"/>
  <c r="D128" i="40"/>
  <c r="C129" i="40"/>
  <c r="E128" i="40"/>
  <c r="Z128" i="40" s="1"/>
  <c r="B150" i="39"/>
  <c r="E149" i="39"/>
  <c r="R149" i="39" s="1"/>
  <c r="B504" i="7"/>
  <c r="C503" i="7"/>
  <c r="C119" i="13"/>
  <c r="K112" i="12"/>
  <c r="C174" i="7"/>
  <c r="C114" i="46"/>
  <c r="C119" i="39"/>
  <c r="G35" i="13" l="1"/>
  <c r="G90" i="7" s="1"/>
  <c r="P90" i="7"/>
  <c r="F36" i="13"/>
  <c r="F91" i="7" s="1"/>
  <c r="R91" i="7" s="1"/>
  <c r="R35" i="13"/>
  <c r="H47" i="46"/>
  <c r="A47" i="46"/>
  <c r="M47" i="46" s="1"/>
  <c r="K47" i="46"/>
  <c r="L47" i="46"/>
  <c r="J47" i="46"/>
  <c r="I47" i="46"/>
  <c r="E177" i="7"/>
  <c r="O177" i="7"/>
  <c r="B178" i="7"/>
  <c r="B124" i="13"/>
  <c r="E123" i="13"/>
  <c r="I42" i="28"/>
  <c r="I410" i="7" s="1"/>
  <c r="N410" i="7"/>
  <c r="AE42" i="28"/>
  <c r="AC42" i="28" s="1"/>
  <c r="AH42" i="28"/>
  <c r="Z42" i="28"/>
  <c r="AB42" i="28" s="1"/>
  <c r="K410" i="7"/>
  <c r="X40" i="28"/>
  <c r="AA48" i="40"/>
  <c r="AB48" i="40" s="1"/>
  <c r="AD48" i="40"/>
  <c r="M48" i="40"/>
  <c r="AG48" i="40"/>
  <c r="AH48" i="40"/>
  <c r="N48" i="40"/>
  <c r="L48" i="40"/>
  <c r="AA75" i="32"/>
  <c r="I75" i="32"/>
  <c r="AB75" i="32"/>
  <c r="P75" i="32"/>
  <c r="W73" i="32" s="1"/>
  <c r="AE75" i="32"/>
  <c r="F76" i="32"/>
  <c r="M76" i="32" s="1"/>
  <c r="L61" i="30"/>
  <c r="I38" i="39"/>
  <c r="AC38" i="39" s="1"/>
  <c r="I61" i="30"/>
  <c r="K61" i="30"/>
  <c r="N61" i="30"/>
  <c r="J61" i="30" s="1"/>
  <c r="Q54" i="33"/>
  <c r="F55" i="33"/>
  <c r="I55" i="37"/>
  <c r="J55" i="37"/>
  <c r="M55" i="37"/>
  <c r="K55" i="37"/>
  <c r="C135" i="28"/>
  <c r="B136" i="28"/>
  <c r="D135" i="28"/>
  <c r="D503" i="7" s="1"/>
  <c r="C130" i="33"/>
  <c r="B131" i="33"/>
  <c r="D130" i="33"/>
  <c r="X48" i="46"/>
  <c r="Y48" i="46"/>
  <c r="Z48" i="46"/>
  <c r="W48" i="46"/>
  <c r="B119" i="46"/>
  <c r="D118" i="46"/>
  <c r="T118" i="46"/>
  <c r="AA118" i="46" s="1"/>
  <c r="E118" i="46"/>
  <c r="O38" i="39"/>
  <c r="P38" i="39"/>
  <c r="C136" i="30"/>
  <c r="B136" i="30"/>
  <c r="D135" i="30"/>
  <c r="C129" i="32"/>
  <c r="D129" i="32"/>
  <c r="B130" i="32"/>
  <c r="D129" i="40"/>
  <c r="E129" i="40"/>
  <c r="Z129" i="40" s="1"/>
  <c r="C130" i="40"/>
  <c r="B151" i="39"/>
  <c r="E150" i="39"/>
  <c r="R150" i="39" s="1"/>
  <c r="D129" i="37"/>
  <c r="C130" i="37"/>
  <c r="B130" i="37"/>
  <c r="K128" i="40"/>
  <c r="B505" i="7"/>
  <c r="C504" i="7"/>
  <c r="C120" i="13"/>
  <c r="K113" i="12"/>
  <c r="C175" i="7"/>
  <c r="C115" i="46"/>
  <c r="C120" i="39"/>
  <c r="S35" i="13" l="1"/>
  <c r="Q90" i="7"/>
  <c r="V36" i="13"/>
  <c r="AB36" i="13"/>
  <c r="L36" i="13"/>
  <c r="K91" i="7" s="1"/>
  <c r="N36" i="13"/>
  <c r="M91" i="7" s="1"/>
  <c r="M36" i="13"/>
  <c r="L91" i="7" s="1"/>
  <c r="Y36" i="13"/>
  <c r="K36" i="13"/>
  <c r="J91" i="7" s="1"/>
  <c r="G47" i="46"/>
  <c r="Q47" i="46" s="1"/>
  <c r="F48" i="46" s="1"/>
  <c r="E178" i="7"/>
  <c r="O178" i="7"/>
  <c r="B179" i="7"/>
  <c r="B125" i="13"/>
  <c r="E124" i="13"/>
  <c r="AF42" i="28"/>
  <c r="J42" i="28"/>
  <c r="AF48" i="40"/>
  <c r="X46" i="40"/>
  <c r="Q48" i="40"/>
  <c r="J48" i="40"/>
  <c r="AC48" i="40"/>
  <c r="I48" i="40" s="1"/>
  <c r="H76" i="32"/>
  <c r="F77" i="32" s="1"/>
  <c r="K77" i="32" s="1"/>
  <c r="L76" i="32"/>
  <c r="AC76" i="32"/>
  <c r="N76" i="32"/>
  <c r="Y76" i="32" s="1"/>
  <c r="J76" i="32"/>
  <c r="K76" i="32"/>
  <c r="AF76" i="32"/>
  <c r="Z76" i="32"/>
  <c r="H61" i="30"/>
  <c r="F62" i="30" s="1"/>
  <c r="I62" i="30" s="1"/>
  <c r="I55" i="33"/>
  <c r="K55" i="33"/>
  <c r="M55" i="33"/>
  <c r="N55" i="33"/>
  <c r="J55" i="33" s="1"/>
  <c r="P55" i="33"/>
  <c r="W53" i="33" s="1"/>
  <c r="L55" i="33"/>
  <c r="H55" i="37"/>
  <c r="Q55" i="37" s="1"/>
  <c r="P55" i="37"/>
  <c r="W53" i="37" s="1"/>
  <c r="D136" i="28"/>
  <c r="D504" i="7" s="1"/>
  <c r="B137" i="28"/>
  <c r="C136" i="28"/>
  <c r="V48" i="46"/>
  <c r="F39" i="39"/>
  <c r="Z39" i="39"/>
  <c r="E39" i="36"/>
  <c r="C40" i="36"/>
  <c r="D119" i="46"/>
  <c r="E119" i="46"/>
  <c r="T119" i="46"/>
  <c r="AA119" i="46" s="1"/>
  <c r="B120" i="46"/>
  <c r="B132" i="33"/>
  <c r="C131" i="33"/>
  <c r="D131" i="33"/>
  <c r="B131" i="32"/>
  <c r="C130" i="32"/>
  <c r="D130" i="32"/>
  <c r="D136" i="30"/>
  <c r="C137" i="30"/>
  <c r="B137" i="30"/>
  <c r="K129" i="40"/>
  <c r="E130" i="40"/>
  <c r="Z130" i="40" s="1"/>
  <c r="D130" i="40"/>
  <c r="C131" i="40"/>
  <c r="D130" i="37"/>
  <c r="C131" i="37"/>
  <c r="B131" i="37"/>
  <c r="B152" i="39"/>
  <c r="E151" i="39"/>
  <c r="R151" i="39" s="1"/>
  <c r="B506" i="7"/>
  <c r="C505" i="7"/>
  <c r="C121" i="13"/>
  <c r="K114" i="12"/>
  <c r="C176" i="7"/>
  <c r="C121" i="39"/>
  <c r="C116" i="46"/>
  <c r="H36" i="13" l="1"/>
  <c r="H91" i="7" s="1"/>
  <c r="Z36" i="13"/>
  <c r="U36" i="13"/>
  <c r="AC36" i="13"/>
  <c r="E27" i="10"/>
  <c r="P47" i="46"/>
  <c r="A48" i="46"/>
  <c r="M48" i="46" s="1"/>
  <c r="I48" i="46"/>
  <c r="J48" i="46"/>
  <c r="H48" i="46"/>
  <c r="L48" i="46"/>
  <c r="K48" i="46"/>
  <c r="AB48" i="46"/>
  <c r="I39" i="13"/>
  <c r="I94" i="7" s="1"/>
  <c r="E179" i="7"/>
  <c r="O179" i="7"/>
  <c r="B180" i="7"/>
  <c r="B126" i="13"/>
  <c r="E125" i="13"/>
  <c r="J410" i="7"/>
  <c r="H42" i="28"/>
  <c r="G49" i="40"/>
  <c r="R48" i="40"/>
  <c r="Q76" i="32"/>
  <c r="H77" i="32"/>
  <c r="F78" i="32" s="1"/>
  <c r="K78" i="32" s="1"/>
  <c r="N77" i="32"/>
  <c r="AD77" i="32" s="1"/>
  <c r="Z77" i="32"/>
  <c r="J77" i="32"/>
  <c r="AF77" i="32"/>
  <c r="M77" i="32"/>
  <c r="I76" i="32"/>
  <c r="L77" i="32"/>
  <c r="AC77" i="32"/>
  <c r="P76" i="32"/>
  <c r="W74" i="32" s="1"/>
  <c r="AD76" i="32"/>
  <c r="AB76" i="32" s="1"/>
  <c r="AA76" i="32"/>
  <c r="AG76" i="32"/>
  <c r="AE76" i="32" s="1"/>
  <c r="N62" i="30"/>
  <c r="J62" i="30" s="1"/>
  <c r="H62" i="30" s="1"/>
  <c r="K62" i="30"/>
  <c r="M62" i="30"/>
  <c r="L62" i="30"/>
  <c r="P61" i="30"/>
  <c r="W59" i="30" s="1"/>
  <c r="Q61" i="30"/>
  <c r="H55" i="33"/>
  <c r="Q55" i="33" s="1"/>
  <c r="F56" i="37"/>
  <c r="K56" i="37" s="1"/>
  <c r="B138" i="28"/>
  <c r="C137" i="28"/>
  <c r="D137" i="28"/>
  <c r="D505" i="7" s="1"/>
  <c r="U49" i="46"/>
  <c r="Z49" i="46" s="1"/>
  <c r="B133" i="33"/>
  <c r="D132" i="33"/>
  <c r="C132" i="33"/>
  <c r="T120" i="46"/>
  <c r="AA120" i="46" s="1"/>
  <c r="E120" i="46"/>
  <c r="D120" i="46"/>
  <c r="B121" i="46"/>
  <c r="S39" i="39"/>
  <c r="T39" i="39" s="1"/>
  <c r="L39" i="39"/>
  <c r="V39" i="39"/>
  <c r="K39" i="39"/>
  <c r="Y39" i="39"/>
  <c r="X39" i="39" s="1"/>
  <c r="Q39" i="39"/>
  <c r="J39" i="39"/>
  <c r="B138" i="30"/>
  <c r="D137" i="30"/>
  <c r="C138" i="30"/>
  <c r="C131" i="32"/>
  <c r="D131" i="32"/>
  <c r="B132" i="32"/>
  <c r="E131" i="40"/>
  <c r="Z131" i="40" s="1"/>
  <c r="C132" i="40"/>
  <c r="D131" i="40"/>
  <c r="B153" i="39"/>
  <c r="E152" i="39"/>
  <c r="R152" i="39" s="1"/>
  <c r="B132" i="37"/>
  <c r="C132" i="37"/>
  <c r="D131" i="37"/>
  <c r="K130" i="40"/>
  <c r="B507" i="7"/>
  <c r="C506" i="7"/>
  <c r="C122" i="13"/>
  <c r="K115" i="12"/>
  <c r="C177" i="7"/>
  <c r="C117" i="46"/>
  <c r="C122" i="39"/>
  <c r="X36" i="13" l="1"/>
  <c r="J36" i="13"/>
  <c r="W36" i="13"/>
  <c r="AA36" i="13"/>
  <c r="G48" i="46"/>
  <c r="O180" i="7"/>
  <c r="E180" i="7"/>
  <c r="B181" i="7"/>
  <c r="E126" i="13"/>
  <c r="B127" i="13"/>
  <c r="H410" i="7"/>
  <c r="Q42" i="28"/>
  <c r="Q410" i="7" s="1"/>
  <c r="R42" i="28"/>
  <c r="R410" i="7" s="1"/>
  <c r="F43" i="28"/>
  <c r="N49" i="40"/>
  <c r="AD49" i="40"/>
  <c r="AH49" i="40"/>
  <c r="L49" i="40"/>
  <c r="M49" i="40"/>
  <c r="AA49" i="40"/>
  <c r="AB49" i="40" s="1"/>
  <c r="AG49" i="40"/>
  <c r="I77" i="32"/>
  <c r="Z78" i="32"/>
  <c r="L78" i="32"/>
  <c r="Y77" i="32"/>
  <c r="AA77" i="32" s="1"/>
  <c r="AC78" i="32"/>
  <c r="AG77" i="32"/>
  <c r="AE77" i="32" s="1"/>
  <c r="AF78" i="32"/>
  <c r="J78" i="32"/>
  <c r="Q77" i="32"/>
  <c r="M78" i="32"/>
  <c r="H78" i="32"/>
  <c r="F79" i="32" s="1"/>
  <c r="N79" i="32" s="1"/>
  <c r="Y79" i="32" s="1"/>
  <c r="P77" i="32"/>
  <c r="W75" i="32" s="1"/>
  <c r="N78" i="32"/>
  <c r="Y78" i="32" s="1"/>
  <c r="AB77" i="32"/>
  <c r="P62" i="30"/>
  <c r="W60" i="30" s="1"/>
  <c r="F56" i="33"/>
  <c r="L56" i="33" s="1"/>
  <c r="J56" i="37"/>
  <c r="I56" i="37"/>
  <c r="L56" i="37"/>
  <c r="M56" i="37"/>
  <c r="C138" i="28"/>
  <c r="B139" i="28"/>
  <c r="D138" i="28"/>
  <c r="D506" i="7" s="1"/>
  <c r="W49" i="46"/>
  <c r="X49" i="46"/>
  <c r="Y49" i="46"/>
  <c r="U39" i="39"/>
  <c r="G39" i="39" s="1"/>
  <c r="D40" i="36" s="1"/>
  <c r="H39" i="39"/>
  <c r="C133" i="33"/>
  <c r="B134" i="33"/>
  <c r="D133" i="33"/>
  <c r="B122" i="46"/>
  <c r="T121" i="46"/>
  <c r="AA121" i="46" s="1"/>
  <c r="E121" i="46"/>
  <c r="D121" i="46"/>
  <c r="D132" i="32"/>
  <c r="C132" i="32"/>
  <c r="B133" i="32"/>
  <c r="B139" i="30"/>
  <c r="D138" i="30"/>
  <c r="C139" i="30"/>
  <c r="K131" i="40"/>
  <c r="C133" i="37"/>
  <c r="B133" i="37"/>
  <c r="D132" i="37"/>
  <c r="B154" i="39"/>
  <c r="E153" i="39"/>
  <c r="R153" i="39" s="1"/>
  <c r="Q62" i="30"/>
  <c r="F63" i="30"/>
  <c r="N63" i="30" s="1"/>
  <c r="J63" i="30" s="1"/>
  <c r="C133" i="40"/>
  <c r="D132" i="40"/>
  <c r="E132" i="40"/>
  <c r="Z132" i="40" s="1"/>
  <c r="C507" i="7"/>
  <c r="B508" i="7"/>
  <c r="C123" i="13"/>
  <c r="K116" i="12"/>
  <c r="C178" i="7"/>
  <c r="C118" i="46"/>
  <c r="C123" i="39"/>
  <c r="G36" i="13" l="1"/>
  <c r="G91" i="7" s="1"/>
  <c r="P48" i="46"/>
  <c r="Q48" i="46"/>
  <c r="F49" i="46" s="1"/>
  <c r="O181" i="7"/>
  <c r="E181" i="7"/>
  <c r="B182" i="7"/>
  <c r="B128" i="13"/>
  <c r="E127" i="13"/>
  <c r="M43" i="28"/>
  <c r="M411" i="7" s="1"/>
  <c r="AD43" i="28"/>
  <c r="AA43" i="28"/>
  <c r="N43" i="28"/>
  <c r="K43" i="28"/>
  <c r="AG43" i="28"/>
  <c r="F411" i="7"/>
  <c r="S411" i="7" s="1"/>
  <c r="L43" i="28"/>
  <c r="L411" i="7" s="1"/>
  <c r="X47" i="40"/>
  <c r="Q49" i="40"/>
  <c r="AF49" i="40"/>
  <c r="J49" i="40"/>
  <c r="AC49" i="40"/>
  <c r="I49" i="40" s="1"/>
  <c r="I78" i="32"/>
  <c r="AA78" i="32"/>
  <c r="AF79" i="32"/>
  <c r="AC79" i="32"/>
  <c r="J79" i="32"/>
  <c r="Z79" i="32"/>
  <c r="AA79" i="32" s="1"/>
  <c r="K79" i="32"/>
  <c r="AD79" i="32"/>
  <c r="AG79" i="32"/>
  <c r="M79" i="32"/>
  <c r="H79" i="32"/>
  <c r="Q79" i="32" s="1"/>
  <c r="L79" i="32"/>
  <c r="P78" i="32"/>
  <c r="W76" i="32" s="1"/>
  <c r="AG78" i="32"/>
  <c r="AE78" i="32" s="1"/>
  <c r="Q78" i="32"/>
  <c r="AD78" i="32"/>
  <c r="AB78" i="32" s="1"/>
  <c r="I39" i="39"/>
  <c r="AC39" i="39" s="1"/>
  <c r="K56" i="33"/>
  <c r="M56" i="33"/>
  <c r="P56" i="33"/>
  <c r="W54" i="33" s="1"/>
  <c r="I56" i="33"/>
  <c r="N56" i="33"/>
  <c r="J56" i="33" s="1"/>
  <c r="P56" i="37"/>
  <c r="W54" i="37" s="1"/>
  <c r="H56" i="37"/>
  <c r="F57" i="37" s="1"/>
  <c r="V49" i="46"/>
  <c r="C139" i="28"/>
  <c r="B140" i="28"/>
  <c r="D139" i="28"/>
  <c r="D507" i="7" s="1"/>
  <c r="C134" i="33"/>
  <c r="B135" i="33"/>
  <c r="D134" i="33"/>
  <c r="O39" i="39"/>
  <c r="P39" i="39"/>
  <c r="B123" i="46"/>
  <c r="E122" i="46"/>
  <c r="T122" i="46"/>
  <c r="AA122" i="46" s="1"/>
  <c r="D122" i="46"/>
  <c r="D139" i="30"/>
  <c r="C140" i="30"/>
  <c r="B140" i="30"/>
  <c r="B134" i="32"/>
  <c r="C133" i="32"/>
  <c r="D133" i="32"/>
  <c r="L63" i="30"/>
  <c r="I63" i="30"/>
  <c r="H63" i="30" s="1"/>
  <c r="M63" i="30"/>
  <c r="K63" i="30"/>
  <c r="K132" i="40"/>
  <c r="B155" i="39"/>
  <c r="E154" i="39"/>
  <c r="R154" i="39" s="1"/>
  <c r="E133" i="40"/>
  <c r="Z133" i="40" s="1"/>
  <c r="D133" i="40"/>
  <c r="C134" i="40"/>
  <c r="B134" i="37"/>
  <c r="C134" i="37"/>
  <c r="D133" i="37"/>
  <c r="B509" i="7"/>
  <c r="C508" i="7"/>
  <c r="C124" i="13"/>
  <c r="K117" i="12"/>
  <c r="C179" i="7"/>
  <c r="C119" i="46"/>
  <c r="C124" i="39"/>
  <c r="Q91" i="7" l="1"/>
  <c r="R36" i="13"/>
  <c r="F37" i="13"/>
  <c r="K37" i="13" s="1"/>
  <c r="J92" i="7" s="1"/>
  <c r="S36" i="13"/>
  <c r="P91" i="7"/>
  <c r="H49" i="46"/>
  <c r="L49" i="46"/>
  <c r="K49" i="46"/>
  <c r="J49" i="46"/>
  <c r="I49" i="46"/>
  <c r="A49" i="46"/>
  <c r="M49" i="46" s="1"/>
  <c r="U50" i="46"/>
  <c r="Y50" i="46" s="1"/>
  <c r="O182" i="7"/>
  <c r="E182" i="7"/>
  <c r="B183" i="7"/>
  <c r="I43" i="28"/>
  <c r="I411" i="7" s="1"/>
  <c r="E128" i="13"/>
  <c r="B129" i="13"/>
  <c r="K411" i="7"/>
  <c r="X41" i="28"/>
  <c r="Z43" i="28"/>
  <c r="AB43" i="28" s="1"/>
  <c r="AE43" i="28"/>
  <c r="AC43" i="28" s="1"/>
  <c r="AH43" i="28"/>
  <c r="N411" i="7"/>
  <c r="G50" i="40"/>
  <c r="R49" i="40"/>
  <c r="I79" i="32"/>
  <c r="AB79" i="32"/>
  <c r="AE79" i="32"/>
  <c r="P79" i="32"/>
  <c r="W77" i="32" s="1"/>
  <c r="F80" i="32"/>
  <c r="Z80" i="32" s="1"/>
  <c r="H56" i="33"/>
  <c r="F57" i="33" s="1"/>
  <c r="Q56" i="37"/>
  <c r="K57" i="37"/>
  <c r="L57" i="37"/>
  <c r="I57" i="37"/>
  <c r="M57" i="37"/>
  <c r="J57" i="37"/>
  <c r="AB49" i="46"/>
  <c r="D140" i="28"/>
  <c r="D508" i="7" s="1"/>
  <c r="C140" i="28"/>
  <c r="B141" i="28"/>
  <c r="B124" i="46"/>
  <c r="D123" i="46"/>
  <c r="E123" i="46"/>
  <c r="T123" i="46"/>
  <c r="AA123" i="46" s="1"/>
  <c r="F40" i="39"/>
  <c r="Z40" i="39"/>
  <c r="C41" i="36"/>
  <c r="E40" i="36"/>
  <c r="B136" i="33"/>
  <c r="C135" i="33"/>
  <c r="D135" i="33"/>
  <c r="B135" i="32"/>
  <c r="C134" i="32"/>
  <c r="D134" i="32"/>
  <c r="B141" i="30"/>
  <c r="C141" i="30"/>
  <c r="D140" i="30"/>
  <c r="K133" i="40"/>
  <c r="B156" i="39"/>
  <c r="E155" i="39"/>
  <c r="R155" i="39" s="1"/>
  <c r="D134" i="40"/>
  <c r="C135" i="40"/>
  <c r="E134" i="40"/>
  <c r="Z134" i="40" s="1"/>
  <c r="D134" i="37"/>
  <c r="C135" i="37"/>
  <c r="B135" i="37"/>
  <c r="F64" i="30"/>
  <c r="P63" i="30"/>
  <c r="W61" i="30" s="1"/>
  <c r="Q63" i="30"/>
  <c r="C509" i="7"/>
  <c r="B510" i="7"/>
  <c r="C125" i="13"/>
  <c r="K118" i="12"/>
  <c r="C180" i="7"/>
  <c r="C125" i="39"/>
  <c r="C120" i="46"/>
  <c r="AB37" i="13" l="1"/>
  <c r="F92" i="7"/>
  <c r="R92" i="7" s="1"/>
  <c r="V37" i="13"/>
  <c r="M37" i="13"/>
  <c r="L92" i="7" s="1"/>
  <c r="L37" i="13"/>
  <c r="K92" i="7" s="1"/>
  <c r="Y37" i="13"/>
  <c r="N37" i="13"/>
  <c r="M92" i="7" s="1"/>
  <c r="G49" i="46"/>
  <c r="Z50" i="46"/>
  <c r="X50" i="46"/>
  <c r="W50" i="46"/>
  <c r="I40" i="13"/>
  <c r="I95" i="7" s="1"/>
  <c r="O183" i="7"/>
  <c r="E183" i="7"/>
  <c r="B184" i="7"/>
  <c r="B130" i="13"/>
  <c r="E129" i="13"/>
  <c r="AF43" i="28"/>
  <c r="J43" i="28"/>
  <c r="M50" i="40"/>
  <c r="AH50" i="40"/>
  <c r="L50" i="40"/>
  <c r="AA50" i="40"/>
  <c r="AB50" i="40" s="1"/>
  <c r="AD50" i="40"/>
  <c r="N50" i="40"/>
  <c r="AG50" i="40"/>
  <c r="K80" i="32"/>
  <c r="L80" i="32"/>
  <c r="AC80" i="32"/>
  <c r="N80" i="32"/>
  <c r="AD80" i="32" s="1"/>
  <c r="AF80" i="32"/>
  <c r="M80" i="32"/>
  <c r="H80" i="32"/>
  <c r="Q80" i="32" s="1"/>
  <c r="J80" i="32"/>
  <c r="Q56" i="33"/>
  <c r="K57" i="33"/>
  <c r="P57" i="33"/>
  <c r="W55" i="33" s="1"/>
  <c r="M57" i="33"/>
  <c r="I57" i="33"/>
  <c r="L57" i="33"/>
  <c r="N57" i="33"/>
  <c r="J57" i="33" s="1"/>
  <c r="P57" i="37"/>
  <c r="W55" i="37" s="1"/>
  <c r="H57" i="37"/>
  <c r="D141" i="28"/>
  <c r="D509" i="7" s="1"/>
  <c r="B142" i="28"/>
  <c r="C141" i="28"/>
  <c r="B137" i="33"/>
  <c r="D136" i="33"/>
  <c r="C136" i="33"/>
  <c r="T124" i="46"/>
  <c r="AA124" i="46" s="1"/>
  <c r="B125" i="46"/>
  <c r="E124" i="46"/>
  <c r="D124" i="46"/>
  <c r="S40" i="39"/>
  <c r="T40" i="39" s="1"/>
  <c r="L40" i="39"/>
  <c r="J40" i="39"/>
  <c r="Y40" i="39"/>
  <c r="X40" i="39" s="1"/>
  <c r="V40" i="39"/>
  <c r="K40" i="39"/>
  <c r="Q40" i="39"/>
  <c r="C142" i="30"/>
  <c r="D141" i="30"/>
  <c r="B142" i="30"/>
  <c r="D135" i="32"/>
  <c r="C135" i="32"/>
  <c r="B136" i="32"/>
  <c r="K134" i="40"/>
  <c r="B136" i="37"/>
  <c r="D135" i="37"/>
  <c r="C136" i="37"/>
  <c r="D135" i="40"/>
  <c r="C136" i="40"/>
  <c r="E135" i="40"/>
  <c r="Z135" i="40" s="1"/>
  <c r="B157" i="39"/>
  <c r="E156" i="39"/>
  <c r="R156" i="39" s="1"/>
  <c r="M64" i="30"/>
  <c r="I64" i="30"/>
  <c r="L64" i="30"/>
  <c r="K64" i="30"/>
  <c r="N64" i="30"/>
  <c r="J64" i="30" s="1"/>
  <c r="C510" i="7"/>
  <c r="B511" i="7"/>
  <c r="C126" i="13"/>
  <c r="K119" i="12"/>
  <c r="C181" i="7"/>
  <c r="C121" i="46"/>
  <c r="C126" i="39"/>
  <c r="H37" i="13" l="1"/>
  <c r="H92" i="7" s="1"/>
  <c r="Z37" i="13"/>
  <c r="U37" i="13"/>
  <c r="AC37" i="13"/>
  <c r="Q49" i="46"/>
  <c r="F50" i="46" s="1"/>
  <c r="P49" i="46"/>
  <c r="V50" i="46"/>
  <c r="U51" i="46" s="1"/>
  <c r="O184" i="7"/>
  <c r="E184" i="7"/>
  <c r="B185" i="7"/>
  <c r="B131" i="13"/>
  <c r="E130" i="13"/>
  <c r="J411" i="7"/>
  <c r="H43" i="28"/>
  <c r="AC50" i="40"/>
  <c r="I50" i="40" s="1"/>
  <c r="J50" i="40"/>
  <c r="Q50" i="40"/>
  <c r="X48" i="40"/>
  <c r="AF50" i="40"/>
  <c r="I80" i="32"/>
  <c r="AB80" i="32"/>
  <c r="P80" i="32"/>
  <c r="W78" i="32" s="1"/>
  <c r="AG80" i="32"/>
  <c r="AE80" i="32" s="1"/>
  <c r="Y80" i="32"/>
  <c r="AA80" i="32" s="1"/>
  <c r="F81" i="32"/>
  <c r="N81" i="32" s="1"/>
  <c r="AG81" i="32" s="1"/>
  <c r="H57" i="33"/>
  <c r="Q57" i="33" s="1"/>
  <c r="Q57" i="37"/>
  <c r="F58" i="37"/>
  <c r="B143" i="28"/>
  <c r="C142" i="28"/>
  <c r="D142" i="28"/>
  <c r="D510" i="7" s="1"/>
  <c r="D125" i="46"/>
  <c r="E125" i="46"/>
  <c r="T125" i="46"/>
  <c r="AA125" i="46" s="1"/>
  <c r="B126" i="46"/>
  <c r="U40" i="39"/>
  <c r="G40" i="39" s="1"/>
  <c r="D41" i="36" s="1"/>
  <c r="H40" i="39"/>
  <c r="B138" i="33"/>
  <c r="C137" i="33"/>
  <c r="D137" i="33"/>
  <c r="D142" i="30"/>
  <c r="B143" i="30"/>
  <c r="C143" i="30"/>
  <c r="C136" i="32"/>
  <c r="B137" i="32"/>
  <c r="D136" i="32"/>
  <c r="B137" i="37"/>
  <c r="D136" i="37"/>
  <c r="C137" i="37"/>
  <c r="K135" i="40"/>
  <c r="E136" i="40"/>
  <c r="Z136" i="40" s="1"/>
  <c r="D136" i="40"/>
  <c r="C137" i="40"/>
  <c r="B158" i="39"/>
  <c r="E157" i="39"/>
  <c r="R157" i="39" s="1"/>
  <c r="H64" i="30"/>
  <c r="C511" i="7"/>
  <c r="B512" i="7"/>
  <c r="C127" i="13"/>
  <c r="K120" i="12"/>
  <c r="C182" i="7"/>
  <c r="C122" i="46"/>
  <c r="C127" i="39"/>
  <c r="J37" i="13" l="1"/>
  <c r="W37" i="13"/>
  <c r="X37" i="13"/>
  <c r="AA37" i="13"/>
  <c r="H50" i="46"/>
  <c r="A50" i="46"/>
  <c r="M50" i="46" s="1"/>
  <c r="J50" i="46"/>
  <c r="K50" i="46"/>
  <c r="L50" i="46"/>
  <c r="I50" i="46"/>
  <c r="AB50" i="46"/>
  <c r="E185" i="7"/>
  <c r="O185" i="7"/>
  <c r="B186" i="7"/>
  <c r="E131" i="13"/>
  <c r="B132" i="13"/>
  <c r="H411" i="7"/>
  <c r="Q43" i="28"/>
  <c r="Q411" i="7" s="1"/>
  <c r="R43" i="28"/>
  <c r="R411" i="7" s="1"/>
  <c r="F44" i="28"/>
  <c r="R50" i="40"/>
  <c r="G51" i="40"/>
  <c r="J81" i="32"/>
  <c r="M81" i="32"/>
  <c r="AF81" i="32"/>
  <c r="AE81" i="32" s="1"/>
  <c r="L81" i="32"/>
  <c r="AC81" i="32"/>
  <c r="AD81" i="32"/>
  <c r="H81" i="32"/>
  <c r="F82" i="32" s="1"/>
  <c r="M82" i="32" s="1"/>
  <c r="K81" i="32"/>
  <c r="Z81" i="32"/>
  <c r="Y81" i="32"/>
  <c r="I40" i="39"/>
  <c r="AC40" i="39" s="1"/>
  <c r="F58" i="33"/>
  <c r="P58" i="33" s="1"/>
  <c r="W56" i="33" s="1"/>
  <c r="I58" i="37"/>
  <c r="L58" i="37"/>
  <c r="J58" i="37"/>
  <c r="M58" i="37"/>
  <c r="K58" i="37"/>
  <c r="C143" i="28"/>
  <c r="B144" i="28"/>
  <c r="D143" i="28"/>
  <c r="D511" i="7" s="1"/>
  <c r="C138" i="33"/>
  <c r="B139" i="33"/>
  <c r="D138" i="33"/>
  <c r="W51" i="46"/>
  <c r="Z51" i="46"/>
  <c r="X51" i="46"/>
  <c r="Y51" i="46"/>
  <c r="O40" i="39"/>
  <c r="P40" i="39"/>
  <c r="E126" i="46"/>
  <c r="T126" i="46"/>
  <c r="AA126" i="46" s="1"/>
  <c r="D126" i="46"/>
  <c r="B127" i="46"/>
  <c r="C144" i="30"/>
  <c r="D143" i="30"/>
  <c r="B144" i="30"/>
  <c r="D137" i="32"/>
  <c r="B138" i="32"/>
  <c r="C137" i="32"/>
  <c r="D137" i="40"/>
  <c r="C138" i="40"/>
  <c r="E137" i="40"/>
  <c r="Z137" i="40" s="1"/>
  <c r="B159" i="39"/>
  <c r="E158" i="39"/>
  <c r="R158" i="39" s="1"/>
  <c r="B138" i="37"/>
  <c r="C138" i="37"/>
  <c r="D137" i="37"/>
  <c r="K136" i="40"/>
  <c r="P64" i="30"/>
  <c r="W62" i="30" s="1"/>
  <c r="Q64" i="30"/>
  <c r="F65" i="30"/>
  <c r="B513" i="7"/>
  <c r="C512" i="7"/>
  <c r="C128" i="13"/>
  <c r="K121" i="12"/>
  <c r="C183" i="7"/>
  <c r="C123" i="46"/>
  <c r="C128" i="39"/>
  <c r="G37" i="13" l="1"/>
  <c r="G50" i="46"/>
  <c r="P50" i="46" s="1"/>
  <c r="E186" i="7"/>
  <c r="O186" i="7"/>
  <c r="B187" i="7"/>
  <c r="E132" i="13"/>
  <c r="B133" i="13"/>
  <c r="AD44" i="28"/>
  <c r="AA44" i="28"/>
  <c r="K44" i="28"/>
  <c r="M44" i="28"/>
  <c r="M412" i="7" s="1"/>
  <c r="N44" i="28"/>
  <c r="F412" i="7"/>
  <c r="S412" i="7" s="1"/>
  <c r="L44" i="28"/>
  <c r="L412" i="7" s="1"/>
  <c r="AG44" i="28"/>
  <c r="I81" i="32"/>
  <c r="M51" i="40"/>
  <c r="AD51" i="40"/>
  <c r="AH51" i="40"/>
  <c r="AG51" i="40"/>
  <c r="L51" i="40"/>
  <c r="N51" i="40"/>
  <c r="AA51" i="40"/>
  <c r="AB51" i="40" s="1"/>
  <c r="P81" i="32"/>
  <c r="W79" i="32" s="1"/>
  <c r="Q81" i="32"/>
  <c r="L82" i="32"/>
  <c r="N82" i="32"/>
  <c r="AG82" i="32" s="1"/>
  <c r="Z82" i="32"/>
  <c r="AB81" i="32"/>
  <c r="J82" i="32"/>
  <c r="AA81" i="32"/>
  <c r="AF82" i="32"/>
  <c r="AC82" i="32"/>
  <c r="K82" i="32"/>
  <c r="H82" i="32"/>
  <c r="Q82" i="32" s="1"/>
  <c r="I58" i="33"/>
  <c r="N58" i="33"/>
  <c r="J58" i="33" s="1"/>
  <c r="K58" i="33"/>
  <c r="L58" i="33"/>
  <c r="M58" i="33"/>
  <c r="P58" i="37"/>
  <c r="W56" i="37" s="1"/>
  <c r="H58" i="37"/>
  <c r="D144" i="28"/>
  <c r="D512" i="7" s="1"/>
  <c r="C144" i="28"/>
  <c r="B145" i="28"/>
  <c r="V51" i="46"/>
  <c r="F41" i="39"/>
  <c r="Z41" i="39"/>
  <c r="B128" i="46"/>
  <c r="D127" i="46"/>
  <c r="T127" i="46"/>
  <c r="AA127" i="46" s="1"/>
  <c r="E127" i="46"/>
  <c r="E41" i="36"/>
  <c r="C42" i="36"/>
  <c r="B140" i="33"/>
  <c r="D139" i="33"/>
  <c r="C139" i="33"/>
  <c r="D138" i="32"/>
  <c r="B139" i="32"/>
  <c r="C138" i="32"/>
  <c r="C145" i="30"/>
  <c r="D144" i="30"/>
  <c r="B145" i="30"/>
  <c r="K137" i="40"/>
  <c r="B160" i="39"/>
  <c r="E159" i="39"/>
  <c r="R159" i="39" s="1"/>
  <c r="B139" i="37"/>
  <c r="C139" i="37"/>
  <c r="D138" i="37"/>
  <c r="D138" i="40"/>
  <c r="E138" i="40"/>
  <c r="Z138" i="40" s="1"/>
  <c r="C139" i="40"/>
  <c r="M65" i="30"/>
  <c r="L65" i="30"/>
  <c r="N65" i="30"/>
  <c r="J65" i="30" s="1"/>
  <c r="K65" i="30"/>
  <c r="I65" i="30"/>
  <c r="B514" i="7"/>
  <c r="C513" i="7"/>
  <c r="K122" i="12"/>
  <c r="C129" i="13"/>
  <c r="C184" i="7"/>
  <c r="C129" i="39"/>
  <c r="C124" i="46"/>
  <c r="R37" i="13" l="1"/>
  <c r="S37" i="13"/>
  <c r="G92" i="7"/>
  <c r="Q92" i="7" s="1"/>
  <c r="F38" i="13"/>
  <c r="F93" i="7"/>
  <c r="R93" i="7" s="1"/>
  <c r="Q50" i="46"/>
  <c r="F51" i="46" s="1"/>
  <c r="I51" i="46" s="1"/>
  <c r="U52" i="46"/>
  <c r="Y52" i="46" s="1"/>
  <c r="O187" i="7"/>
  <c r="E187" i="7"/>
  <c r="B188" i="7"/>
  <c r="I44" i="28"/>
  <c r="I412" i="7" s="1"/>
  <c r="B134" i="13"/>
  <c r="E133" i="13"/>
  <c r="AH44" i="28"/>
  <c r="Z44" i="28"/>
  <c r="AB44" i="28" s="1"/>
  <c r="N412" i="7"/>
  <c r="AE44" i="28"/>
  <c r="AC44" i="28" s="1"/>
  <c r="K412" i="7"/>
  <c r="X42" i="28"/>
  <c r="I82" i="32"/>
  <c r="AF51" i="40"/>
  <c r="Q51" i="40"/>
  <c r="X49" i="40"/>
  <c r="J51" i="40"/>
  <c r="AC51" i="40"/>
  <c r="I51" i="40" s="1"/>
  <c r="P82" i="32"/>
  <c r="W80" i="32" s="1"/>
  <c r="AD82" i="32"/>
  <c r="AB82" i="32" s="1"/>
  <c r="Y82" i="32"/>
  <c r="AA82" i="32" s="1"/>
  <c r="AE82" i="32"/>
  <c r="F83" i="32"/>
  <c r="K83" i="32" s="1"/>
  <c r="H58" i="33"/>
  <c r="Q58" i="33" s="1"/>
  <c r="Q58" i="37"/>
  <c r="F59" i="37"/>
  <c r="D145" i="28"/>
  <c r="D513" i="7" s="1"/>
  <c r="C145" i="28"/>
  <c r="B146" i="28"/>
  <c r="AB51" i="46"/>
  <c r="B129" i="46"/>
  <c r="T128" i="46"/>
  <c r="AA128" i="46" s="1"/>
  <c r="E128" i="46"/>
  <c r="D128" i="46"/>
  <c r="D140" i="33"/>
  <c r="B141" i="33"/>
  <c r="C140" i="33"/>
  <c r="Q41" i="39"/>
  <c r="L41" i="39"/>
  <c r="J41" i="39"/>
  <c r="Y41" i="39"/>
  <c r="X41" i="39" s="1"/>
  <c r="V41" i="39"/>
  <c r="K41" i="39"/>
  <c r="S41" i="39"/>
  <c r="T41" i="39" s="1"/>
  <c r="D145" i="30"/>
  <c r="B146" i="30"/>
  <c r="C146" i="30"/>
  <c r="D139" i="32"/>
  <c r="C139" i="32"/>
  <c r="B140" i="32"/>
  <c r="C140" i="40"/>
  <c r="D139" i="40"/>
  <c r="E139" i="40"/>
  <c r="Z139" i="40" s="1"/>
  <c r="B140" i="37"/>
  <c r="D139" i="37"/>
  <c r="C140" i="37"/>
  <c r="B161" i="39"/>
  <c r="E160" i="39"/>
  <c r="R160" i="39" s="1"/>
  <c r="K138" i="40"/>
  <c r="H65" i="30"/>
  <c r="B515" i="7"/>
  <c r="C514" i="7"/>
  <c r="C130" i="13"/>
  <c r="K123" i="12"/>
  <c r="C185" i="7"/>
  <c r="C125" i="46"/>
  <c r="C130" i="39"/>
  <c r="V38" i="13" l="1"/>
  <c r="M38" i="13"/>
  <c r="L93" i="7" s="1"/>
  <c r="AB38" i="13"/>
  <c r="K38" i="13"/>
  <c r="J93" i="7" s="1"/>
  <c r="N38" i="13"/>
  <c r="L38" i="13"/>
  <c r="K93" i="7" s="1"/>
  <c r="Y38" i="13"/>
  <c r="H51" i="46"/>
  <c r="A51" i="46"/>
  <c r="M51" i="46" s="1"/>
  <c r="L51" i="46"/>
  <c r="J51" i="46"/>
  <c r="K51" i="46"/>
  <c r="Z52" i="46"/>
  <c r="X52" i="46"/>
  <c r="W52" i="46"/>
  <c r="I41" i="13"/>
  <c r="I96" i="7" s="1"/>
  <c r="O188" i="7"/>
  <c r="E188" i="7"/>
  <c r="B189" i="7"/>
  <c r="B135" i="13"/>
  <c r="E134" i="13"/>
  <c r="AF44" i="28"/>
  <c r="J44" i="28"/>
  <c r="G52" i="40"/>
  <c r="R51" i="40"/>
  <c r="N83" i="32"/>
  <c r="Y83" i="32" s="1"/>
  <c r="AF83" i="32"/>
  <c r="J83" i="32"/>
  <c r="M83" i="32"/>
  <c r="H83" i="32"/>
  <c r="Q83" i="32" s="1"/>
  <c r="L83" i="32"/>
  <c r="Z83" i="32"/>
  <c r="AC83" i="32"/>
  <c r="F59" i="33"/>
  <c r="I59" i="37"/>
  <c r="K59" i="37"/>
  <c r="M59" i="37"/>
  <c r="J59" i="37"/>
  <c r="L59" i="37"/>
  <c r="D146" i="28"/>
  <c r="D514" i="7" s="1"/>
  <c r="B147" i="28"/>
  <c r="C146" i="28"/>
  <c r="B130" i="46"/>
  <c r="D129" i="46"/>
  <c r="T129" i="46"/>
  <c r="AA129" i="46" s="1"/>
  <c r="E129" i="46"/>
  <c r="B142" i="33"/>
  <c r="C141" i="33"/>
  <c r="D141" i="33"/>
  <c r="H41" i="39"/>
  <c r="U41" i="39"/>
  <c r="G41" i="39" s="1"/>
  <c r="D42" i="36" s="1"/>
  <c r="B147" i="30"/>
  <c r="C147" i="30"/>
  <c r="D146" i="30"/>
  <c r="D140" i="32"/>
  <c r="B141" i="32"/>
  <c r="C140" i="32"/>
  <c r="K139" i="40"/>
  <c r="B162" i="39"/>
  <c r="E161" i="39"/>
  <c r="R161" i="39" s="1"/>
  <c r="D140" i="37"/>
  <c r="B141" i="37"/>
  <c r="C141" i="37"/>
  <c r="C141" i="40"/>
  <c r="D140" i="40"/>
  <c r="E140" i="40"/>
  <c r="Z140" i="40" s="1"/>
  <c r="P65" i="30"/>
  <c r="W63" i="30" s="1"/>
  <c r="Q65" i="30"/>
  <c r="F66" i="30"/>
  <c r="C515" i="7"/>
  <c r="B516" i="7"/>
  <c r="K124" i="12"/>
  <c r="C131" i="13"/>
  <c r="C186" i="7"/>
  <c r="C126" i="46"/>
  <c r="C131" i="39"/>
  <c r="H38" i="13" l="1"/>
  <c r="H93" i="7" s="1"/>
  <c r="AC38" i="13"/>
  <c r="U38" i="13"/>
  <c r="M93" i="7"/>
  <c r="Z38" i="13"/>
  <c r="G51" i="46"/>
  <c r="Q51" i="46" s="1"/>
  <c r="F52" i="46" s="1"/>
  <c r="V52" i="46"/>
  <c r="U53" i="46" s="1"/>
  <c r="O189" i="7"/>
  <c r="E189" i="7"/>
  <c r="B190" i="7"/>
  <c r="B136" i="13"/>
  <c r="E135" i="13"/>
  <c r="H44" i="28"/>
  <c r="J412" i="7"/>
  <c r="I83" i="32"/>
  <c r="AA52" i="40"/>
  <c r="AB52" i="40" s="1"/>
  <c r="AH52" i="40"/>
  <c r="M52" i="40"/>
  <c r="N52" i="40"/>
  <c r="L52" i="40"/>
  <c r="AG52" i="40"/>
  <c r="AD52" i="40"/>
  <c r="AD83" i="32"/>
  <c r="AB83" i="32" s="1"/>
  <c r="AA83" i="32"/>
  <c r="AG83" i="32"/>
  <c r="AE83" i="32" s="1"/>
  <c r="F84" i="32"/>
  <c r="AF84" i="32" s="1"/>
  <c r="P83" i="32"/>
  <c r="W81" i="32" s="1"/>
  <c r="I41" i="39"/>
  <c r="AC41" i="39" s="1"/>
  <c r="I59" i="33"/>
  <c r="M59" i="33"/>
  <c r="L59" i="33"/>
  <c r="N59" i="33"/>
  <c r="J59" i="33" s="1"/>
  <c r="P59" i="33"/>
  <c r="W57" i="33" s="1"/>
  <c r="K59" i="33"/>
  <c r="H59" i="37"/>
  <c r="P59" i="37"/>
  <c r="W57" i="37" s="1"/>
  <c r="C147" i="28"/>
  <c r="D147" i="28"/>
  <c r="D515" i="7" s="1"/>
  <c r="B148" i="28"/>
  <c r="B143" i="33"/>
  <c r="D142" i="33"/>
  <c r="C142" i="33"/>
  <c r="O41" i="39"/>
  <c r="P41" i="39"/>
  <c r="B131" i="46"/>
  <c r="E130" i="46"/>
  <c r="T130" i="46"/>
  <c r="AA130" i="46" s="1"/>
  <c r="D130" i="46"/>
  <c r="C148" i="30"/>
  <c r="B148" i="30"/>
  <c r="D147" i="30"/>
  <c r="B142" i="32"/>
  <c r="C141" i="32"/>
  <c r="D141" i="32"/>
  <c r="D141" i="40"/>
  <c r="C142" i="40"/>
  <c r="E141" i="40"/>
  <c r="Z141" i="40" s="1"/>
  <c r="C142" i="37"/>
  <c r="B142" i="37"/>
  <c r="D141" i="37"/>
  <c r="K140" i="40"/>
  <c r="B163" i="39"/>
  <c r="E162" i="39"/>
  <c r="R162" i="39" s="1"/>
  <c r="I66" i="30"/>
  <c r="M66" i="30"/>
  <c r="L66" i="30"/>
  <c r="N66" i="30"/>
  <c r="J66" i="30" s="1"/>
  <c r="K66" i="30"/>
  <c r="B517" i="7"/>
  <c r="C516" i="7"/>
  <c r="C132" i="13"/>
  <c r="K125" i="12"/>
  <c r="C187" i="7"/>
  <c r="C127" i="46"/>
  <c r="C132" i="39"/>
  <c r="W38" i="13" l="1"/>
  <c r="X38" i="13"/>
  <c r="AA38" i="13"/>
  <c r="J38" i="13"/>
  <c r="P51" i="46"/>
  <c r="A52" i="46"/>
  <c r="M52" i="46" s="1"/>
  <c r="H52" i="46"/>
  <c r="K52" i="46"/>
  <c r="L52" i="46"/>
  <c r="J52" i="46"/>
  <c r="I52" i="46"/>
  <c r="AB52" i="46"/>
  <c r="E190" i="7"/>
  <c r="O190" i="7"/>
  <c r="B191" i="7"/>
  <c r="B137" i="13"/>
  <c r="E136" i="13"/>
  <c r="Q44" i="28"/>
  <c r="Q412" i="7" s="1"/>
  <c r="F45" i="28"/>
  <c r="H412" i="7"/>
  <c r="R44" i="28"/>
  <c r="R412" i="7" s="1"/>
  <c r="AC52" i="40"/>
  <c r="I52" i="40" s="1"/>
  <c r="J52" i="40"/>
  <c r="X50" i="40"/>
  <c r="Q52" i="40"/>
  <c r="AF52" i="40"/>
  <c r="Z84" i="32"/>
  <c r="J84" i="32"/>
  <c r="L84" i="32"/>
  <c r="N84" i="32"/>
  <c r="Y84" i="32" s="1"/>
  <c r="M84" i="32"/>
  <c r="AC84" i="32"/>
  <c r="I84" i="32" s="1"/>
  <c r="K84" i="32"/>
  <c r="H84" i="32"/>
  <c r="Q84" i="32" s="1"/>
  <c r="H59" i="33"/>
  <c r="Q59" i="33" s="1"/>
  <c r="F60" i="37"/>
  <c r="Q59" i="37"/>
  <c r="B149" i="28"/>
  <c r="C148" i="28"/>
  <c r="D148" i="28"/>
  <c r="D516" i="7" s="1"/>
  <c r="C143" i="33"/>
  <c r="B144" i="33"/>
  <c r="D143" i="33"/>
  <c r="Y53" i="46"/>
  <c r="X53" i="46"/>
  <c r="Z53" i="46"/>
  <c r="W53" i="46"/>
  <c r="E131" i="46"/>
  <c r="D131" i="46"/>
  <c r="B132" i="46"/>
  <c r="T131" i="46"/>
  <c r="AA131" i="46" s="1"/>
  <c r="Z42" i="39"/>
  <c r="F42" i="39"/>
  <c r="C43" i="36"/>
  <c r="E42" i="36"/>
  <c r="H66" i="30"/>
  <c r="P66" i="30" s="1"/>
  <c r="W64" i="30" s="1"/>
  <c r="D142" i="32"/>
  <c r="B143" i="32"/>
  <c r="C142" i="32"/>
  <c r="D148" i="30"/>
  <c r="C149" i="30"/>
  <c r="B149" i="30"/>
  <c r="K141" i="40"/>
  <c r="D142" i="37"/>
  <c r="B143" i="37"/>
  <c r="C143" i="37"/>
  <c r="B164" i="39"/>
  <c r="E163" i="39"/>
  <c r="R163" i="39" s="1"/>
  <c r="D142" i="40"/>
  <c r="C143" i="40"/>
  <c r="E142" i="40"/>
  <c r="Z142" i="40" s="1"/>
  <c r="C517" i="7"/>
  <c r="B518" i="7"/>
  <c r="K126" i="12"/>
  <c r="C133" i="13"/>
  <c r="C188" i="7"/>
  <c r="C133" i="39"/>
  <c r="C128" i="46"/>
  <c r="G38" i="13" l="1"/>
  <c r="G93" i="7" s="1"/>
  <c r="Q93" i="7" s="1"/>
  <c r="G52" i="46"/>
  <c r="Q52" i="46" s="1"/>
  <c r="F53" i="46" s="1"/>
  <c r="J53" i="46" s="1"/>
  <c r="I42" i="13"/>
  <c r="I97" i="7" s="1"/>
  <c r="E191" i="7"/>
  <c r="O191" i="7"/>
  <c r="B192" i="7"/>
  <c r="B138" i="13"/>
  <c r="E137" i="13"/>
  <c r="M45" i="28"/>
  <c r="M413" i="7" s="1"/>
  <c r="K45" i="28"/>
  <c r="N45" i="28"/>
  <c r="AA45" i="28"/>
  <c r="AG45" i="28"/>
  <c r="F413" i="7"/>
  <c r="S413" i="7" s="1"/>
  <c r="L45" i="28"/>
  <c r="L413" i="7" s="1"/>
  <c r="AD45" i="28"/>
  <c r="R52" i="40"/>
  <c r="G53" i="40"/>
  <c r="AA84" i="32"/>
  <c r="AD84" i="32"/>
  <c r="AB84" i="32" s="1"/>
  <c r="P84" i="32"/>
  <c r="W82" i="32" s="1"/>
  <c r="AG84" i="32"/>
  <c r="AE84" i="32" s="1"/>
  <c r="F85" i="32"/>
  <c r="Z85" i="32" s="1"/>
  <c r="F60" i="33"/>
  <c r="I60" i="33" s="1"/>
  <c r="I60" i="37"/>
  <c r="L60" i="37"/>
  <c r="J60" i="37"/>
  <c r="M60" i="37"/>
  <c r="K60" i="37"/>
  <c r="D149" i="28"/>
  <c r="D517" i="7" s="1"/>
  <c r="C149" i="28"/>
  <c r="B150" i="28"/>
  <c r="J42" i="39"/>
  <c r="V42" i="39"/>
  <c r="K42" i="39"/>
  <c r="Y42" i="39"/>
  <c r="X42" i="39" s="1"/>
  <c r="L42" i="39"/>
  <c r="S42" i="39"/>
  <c r="T42" i="39" s="1"/>
  <c r="Q42" i="39"/>
  <c r="V53" i="46"/>
  <c r="B133" i="46"/>
  <c r="T132" i="46"/>
  <c r="AA132" i="46" s="1"/>
  <c r="E132" i="46"/>
  <c r="D132" i="46"/>
  <c r="D144" i="33"/>
  <c r="C144" i="33"/>
  <c r="B145" i="33"/>
  <c r="Q66" i="30"/>
  <c r="F67" i="30"/>
  <c r="M67" i="30" s="1"/>
  <c r="B144" i="32"/>
  <c r="C143" i="32"/>
  <c r="D143" i="32"/>
  <c r="B150" i="30"/>
  <c r="C150" i="30"/>
  <c r="D149" i="30"/>
  <c r="D143" i="37"/>
  <c r="B144" i="37"/>
  <c r="C144" i="37"/>
  <c r="K142" i="40"/>
  <c r="B165" i="39"/>
  <c r="E164" i="39"/>
  <c r="R164" i="39" s="1"/>
  <c r="C144" i="40"/>
  <c r="D143" i="40"/>
  <c r="E143" i="40"/>
  <c r="Z143" i="40" s="1"/>
  <c r="C518" i="7"/>
  <c r="B519" i="7"/>
  <c r="C134" i="13"/>
  <c r="K127" i="12"/>
  <c r="C189" i="7"/>
  <c r="C129" i="46"/>
  <c r="C134" i="39"/>
  <c r="R38" i="13" l="1"/>
  <c r="S38" i="13"/>
  <c r="F39" i="13"/>
  <c r="Y39" i="13" s="1"/>
  <c r="I53" i="46"/>
  <c r="H53" i="46"/>
  <c r="A53" i="46"/>
  <c r="M53" i="46" s="1"/>
  <c r="K53" i="46"/>
  <c r="L53" i="46"/>
  <c r="P52" i="46"/>
  <c r="E192" i="7"/>
  <c r="O192" i="7"/>
  <c r="B193" i="7"/>
  <c r="B139" i="13"/>
  <c r="E138" i="13"/>
  <c r="I45" i="28"/>
  <c r="I413" i="7" s="1"/>
  <c r="N413" i="7"/>
  <c r="AH45" i="28"/>
  <c r="Z45" i="28"/>
  <c r="AB45" i="28" s="1"/>
  <c r="AE45" i="28"/>
  <c r="AC45" i="28" s="1"/>
  <c r="K413" i="7"/>
  <c r="X43" i="28"/>
  <c r="M53" i="40"/>
  <c r="AH53" i="40"/>
  <c r="L53" i="40"/>
  <c r="AA53" i="40"/>
  <c r="AB53" i="40" s="1"/>
  <c r="N53" i="40"/>
  <c r="AD53" i="40"/>
  <c r="AG53" i="40"/>
  <c r="K85" i="32"/>
  <c r="J85" i="32"/>
  <c r="L85" i="32"/>
  <c r="N85" i="32"/>
  <c r="AD85" i="32" s="1"/>
  <c r="M85" i="32"/>
  <c r="AC85" i="32"/>
  <c r="AF85" i="32"/>
  <c r="H85" i="32"/>
  <c r="F86" i="32" s="1"/>
  <c r="Z86" i="32" s="1"/>
  <c r="P60" i="33"/>
  <c r="W58" i="33" s="1"/>
  <c r="M60" i="33"/>
  <c r="N60" i="33"/>
  <c r="J60" i="33" s="1"/>
  <c r="H60" i="33" s="1"/>
  <c r="Q60" i="33" s="1"/>
  <c r="K60" i="33"/>
  <c r="L60" i="33"/>
  <c r="H60" i="37"/>
  <c r="P60" i="37"/>
  <c r="W58" i="37" s="1"/>
  <c r="C150" i="28"/>
  <c r="B151" i="28"/>
  <c r="D150" i="28"/>
  <c r="D518" i="7" s="1"/>
  <c r="I67" i="30"/>
  <c r="L67" i="30"/>
  <c r="N67" i="30"/>
  <c r="J67" i="30" s="1"/>
  <c r="K67" i="30"/>
  <c r="D145" i="33"/>
  <c r="C145" i="33"/>
  <c r="B146" i="33"/>
  <c r="B134" i="46"/>
  <c r="E133" i="46"/>
  <c r="T133" i="46"/>
  <c r="AA133" i="46" s="1"/>
  <c r="D133" i="46"/>
  <c r="U42" i="39"/>
  <c r="G42" i="39" s="1"/>
  <c r="D43" i="36" s="1"/>
  <c r="H42" i="39"/>
  <c r="U54" i="46"/>
  <c r="AB53" i="46"/>
  <c r="B145" i="32"/>
  <c r="D144" i="32"/>
  <c r="C144" i="32"/>
  <c r="B151" i="30"/>
  <c r="D150" i="30"/>
  <c r="C151" i="30"/>
  <c r="K143" i="40"/>
  <c r="B166" i="39"/>
  <c r="E165" i="39"/>
  <c r="R165" i="39" s="1"/>
  <c r="D144" i="37"/>
  <c r="B145" i="37"/>
  <c r="C145" i="37"/>
  <c r="C145" i="40"/>
  <c r="D144" i="40"/>
  <c r="E144" i="40"/>
  <c r="Z144" i="40" s="1"/>
  <c r="B520" i="7"/>
  <c r="C519" i="7"/>
  <c r="K128" i="12"/>
  <c r="C135" i="13"/>
  <c r="C190" i="7"/>
  <c r="C130" i="46"/>
  <c r="C135" i="39"/>
  <c r="AB39" i="13" l="1"/>
  <c r="H39" i="13" s="1"/>
  <c r="H94" i="7" s="1"/>
  <c r="N39" i="13"/>
  <c r="M94" i="7" s="1"/>
  <c r="L39" i="13"/>
  <c r="K94" i="7" s="1"/>
  <c r="F94" i="7"/>
  <c r="R94" i="7" s="1"/>
  <c r="K39" i="13"/>
  <c r="J94" i="7" s="1"/>
  <c r="V39" i="13"/>
  <c r="M39" i="13"/>
  <c r="L94" i="7" s="1"/>
  <c r="G53" i="46"/>
  <c r="P53" i="46" s="1"/>
  <c r="E193" i="7"/>
  <c r="O193" i="7"/>
  <c r="B194" i="7"/>
  <c r="E139" i="13"/>
  <c r="B140" i="13"/>
  <c r="J45" i="28"/>
  <c r="AF45" i="28"/>
  <c r="J53" i="40"/>
  <c r="AC53" i="40"/>
  <c r="I53" i="40" s="1"/>
  <c r="Q53" i="40"/>
  <c r="X51" i="40"/>
  <c r="AF53" i="40"/>
  <c r="I85" i="32"/>
  <c r="P85" i="32"/>
  <c r="W83" i="32" s="1"/>
  <c r="AB85" i="32"/>
  <c r="Y85" i="32"/>
  <c r="AA85" i="32" s="1"/>
  <c r="AG85" i="32"/>
  <c r="AE85" i="32" s="1"/>
  <c r="J86" i="32"/>
  <c r="M86" i="32"/>
  <c r="K86" i="32"/>
  <c r="AF86" i="32"/>
  <c r="Q85" i="32"/>
  <c r="H86" i="32"/>
  <c r="F87" i="32" s="1"/>
  <c r="AF87" i="32" s="1"/>
  <c r="L86" i="32"/>
  <c r="N86" i="32"/>
  <c r="AG86" i="32" s="1"/>
  <c r="AC86" i="32"/>
  <c r="F61" i="33"/>
  <c r="P61" i="33" s="1"/>
  <c r="W59" i="33" s="1"/>
  <c r="I42" i="39"/>
  <c r="AC42" i="39" s="1"/>
  <c r="F61" i="37"/>
  <c r="Q60" i="37"/>
  <c r="B152" i="28"/>
  <c r="D151" i="28"/>
  <c r="D519" i="7" s="1"/>
  <c r="C151" i="28"/>
  <c r="H67" i="30"/>
  <c r="P67" i="30" s="1"/>
  <c r="W65" i="30" s="1"/>
  <c r="O42" i="39"/>
  <c r="P42" i="39"/>
  <c r="D134" i="46"/>
  <c r="E134" i="46"/>
  <c r="B135" i="46"/>
  <c r="T134" i="46"/>
  <c r="AA134" i="46" s="1"/>
  <c r="D146" i="33"/>
  <c r="B147" i="33"/>
  <c r="C146" i="33"/>
  <c r="X54" i="46"/>
  <c r="W54" i="46"/>
  <c r="Z54" i="46"/>
  <c r="Y54" i="46"/>
  <c r="C152" i="30"/>
  <c r="B152" i="30"/>
  <c r="D151" i="30"/>
  <c r="D145" i="32"/>
  <c r="C145" i="32"/>
  <c r="B146" i="32"/>
  <c r="D145" i="40"/>
  <c r="C146" i="40"/>
  <c r="E145" i="40"/>
  <c r="Z145" i="40" s="1"/>
  <c r="B167" i="39"/>
  <c r="E166" i="39"/>
  <c r="R166" i="39" s="1"/>
  <c r="K144" i="40"/>
  <c r="C146" i="37"/>
  <c r="B146" i="37"/>
  <c r="D145" i="37"/>
  <c r="B521" i="7"/>
  <c r="C520" i="7"/>
  <c r="C136" i="13"/>
  <c r="K129" i="12"/>
  <c r="C191" i="7"/>
  <c r="C131" i="46"/>
  <c r="C136" i="39"/>
  <c r="U39" i="13" l="1"/>
  <c r="Z39" i="13"/>
  <c r="AC39" i="13"/>
  <c r="Q53" i="46"/>
  <c r="F54" i="46" s="1"/>
  <c r="J54" i="46" s="1"/>
  <c r="E194" i="7"/>
  <c r="O194" i="7"/>
  <c r="B195" i="7"/>
  <c r="E140" i="13"/>
  <c r="B141" i="13"/>
  <c r="J413" i="7"/>
  <c r="H45" i="28"/>
  <c r="R53" i="40"/>
  <c r="G54" i="40"/>
  <c r="I86" i="32"/>
  <c r="AE86" i="32"/>
  <c r="P86" i="32"/>
  <c r="W84" i="32" s="1"/>
  <c r="Y86" i="32"/>
  <c r="AA86" i="32" s="1"/>
  <c r="H87" i="32"/>
  <c r="F88" i="32" s="1"/>
  <c r="N88" i="32" s="1"/>
  <c r="AG88" i="32" s="1"/>
  <c r="AD86" i="32"/>
  <c r="AB86" i="32" s="1"/>
  <c r="AC87" i="32"/>
  <c r="I87" i="32" s="1"/>
  <c r="N87" i="32"/>
  <c r="AG87" i="32" s="1"/>
  <c r="AE87" i="32" s="1"/>
  <c r="K87" i="32"/>
  <c r="Q86" i="32"/>
  <c r="Z87" i="32"/>
  <c r="M87" i="32"/>
  <c r="L87" i="32"/>
  <c r="J87" i="32"/>
  <c r="K61" i="33"/>
  <c r="N61" i="33"/>
  <c r="J61" i="33" s="1"/>
  <c r="M61" i="33"/>
  <c r="I61" i="33"/>
  <c r="L61" i="33"/>
  <c r="K61" i="37"/>
  <c r="I61" i="37"/>
  <c r="J61" i="37"/>
  <c r="L61" i="37"/>
  <c r="M61" i="37"/>
  <c r="F68" i="30"/>
  <c r="N68" i="30" s="1"/>
  <c r="J68" i="30" s="1"/>
  <c r="Q67" i="30"/>
  <c r="D152" i="28"/>
  <c r="D520" i="7" s="1"/>
  <c r="C152" i="28"/>
  <c r="B153" i="28"/>
  <c r="V54" i="46"/>
  <c r="C147" i="33"/>
  <c r="B148" i="33"/>
  <c r="D147" i="33"/>
  <c r="F43" i="39"/>
  <c r="Z43" i="39"/>
  <c r="T135" i="46"/>
  <c r="AA135" i="46" s="1"/>
  <c r="D135" i="46"/>
  <c r="E135" i="46"/>
  <c r="B136" i="46"/>
  <c r="E43" i="36"/>
  <c r="C44" i="36"/>
  <c r="B153" i="30"/>
  <c r="D152" i="30"/>
  <c r="C153" i="30"/>
  <c r="D146" i="32"/>
  <c r="C146" i="32"/>
  <c r="B147" i="32"/>
  <c r="K145" i="40"/>
  <c r="B168" i="39"/>
  <c r="E167" i="39"/>
  <c r="R167" i="39" s="1"/>
  <c r="D146" i="40"/>
  <c r="E146" i="40"/>
  <c r="Z146" i="40" s="1"/>
  <c r="C147" i="40"/>
  <c r="C147" i="37"/>
  <c r="B147" i="37"/>
  <c r="D146" i="37"/>
  <c r="C521" i="7"/>
  <c r="B522" i="7"/>
  <c r="K130" i="12"/>
  <c r="C137" i="13"/>
  <c r="C192" i="7"/>
  <c r="C137" i="39"/>
  <c r="C132" i="46"/>
  <c r="J39" i="13" l="1"/>
  <c r="W39" i="13"/>
  <c r="X39" i="13"/>
  <c r="AA39" i="13"/>
  <c r="A54" i="46"/>
  <c r="M54" i="46" s="1"/>
  <c r="L54" i="46"/>
  <c r="K54" i="46"/>
  <c r="H54" i="46"/>
  <c r="I54" i="46"/>
  <c r="AB54" i="46"/>
  <c r="O195" i="7"/>
  <c r="E195" i="7"/>
  <c r="B196" i="7"/>
  <c r="B142" i="13"/>
  <c r="E141" i="13"/>
  <c r="H413" i="7"/>
  <c r="F46" i="28"/>
  <c r="R45" i="28"/>
  <c r="R413" i="7" s="1"/>
  <c r="Q45" i="28"/>
  <c r="Q413" i="7" s="1"/>
  <c r="L54" i="40"/>
  <c r="N54" i="40"/>
  <c r="AG54" i="40"/>
  <c r="AH54" i="40"/>
  <c r="AA54" i="40"/>
  <c r="AB54" i="40" s="1"/>
  <c r="AD54" i="40"/>
  <c r="M54" i="40"/>
  <c r="Y88" i="32"/>
  <c r="Q87" i="32"/>
  <c r="AF88" i="32"/>
  <c r="AE88" i="32" s="1"/>
  <c r="Z88" i="32"/>
  <c r="J88" i="32"/>
  <c r="M88" i="32"/>
  <c r="Y87" i="32"/>
  <c r="AA87" i="32" s="1"/>
  <c r="AD88" i="32"/>
  <c r="L88" i="32"/>
  <c r="H88" i="32"/>
  <c r="Q88" i="32" s="1"/>
  <c r="AD87" i="32"/>
  <c r="AB87" i="32" s="1"/>
  <c r="AC88" i="32"/>
  <c r="P87" i="32"/>
  <c r="W85" i="32" s="1"/>
  <c r="K88" i="32"/>
  <c r="H61" i="33"/>
  <c r="F62" i="33" s="1"/>
  <c r="K62" i="33" s="1"/>
  <c r="P61" i="37"/>
  <c r="W59" i="37" s="1"/>
  <c r="H61" i="37"/>
  <c r="I68" i="30"/>
  <c r="H68" i="30" s="1"/>
  <c r="Q68" i="30" s="1"/>
  <c r="L68" i="30"/>
  <c r="K68" i="30"/>
  <c r="M68" i="30"/>
  <c r="D153" i="28"/>
  <c r="D521" i="7" s="1"/>
  <c r="C153" i="28"/>
  <c r="B154" i="28"/>
  <c r="U55" i="46"/>
  <c r="X55" i="46" s="1"/>
  <c r="L43" i="39"/>
  <c r="V43" i="39"/>
  <c r="K43" i="39"/>
  <c r="Y43" i="39"/>
  <c r="X43" i="39" s="1"/>
  <c r="J43" i="39"/>
  <c r="Q43" i="39"/>
  <c r="S43" i="39"/>
  <c r="T43" i="39" s="1"/>
  <c r="B137" i="46"/>
  <c r="D136" i="46"/>
  <c r="T136" i="46"/>
  <c r="AA136" i="46" s="1"/>
  <c r="E136" i="46"/>
  <c r="B149" i="33"/>
  <c r="D148" i="33"/>
  <c r="C148" i="33"/>
  <c r="C147" i="32"/>
  <c r="D147" i="32"/>
  <c r="B148" i="32"/>
  <c r="D153" i="30"/>
  <c r="B154" i="30"/>
  <c r="C154" i="30"/>
  <c r="K146" i="40"/>
  <c r="B169" i="39"/>
  <c r="E168" i="39"/>
  <c r="R168" i="39" s="1"/>
  <c r="B148" i="37"/>
  <c r="D147" i="37"/>
  <c r="C148" i="37"/>
  <c r="C148" i="40"/>
  <c r="D147" i="40"/>
  <c r="E147" i="40"/>
  <c r="Z147" i="40" s="1"/>
  <c r="B523" i="7"/>
  <c r="C522" i="7"/>
  <c r="C138" i="13"/>
  <c r="K131" i="12"/>
  <c r="C193" i="7"/>
  <c r="C133" i="46"/>
  <c r="C138" i="39"/>
  <c r="G39" i="13" l="1"/>
  <c r="G54" i="46"/>
  <c r="Q54" i="46" s="1"/>
  <c r="F55" i="46" s="1"/>
  <c r="L55" i="46" s="1"/>
  <c r="I43" i="13"/>
  <c r="I98" i="7" s="1"/>
  <c r="O196" i="7"/>
  <c r="E196" i="7"/>
  <c r="B197" i="7"/>
  <c r="B143" i="13"/>
  <c r="E142" i="13"/>
  <c r="L46" i="28"/>
  <c r="L414" i="7" s="1"/>
  <c r="K46" i="28"/>
  <c r="AG46" i="28"/>
  <c r="N46" i="28"/>
  <c r="M46" i="28"/>
  <c r="M414" i="7" s="1"/>
  <c r="AA46" i="28"/>
  <c r="F414" i="7"/>
  <c r="S414" i="7" s="1"/>
  <c r="AD46" i="28"/>
  <c r="I88" i="32"/>
  <c r="AF54" i="40"/>
  <c r="AC54" i="40"/>
  <c r="I54" i="40" s="1"/>
  <c r="J54" i="40"/>
  <c r="X52" i="40"/>
  <c r="Q54" i="40"/>
  <c r="AA88" i="32"/>
  <c r="P88" i="32"/>
  <c r="W86" i="32" s="1"/>
  <c r="F89" i="32"/>
  <c r="N89" i="32" s="1"/>
  <c r="AD89" i="32" s="1"/>
  <c r="AB88" i="32"/>
  <c r="P62" i="33"/>
  <c r="W60" i="33" s="1"/>
  <c r="N62" i="33"/>
  <c r="J62" i="33" s="1"/>
  <c r="Q61" i="33"/>
  <c r="L62" i="33"/>
  <c r="M62" i="33"/>
  <c r="I62" i="33"/>
  <c r="Q61" i="37"/>
  <c r="F62" i="37"/>
  <c r="F69" i="30"/>
  <c r="M69" i="30" s="1"/>
  <c r="P68" i="30"/>
  <c r="W66" i="30" s="1"/>
  <c r="D154" i="28"/>
  <c r="D522" i="7" s="1"/>
  <c r="C154" i="28"/>
  <c r="B155" i="28"/>
  <c r="Z55" i="46"/>
  <c r="W55" i="46"/>
  <c r="V55" i="46" s="1"/>
  <c r="Y55" i="46"/>
  <c r="E137" i="46"/>
  <c r="D137" i="46"/>
  <c r="B138" i="46"/>
  <c r="T137" i="46"/>
  <c r="AA137" i="46" s="1"/>
  <c r="B150" i="33"/>
  <c r="D149" i="33"/>
  <c r="C149" i="33"/>
  <c r="H43" i="39"/>
  <c r="U43" i="39"/>
  <c r="G43" i="39" s="1"/>
  <c r="D44" i="36" s="1"/>
  <c r="D154" i="30"/>
  <c r="C155" i="30"/>
  <c r="B155" i="30"/>
  <c r="C148" i="32"/>
  <c r="D148" i="32"/>
  <c r="B149" i="32"/>
  <c r="C149" i="37"/>
  <c r="B149" i="37"/>
  <c r="D148" i="37"/>
  <c r="B170" i="39"/>
  <c r="E169" i="39"/>
  <c r="R169" i="39" s="1"/>
  <c r="K147" i="40"/>
  <c r="E148" i="40"/>
  <c r="Z148" i="40" s="1"/>
  <c r="D148" i="40"/>
  <c r="C149" i="40"/>
  <c r="B524" i="7"/>
  <c r="C523" i="7"/>
  <c r="K132" i="12"/>
  <c r="C139" i="13"/>
  <c r="C194" i="7"/>
  <c r="C134" i="46"/>
  <c r="C139" i="39"/>
  <c r="G94" i="7" l="1"/>
  <c r="Q94" i="7" s="1"/>
  <c r="F40" i="13"/>
  <c r="S39" i="13"/>
  <c r="R39" i="13"/>
  <c r="L40" i="13"/>
  <c r="K95" i="7" s="1"/>
  <c r="P54" i="46"/>
  <c r="A55" i="46"/>
  <c r="M55" i="46" s="1"/>
  <c r="K55" i="46"/>
  <c r="H55" i="46"/>
  <c r="I55" i="46"/>
  <c r="J55" i="46"/>
  <c r="O197" i="7"/>
  <c r="E197" i="7"/>
  <c r="B198" i="7"/>
  <c r="E143" i="13"/>
  <c r="B144" i="13"/>
  <c r="I46" i="28"/>
  <c r="I414" i="7" s="1"/>
  <c r="Z46" i="28"/>
  <c r="AB46" i="28" s="1"/>
  <c r="AE46" i="28"/>
  <c r="AC46" i="28" s="1"/>
  <c r="N414" i="7"/>
  <c r="AH46" i="28"/>
  <c r="K414" i="7"/>
  <c r="X44" i="28"/>
  <c r="R54" i="40"/>
  <c r="G55" i="40"/>
  <c r="L89" i="32"/>
  <c r="AG89" i="32"/>
  <c r="AC89" i="32"/>
  <c r="AB89" i="32" s="1"/>
  <c r="H89" i="32"/>
  <c r="Q89" i="32" s="1"/>
  <c r="Z89" i="32"/>
  <c r="AF89" i="32"/>
  <c r="Y89" i="32"/>
  <c r="M89" i="32"/>
  <c r="J89" i="32"/>
  <c r="K89" i="32"/>
  <c r="H62" i="33"/>
  <c r="F63" i="33" s="1"/>
  <c r="I43" i="39"/>
  <c r="AC43" i="39" s="1"/>
  <c r="K69" i="30"/>
  <c r="L69" i="30"/>
  <c r="N69" i="30"/>
  <c r="J69" i="30" s="1"/>
  <c r="I69" i="30"/>
  <c r="K62" i="37"/>
  <c r="L62" i="37"/>
  <c r="I62" i="37"/>
  <c r="M62" i="37"/>
  <c r="J62" i="37"/>
  <c r="D155" i="28"/>
  <c r="D523" i="7" s="1"/>
  <c r="C155" i="28"/>
  <c r="B156" i="28"/>
  <c r="AB55" i="46"/>
  <c r="U56" i="46"/>
  <c r="D150" i="33"/>
  <c r="B151" i="33"/>
  <c r="C150" i="33"/>
  <c r="E138" i="46"/>
  <c r="D138" i="46"/>
  <c r="B139" i="46"/>
  <c r="T138" i="46"/>
  <c r="AA138" i="46" s="1"/>
  <c r="O43" i="39"/>
  <c r="P43" i="39"/>
  <c r="B156" i="30"/>
  <c r="C156" i="30"/>
  <c r="D155" i="30"/>
  <c r="B150" i="32"/>
  <c r="D149" i="32"/>
  <c r="C149" i="32"/>
  <c r="K148" i="40"/>
  <c r="C150" i="37"/>
  <c r="B150" i="37"/>
  <c r="D149" i="37"/>
  <c r="E149" i="40"/>
  <c r="Z149" i="40" s="1"/>
  <c r="D149" i="40"/>
  <c r="C150" i="40"/>
  <c r="B171" i="39"/>
  <c r="E170" i="39"/>
  <c r="R170" i="39" s="1"/>
  <c r="B525" i="7"/>
  <c r="C524" i="7"/>
  <c r="C140" i="13"/>
  <c r="K133" i="12"/>
  <c r="C195" i="7"/>
  <c r="C135" i="46"/>
  <c r="C140" i="39"/>
  <c r="N40" i="13" l="1"/>
  <c r="M95" i="7" s="1"/>
  <c r="K40" i="13"/>
  <c r="J95" i="7" s="1"/>
  <c r="AB40" i="13"/>
  <c r="Y40" i="13"/>
  <c r="H40" i="13" s="1"/>
  <c r="H95" i="7" s="1"/>
  <c r="M40" i="13"/>
  <c r="L95" i="7" s="1"/>
  <c r="F95" i="7"/>
  <c r="R95" i="7" s="1"/>
  <c r="V40" i="13"/>
  <c r="G55" i="46"/>
  <c r="P55" i="46" s="1"/>
  <c r="O198" i="7"/>
  <c r="E198" i="7"/>
  <c r="B199" i="7"/>
  <c r="B145" i="13"/>
  <c r="E144" i="13"/>
  <c r="AF46" i="28"/>
  <c r="J46" i="28"/>
  <c r="AA55" i="40"/>
  <c r="AB55" i="40" s="1"/>
  <c r="AD55" i="40"/>
  <c r="L55" i="40"/>
  <c r="AH55" i="40"/>
  <c r="AG55" i="40"/>
  <c r="N55" i="40"/>
  <c r="M55" i="40"/>
  <c r="I89" i="32"/>
  <c r="AE89" i="32"/>
  <c r="F90" i="32"/>
  <c r="H90" i="32" s="1"/>
  <c r="Q90" i="32" s="1"/>
  <c r="AA89" i="32"/>
  <c r="P89" i="32"/>
  <c r="W87" i="32" s="1"/>
  <c r="Q62" i="33"/>
  <c r="M63" i="33"/>
  <c r="L63" i="33"/>
  <c r="N63" i="33"/>
  <c r="J63" i="33" s="1"/>
  <c r="I63" i="33"/>
  <c r="K63" i="33"/>
  <c r="P63" i="33"/>
  <c r="W61" i="33" s="1"/>
  <c r="H69" i="30"/>
  <c r="Q69" i="30" s="1"/>
  <c r="H62" i="37"/>
  <c r="P62" i="37"/>
  <c r="W60" i="37" s="1"/>
  <c r="C156" i="28"/>
  <c r="D156" i="28"/>
  <c r="D524" i="7" s="1"/>
  <c r="B157" i="28"/>
  <c r="F44" i="39"/>
  <c r="Z44" i="39"/>
  <c r="B152" i="33"/>
  <c r="D151" i="33"/>
  <c r="C151" i="33"/>
  <c r="C45" i="36"/>
  <c r="E44" i="36"/>
  <c r="T139" i="46"/>
  <c r="AA139" i="46" s="1"/>
  <c r="B140" i="46"/>
  <c r="E139" i="46"/>
  <c r="D139" i="46"/>
  <c r="Z56" i="46"/>
  <c r="X56" i="46"/>
  <c r="W56" i="46"/>
  <c r="Y56" i="46"/>
  <c r="D150" i="32"/>
  <c r="C150" i="32"/>
  <c r="B151" i="32"/>
  <c r="D156" i="30"/>
  <c r="C157" i="30"/>
  <c r="B157" i="30"/>
  <c r="K149" i="40"/>
  <c r="D150" i="40"/>
  <c r="C151" i="40"/>
  <c r="E150" i="40"/>
  <c r="Z150" i="40" s="1"/>
  <c r="B172" i="39"/>
  <c r="E171" i="39"/>
  <c r="R171" i="39" s="1"/>
  <c r="D150" i="37"/>
  <c r="C151" i="37"/>
  <c r="B151" i="37"/>
  <c r="B526" i="7"/>
  <c r="C525" i="7"/>
  <c r="K134" i="12"/>
  <c r="C141" i="13"/>
  <c r="C196" i="7"/>
  <c r="C141" i="39"/>
  <c r="C136" i="46"/>
  <c r="AC40" i="13" l="1"/>
  <c r="U40" i="13"/>
  <c r="Z40" i="13"/>
  <c r="Q55" i="46"/>
  <c r="F56" i="46" s="1"/>
  <c r="A56" i="46" s="1"/>
  <c r="M56" i="46" s="1"/>
  <c r="E199" i="7"/>
  <c r="O199" i="7"/>
  <c r="B200" i="7"/>
  <c r="E145" i="13"/>
  <c r="B146" i="13"/>
  <c r="J414" i="7"/>
  <c r="H46" i="28"/>
  <c r="AF55" i="40"/>
  <c r="Q55" i="40"/>
  <c r="X53" i="40"/>
  <c r="J55" i="40"/>
  <c r="AC55" i="40"/>
  <c r="I55" i="40" s="1"/>
  <c r="AF90" i="32"/>
  <c r="Z90" i="32"/>
  <c r="AC90" i="32"/>
  <c r="F91" i="32"/>
  <c r="N91" i="32" s="1"/>
  <c r="AD91" i="32" s="1"/>
  <c r="N90" i="32"/>
  <c r="AG90" i="32" s="1"/>
  <c r="L90" i="32"/>
  <c r="K90" i="32"/>
  <c r="M90" i="32"/>
  <c r="J90" i="32"/>
  <c r="H63" i="33"/>
  <c r="F70" i="30"/>
  <c r="L70" i="30" s="1"/>
  <c r="P69" i="30"/>
  <c r="W67" i="30" s="1"/>
  <c r="Q62" i="37"/>
  <c r="F63" i="37"/>
  <c r="B158" i="28"/>
  <c r="D157" i="28"/>
  <c r="D525" i="7" s="1"/>
  <c r="C157" i="28"/>
  <c r="V56" i="46"/>
  <c r="D152" i="33"/>
  <c r="C152" i="33"/>
  <c r="B153" i="33"/>
  <c r="E140" i="46"/>
  <c r="D140" i="46"/>
  <c r="B141" i="46"/>
  <c r="T140" i="46"/>
  <c r="AA140" i="46" s="1"/>
  <c r="Q44" i="39"/>
  <c r="J44" i="39"/>
  <c r="V44" i="39"/>
  <c r="K44" i="39"/>
  <c r="S44" i="39"/>
  <c r="T44" i="39" s="1"/>
  <c r="Y44" i="39"/>
  <c r="X44" i="39" s="1"/>
  <c r="L44" i="39"/>
  <c r="D157" i="30"/>
  <c r="C158" i="30"/>
  <c r="B158" i="30"/>
  <c r="B152" i="32"/>
  <c r="D151" i="32"/>
  <c r="C151" i="32"/>
  <c r="B173" i="39"/>
  <c r="E172" i="39"/>
  <c r="R172" i="39" s="1"/>
  <c r="K150" i="40"/>
  <c r="C152" i="40"/>
  <c r="D151" i="40"/>
  <c r="E151" i="40"/>
  <c r="Z151" i="40" s="1"/>
  <c r="C152" i="37"/>
  <c r="B152" i="37"/>
  <c r="D151" i="37"/>
  <c r="B527" i="7"/>
  <c r="C526" i="7"/>
  <c r="C142" i="13"/>
  <c r="K135" i="12"/>
  <c r="C197" i="7"/>
  <c r="C137" i="46"/>
  <c r="C142" i="39"/>
  <c r="J40" i="13" l="1"/>
  <c r="X40" i="13"/>
  <c r="W40" i="13"/>
  <c r="AA40" i="13"/>
  <c r="L56" i="46"/>
  <c r="J56" i="46"/>
  <c r="K56" i="46"/>
  <c r="I56" i="46"/>
  <c r="H56" i="46"/>
  <c r="I44" i="13"/>
  <c r="I99" i="7" s="1"/>
  <c r="E200" i="7"/>
  <c r="O200" i="7"/>
  <c r="B201" i="7"/>
  <c r="B147" i="13"/>
  <c r="E146" i="13"/>
  <c r="F47" i="28"/>
  <c r="R46" i="28"/>
  <c r="R414" i="7" s="1"/>
  <c r="H414" i="7"/>
  <c r="Q46" i="28"/>
  <c r="Q414" i="7" s="1"/>
  <c r="I90" i="32"/>
  <c r="G56" i="40"/>
  <c r="R55" i="40"/>
  <c r="AE90" i="32"/>
  <c r="K91" i="32"/>
  <c r="Z91" i="32"/>
  <c r="Y91" i="32"/>
  <c r="J91" i="32"/>
  <c r="AC91" i="32"/>
  <c r="AB91" i="32" s="1"/>
  <c r="AD90" i="32"/>
  <c r="AB90" i="32" s="1"/>
  <c r="P90" i="32"/>
  <c r="W88" i="32" s="1"/>
  <c r="Y90" i="32"/>
  <c r="AA90" i="32" s="1"/>
  <c r="H91" i="32"/>
  <c r="F92" i="32" s="1"/>
  <c r="N92" i="32" s="1"/>
  <c r="AG92" i="32" s="1"/>
  <c r="L91" i="32"/>
  <c r="M91" i="32"/>
  <c r="AF91" i="32"/>
  <c r="AG91" i="32"/>
  <c r="Q63" i="33"/>
  <c r="F64" i="33"/>
  <c r="I70" i="30"/>
  <c r="M70" i="30"/>
  <c r="K70" i="30"/>
  <c r="N70" i="30"/>
  <c r="J70" i="30" s="1"/>
  <c r="I63" i="37"/>
  <c r="L63" i="37"/>
  <c r="M63" i="37"/>
  <c r="K63" i="37"/>
  <c r="J63" i="37"/>
  <c r="B159" i="28"/>
  <c r="D158" i="28"/>
  <c r="D526" i="7" s="1"/>
  <c r="C158" i="28"/>
  <c r="U44" i="39"/>
  <c r="G44" i="39" s="1"/>
  <c r="D45" i="36" s="1"/>
  <c r="H44" i="39"/>
  <c r="D141" i="46"/>
  <c r="T141" i="46"/>
  <c r="AA141" i="46" s="1"/>
  <c r="B142" i="46"/>
  <c r="E141" i="46"/>
  <c r="B154" i="33"/>
  <c r="C153" i="33"/>
  <c r="D153" i="33"/>
  <c r="AB56" i="46"/>
  <c r="U57" i="46"/>
  <c r="C159" i="30"/>
  <c r="B159" i="30"/>
  <c r="D158" i="30"/>
  <c r="C152" i="32"/>
  <c r="B153" i="32"/>
  <c r="D152" i="32"/>
  <c r="K151" i="40"/>
  <c r="E152" i="40"/>
  <c r="Z152" i="40" s="1"/>
  <c r="D152" i="40"/>
  <c r="C153" i="40"/>
  <c r="C153" i="37"/>
  <c r="D152" i="37"/>
  <c r="B153" i="37"/>
  <c r="B174" i="39"/>
  <c r="E173" i="39"/>
  <c r="R173" i="39" s="1"/>
  <c r="B528" i="7"/>
  <c r="C527" i="7"/>
  <c r="K136" i="12"/>
  <c r="C143" i="13"/>
  <c r="C198" i="7"/>
  <c r="C138" i="46"/>
  <c r="C143" i="39"/>
  <c r="G40" i="13" l="1"/>
  <c r="G95" i="7" s="1"/>
  <c r="Q95" i="7" s="1"/>
  <c r="G56" i="46"/>
  <c r="E201" i="7"/>
  <c r="O201" i="7"/>
  <c r="B202" i="7"/>
  <c r="B148" i="13"/>
  <c r="E147" i="13"/>
  <c r="F415" i="7"/>
  <c r="S415" i="7" s="1"/>
  <c r="AA47" i="28"/>
  <c r="M47" i="28"/>
  <c r="M415" i="7" s="1"/>
  <c r="L47" i="28"/>
  <c r="L415" i="7" s="1"/>
  <c r="AG47" i="28"/>
  <c r="N47" i="28"/>
  <c r="K47" i="28"/>
  <c r="AD47" i="28"/>
  <c r="AG56" i="40"/>
  <c r="M56" i="40"/>
  <c r="AD56" i="40"/>
  <c r="AH56" i="40"/>
  <c r="N56" i="40"/>
  <c r="AA56" i="40"/>
  <c r="AB56" i="40" s="1"/>
  <c r="L56" i="40"/>
  <c r="K92" i="32"/>
  <c r="I91" i="32"/>
  <c r="AA91" i="32"/>
  <c r="M92" i="32"/>
  <c r="P91" i="32"/>
  <c r="W89" i="32" s="1"/>
  <c r="AC92" i="32"/>
  <c r="AD92" i="32"/>
  <c r="Y92" i="32"/>
  <c r="L92" i="32"/>
  <c r="J92" i="32"/>
  <c r="Z92" i="32"/>
  <c r="AE91" i="32"/>
  <c r="AF92" i="32"/>
  <c r="AE92" i="32" s="1"/>
  <c r="Q91" i="32"/>
  <c r="H92" i="32"/>
  <c r="F93" i="32" s="1"/>
  <c r="Z93" i="32" s="1"/>
  <c r="N64" i="33"/>
  <c r="J64" i="33" s="1"/>
  <c r="P64" i="33"/>
  <c r="W62" i="33" s="1"/>
  <c r="L64" i="33"/>
  <c r="M64" i="33"/>
  <c r="K64" i="33"/>
  <c r="I64" i="33"/>
  <c r="I44" i="39"/>
  <c r="AC44" i="39" s="1"/>
  <c r="H70" i="30"/>
  <c r="Q70" i="30" s="1"/>
  <c r="H63" i="37"/>
  <c r="P63" i="37"/>
  <c r="W61" i="37" s="1"/>
  <c r="D159" i="28"/>
  <c r="D527" i="7" s="1"/>
  <c r="B160" i="28"/>
  <c r="C159" i="28"/>
  <c r="Z57" i="46"/>
  <c r="Y57" i="46"/>
  <c r="X57" i="46"/>
  <c r="W57" i="46"/>
  <c r="D154" i="33"/>
  <c r="C154" i="33"/>
  <c r="B155" i="33"/>
  <c r="T142" i="46"/>
  <c r="AA142" i="46" s="1"/>
  <c r="B143" i="46"/>
  <c r="D142" i="46"/>
  <c r="E142" i="46"/>
  <c r="O44" i="39"/>
  <c r="P44" i="39"/>
  <c r="D153" i="32"/>
  <c r="C153" i="32"/>
  <c r="B154" i="32"/>
  <c r="D159" i="30"/>
  <c r="C160" i="30"/>
  <c r="B160" i="30"/>
  <c r="K152" i="40"/>
  <c r="B175" i="39"/>
  <c r="E174" i="39"/>
  <c r="R174" i="39" s="1"/>
  <c r="C154" i="40"/>
  <c r="E153" i="40"/>
  <c r="Z153" i="40" s="1"/>
  <c r="D153" i="40"/>
  <c r="C154" i="37"/>
  <c r="D153" i="37"/>
  <c r="B154" i="37"/>
  <c r="C528" i="7"/>
  <c r="B529" i="7"/>
  <c r="C144" i="13"/>
  <c r="K137" i="12"/>
  <c r="C199" i="7"/>
  <c r="C139" i="46"/>
  <c r="C144" i="39"/>
  <c r="S40" i="13" l="1"/>
  <c r="F41" i="13"/>
  <c r="R40" i="13"/>
  <c r="Q56" i="46"/>
  <c r="F57" i="46" s="1"/>
  <c r="I57" i="46" s="1"/>
  <c r="P56" i="46"/>
  <c r="E202" i="7"/>
  <c r="O202" i="7"/>
  <c r="B203" i="7"/>
  <c r="B149" i="13"/>
  <c r="E148" i="13"/>
  <c r="I47" i="28"/>
  <c r="I415" i="7" s="1"/>
  <c r="K415" i="7"/>
  <c r="X45" i="28"/>
  <c r="Z47" i="28"/>
  <c r="AB47" i="28" s="1"/>
  <c r="AE47" i="28"/>
  <c r="AC47" i="28" s="1"/>
  <c r="AH47" i="28"/>
  <c r="N415" i="7"/>
  <c r="AF56" i="40"/>
  <c r="X54" i="40"/>
  <c r="Q56" i="40"/>
  <c r="J56" i="40"/>
  <c r="AC56" i="40"/>
  <c r="I56" i="40" s="1"/>
  <c r="I92" i="32"/>
  <c r="AB92" i="32"/>
  <c r="AA92" i="32"/>
  <c r="P92" i="32"/>
  <c r="W90" i="32" s="1"/>
  <c r="J93" i="32"/>
  <c r="M93" i="32"/>
  <c r="K93" i="32"/>
  <c r="AC93" i="32"/>
  <c r="AF93" i="32"/>
  <c r="H93" i="32"/>
  <c r="F94" i="32" s="1"/>
  <c r="M94" i="32" s="1"/>
  <c r="Q92" i="32"/>
  <c r="N93" i="32"/>
  <c r="AG93" i="32" s="1"/>
  <c r="L93" i="32"/>
  <c r="H64" i="33"/>
  <c r="F71" i="30"/>
  <c r="L71" i="30" s="1"/>
  <c r="P70" i="30"/>
  <c r="W68" i="30" s="1"/>
  <c r="F64" i="37"/>
  <c r="Q63" i="37"/>
  <c r="B161" i="28"/>
  <c r="C160" i="28"/>
  <c r="D160" i="28"/>
  <c r="D528" i="7" s="1"/>
  <c r="V57" i="46"/>
  <c r="D143" i="46"/>
  <c r="B144" i="46"/>
  <c r="E143" i="46"/>
  <c r="T143" i="46"/>
  <c r="AA143" i="46" s="1"/>
  <c r="F45" i="39"/>
  <c r="Z45" i="39"/>
  <c r="B156" i="33"/>
  <c r="C155" i="33"/>
  <c r="D155" i="33"/>
  <c r="C46" i="36"/>
  <c r="E45" i="36"/>
  <c r="B161" i="30"/>
  <c r="D160" i="30"/>
  <c r="C161" i="30"/>
  <c r="C154" i="32"/>
  <c r="B155" i="32"/>
  <c r="D154" i="32"/>
  <c r="K153" i="40"/>
  <c r="B176" i="39"/>
  <c r="E175" i="39"/>
  <c r="R175" i="39" s="1"/>
  <c r="D154" i="40"/>
  <c r="C155" i="40"/>
  <c r="E154" i="40"/>
  <c r="Z154" i="40" s="1"/>
  <c r="D154" i="37"/>
  <c r="C155" i="37"/>
  <c r="B155" i="37"/>
  <c r="C529" i="7"/>
  <c r="B530" i="7"/>
  <c r="K138" i="12"/>
  <c r="C145" i="13"/>
  <c r="C200" i="7"/>
  <c r="C145" i="39"/>
  <c r="C140" i="46"/>
  <c r="L41" i="13" l="1"/>
  <c r="K96" i="7" s="1"/>
  <c r="N41" i="13"/>
  <c r="M96" i="7" s="1"/>
  <c r="AB41" i="13"/>
  <c r="H41" i="13" s="1"/>
  <c r="H96" i="7" s="1"/>
  <c r="M41" i="13"/>
  <c r="L96" i="7" s="1"/>
  <c r="V41" i="13"/>
  <c r="Y41" i="13"/>
  <c r="F96" i="7"/>
  <c r="R96" i="7" s="1"/>
  <c r="K41" i="13"/>
  <c r="J96" i="7" s="1"/>
  <c r="H57" i="46"/>
  <c r="J57" i="46"/>
  <c r="A57" i="46"/>
  <c r="M57" i="46" s="1"/>
  <c r="L57" i="46"/>
  <c r="K57" i="46"/>
  <c r="AB57" i="46"/>
  <c r="E203" i="7"/>
  <c r="O203" i="7"/>
  <c r="B204" i="7"/>
  <c r="B150" i="13"/>
  <c r="E149" i="13"/>
  <c r="AF47" i="28"/>
  <c r="J47" i="28"/>
  <c r="I93" i="32"/>
  <c r="R56" i="40"/>
  <c r="G57" i="40"/>
  <c r="AE93" i="32"/>
  <c r="K94" i="32"/>
  <c r="P93" i="32"/>
  <c r="W91" i="32" s="1"/>
  <c r="Q93" i="32"/>
  <c r="Z94" i="32"/>
  <c r="AC94" i="32"/>
  <c r="L94" i="32"/>
  <c r="H94" i="32"/>
  <c r="Q94" i="32" s="1"/>
  <c r="AD93" i="32"/>
  <c r="AB93" i="32" s="1"/>
  <c r="N94" i="32"/>
  <c r="AD94" i="32" s="1"/>
  <c r="Y93" i="32"/>
  <c r="AA93" i="32" s="1"/>
  <c r="AF94" i="32"/>
  <c r="J94" i="32"/>
  <c r="Q64" i="33"/>
  <c r="F65" i="33"/>
  <c r="I71" i="30"/>
  <c r="K71" i="30"/>
  <c r="N71" i="30"/>
  <c r="J71" i="30" s="1"/>
  <c r="M71" i="30"/>
  <c r="M64" i="37"/>
  <c r="J64" i="37"/>
  <c r="K64" i="37"/>
  <c r="I64" i="37"/>
  <c r="L64" i="37"/>
  <c r="U58" i="46"/>
  <c r="Y58" i="46" s="1"/>
  <c r="B162" i="28"/>
  <c r="C161" i="28"/>
  <c r="D161" i="28"/>
  <c r="D529" i="7" s="1"/>
  <c r="E144" i="46"/>
  <c r="D144" i="46"/>
  <c r="B145" i="46"/>
  <c r="T144" i="46"/>
  <c r="AA144" i="46" s="1"/>
  <c r="C156" i="33"/>
  <c r="D156" i="33"/>
  <c r="B157" i="33"/>
  <c r="L45" i="39"/>
  <c r="V45" i="39"/>
  <c r="S45" i="39"/>
  <c r="T45" i="39" s="1"/>
  <c r="K45" i="39"/>
  <c r="Y45" i="39"/>
  <c r="X45" i="39" s="1"/>
  <c r="J45" i="39"/>
  <c r="Q45" i="39"/>
  <c r="D155" i="32"/>
  <c r="B156" i="32"/>
  <c r="C155" i="32"/>
  <c r="C162" i="30"/>
  <c r="B162" i="30"/>
  <c r="D161" i="30"/>
  <c r="K154" i="40"/>
  <c r="C156" i="40"/>
  <c r="D155" i="40"/>
  <c r="E155" i="40"/>
  <c r="Z155" i="40" s="1"/>
  <c r="B177" i="39"/>
  <c r="E176" i="39"/>
  <c r="R176" i="39" s="1"/>
  <c r="B156" i="37"/>
  <c r="D155" i="37"/>
  <c r="C156" i="37"/>
  <c r="C530" i="7"/>
  <c r="B531" i="7"/>
  <c r="C146" i="13"/>
  <c r="K139" i="12"/>
  <c r="C201" i="7"/>
  <c r="C141" i="46"/>
  <c r="C146" i="39"/>
  <c r="U41" i="13" l="1"/>
  <c r="Z41" i="13"/>
  <c r="AC41" i="13"/>
  <c r="J41" i="13" s="1"/>
  <c r="E32" i="10"/>
  <c r="X41" i="13"/>
  <c r="G57" i="46"/>
  <c r="Q57" i="46" s="1"/>
  <c r="F58" i="46" s="1"/>
  <c r="K58" i="46" s="1"/>
  <c r="E204" i="7"/>
  <c r="O204" i="7"/>
  <c r="B205" i="7"/>
  <c r="E150" i="13"/>
  <c r="B151" i="13"/>
  <c r="H47" i="28"/>
  <c r="J415" i="7"/>
  <c r="AH57" i="40"/>
  <c r="AD57" i="40"/>
  <c r="AA57" i="40"/>
  <c r="AB57" i="40" s="1"/>
  <c r="L57" i="40"/>
  <c r="M57" i="40"/>
  <c r="AG57" i="40"/>
  <c r="N57" i="40"/>
  <c r="I94" i="32"/>
  <c r="Y94" i="32"/>
  <c r="AA94" i="32" s="1"/>
  <c r="AB94" i="32"/>
  <c r="F95" i="32"/>
  <c r="N95" i="32" s="1"/>
  <c r="Y95" i="32" s="1"/>
  <c r="AG94" i="32"/>
  <c r="AE94" i="32" s="1"/>
  <c r="P94" i="32"/>
  <c r="W92" i="32" s="1"/>
  <c r="I65" i="33"/>
  <c r="M65" i="33"/>
  <c r="P65" i="33"/>
  <c r="W63" i="33" s="1"/>
  <c r="N65" i="33"/>
  <c r="J65" i="33" s="1"/>
  <c r="K65" i="33"/>
  <c r="L65" i="33"/>
  <c r="H71" i="30"/>
  <c r="F72" i="30" s="1"/>
  <c r="M72" i="30" s="1"/>
  <c r="P64" i="37"/>
  <c r="W62" i="37" s="1"/>
  <c r="H64" i="37"/>
  <c r="W58" i="46"/>
  <c r="Z58" i="46"/>
  <c r="X58" i="46"/>
  <c r="D162" i="28"/>
  <c r="D530" i="7" s="1"/>
  <c r="C162" i="28"/>
  <c r="B163" i="28"/>
  <c r="B158" i="33"/>
  <c r="D157" i="33"/>
  <c r="C157" i="33"/>
  <c r="H45" i="39"/>
  <c r="U45" i="39"/>
  <c r="G45" i="39" s="1"/>
  <c r="D46" i="36" s="1"/>
  <c r="B146" i="46"/>
  <c r="E145" i="46"/>
  <c r="T145" i="46"/>
  <c r="AA145" i="46" s="1"/>
  <c r="D145" i="46"/>
  <c r="B163" i="30"/>
  <c r="D162" i="30"/>
  <c r="C163" i="30"/>
  <c r="C156" i="32"/>
  <c r="B157" i="32"/>
  <c r="D156" i="32"/>
  <c r="K155" i="40"/>
  <c r="D156" i="37"/>
  <c r="C157" i="37"/>
  <c r="B157" i="37"/>
  <c r="B178" i="39"/>
  <c r="E177" i="39"/>
  <c r="R177" i="39" s="1"/>
  <c r="E156" i="40"/>
  <c r="Z156" i="40" s="1"/>
  <c r="D156" i="40"/>
  <c r="C157" i="40"/>
  <c r="C531" i="7"/>
  <c r="B532" i="7"/>
  <c r="K140" i="12"/>
  <c r="C147" i="13"/>
  <c r="C202" i="7"/>
  <c r="C142" i="46"/>
  <c r="C147" i="39"/>
  <c r="W41" i="13" l="1"/>
  <c r="AA41" i="13"/>
  <c r="G41" i="13" s="1"/>
  <c r="I58" i="46"/>
  <c r="J58" i="46"/>
  <c r="A58" i="46"/>
  <c r="M58" i="46" s="1"/>
  <c r="H58" i="46"/>
  <c r="L58" i="46"/>
  <c r="P57" i="46"/>
  <c r="I45" i="13"/>
  <c r="I100" i="7" s="1"/>
  <c r="E205" i="7"/>
  <c r="O205" i="7"/>
  <c r="B206" i="7"/>
  <c r="E151" i="13"/>
  <c r="B152" i="13"/>
  <c r="H415" i="7"/>
  <c r="R47" i="28"/>
  <c r="R415" i="7" s="1"/>
  <c r="Q47" i="28"/>
  <c r="Q415" i="7" s="1"/>
  <c r="F48" i="28"/>
  <c r="Q57" i="40"/>
  <c r="X55" i="40"/>
  <c r="J57" i="40"/>
  <c r="AC57" i="40"/>
  <c r="I57" i="40" s="1"/>
  <c r="AF57" i="40"/>
  <c r="M95" i="32"/>
  <c r="K95" i="32"/>
  <c r="Z95" i="32"/>
  <c r="AA95" i="32" s="1"/>
  <c r="H95" i="32"/>
  <c r="Q95" i="32" s="1"/>
  <c r="L95" i="32"/>
  <c r="AF95" i="32"/>
  <c r="AC95" i="32"/>
  <c r="J95" i="32"/>
  <c r="AD95" i="32"/>
  <c r="AG95" i="32"/>
  <c r="H65" i="33"/>
  <c r="F66" i="33" s="1"/>
  <c r="I66" i="33" s="1"/>
  <c r="I45" i="39"/>
  <c r="AC45" i="39" s="1"/>
  <c r="N72" i="30"/>
  <c r="J72" i="30" s="1"/>
  <c r="L72" i="30"/>
  <c r="I72" i="30"/>
  <c r="K72" i="30"/>
  <c r="P71" i="30"/>
  <c r="W69" i="30" s="1"/>
  <c r="Q71" i="30"/>
  <c r="V58" i="46"/>
  <c r="F65" i="37"/>
  <c r="Q64" i="37"/>
  <c r="C163" i="28"/>
  <c r="B164" i="28"/>
  <c r="D163" i="28"/>
  <c r="D531" i="7" s="1"/>
  <c r="B159" i="33"/>
  <c r="C158" i="33"/>
  <c r="D158" i="33"/>
  <c r="T146" i="46"/>
  <c r="AA146" i="46" s="1"/>
  <c r="B147" i="46"/>
  <c r="E146" i="46"/>
  <c r="D146" i="46"/>
  <c r="O45" i="39"/>
  <c r="P45" i="39"/>
  <c r="C157" i="32"/>
  <c r="B158" i="32"/>
  <c r="D157" i="32"/>
  <c r="C164" i="30"/>
  <c r="D163" i="30"/>
  <c r="B164" i="30"/>
  <c r="K156" i="40"/>
  <c r="B179" i="39"/>
  <c r="E178" i="39"/>
  <c r="R178" i="39" s="1"/>
  <c r="D157" i="40"/>
  <c r="C158" i="40"/>
  <c r="E157" i="40"/>
  <c r="Z157" i="40" s="1"/>
  <c r="D157" i="37"/>
  <c r="C158" i="37"/>
  <c r="B158" i="37"/>
  <c r="B533" i="7"/>
  <c r="C532" i="7"/>
  <c r="C148" i="13"/>
  <c r="K141" i="12"/>
  <c r="C203" i="7"/>
  <c r="C143" i="46"/>
  <c r="C148" i="39"/>
  <c r="S41" i="13" l="1"/>
  <c r="R41" i="13"/>
  <c r="F42" i="13"/>
  <c r="F97" i="7" s="1"/>
  <c r="R97" i="7" s="1"/>
  <c r="G96" i="7"/>
  <c r="M42" i="13"/>
  <c r="L97" i="7" s="1"/>
  <c r="Y42" i="13"/>
  <c r="AB42" i="13"/>
  <c r="V42" i="13"/>
  <c r="N42" i="13"/>
  <c r="M97" i="7" s="1"/>
  <c r="G58" i="46"/>
  <c r="Q58" i="46" s="1"/>
  <c r="F59" i="46" s="1"/>
  <c r="K59" i="46" s="1"/>
  <c r="U59" i="46"/>
  <c r="W59" i="46" s="1"/>
  <c r="E206" i="7"/>
  <c r="O206" i="7"/>
  <c r="B207" i="7"/>
  <c r="E152" i="13"/>
  <c r="B153" i="13"/>
  <c r="M48" i="28"/>
  <c r="M416" i="7" s="1"/>
  <c r="F416" i="7"/>
  <c r="S416" i="7" s="1"/>
  <c r="L48" i="28"/>
  <c r="L416" i="7" s="1"/>
  <c r="N48" i="28"/>
  <c r="AA48" i="28"/>
  <c r="K48" i="28"/>
  <c r="AD48" i="28"/>
  <c r="AG48" i="28"/>
  <c r="R57" i="40"/>
  <c r="G58" i="40"/>
  <c r="I95" i="32"/>
  <c r="F96" i="32"/>
  <c r="N96" i="32" s="1"/>
  <c r="AD96" i="32" s="1"/>
  <c r="AB95" i="32"/>
  <c r="AE95" i="32"/>
  <c r="P95" i="32"/>
  <c r="W93" i="32" s="1"/>
  <c r="P66" i="33"/>
  <c r="W64" i="33" s="1"/>
  <c r="N66" i="33"/>
  <c r="J66" i="33" s="1"/>
  <c r="H66" i="33" s="1"/>
  <c r="F67" i="33" s="1"/>
  <c r="M66" i="33"/>
  <c r="K66" i="33"/>
  <c r="L66" i="33"/>
  <c r="Q65" i="33"/>
  <c r="H72" i="30"/>
  <c r="P72" i="30" s="1"/>
  <c r="W70" i="30" s="1"/>
  <c r="AB58" i="46"/>
  <c r="J65" i="37"/>
  <c r="I65" i="37"/>
  <c r="M65" i="37"/>
  <c r="K65" i="37"/>
  <c r="L65" i="37"/>
  <c r="B165" i="28"/>
  <c r="D164" i="28"/>
  <c r="D532" i="7" s="1"/>
  <c r="C164" i="28"/>
  <c r="F46" i="39"/>
  <c r="Z46" i="39"/>
  <c r="B148" i="46"/>
  <c r="T147" i="46"/>
  <c r="AA147" i="46" s="1"/>
  <c r="D147" i="46"/>
  <c r="E147" i="46"/>
  <c r="C47" i="36"/>
  <c r="E46" i="36"/>
  <c r="C159" i="33"/>
  <c r="B160" i="33"/>
  <c r="D159" i="33"/>
  <c r="C158" i="32"/>
  <c r="B159" i="32"/>
  <c r="D158" i="32"/>
  <c r="C165" i="30"/>
  <c r="D164" i="30"/>
  <c r="B165" i="30"/>
  <c r="D158" i="37"/>
  <c r="B159" i="37"/>
  <c r="C159" i="37"/>
  <c r="B180" i="39"/>
  <c r="E179" i="39"/>
  <c r="R179" i="39" s="1"/>
  <c r="K157" i="40"/>
  <c r="D158" i="40"/>
  <c r="C159" i="40"/>
  <c r="E158" i="40"/>
  <c r="Z158" i="40" s="1"/>
  <c r="B534" i="7"/>
  <c r="C533" i="7"/>
  <c r="K142" i="12"/>
  <c r="C149" i="13"/>
  <c r="C204" i="7"/>
  <c r="C149" i="39"/>
  <c r="C144" i="46"/>
  <c r="K42" i="13" l="1"/>
  <c r="J97" i="7" s="1"/>
  <c r="H42" i="13"/>
  <c r="H97" i="7" s="1"/>
  <c r="P96" i="7"/>
  <c r="Q96" i="7"/>
  <c r="L42" i="13"/>
  <c r="K97" i="7" s="1"/>
  <c r="AC42" i="13"/>
  <c r="Z42" i="13"/>
  <c r="U42" i="13"/>
  <c r="J42" i="13"/>
  <c r="L59" i="46"/>
  <c r="J59" i="46"/>
  <c r="I59" i="46"/>
  <c r="A59" i="46"/>
  <c r="M59" i="46" s="1"/>
  <c r="P58" i="46"/>
  <c r="H59" i="46"/>
  <c r="X59" i="46"/>
  <c r="V59" i="46" s="1"/>
  <c r="Z59" i="46"/>
  <c r="Y59" i="46"/>
  <c r="E207" i="7"/>
  <c r="O207" i="7"/>
  <c r="B208" i="7"/>
  <c r="E153" i="13"/>
  <c r="B154" i="13"/>
  <c r="I48" i="28"/>
  <c r="I416" i="7" s="1"/>
  <c r="X46" i="28"/>
  <c r="K416" i="7"/>
  <c r="AH48" i="28"/>
  <c r="N416" i="7"/>
  <c r="Z48" i="28"/>
  <c r="AB48" i="28" s="1"/>
  <c r="AE48" i="28"/>
  <c r="AC48" i="28" s="1"/>
  <c r="AD58" i="40"/>
  <c r="N58" i="40"/>
  <c r="AG58" i="40"/>
  <c r="L58" i="40"/>
  <c r="M58" i="40"/>
  <c r="AH58" i="40"/>
  <c r="AA58" i="40"/>
  <c r="AB58" i="40" s="1"/>
  <c r="H96" i="32"/>
  <c r="Q96" i="32" s="1"/>
  <c r="AG96" i="32"/>
  <c r="AC96" i="32"/>
  <c r="AB96" i="32" s="1"/>
  <c r="J96" i="32"/>
  <c r="M96" i="32"/>
  <c r="Z96" i="32"/>
  <c r="K96" i="32"/>
  <c r="Y96" i="32"/>
  <c r="L96" i="32"/>
  <c r="AF96" i="32"/>
  <c r="Q72" i="30"/>
  <c r="F73" i="30"/>
  <c r="L73" i="30" s="1"/>
  <c r="P65" i="37"/>
  <c r="W63" i="37" s="1"/>
  <c r="H65" i="37"/>
  <c r="Q66" i="33"/>
  <c r="M67" i="33"/>
  <c r="N67" i="33"/>
  <c r="J67" i="33" s="1"/>
  <c r="L67" i="33"/>
  <c r="K67" i="33"/>
  <c r="I67" i="33"/>
  <c r="P67" i="33"/>
  <c r="W65" i="33" s="1"/>
  <c r="D165" i="28"/>
  <c r="D533" i="7" s="1"/>
  <c r="C165" i="28"/>
  <c r="B166" i="28"/>
  <c r="B161" i="33"/>
  <c r="C160" i="33"/>
  <c r="D160" i="33"/>
  <c r="D148" i="46"/>
  <c r="E148" i="46"/>
  <c r="T148" i="46"/>
  <c r="AA148" i="46" s="1"/>
  <c r="B149" i="46"/>
  <c r="J46" i="39"/>
  <c r="L46" i="39"/>
  <c r="Q46" i="39"/>
  <c r="S46" i="39"/>
  <c r="T46" i="39" s="1"/>
  <c r="Y46" i="39"/>
  <c r="X46" i="39" s="1"/>
  <c r="V46" i="39"/>
  <c r="K46" i="39"/>
  <c r="D159" i="32"/>
  <c r="C159" i="32"/>
  <c r="B160" i="32"/>
  <c r="D165" i="30"/>
  <c r="C166" i="30"/>
  <c r="B166" i="30"/>
  <c r="C160" i="40"/>
  <c r="D159" i="40"/>
  <c r="E159" i="40"/>
  <c r="Z159" i="40" s="1"/>
  <c r="B181" i="39"/>
  <c r="E180" i="39"/>
  <c r="R180" i="39" s="1"/>
  <c r="K158" i="40"/>
  <c r="B160" i="37"/>
  <c r="D159" i="37"/>
  <c r="C160" i="37"/>
  <c r="C534" i="7"/>
  <c r="B535" i="7"/>
  <c r="C150" i="13"/>
  <c r="K143" i="12"/>
  <c r="C205" i="7"/>
  <c r="C145" i="46"/>
  <c r="C150" i="39"/>
  <c r="E33" i="10" l="1"/>
  <c r="AA42" i="13"/>
  <c r="X42" i="13"/>
  <c r="W42" i="13"/>
  <c r="G42" i="13"/>
  <c r="G59" i="46"/>
  <c r="Q59" i="46" s="1"/>
  <c r="F60" i="46" s="1"/>
  <c r="H60" i="46" s="1"/>
  <c r="E208" i="7"/>
  <c r="O208" i="7"/>
  <c r="B209" i="7"/>
  <c r="E154" i="13"/>
  <c r="B155" i="13"/>
  <c r="J48" i="28"/>
  <c r="AF48" i="28"/>
  <c r="AF58" i="40"/>
  <c r="Q58" i="40"/>
  <c r="X56" i="40"/>
  <c r="AC58" i="40"/>
  <c r="I58" i="40" s="1"/>
  <c r="J58" i="40"/>
  <c r="P96" i="32"/>
  <c r="W94" i="32" s="1"/>
  <c r="F97" i="32"/>
  <c r="H97" i="32" s="1"/>
  <c r="I96" i="32"/>
  <c r="AA96" i="32"/>
  <c r="AE96" i="32"/>
  <c r="I73" i="30"/>
  <c r="N73" i="30"/>
  <c r="J73" i="30" s="1"/>
  <c r="K73" i="30"/>
  <c r="M73" i="30"/>
  <c r="Q65" i="37"/>
  <c r="F66" i="37"/>
  <c r="H67" i="33"/>
  <c r="D166" i="28"/>
  <c r="D534" i="7" s="1"/>
  <c r="B167" i="28"/>
  <c r="C166" i="28"/>
  <c r="H46" i="39"/>
  <c r="U46" i="39"/>
  <c r="G46" i="39" s="1"/>
  <c r="D47" i="36" s="1"/>
  <c r="B162" i="33"/>
  <c r="C161" i="33"/>
  <c r="D161" i="33"/>
  <c r="AB59" i="46"/>
  <c r="U60" i="46"/>
  <c r="E149" i="46"/>
  <c r="D149" i="46"/>
  <c r="T149" i="46"/>
  <c r="AA149" i="46" s="1"/>
  <c r="B150" i="46"/>
  <c r="B167" i="30"/>
  <c r="D166" i="30"/>
  <c r="C167" i="30"/>
  <c r="B161" i="32"/>
  <c r="D160" i="32"/>
  <c r="C160" i="32"/>
  <c r="K159" i="40"/>
  <c r="C161" i="37"/>
  <c r="B161" i="37"/>
  <c r="D160" i="37"/>
  <c r="B182" i="39"/>
  <c r="E181" i="39"/>
  <c r="R181" i="39" s="1"/>
  <c r="E160" i="40"/>
  <c r="Z160" i="40" s="1"/>
  <c r="C161" i="40"/>
  <c r="D160" i="40"/>
  <c r="C535" i="7"/>
  <c r="B536" i="7"/>
  <c r="K144" i="12"/>
  <c r="C151" i="13"/>
  <c r="C206" i="7"/>
  <c r="C146" i="46"/>
  <c r="C151" i="39"/>
  <c r="G97" i="7" l="1"/>
  <c r="R42" i="13"/>
  <c r="S42" i="13"/>
  <c r="F43" i="13"/>
  <c r="A60" i="46"/>
  <c r="M60" i="46" s="1"/>
  <c r="J60" i="46"/>
  <c r="K60" i="46"/>
  <c r="P59" i="46"/>
  <c r="I60" i="46"/>
  <c r="L60" i="46"/>
  <c r="I46" i="13"/>
  <c r="I101" i="7" s="1"/>
  <c r="O209" i="7"/>
  <c r="E209" i="7"/>
  <c r="B210" i="7"/>
  <c r="B156" i="13"/>
  <c r="E155" i="13"/>
  <c r="J416" i="7"/>
  <c r="H48" i="28"/>
  <c r="R58" i="40"/>
  <c r="G59" i="40"/>
  <c r="Q97" i="32"/>
  <c r="J97" i="32"/>
  <c r="F98" i="32"/>
  <c r="AF98" i="32" s="1"/>
  <c r="M97" i="32"/>
  <c r="AF97" i="32"/>
  <c r="K97" i="32"/>
  <c r="AC97" i="32"/>
  <c r="N97" i="32"/>
  <c r="AG97" i="32" s="1"/>
  <c r="L97" i="32"/>
  <c r="Z97" i="32"/>
  <c r="I46" i="39"/>
  <c r="AC46" i="39" s="1"/>
  <c r="H73" i="30"/>
  <c r="F74" i="30" s="1"/>
  <c r="K74" i="30" s="1"/>
  <c r="M66" i="37"/>
  <c r="I66" i="37"/>
  <c r="J66" i="37"/>
  <c r="K66" i="37"/>
  <c r="L66" i="37"/>
  <c r="F68" i="33"/>
  <c r="Q67" i="33"/>
  <c r="C167" i="28"/>
  <c r="B168" i="28"/>
  <c r="D167" i="28"/>
  <c r="D535" i="7" s="1"/>
  <c r="T150" i="46"/>
  <c r="AA150" i="46" s="1"/>
  <c r="D150" i="46"/>
  <c r="B151" i="46"/>
  <c r="E150" i="46"/>
  <c r="D162" i="33"/>
  <c r="B163" i="33"/>
  <c r="C162" i="33"/>
  <c r="Y60" i="46"/>
  <c r="X60" i="46"/>
  <c r="Z60" i="46"/>
  <c r="W60" i="46"/>
  <c r="O46" i="39"/>
  <c r="P46" i="39"/>
  <c r="C161" i="32"/>
  <c r="B162" i="32"/>
  <c r="D161" i="32"/>
  <c r="D167" i="30"/>
  <c r="B168" i="30"/>
  <c r="C168" i="30"/>
  <c r="K160" i="40"/>
  <c r="B183" i="39"/>
  <c r="E182" i="39"/>
  <c r="R182" i="39" s="1"/>
  <c r="D161" i="37"/>
  <c r="B162" i="37"/>
  <c r="C162" i="37"/>
  <c r="D161" i="40"/>
  <c r="C162" i="40"/>
  <c r="E161" i="40"/>
  <c r="Z161" i="40" s="1"/>
  <c r="B537" i="7"/>
  <c r="C536" i="7"/>
  <c r="C152" i="13"/>
  <c r="K145" i="12"/>
  <c r="C207" i="7"/>
  <c r="C147" i="46"/>
  <c r="C152" i="39"/>
  <c r="AB43" i="13" l="1"/>
  <c r="Q97" i="7"/>
  <c r="F98" i="7"/>
  <c r="R98" i="7" s="1"/>
  <c r="V43" i="13"/>
  <c r="K43" i="13"/>
  <c r="J98" i="7" s="1"/>
  <c r="P97" i="7"/>
  <c r="M43" i="13"/>
  <c r="L98" i="7" s="1"/>
  <c r="L43" i="13"/>
  <c r="K98" i="7" s="1"/>
  <c r="Y43" i="13"/>
  <c r="N43" i="13"/>
  <c r="G60" i="46"/>
  <c r="Q60" i="46" s="1"/>
  <c r="F61" i="46" s="1"/>
  <c r="L61" i="46" s="1"/>
  <c r="O210" i="7"/>
  <c r="E210" i="7"/>
  <c r="B211" i="7"/>
  <c r="P156" i="13"/>
  <c r="E156" i="13"/>
  <c r="B157" i="13"/>
  <c r="F49" i="28"/>
  <c r="Q48" i="28"/>
  <c r="Q416" i="7" s="1"/>
  <c r="H416" i="7"/>
  <c r="R48" i="28"/>
  <c r="R416" i="7" s="1"/>
  <c r="AD59" i="40"/>
  <c r="AA59" i="40"/>
  <c r="AB59" i="40" s="1"/>
  <c r="AH59" i="40"/>
  <c r="M59" i="40"/>
  <c r="AG59" i="40"/>
  <c r="N59" i="40"/>
  <c r="L59" i="40"/>
  <c r="I97" i="32"/>
  <c r="P97" i="32"/>
  <c r="W95" i="32" s="1"/>
  <c r="L98" i="32"/>
  <c r="J98" i="32"/>
  <c r="K98" i="32"/>
  <c r="N98" i="32"/>
  <c r="AD98" i="32" s="1"/>
  <c r="AC98" i="32"/>
  <c r="I98" i="32" s="1"/>
  <c r="M98" i="32"/>
  <c r="Z98" i="32"/>
  <c r="Y97" i="32"/>
  <c r="AA97" i="32" s="1"/>
  <c r="AE97" i="32"/>
  <c r="AD97" i="32"/>
  <c r="AB97" i="32" s="1"/>
  <c r="H98" i="32"/>
  <c r="Q98" i="32" s="1"/>
  <c r="M74" i="30"/>
  <c r="Q73" i="30"/>
  <c r="N74" i="30"/>
  <c r="J74" i="30" s="1"/>
  <c r="I74" i="30"/>
  <c r="P73" i="30"/>
  <c r="W71" i="30" s="1"/>
  <c r="L74" i="30"/>
  <c r="H66" i="37"/>
  <c r="Q66" i="37" s="1"/>
  <c r="P66" i="37"/>
  <c r="W64" i="37" s="1"/>
  <c r="M68" i="33"/>
  <c r="I68" i="33"/>
  <c r="L68" i="33"/>
  <c r="K68" i="33"/>
  <c r="P68" i="33"/>
  <c r="W66" i="33" s="1"/>
  <c r="N68" i="33"/>
  <c r="J68" i="33" s="1"/>
  <c r="C168" i="28"/>
  <c r="D168" i="28"/>
  <c r="D536" i="7" s="1"/>
  <c r="B169" i="28"/>
  <c r="V60" i="46"/>
  <c r="D163" i="33"/>
  <c r="B164" i="33"/>
  <c r="C163" i="33"/>
  <c r="Z47" i="39"/>
  <c r="F47" i="39"/>
  <c r="B152" i="46"/>
  <c r="D151" i="46"/>
  <c r="T151" i="46"/>
  <c r="AA151" i="46" s="1"/>
  <c r="E151" i="46"/>
  <c r="C48" i="36"/>
  <c r="E47" i="36"/>
  <c r="B163" i="32"/>
  <c r="D162" i="32"/>
  <c r="C162" i="32"/>
  <c r="C169" i="30"/>
  <c r="D168" i="30"/>
  <c r="B169" i="30"/>
  <c r="K161" i="40"/>
  <c r="B163" i="37"/>
  <c r="D162" i="37"/>
  <c r="C163" i="37"/>
  <c r="D162" i="40"/>
  <c r="C163" i="40"/>
  <c r="E162" i="40"/>
  <c r="Z162" i="40" s="1"/>
  <c r="B184" i="39"/>
  <c r="E183" i="39"/>
  <c r="R183" i="39" s="1"/>
  <c r="C537" i="7"/>
  <c r="B538" i="7"/>
  <c r="K146" i="12"/>
  <c r="C153" i="13"/>
  <c r="C208" i="7"/>
  <c r="C153" i="39"/>
  <c r="C148" i="46"/>
  <c r="AC43" i="13" l="1"/>
  <c r="U43" i="13"/>
  <c r="H43" i="13"/>
  <c r="H98" i="7" s="1"/>
  <c r="M98" i="7"/>
  <c r="E34" i="10"/>
  <c r="Z43" i="13"/>
  <c r="P60" i="46"/>
  <c r="H61" i="46"/>
  <c r="K61" i="46"/>
  <c r="J61" i="46"/>
  <c r="A61" i="46"/>
  <c r="M61" i="46" s="1"/>
  <c r="I61" i="46"/>
  <c r="U61" i="46"/>
  <c r="X61" i="46" s="1"/>
  <c r="O211" i="7"/>
  <c r="E211" i="7"/>
  <c r="B212" i="7"/>
  <c r="E157" i="13"/>
  <c r="B158" i="13"/>
  <c r="AD49" i="28"/>
  <c r="M49" i="28"/>
  <c r="M417" i="7" s="1"/>
  <c r="N49" i="28"/>
  <c r="L49" i="28"/>
  <c r="L417" i="7" s="1"/>
  <c r="F417" i="7"/>
  <c r="S417" i="7" s="1"/>
  <c r="AA49" i="28"/>
  <c r="K49" i="28"/>
  <c r="AG49" i="28"/>
  <c r="Q59" i="40"/>
  <c r="X57" i="40"/>
  <c r="AF59" i="40"/>
  <c r="J59" i="40"/>
  <c r="AC59" i="40"/>
  <c r="I59" i="40" s="1"/>
  <c r="Y98" i="32"/>
  <c r="AA98" i="32" s="1"/>
  <c r="P98" i="32"/>
  <c r="W96" i="32" s="1"/>
  <c r="AG98" i="32"/>
  <c r="AE98" i="32" s="1"/>
  <c r="AB98" i="32"/>
  <c r="F99" i="32"/>
  <c r="Z99" i="32" s="1"/>
  <c r="H74" i="30"/>
  <c r="F75" i="30" s="1"/>
  <c r="N75" i="30" s="1"/>
  <c r="J75" i="30" s="1"/>
  <c r="F67" i="37"/>
  <c r="L67" i="37" s="1"/>
  <c r="H68" i="33"/>
  <c r="D169" i="28"/>
  <c r="D537" i="7" s="1"/>
  <c r="B170" i="28"/>
  <c r="C169" i="28"/>
  <c r="AB60" i="46"/>
  <c r="C164" i="33"/>
  <c r="B165" i="33"/>
  <c r="D164" i="33"/>
  <c r="T152" i="46"/>
  <c r="AA152" i="46" s="1"/>
  <c r="D152" i="46"/>
  <c r="E152" i="46"/>
  <c r="B153" i="46"/>
  <c r="Y47" i="39"/>
  <c r="X47" i="39" s="1"/>
  <c r="Q47" i="39"/>
  <c r="L47" i="39"/>
  <c r="K47" i="39"/>
  <c r="V47" i="39"/>
  <c r="J47" i="39"/>
  <c r="S47" i="39"/>
  <c r="T47" i="39" s="1"/>
  <c r="B164" i="32"/>
  <c r="C163" i="32"/>
  <c r="D163" i="32"/>
  <c r="B170" i="30"/>
  <c r="D169" i="30"/>
  <c r="C170" i="30"/>
  <c r="K162" i="40"/>
  <c r="C164" i="40"/>
  <c r="D163" i="40"/>
  <c r="E163" i="40"/>
  <c r="Z163" i="40" s="1"/>
  <c r="B185" i="39"/>
  <c r="E184" i="39"/>
  <c r="R184" i="39" s="1"/>
  <c r="D163" i="37"/>
  <c r="B164" i="37"/>
  <c r="C164" i="37"/>
  <c r="C538" i="7"/>
  <c r="B539" i="7"/>
  <c r="C154" i="13"/>
  <c r="K147" i="12"/>
  <c r="C209" i="7"/>
  <c r="C149" i="46"/>
  <c r="C154" i="39"/>
  <c r="AA43" i="13" l="1"/>
  <c r="W43" i="13"/>
  <c r="J43" i="13"/>
  <c r="X43" i="13"/>
  <c r="G61" i="46"/>
  <c r="Q61" i="46" s="1"/>
  <c r="F62" i="46" s="1"/>
  <c r="I62" i="46" s="1"/>
  <c r="Z61" i="46"/>
  <c r="W61" i="46"/>
  <c r="V61" i="46" s="1"/>
  <c r="Y61" i="46"/>
  <c r="O212" i="7"/>
  <c r="E212" i="7"/>
  <c r="B213" i="7"/>
  <c r="I49" i="28"/>
  <c r="I417" i="7" s="1"/>
  <c r="B159" i="13"/>
  <c r="E158" i="13"/>
  <c r="K417" i="7"/>
  <c r="X47" i="28"/>
  <c r="Z49" i="28"/>
  <c r="AB49" i="28" s="1"/>
  <c r="N417" i="7"/>
  <c r="AE49" i="28"/>
  <c r="AC49" i="28" s="1"/>
  <c r="AH49" i="28"/>
  <c r="R59" i="40"/>
  <c r="G60" i="40"/>
  <c r="N99" i="32"/>
  <c r="AD99" i="32" s="1"/>
  <c r="AF99" i="32"/>
  <c r="H99" i="32"/>
  <c r="Q99" i="32" s="1"/>
  <c r="L99" i="32"/>
  <c r="M99" i="32"/>
  <c r="K99" i="32"/>
  <c r="J99" i="32"/>
  <c r="AC99" i="32"/>
  <c r="Q74" i="30"/>
  <c r="P74" i="30"/>
  <c r="W72" i="30" s="1"/>
  <c r="M75" i="30"/>
  <c r="L75" i="30"/>
  <c r="K75" i="30"/>
  <c r="I75" i="30"/>
  <c r="H75" i="30" s="1"/>
  <c r="Q75" i="30" s="1"/>
  <c r="J67" i="37"/>
  <c r="I67" i="37"/>
  <c r="M67" i="37"/>
  <c r="K67" i="37"/>
  <c r="F69" i="33"/>
  <c r="Q68" i="33"/>
  <c r="C170" i="28"/>
  <c r="B171" i="28"/>
  <c r="D170" i="28"/>
  <c r="D538" i="7" s="1"/>
  <c r="D165" i="33"/>
  <c r="B166" i="33"/>
  <c r="C165" i="33"/>
  <c r="D153" i="46"/>
  <c r="E153" i="46"/>
  <c r="B154" i="46"/>
  <c r="T153" i="46"/>
  <c r="AA153" i="46" s="1"/>
  <c r="H47" i="39"/>
  <c r="U47" i="39"/>
  <c r="G47" i="39" s="1"/>
  <c r="D48" i="36" s="1"/>
  <c r="B171" i="30"/>
  <c r="C171" i="30"/>
  <c r="D170" i="30"/>
  <c r="B165" i="32"/>
  <c r="D164" i="32"/>
  <c r="C164" i="32"/>
  <c r="B165" i="37"/>
  <c r="D164" i="37"/>
  <c r="C165" i="37"/>
  <c r="K163" i="40"/>
  <c r="B186" i="39"/>
  <c r="E185" i="39"/>
  <c r="R185" i="39" s="1"/>
  <c r="E164" i="40"/>
  <c r="Z164" i="40" s="1"/>
  <c r="D164" i="40"/>
  <c r="C165" i="40"/>
  <c r="C539" i="7"/>
  <c r="B540" i="7"/>
  <c r="K148" i="12"/>
  <c r="C155" i="13"/>
  <c r="C210" i="7"/>
  <c r="C150" i="46"/>
  <c r="C155" i="39"/>
  <c r="G43" i="13" l="1"/>
  <c r="G98" i="7" s="1"/>
  <c r="P61" i="46"/>
  <c r="K62" i="46"/>
  <c r="J62" i="46"/>
  <c r="A62" i="46"/>
  <c r="M62" i="46" s="1"/>
  <c r="H62" i="46"/>
  <c r="L62" i="46"/>
  <c r="AB61" i="46"/>
  <c r="U62" i="46"/>
  <c r="W62" i="46" s="1"/>
  <c r="I47" i="13"/>
  <c r="I102" i="7" s="1"/>
  <c r="O213" i="7"/>
  <c r="E213" i="7"/>
  <c r="B214" i="7"/>
  <c r="B160" i="13"/>
  <c r="E159" i="13"/>
  <c r="J49" i="28"/>
  <c r="AF49" i="28"/>
  <c r="I99" i="32"/>
  <c r="AD60" i="40"/>
  <c r="AA60" i="40"/>
  <c r="AB60" i="40" s="1"/>
  <c r="N60" i="40"/>
  <c r="AH60" i="40"/>
  <c r="L60" i="40"/>
  <c r="AG60" i="40"/>
  <c r="M60" i="40"/>
  <c r="Y99" i="32"/>
  <c r="AA99" i="32" s="1"/>
  <c r="P99" i="32"/>
  <c r="W97" i="32" s="1"/>
  <c r="F100" i="32"/>
  <c r="N100" i="32" s="1"/>
  <c r="AG99" i="32"/>
  <c r="AE99" i="32" s="1"/>
  <c r="AB99" i="32"/>
  <c r="I47" i="39"/>
  <c r="AC47" i="39" s="1"/>
  <c r="F76" i="30"/>
  <c r="M76" i="30" s="1"/>
  <c r="P75" i="30"/>
  <c r="W73" i="30" s="1"/>
  <c r="P67" i="37"/>
  <c r="W65" i="37" s="1"/>
  <c r="H67" i="37"/>
  <c r="Q67" i="37" s="1"/>
  <c r="N69" i="33"/>
  <c r="J69" i="33" s="1"/>
  <c r="I69" i="33"/>
  <c r="M69" i="33"/>
  <c r="K69" i="33"/>
  <c r="L69" i="33"/>
  <c r="P69" i="33"/>
  <c r="W67" i="33" s="1"/>
  <c r="D171" i="28"/>
  <c r="D539" i="7" s="1"/>
  <c r="C171" i="28"/>
  <c r="B172" i="28"/>
  <c r="B167" i="33"/>
  <c r="C166" i="33"/>
  <c r="D166" i="33"/>
  <c r="B155" i="46"/>
  <c r="D154" i="46"/>
  <c r="T154" i="46"/>
  <c r="AA154" i="46" s="1"/>
  <c r="E154" i="46"/>
  <c r="O47" i="39"/>
  <c r="P47" i="39"/>
  <c r="C172" i="30"/>
  <c r="D171" i="30"/>
  <c r="B172" i="30"/>
  <c r="B166" i="32"/>
  <c r="D165" i="32"/>
  <c r="C165" i="32"/>
  <c r="K164" i="40"/>
  <c r="D165" i="40"/>
  <c r="C166" i="40"/>
  <c r="E165" i="40"/>
  <c r="Z165" i="40" s="1"/>
  <c r="B187" i="39"/>
  <c r="E186" i="39"/>
  <c r="R186" i="39" s="1"/>
  <c r="C166" i="37"/>
  <c r="D165" i="37"/>
  <c r="B166" i="37"/>
  <c r="C540" i="7"/>
  <c r="B541" i="7"/>
  <c r="C156" i="13"/>
  <c r="K149" i="12"/>
  <c r="C211" i="7"/>
  <c r="C151" i="46"/>
  <c r="C156" i="39"/>
  <c r="R43" i="13" l="1"/>
  <c r="P98" i="7"/>
  <c r="Q98" i="7"/>
  <c r="S43" i="13"/>
  <c r="F44" i="13"/>
  <c r="F99" i="7" s="1"/>
  <c r="R99" i="7" s="1"/>
  <c r="G62" i="46"/>
  <c r="Q62" i="46" s="1"/>
  <c r="F63" i="46" s="1"/>
  <c r="A63" i="46" s="1"/>
  <c r="M63" i="46" s="1"/>
  <c r="Y62" i="46"/>
  <c r="X62" i="46"/>
  <c r="V62" i="46" s="1"/>
  <c r="Z62" i="46"/>
  <c r="O214" i="7"/>
  <c r="E214" i="7"/>
  <c r="B215" i="7"/>
  <c r="B161" i="13"/>
  <c r="E160" i="13"/>
  <c r="H49" i="28"/>
  <c r="J417" i="7"/>
  <c r="X58" i="40"/>
  <c r="Q60" i="40"/>
  <c r="AF60" i="40"/>
  <c r="AC60" i="40"/>
  <c r="I60" i="40" s="1"/>
  <c r="J60" i="40"/>
  <c r="M100" i="32"/>
  <c r="Z100" i="32"/>
  <c r="K100" i="32"/>
  <c r="J100" i="32"/>
  <c r="AC100" i="32"/>
  <c r="H100" i="32"/>
  <c r="Q100" i="32" s="1"/>
  <c r="L100" i="32"/>
  <c r="AF100" i="32"/>
  <c r="AD100" i="32"/>
  <c r="Y100" i="32"/>
  <c r="AG100" i="32"/>
  <c r="N76" i="30"/>
  <c r="J76" i="30" s="1"/>
  <c r="L76" i="30"/>
  <c r="I76" i="30"/>
  <c r="K76" i="30"/>
  <c r="F68" i="37"/>
  <c r="L68" i="37" s="1"/>
  <c r="H69" i="33"/>
  <c r="B173" i="28"/>
  <c r="C172" i="28"/>
  <c r="D172" i="28"/>
  <c r="D540" i="7" s="1"/>
  <c r="Z48" i="39"/>
  <c r="F48" i="39"/>
  <c r="B168" i="33"/>
  <c r="C167" i="33"/>
  <c r="D167" i="33"/>
  <c r="C49" i="36"/>
  <c r="E48" i="36"/>
  <c r="E155" i="46"/>
  <c r="D155" i="46"/>
  <c r="B156" i="46"/>
  <c r="T155" i="46"/>
  <c r="AA155" i="46" s="1"/>
  <c r="B167" i="32"/>
  <c r="C166" i="32"/>
  <c r="D166" i="32"/>
  <c r="D172" i="30"/>
  <c r="B173" i="30"/>
  <c r="C173" i="30"/>
  <c r="B167" i="37"/>
  <c r="D166" i="37"/>
  <c r="C167" i="37"/>
  <c r="D166" i="40"/>
  <c r="C167" i="40"/>
  <c r="E166" i="40"/>
  <c r="Z166" i="40" s="1"/>
  <c r="B188" i="39"/>
  <c r="E187" i="39"/>
  <c r="R187" i="39" s="1"/>
  <c r="K165" i="40"/>
  <c r="C541" i="7"/>
  <c r="B542" i="7"/>
  <c r="K150" i="12"/>
  <c r="C157" i="13"/>
  <c r="C212" i="7"/>
  <c r="C157" i="39"/>
  <c r="C152" i="46"/>
  <c r="L44" i="13" l="1"/>
  <c r="K99" i="7" s="1"/>
  <c r="Y44" i="13"/>
  <c r="M44" i="13"/>
  <c r="L99" i="7" s="1"/>
  <c r="N44" i="13"/>
  <c r="V44" i="13"/>
  <c r="K44" i="13"/>
  <c r="J99" i="7" s="1"/>
  <c r="AB44" i="13"/>
  <c r="L63" i="46"/>
  <c r="H44" i="13"/>
  <c r="H99" i="7" s="1"/>
  <c r="K63" i="46"/>
  <c r="J63" i="46"/>
  <c r="I63" i="46"/>
  <c r="H63" i="46"/>
  <c r="P62" i="46"/>
  <c r="AB62" i="46"/>
  <c r="O215" i="7"/>
  <c r="E215" i="7"/>
  <c r="B216" i="7"/>
  <c r="B162" i="13"/>
  <c r="E161" i="13"/>
  <c r="F50" i="28"/>
  <c r="H417" i="7"/>
  <c r="Q49" i="28"/>
  <c r="Q417" i="7" s="1"/>
  <c r="R49" i="28"/>
  <c r="R417" i="7" s="1"/>
  <c r="AA100" i="32"/>
  <c r="R60" i="40"/>
  <c r="G61" i="40"/>
  <c r="I100" i="32"/>
  <c r="AB100" i="32"/>
  <c r="AE100" i="32"/>
  <c r="P100" i="32"/>
  <c r="W98" i="32" s="1"/>
  <c r="F101" i="32"/>
  <c r="H76" i="30"/>
  <c r="Q76" i="30" s="1"/>
  <c r="M68" i="37"/>
  <c r="K68" i="37"/>
  <c r="I68" i="37"/>
  <c r="J68" i="37"/>
  <c r="Q69" i="33"/>
  <c r="F70" i="33"/>
  <c r="D173" i="28"/>
  <c r="D541" i="7" s="1"/>
  <c r="C173" i="28"/>
  <c r="B174" i="28"/>
  <c r="U63" i="46"/>
  <c r="Y63" i="46" s="1"/>
  <c r="E156" i="46"/>
  <c r="B157" i="46"/>
  <c r="T156" i="46"/>
  <c r="AA156" i="46" s="1"/>
  <c r="D156" i="46"/>
  <c r="C168" i="33"/>
  <c r="B169" i="33"/>
  <c r="D168" i="33"/>
  <c r="K48" i="39"/>
  <c r="J48" i="39"/>
  <c r="Y48" i="39"/>
  <c r="X48" i="39" s="1"/>
  <c r="S48" i="39"/>
  <c r="T48" i="39" s="1"/>
  <c r="L48" i="39"/>
  <c r="Q48" i="39"/>
  <c r="V48" i="39"/>
  <c r="K166" i="40"/>
  <c r="B174" i="30"/>
  <c r="D173" i="30"/>
  <c r="C174" i="30"/>
  <c r="C167" i="32"/>
  <c r="B168" i="32"/>
  <c r="D167" i="32"/>
  <c r="B189" i="39"/>
  <c r="E188" i="39"/>
  <c r="R188" i="39" s="1"/>
  <c r="C168" i="40"/>
  <c r="E167" i="40"/>
  <c r="Z167" i="40" s="1"/>
  <c r="D167" i="40"/>
  <c r="B168" i="37"/>
  <c r="D167" i="37"/>
  <c r="C168" i="37"/>
  <c r="C542" i="7"/>
  <c r="B543" i="7"/>
  <c r="C158" i="13"/>
  <c r="K151" i="12"/>
  <c r="C213" i="7"/>
  <c r="C153" i="46"/>
  <c r="C158" i="39"/>
  <c r="U44" i="13" l="1"/>
  <c r="M99" i="7"/>
  <c r="AC44" i="13"/>
  <c r="Z44" i="13"/>
  <c r="J44" i="13"/>
  <c r="G63" i="46"/>
  <c r="Q63" i="46" s="1"/>
  <c r="F64" i="46" s="1"/>
  <c r="H64" i="46" s="1"/>
  <c r="O216" i="7"/>
  <c r="E216" i="7"/>
  <c r="B217" i="7"/>
  <c r="E162" i="13"/>
  <c r="B163" i="13"/>
  <c r="AG50" i="28"/>
  <c r="AA50" i="28"/>
  <c r="K50" i="28"/>
  <c r="N50" i="28"/>
  <c r="M50" i="28"/>
  <c r="M418" i="7" s="1"/>
  <c r="L50" i="28"/>
  <c r="L418" i="7" s="1"/>
  <c r="F418" i="7"/>
  <c r="S418" i="7" s="1"/>
  <c r="AD50" i="28"/>
  <c r="M61" i="40"/>
  <c r="AA61" i="40"/>
  <c r="AB61" i="40" s="1"/>
  <c r="L61" i="40"/>
  <c r="AH61" i="40"/>
  <c r="N61" i="40"/>
  <c r="AG61" i="40"/>
  <c r="AD61" i="40"/>
  <c r="AF101" i="32"/>
  <c r="L101" i="32"/>
  <c r="Z101" i="32"/>
  <c r="M101" i="32"/>
  <c r="H101" i="32"/>
  <c r="K101" i="32"/>
  <c r="N101" i="32"/>
  <c r="AC101" i="32"/>
  <c r="J101" i="32"/>
  <c r="P76" i="30"/>
  <c r="W74" i="30" s="1"/>
  <c r="F77" i="30"/>
  <c r="N77" i="30" s="1"/>
  <c r="J77" i="30" s="1"/>
  <c r="P68" i="37"/>
  <c r="W66" i="37" s="1"/>
  <c r="H68" i="37"/>
  <c r="Q68" i="37" s="1"/>
  <c r="L70" i="33"/>
  <c r="P70" i="33"/>
  <c r="W68" i="33" s="1"/>
  <c r="I70" i="33"/>
  <c r="K70" i="33"/>
  <c r="M70" i="33"/>
  <c r="N70" i="33"/>
  <c r="J70" i="33" s="1"/>
  <c r="C174" i="28"/>
  <c r="D174" i="28"/>
  <c r="D542" i="7" s="1"/>
  <c r="B175" i="28"/>
  <c r="Z63" i="46"/>
  <c r="X63" i="46"/>
  <c r="W63" i="46"/>
  <c r="C169" i="33"/>
  <c r="D169" i="33"/>
  <c r="B170" i="33"/>
  <c r="U48" i="39"/>
  <c r="G48" i="39" s="1"/>
  <c r="D49" i="36" s="1"/>
  <c r="H48" i="39"/>
  <c r="B158" i="46"/>
  <c r="T157" i="46"/>
  <c r="AA157" i="46" s="1"/>
  <c r="E157" i="46"/>
  <c r="D157" i="46"/>
  <c r="B169" i="32"/>
  <c r="D168" i="32"/>
  <c r="C168" i="32"/>
  <c r="C175" i="30"/>
  <c r="B175" i="30"/>
  <c r="D174" i="30"/>
  <c r="D168" i="37"/>
  <c r="C169" i="37"/>
  <c r="B169" i="37"/>
  <c r="K167" i="40"/>
  <c r="B190" i="39"/>
  <c r="E189" i="39"/>
  <c r="R189" i="39" s="1"/>
  <c r="E168" i="40"/>
  <c r="Z168" i="40" s="1"/>
  <c r="D168" i="40"/>
  <c r="C169" i="40"/>
  <c r="C543" i="7"/>
  <c r="B544" i="7"/>
  <c r="K152" i="12"/>
  <c r="C159" i="13"/>
  <c r="C214" i="7"/>
  <c r="C154" i="46"/>
  <c r="C159" i="39"/>
  <c r="X44" i="13" l="1"/>
  <c r="W44" i="13"/>
  <c r="AA44" i="13"/>
  <c r="P63" i="46"/>
  <c r="J64" i="46"/>
  <c r="L64" i="46"/>
  <c r="K64" i="46"/>
  <c r="A64" i="46"/>
  <c r="M64" i="46" s="1"/>
  <c r="I64" i="46"/>
  <c r="O217" i="7"/>
  <c r="E217" i="7"/>
  <c r="B218" i="7"/>
  <c r="I48" i="13"/>
  <c r="E163" i="13"/>
  <c r="B164" i="13"/>
  <c r="I50" i="28"/>
  <c r="I418" i="7" s="1"/>
  <c r="N418" i="7"/>
  <c r="Z50" i="28"/>
  <c r="AB50" i="28" s="1"/>
  <c r="AE50" i="28"/>
  <c r="AC50" i="28" s="1"/>
  <c r="AH50" i="28"/>
  <c r="K418" i="7"/>
  <c r="X48" i="28"/>
  <c r="I101" i="32"/>
  <c r="AF61" i="40"/>
  <c r="J61" i="40"/>
  <c r="AC61" i="40"/>
  <c r="I61" i="40" s="1"/>
  <c r="Q61" i="40"/>
  <c r="X59" i="40"/>
  <c r="AG101" i="32"/>
  <c r="AE101" i="32" s="1"/>
  <c r="Y101" i="32"/>
  <c r="AA101" i="32" s="1"/>
  <c r="AD101" i="32"/>
  <c r="AB101" i="32" s="1"/>
  <c r="Q101" i="32"/>
  <c r="F102" i="32"/>
  <c r="P101" i="32"/>
  <c r="W99" i="32" s="1"/>
  <c r="I48" i="39"/>
  <c r="AC48" i="39" s="1"/>
  <c r="K77" i="30"/>
  <c r="M77" i="30"/>
  <c r="I77" i="30"/>
  <c r="H77" i="30" s="1"/>
  <c r="F78" i="30" s="1"/>
  <c r="L77" i="30"/>
  <c r="F69" i="37"/>
  <c r="K69" i="37" s="1"/>
  <c r="H70" i="33"/>
  <c r="C175" i="28"/>
  <c r="B176" i="28"/>
  <c r="D175" i="28"/>
  <c r="D543" i="7" s="1"/>
  <c r="V63" i="46"/>
  <c r="O48" i="39"/>
  <c r="P48" i="39"/>
  <c r="D158" i="46"/>
  <c r="B159" i="46"/>
  <c r="T158" i="46"/>
  <c r="AA158" i="46" s="1"/>
  <c r="E158" i="46"/>
  <c r="B171" i="33"/>
  <c r="C170" i="33"/>
  <c r="D170" i="33"/>
  <c r="D169" i="32"/>
  <c r="C169" i="32"/>
  <c r="B170" i="32"/>
  <c r="D175" i="30"/>
  <c r="C176" i="30"/>
  <c r="B176" i="30"/>
  <c r="K168" i="40"/>
  <c r="B191" i="39"/>
  <c r="E190" i="39"/>
  <c r="R190" i="39" s="1"/>
  <c r="B170" i="37"/>
  <c r="C170" i="37"/>
  <c r="D169" i="37"/>
  <c r="D169" i="40"/>
  <c r="C170" i="40"/>
  <c r="E169" i="40"/>
  <c r="Z169" i="40" s="1"/>
  <c r="B545" i="7"/>
  <c r="C544" i="7"/>
  <c r="C160" i="13"/>
  <c r="K153" i="12"/>
  <c r="C215" i="7"/>
  <c r="C155" i="46"/>
  <c r="C160" i="39"/>
  <c r="G44" i="13" l="1"/>
  <c r="G99" i="7" s="1"/>
  <c r="Q99" i="7" s="1"/>
  <c r="G64" i="46"/>
  <c r="Q64" i="46" s="1"/>
  <c r="F65" i="46" s="1"/>
  <c r="L65" i="46" s="1"/>
  <c r="R44" i="13"/>
  <c r="F45" i="13"/>
  <c r="S44" i="13"/>
  <c r="AB63" i="46"/>
  <c r="E218" i="7"/>
  <c r="O218" i="7"/>
  <c r="B219" i="7"/>
  <c r="I103" i="7"/>
  <c r="B165" i="13"/>
  <c r="E164" i="13"/>
  <c r="AF50" i="28"/>
  <c r="J50" i="28"/>
  <c r="R61" i="40"/>
  <c r="G62" i="40"/>
  <c r="H102" i="32"/>
  <c r="Q102" i="32" s="1"/>
  <c r="K102" i="32"/>
  <c r="M102" i="32"/>
  <c r="N102" i="32"/>
  <c r="L102" i="32"/>
  <c r="AF102" i="32"/>
  <c r="AC102" i="32"/>
  <c r="J102" i="32"/>
  <c r="Z102" i="32"/>
  <c r="Q77" i="30"/>
  <c r="P77" i="30"/>
  <c r="W75" i="30" s="1"/>
  <c r="I69" i="37"/>
  <c r="L69" i="37"/>
  <c r="J69" i="37"/>
  <c r="M69" i="37"/>
  <c r="F71" i="33"/>
  <c r="Q70" i="33"/>
  <c r="U64" i="46"/>
  <c r="Y64" i="46" s="1"/>
  <c r="B177" i="28"/>
  <c r="C176" i="28"/>
  <c r="D176" i="28"/>
  <c r="D544" i="7" s="1"/>
  <c r="T159" i="46"/>
  <c r="AA159" i="46" s="1"/>
  <c r="B160" i="46"/>
  <c r="D159" i="46"/>
  <c r="E159" i="46"/>
  <c r="C171" i="33"/>
  <c r="B172" i="33"/>
  <c r="D171" i="33"/>
  <c r="F49" i="39"/>
  <c r="Z49" i="39"/>
  <c r="C50" i="36"/>
  <c r="E49" i="36"/>
  <c r="B177" i="30"/>
  <c r="D176" i="30"/>
  <c r="C177" i="30"/>
  <c r="C170" i="32"/>
  <c r="B171" i="32"/>
  <c r="D170" i="32"/>
  <c r="K169" i="40"/>
  <c r="D170" i="40"/>
  <c r="C171" i="40"/>
  <c r="E170" i="40"/>
  <c r="Z170" i="40" s="1"/>
  <c r="C171" i="37"/>
  <c r="B171" i="37"/>
  <c r="D170" i="37"/>
  <c r="B192" i="39"/>
  <c r="E191" i="39"/>
  <c r="R191" i="39" s="1"/>
  <c r="M78" i="30"/>
  <c r="I78" i="30"/>
  <c r="N78" i="30"/>
  <c r="J78" i="30" s="1"/>
  <c r="L78" i="30"/>
  <c r="K78" i="30"/>
  <c r="B546" i="7"/>
  <c r="C545" i="7"/>
  <c r="C161" i="13"/>
  <c r="K154" i="12"/>
  <c r="C216" i="7"/>
  <c r="C161" i="39"/>
  <c r="C156" i="46"/>
  <c r="F100" i="7" l="1"/>
  <c r="R100" i="7" s="1"/>
  <c r="I65" i="46"/>
  <c r="M45" i="13"/>
  <c r="L100" i="7" s="1"/>
  <c r="AB45" i="13"/>
  <c r="P64" i="46"/>
  <c r="J65" i="46"/>
  <c r="A65" i="46"/>
  <c r="M65" i="46" s="1"/>
  <c r="K65" i="46"/>
  <c r="H65" i="46"/>
  <c r="Y45" i="13"/>
  <c r="H45" i="13" s="1"/>
  <c r="H100" i="7" s="1"/>
  <c r="V45" i="13"/>
  <c r="K45" i="13"/>
  <c r="J100" i="7" s="1"/>
  <c r="N45" i="13"/>
  <c r="M100" i="7" s="1"/>
  <c r="L45" i="13"/>
  <c r="K100" i="7" s="1"/>
  <c r="E219" i="7"/>
  <c r="O219" i="7"/>
  <c r="B220" i="7"/>
  <c r="B166" i="13"/>
  <c r="E165" i="13"/>
  <c r="H50" i="28"/>
  <c r="J418" i="7"/>
  <c r="M62" i="40"/>
  <c r="N62" i="40"/>
  <c r="AA62" i="40"/>
  <c r="AB62" i="40" s="1"/>
  <c r="L62" i="40"/>
  <c r="AH62" i="40"/>
  <c r="AD62" i="40"/>
  <c r="AG62" i="40"/>
  <c r="I102" i="32"/>
  <c r="F103" i="32"/>
  <c r="AF103" i="32" s="1"/>
  <c r="AG102" i="32"/>
  <c r="AE102" i="32" s="1"/>
  <c r="AD102" i="32"/>
  <c r="AB102" i="32" s="1"/>
  <c r="Y102" i="32"/>
  <c r="AA102" i="32" s="1"/>
  <c r="P102" i="32"/>
  <c r="W100" i="32" s="1"/>
  <c r="P69" i="37"/>
  <c r="W67" i="37" s="1"/>
  <c r="H69" i="37"/>
  <c r="F70" i="37" s="1"/>
  <c r="K70" i="37" s="1"/>
  <c r="Z64" i="46"/>
  <c r="W64" i="46"/>
  <c r="X64" i="46"/>
  <c r="N71" i="33"/>
  <c r="J71" i="33" s="1"/>
  <c r="L71" i="33"/>
  <c r="K71" i="33"/>
  <c r="M71" i="33"/>
  <c r="P71" i="33"/>
  <c r="W69" i="33" s="1"/>
  <c r="I71" i="33"/>
  <c r="C177" i="28"/>
  <c r="B178" i="28"/>
  <c r="D177" i="28"/>
  <c r="D545" i="7" s="1"/>
  <c r="D160" i="46"/>
  <c r="T160" i="46"/>
  <c r="AA160" i="46" s="1"/>
  <c r="B161" i="46"/>
  <c r="E160" i="46"/>
  <c r="S49" i="39"/>
  <c r="T49" i="39" s="1"/>
  <c r="K49" i="39"/>
  <c r="Q49" i="39"/>
  <c r="L49" i="39"/>
  <c r="Y49" i="39"/>
  <c r="X49" i="39" s="1"/>
  <c r="J49" i="39"/>
  <c r="V49" i="39"/>
  <c r="C172" i="33"/>
  <c r="B173" i="33"/>
  <c r="D172" i="33"/>
  <c r="B178" i="30"/>
  <c r="D177" i="30"/>
  <c r="C178" i="30"/>
  <c r="C171" i="32"/>
  <c r="B172" i="32"/>
  <c r="D171" i="32"/>
  <c r="B193" i="39"/>
  <c r="E192" i="39"/>
  <c r="R192" i="39" s="1"/>
  <c r="B172" i="37"/>
  <c r="D171" i="37"/>
  <c r="C172" i="37"/>
  <c r="K170" i="40"/>
  <c r="C172" i="40"/>
  <c r="D171" i="40"/>
  <c r="E171" i="40"/>
  <c r="Z171" i="40" s="1"/>
  <c r="H78" i="30"/>
  <c r="P78" i="30" s="1"/>
  <c r="W76" i="30" s="1"/>
  <c r="B547" i="7"/>
  <c r="C546" i="7"/>
  <c r="C162" i="13"/>
  <c r="K155" i="12"/>
  <c r="C217" i="7"/>
  <c r="C157" i="46"/>
  <c r="C162" i="39"/>
  <c r="U45" i="13" l="1"/>
  <c r="AC45" i="13"/>
  <c r="AA45" i="13" s="1"/>
  <c r="E36" i="10"/>
  <c r="G65" i="46"/>
  <c r="P65" i="46" s="1"/>
  <c r="Z45" i="13"/>
  <c r="E220" i="7"/>
  <c r="O220" i="7"/>
  <c r="B221" i="7"/>
  <c r="E166" i="13"/>
  <c r="B167" i="13"/>
  <c r="R50" i="28"/>
  <c r="R418" i="7" s="1"/>
  <c r="H418" i="7"/>
  <c r="F51" i="28"/>
  <c r="Q50" i="28"/>
  <c r="Q418" i="7" s="1"/>
  <c r="AF62" i="40"/>
  <c r="J62" i="40"/>
  <c r="AC62" i="40"/>
  <c r="I62" i="40" s="1"/>
  <c r="X60" i="40"/>
  <c r="Q62" i="40"/>
  <c r="AC103" i="32"/>
  <c r="I103" i="32" s="1"/>
  <c r="J103" i="32"/>
  <c r="K103" i="32"/>
  <c r="H103" i="32"/>
  <c r="F104" i="32" s="1"/>
  <c r="L103" i="32"/>
  <c r="N103" i="32"/>
  <c r="Y103" i="32" s="1"/>
  <c r="Z103" i="32"/>
  <c r="M103" i="32"/>
  <c r="Q69" i="37"/>
  <c r="L70" i="37"/>
  <c r="I70" i="37"/>
  <c r="M70" i="37"/>
  <c r="J70" i="37"/>
  <c r="V64" i="46"/>
  <c r="H71" i="33"/>
  <c r="D178" i="28"/>
  <c r="D546" i="7" s="1"/>
  <c r="C178" i="28"/>
  <c r="B179" i="28"/>
  <c r="C173" i="33"/>
  <c r="D173" i="33"/>
  <c r="B174" i="33"/>
  <c r="H49" i="39"/>
  <c r="U49" i="39"/>
  <c r="G49" i="39" s="1"/>
  <c r="D50" i="36" s="1"/>
  <c r="T161" i="46"/>
  <c r="AA161" i="46" s="1"/>
  <c r="B162" i="46"/>
  <c r="E161" i="46"/>
  <c r="D161" i="46"/>
  <c r="D178" i="30"/>
  <c r="B179" i="30"/>
  <c r="C179" i="30"/>
  <c r="C172" i="32"/>
  <c r="B173" i="32"/>
  <c r="D172" i="32"/>
  <c r="K171" i="40"/>
  <c r="Q78" i="30"/>
  <c r="F79" i="30"/>
  <c r="L79" i="30" s="1"/>
  <c r="D172" i="37"/>
  <c r="C173" i="37"/>
  <c r="B173" i="37"/>
  <c r="C173" i="40"/>
  <c r="D172" i="40"/>
  <c r="E172" i="40"/>
  <c r="Z172" i="40" s="1"/>
  <c r="B194" i="39"/>
  <c r="E193" i="39"/>
  <c r="R193" i="39" s="1"/>
  <c r="C547" i="7"/>
  <c r="B548" i="7"/>
  <c r="C163" i="13"/>
  <c r="K156" i="12"/>
  <c r="C218" i="7"/>
  <c r="C158" i="46"/>
  <c r="C163" i="39"/>
  <c r="Q65" i="46" l="1"/>
  <c r="F66" i="46" s="1"/>
  <c r="K66" i="46" s="1"/>
  <c r="W45" i="13"/>
  <c r="J45" i="13"/>
  <c r="X45" i="13"/>
  <c r="AB64" i="46"/>
  <c r="I49" i="13"/>
  <c r="I104" i="7" s="1"/>
  <c r="E221" i="7"/>
  <c r="O221" i="7"/>
  <c r="B222" i="7"/>
  <c r="E167" i="13"/>
  <c r="B168" i="13"/>
  <c r="AD51" i="28"/>
  <c r="AA51" i="28"/>
  <c r="M51" i="28"/>
  <c r="M419" i="7" s="1"/>
  <c r="F419" i="7"/>
  <c r="S419" i="7" s="1"/>
  <c r="AG51" i="28"/>
  <c r="N51" i="28"/>
  <c r="N419" i="7" s="1"/>
  <c r="L51" i="28"/>
  <c r="L419" i="7" s="1"/>
  <c r="K51" i="28"/>
  <c r="K419" i="7" s="1"/>
  <c r="G63" i="40"/>
  <c r="R62" i="40"/>
  <c r="Q103" i="32"/>
  <c r="AG103" i="32"/>
  <c r="AE103" i="32" s="1"/>
  <c r="AD103" i="32"/>
  <c r="AB103" i="32" s="1"/>
  <c r="P103" i="32"/>
  <c r="W101" i="32" s="1"/>
  <c r="AA103" i="32"/>
  <c r="N104" i="32"/>
  <c r="L104" i="32"/>
  <c r="K104" i="32"/>
  <c r="J104" i="32"/>
  <c r="AC104" i="32"/>
  <c r="AF104" i="32"/>
  <c r="Z104" i="32"/>
  <c r="M104" i="32"/>
  <c r="H104" i="32"/>
  <c r="Q104" i="32" s="1"/>
  <c r="I49" i="39"/>
  <c r="AC49" i="39" s="1"/>
  <c r="H70" i="37"/>
  <c r="Q70" i="37" s="1"/>
  <c r="P70" i="37"/>
  <c r="W68" i="37" s="1"/>
  <c r="U65" i="46"/>
  <c r="W65" i="46" s="1"/>
  <c r="Q71" i="33"/>
  <c r="F72" i="33"/>
  <c r="B180" i="28"/>
  <c r="C179" i="28"/>
  <c r="D179" i="28"/>
  <c r="D547" i="7" s="1"/>
  <c r="O49" i="39"/>
  <c r="P49" i="39"/>
  <c r="D174" i="33"/>
  <c r="B175" i="33"/>
  <c r="C174" i="33"/>
  <c r="E162" i="46"/>
  <c r="B163" i="46"/>
  <c r="T162" i="46"/>
  <c r="AA162" i="46" s="1"/>
  <c r="D162" i="46"/>
  <c r="I79" i="30"/>
  <c r="K79" i="30"/>
  <c r="M79" i="30"/>
  <c r="D179" i="30"/>
  <c r="B180" i="30"/>
  <c r="C180" i="30"/>
  <c r="C173" i="32"/>
  <c r="B174" i="32"/>
  <c r="D173" i="32"/>
  <c r="N79" i="30"/>
  <c r="J79" i="30" s="1"/>
  <c r="K172" i="40"/>
  <c r="D173" i="40"/>
  <c r="C174" i="40"/>
  <c r="E173" i="40"/>
  <c r="Z173" i="40" s="1"/>
  <c r="B195" i="39"/>
  <c r="E194" i="39"/>
  <c r="R194" i="39" s="1"/>
  <c r="C174" i="37"/>
  <c r="D173" i="37"/>
  <c r="B174" i="37"/>
  <c r="B549" i="7"/>
  <c r="C548" i="7"/>
  <c r="C164" i="13"/>
  <c r="K157" i="12"/>
  <c r="C219" i="7"/>
  <c r="C159" i="46"/>
  <c r="C164" i="39"/>
  <c r="A66" i="46" l="1"/>
  <c r="M66" i="46" s="1"/>
  <c r="I66" i="46"/>
  <c r="L66" i="46"/>
  <c r="J66" i="46"/>
  <c r="H66" i="46"/>
  <c r="G45" i="13"/>
  <c r="G100" i="7" s="1"/>
  <c r="O222" i="7"/>
  <c r="E222" i="7"/>
  <c r="B223" i="7"/>
  <c r="I51" i="28"/>
  <c r="I419" i="7" s="1"/>
  <c r="B169" i="13"/>
  <c r="E168" i="13"/>
  <c r="X49" i="28"/>
  <c r="AH51" i="28"/>
  <c r="AF51" i="28" s="1"/>
  <c r="AE51" i="28"/>
  <c r="AC51" i="28" s="1"/>
  <c r="Z51" i="28"/>
  <c r="AB51" i="28" s="1"/>
  <c r="N63" i="40"/>
  <c r="AD63" i="40"/>
  <c r="AA63" i="40"/>
  <c r="AB63" i="40" s="1"/>
  <c r="AH63" i="40"/>
  <c r="M63" i="40"/>
  <c r="L63" i="40"/>
  <c r="AG63" i="40"/>
  <c r="I104" i="32"/>
  <c r="F105" i="32"/>
  <c r="H105" i="32" s="1"/>
  <c r="F106" i="32" s="1"/>
  <c r="P104" i="32"/>
  <c r="W102" i="32" s="1"/>
  <c r="AG104" i="32"/>
  <c r="AE104" i="32" s="1"/>
  <c r="Y104" i="32"/>
  <c r="AA104" i="32" s="1"/>
  <c r="AD104" i="32"/>
  <c r="AB104" i="32" s="1"/>
  <c r="F71" i="37"/>
  <c r="Y65" i="46"/>
  <c r="X65" i="46"/>
  <c r="V65" i="46" s="1"/>
  <c r="Z65" i="46"/>
  <c r="M72" i="33"/>
  <c r="N72" i="33"/>
  <c r="J72" i="33" s="1"/>
  <c r="K72" i="33"/>
  <c r="I72" i="33"/>
  <c r="L72" i="33"/>
  <c r="P72" i="33"/>
  <c r="W70" i="33" s="1"/>
  <c r="D180" i="28"/>
  <c r="D548" i="7" s="1"/>
  <c r="B181" i="28"/>
  <c r="C180" i="28"/>
  <c r="H79" i="30"/>
  <c r="Q79" i="30" s="1"/>
  <c r="F50" i="39"/>
  <c r="Z50" i="39"/>
  <c r="E163" i="46"/>
  <c r="B164" i="46"/>
  <c r="T163" i="46"/>
  <c r="AA163" i="46" s="1"/>
  <c r="D163" i="46"/>
  <c r="E50" i="36"/>
  <c r="C51" i="36"/>
  <c r="C175" i="33"/>
  <c r="B176" i="33"/>
  <c r="D175" i="33"/>
  <c r="D174" i="32"/>
  <c r="C174" i="32"/>
  <c r="B175" i="32"/>
  <c r="B181" i="30"/>
  <c r="D180" i="30"/>
  <c r="C181" i="30"/>
  <c r="E174" i="40"/>
  <c r="Z174" i="40" s="1"/>
  <c r="D174" i="40"/>
  <c r="C175" i="40"/>
  <c r="B175" i="37"/>
  <c r="D174" i="37"/>
  <c r="C175" i="37"/>
  <c r="B196" i="39"/>
  <c r="E195" i="39"/>
  <c r="R195" i="39" s="1"/>
  <c r="K173" i="40"/>
  <c r="B550" i="7"/>
  <c r="C549" i="7"/>
  <c r="C165" i="13"/>
  <c r="K158" i="12"/>
  <c r="C220" i="7"/>
  <c r="C165" i="39"/>
  <c r="C160" i="46"/>
  <c r="G66" i="46" l="1"/>
  <c r="Q66" i="46" s="1"/>
  <c r="F67" i="46" s="1"/>
  <c r="Q100" i="7"/>
  <c r="P100" i="7"/>
  <c r="S45" i="13"/>
  <c r="R45" i="13"/>
  <c r="F46" i="13"/>
  <c r="F101" i="7" s="1"/>
  <c r="R101" i="7" s="1"/>
  <c r="K67" i="46"/>
  <c r="O223" i="7"/>
  <c r="E223" i="7"/>
  <c r="B224" i="7"/>
  <c r="B170" i="13"/>
  <c r="E169" i="13"/>
  <c r="J51" i="28"/>
  <c r="H51" i="28" s="1"/>
  <c r="X61" i="40"/>
  <c r="Q63" i="40"/>
  <c r="AF63" i="40"/>
  <c r="J63" i="40"/>
  <c r="AC63" i="40"/>
  <c r="I63" i="40" s="1"/>
  <c r="AF105" i="32"/>
  <c r="K105" i="32"/>
  <c r="N105" i="32"/>
  <c r="AD105" i="32" s="1"/>
  <c r="J105" i="32"/>
  <c r="AC105" i="32"/>
  <c r="L105" i="32"/>
  <c r="M105" i="32"/>
  <c r="Z105" i="32"/>
  <c r="Z106" i="32"/>
  <c r="AF106" i="32"/>
  <c r="H106" i="32"/>
  <c r="J106" i="32"/>
  <c r="L106" i="32"/>
  <c r="N106" i="32"/>
  <c r="M106" i="32"/>
  <c r="AC106" i="32"/>
  <c r="K106" i="32"/>
  <c r="Q105" i="32"/>
  <c r="K71" i="37"/>
  <c r="I71" i="37"/>
  <c r="L71" i="37"/>
  <c r="J71" i="37"/>
  <c r="M71" i="37"/>
  <c r="AB65" i="46"/>
  <c r="H72" i="33"/>
  <c r="B182" i="28"/>
  <c r="D181" i="28"/>
  <c r="D549" i="7" s="1"/>
  <c r="C181" i="28"/>
  <c r="U66" i="46"/>
  <c r="Y66" i="46" s="1"/>
  <c r="P79" i="30"/>
  <c r="W77" i="30" s="1"/>
  <c r="F80" i="30"/>
  <c r="K80" i="30" s="1"/>
  <c r="K50" i="39"/>
  <c r="J50" i="39"/>
  <c r="Y50" i="39"/>
  <c r="X50" i="39" s="1"/>
  <c r="S50" i="39"/>
  <c r="T50" i="39" s="1"/>
  <c r="Q50" i="39"/>
  <c r="L50" i="39"/>
  <c r="V50" i="39"/>
  <c r="D164" i="46"/>
  <c r="B165" i="46"/>
  <c r="T164" i="46"/>
  <c r="AA164" i="46" s="1"/>
  <c r="E164" i="46"/>
  <c r="D176" i="33"/>
  <c r="C176" i="33"/>
  <c r="B177" i="33"/>
  <c r="B176" i="32"/>
  <c r="D175" i="32"/>
  <c r="C175" i="32"/>
  <c r="B182" i="30"/>
  <c r="D181" i="30"/>
  <c r="C182" i="30"/>
  <c r="B176" i="37"/>
  <c r="D175" i="37"/>
  <c r="C176" i="37"/>
  <c r="K174" i="40"/>
  <c r="B197" i="39"/>
  <c r="E196" i="39"/>
  <c r="R196" i="39" s="1"/>
  <c r="E175" i="40"/>
  <c r="Z175" i="40" s="1"/>
  <c r="C176" i="40"/>
  <c r="D175" i="40"/>
  <c r="B551" i="7"/>
  <c r="C550" i="7"/>
  <c r="C166" i="13"/>
  <c r="K159" i="12"/>
  <c r="C221" i="7"/>
  <c r="C161" i="46"/>
  <c r="C166" i="39"/>
  <c r="A67" i="46" l="1"/>
  <c r="M67" i="46" s="1"/>
  <c r="H67" i="46"/>
  <c r="P66" i="46"/>
  <c r="I67" i="46"/>
  <c r="J67" i="46"/>
  <c r="L67" i="46"/>
  <c r="AB46" i="13"/>
  <c r="N46" i="13"/>
  <c r="M101" i="7" s="1"/>
  <c r="Y46" i="13"/>
  <c r="H46" i="13" s="1"/>
  <c r="H101" i="7" s="1"/>
  <c r="V46" i="13"/>
  <c r="K46" i="13"/>
  <c r="J101" i="7" s="1"/>
  <c r="L46" i="13"/>
  <c r="K101" i="7" s="1"/>
  <c r="M46" i="13"/>
  <c r="L101" i="7" s="1"/>
  <c r="O224" i="7"/>
  <c r="E224" i="7"/>
  <c r="B225" i="7"/>
  <c r="B171" i="13"/>
  <c r="E170" i="13"/>
  <c r="J419" i="7"/>
  <c r="Q51" i="28"/>
  <c r="Q419" i="7" s="1"/>
  <c r="R51" i="28"/>
  <c r="R419" i="7" s="1"/>
  <c r="F52" i="28"/>
  <c r="H419" i="7"/>
  <c r="I106" i="32"/>
  <c r="G64" i="40"/>
  <c r="R63" i="40"/>
  <c r="I105" i="32"/>
  <c r="P105" i="32"/>
  <c r="W103" i="32" s="1"/>
  <c r="AB105" i="32"/>
  <c r="Y105" i="32"/>
  <c r="AA105" i="32" s="1"/>
  <c r="AG105" i="32"/>
  <c r="AE105" i="32" s="1"/>
  <c r="Y106" i="32"/>
  <c r="AA106" i="32" s="1"/>
  <c r="AD106" i="32"/>
  <c r="AB106" i="32" s="1"/>
  <c r="AG106" i="32"/>
  <c r="AE106" i="32" s="1"/>
  <c r="P106" i="32"/>
  <c r="W104" i="32" s="1"/>
  <c r="F107" i="32"/>
  <c r="Q106" i="32"/>
  <c r="P71" i="37"/>
  <c r="W69" i="37" s="1"/>
  <c r="H71" i="37"/>
  <c r="F73" i="33"/>
  <c r="Q72" i="33"/>
  <c r="L80" i="30"/>
  <c r="C182" i="28"/>
  <c r="B183" i="28"/>
  <c r="D182" i="28"/>
  <c r="D550" i="7" s="1"/>
  <c r="Z66" i="46"/>
  <c r="N80" i="30"/>
  <c r="J80" i="30" s="1"/>
  <c r="M80" i="30"/>
  <c r="W66" i="46"/>
  <c r="I80" i="30"/>
  <c r="X66" i="46"/>
  <c r="E165" i="46"/>
  <c r="B166" i="46"/>
  <c r="T165" i="46"/>
  <c r="AA165" i="46" s="1"/>
  <c r="D165" i="46"/>
  <c r="B178" i="33"/>
  <c r="C177" i="33"/>
  <c r="D177" i="33"/>
  <c r="U50" i="39"/>
  <c r="G50" i="39" s="1"/>
  <c r="D51" i="36" s="1"/>
  <c r="H50" i="39"/>
  <c r="B183" i="30"/>
  <c r="D182" i="30"/>
  <c r="C183" i="30"/>
  <c r="B177" i="32"/>
  <c r="D176" i="32"/>
  <c r="C176" i="32"/>
  <c r="D176" i="40"/>
  <c r="C177" i="40"/>
  <c r="E176" i="40"/>
  <c r="Z176" i="40" s="1"/>
  <c r="B198" i="39"/>
  <c r="E197" i="39"/>
  <c r="R197" i="39" s="1"/>
  <c r="C177" i="37"/>
  <c r="D176" i="37"/>
  <c r="B177" i="37"/>
  <c r="K175" i="40"/>
  <c r="B552" i="7"/>
  <c r="C551" i="7"/>
  <c r="C167" i="13"/>
  <c r="K160" i="12"/>
  <c r="C222" i="7"/>
  <c r="C162" i="46"/>
  <c r="C167" i="39"/>
  <c r="G67" i="46" l="1"/>
  <c r="P67" i="46" s="1"/>
  <c r="U46" i="13"/>
  <c r="AC46" i="13"/>
  <c r="Z46" i="13"/>
  <c r="E37" i="10"/>
  <c r="J46" i="13"/>
  <c r="I50" i="13"/>
  <c r="I105" i="7" s="1"/>
  <c r="O225" i="7"/>
  <c r="E225" i="7"/>
  <c r="B226" i="7"/>
  <c r="E171" i="13"/>
  <c r="B172" i="13"/>
  <c r="L52" i="28"/>
  <c r="L420" i="7" s="1"/>
  <c r="F420" i="7"/>
  <c r="S420" i="7" s="1"/>
  <c r="AA52" i="28"/>
  <c r="N52" i="28"/>
  <c r="AG52" i="28"/>
  <c r="K52" i="28"/>
  <c r="AD52" i="28"/>
  <c r="M52" i="28"/>
  <c r="M420" i="7" s="1"/>
  <c r="L64" i="40"/>
  <c r="AD64" i="40"/>
  <c r="AH64" i="40"/>
  <c r="M64" i="40"/>
  <c r="AG64" i="40"/>
  <c r="N64" i="40"/>
  <c r="AA64" i="40"/>
  <c r="AB64" i="40" s="1"/>
  <c r="Z107" i="32"/>
  <c r="H107" i="32"/>
  <c r="Q107" i="32" s="1"/>
  <c r="N107" i="32"/>
  <c r="AC107" i="32"/>
  <c r="L107" i="32"/>
  <c r="M107" i="32"/>
  <c r="J107" i="32"/>
  <c r="K107" i="32"/>
  <c r="AF107" i="32"/>
  <c r="I50" i="39"/>
  <c r="AC50" i="39" s="1"/>
  <c r="F72" i="37"/>
  <c r="Q71" i="37"/>
  <c r="N73" i="33"/>
  <c r="J73" i="33" s="1"/>
  <c r="M73" i="33"/>
  <c r="I73" i="33"/>
  <c r="K73" i="33"/>
  <c r="L73" i="33"/>
  <c r="P73" i="33"/>
  <c r="W71" i="33" s="1"/>
  <c r="H80" i="30"/>
  <c r="Q80" i="30" s="1"/>
  <c r="V66" i="46"/>
  <c r="C183" i="28"/>
  <c r="B184" i="28"/>
  <c r="D183" i="28"/>
  <c r="D551" i="7" s="1"/>
  <c r="O50" i="39"/>
  <c r="P50" i="39"/>
  <c r="B179" i="33"/>
  <c r="C178" i="33"/>
  <c r="D178" i="33"/>
  <c r="D166" i="46"/>
  <c r="E166" i="46"/>
  <c r="B167" i="46"/>
  <c r="T166" i="46"/>
  <c r="AA166" i="46" s="1"/>
  <c r="C177" i="32"/>
  <c r="B178" i="32"/>
  <c r="D177" i="32"/>
  <c r="D183" i="30"/>
  <c r="C184" i="30"/>
  <c r="B184" i="30"/>
  <c r="D177" i="37"/>
  <c r="C178" i="37"/>
  <c r="B178" i="37"/>
  <c r="K176" i="40"/>
  <c r="D177" i="40"/>
  <c r="E177" i="40"/>
  <c r="Z177" i="40" s="1"/>
  <c r="C178" i="40"/>
  <c r="B199" i="39"/>
  <c r="E198" i="39"/>
  <c r="R198" i="39" s="1"/>
  <c r="B553" i="7"/>
  <c r="C552" i="7"/>
  <c r="C168" i="13"/>
  <c r="K161" i="12"/>
  <c r="C223" i="7"/>
  <c r="C163" i="46"/>
  <c r="C168" i="39"/>
  <c r="Q67" i="46" l="1"/>
  <c r="F68" i="46" s="1"/>
  <c r="A68" i="46" s="1"/>
  <c r="M68" i="46" s="1"/>
  <c r="X46" i="13"/>
  <c r="AA46" i="13"/>
  <c r="W46" i="13"/>
  <c r="L68" i="46"/>
  <c r="H68" i="46"/>
  <c r="U67" i="46"/>
  <c r="W67" i="46" s="1"/>
  <c r="O226" i="7"/>
  <c r="E226" i="7"/>
  <c r="B227" i="7"/>
  <c r="B173" i="13"/>
  <c r="E172" i="13"/>
  <c r="I52" i="28"/>
  <c r="I420" i="7" s="1"/>
  <c r="F108" i="32"/>
  <c r="K108" i="32" s="1"/>
  <c r="K420" i="7"/>
  <c r="X50" i="28"/>
  <c r="Z52" i="28"/>
  <c r="AB52" i="28" s="1"/>
  <c r="N420" i="7"/>
  <c r="AH52" i="28"/>
  <c r="AE52" i="28"/>
  <c r="AC52" i="28" s="1"/>
  <c r="I107" i="32"/>
  <c r="AF64" i="40"/>
  <c r="J64" i="40"/>
  <c r="AC64" i="40"/>
  <c r="I64" i="40" s="1"/>
  <c r="Q64" i="40"/>
  <c r="X62" i="40"/>
  <c r="P107" i="32"/>
  <c r="W105" i="32" s="1"/>
  <c r="AD107" i="32"/>
  <c r="AB107" i="32" s="1"/>
  <c r="Y107" i="32"/>
  <c r="AA107" i="32" s="1"/>
  <c r="AG107" i="32"/>
  <c r="AE107" i="32" s="1"/>
  <c r="K72" i="37"/>
  <c r="I72" i="37"/>
  <c r="J72" i="37"/>
  <c r="M72" i="37"/>
  <c r="L72" i="37"/>
  <c r="AB66" i="46"/>
  <c r="H73" i="33"/>
  <c r="F81" i="30"/>
  <c r="M81" i="30" s="1"/>
  <c r="P80" i="30"/>
  <c r="W78" i="30" s="1"/>
  <c r="D184" i="28"/>
  <c r="D552" i="7" s="1"/>
  <c r="C184" i="28"/>
  <c r="B185" i="28"/>
  <c r="C179" i="33"/>
  <c r="D179" i="33"/>
  <c r="B180" i="33"/>
  <c r="F51" i="39"/>
  <c r="Z51" i="39"/>
  <c r="E51" i="36"/>
  <c r="C52" i="36"/>
  <c r="T167" i="46"/>
  <c r="AA167" i="46" s="1"/>
  <c r="E167" i="46"/>
  <c r="D167" i="46"/>
  <c r="B168" i="46"/>
  <c r="D184" i="30"/>
  <c r="C185" i="30"/>
  <c r="B185" i="30"/>
  <c r="B179" i="32"/>
  <c r="C178" i="32"/>
  <c r="D178" i="32"/>
  <c r="K177" i="40"/>
  <c r="B200" i="39"/>
  <c r="E199" i="39"/>
  <c r="R199" i="39" s="1"/>
  <c r="E178" i="40"/>
  <c r="Z178" i="40" s="1"/>
  <c r="C179" i="40"/>
  <c r="D178" i="40"/>
  <c r="B179" i="37"/>
  <c r="C179" i="37"/>
  <c r="D178" i="37"/>
  <c r="B554" i="7"/>
  <c r="C553" i="7"/>
  <c r="C169" i="13"/>
  <c r="K162" i="12"/>
  <c r="C224" i="7"/>
  <c r="C169" i="39"/>
  <c r="C164" i="46"/>
  <c r="G46" i="13" l="1"/>
  <c r="J68" i="46"/>
  <c r="K68" i="46"/>
  <c r="I68" i="46"/>
  <c r="R46" i="13"/>
  <c r="S46" i="13"/>
  <c r="F47" i="13"/>
  <c r="F102" i="7" s="1"/>
  <c r="R102" i="7" s="1"/>
  <c r="X67" i="46"/>
  <c r="V67" i="46" s="1"/>
  <c r="Z67" i="46"/>
  <c r="Y67" i="46"/>
  <c r="E227" i="7"/>
  <c r="O227" i="7"/>
  <c r="B228" i="7"/>
  <c r="E173" i="13"/>
  <c r="B174" i="13"/>
  <c r="L108" i="32"/>
  <c r="Z108" i="32"/>
  <c r="AF108" i="32"/>
  <c r="M108" i="32"/>
  <c r="N108" i="32"/>
  <c r="AD108" i="32" s="1"/>
  <c r="J108" i="32"/>
  <c r="H108" i="32"/>
  <c r="F109" i="32" s="1"/>
  <c r="AC108" i="32"/>
  <c r="J52" i="28"/>
  <c r="AF52" i="28"/>
  <c r="G65" i="40"/>
  <c r="R64" i="40"/>
  <c r="H72" i="37"/>
  <c r="F73" i="37" s="1"/>
  <c r="P72" i="37"/>
  <c r="W70" i="37" s="1"/>
  <c r="I81" i="30"/>
  <c r="L81" i="30"/>
  <c r="F74" i="33"/>
  <c r="Q73" i="33"/>
  <c r="K81" i="30"/>
  <c r="N81" i="30"/>
  <c r="J81" i="30" s="1"/>
  <c r="D185" i="28"/>
  <c r="D553" i="7" s="1"/>
  <c r="B186" i="28"/>
  <c r="C185" i="28"/>
  <c r="Q51" i="39"/>
  <c r="V51" i="39"/>
  <c r="K51" i="39"/>
  <c r="S51" i="39"/>
  <c r="T51" i="39" s="1"/>
  <c r="J51" i="39"/>
  <c r="L51" i="39"/>
  <c r="Y51" i="39"/>
  <c r="X51" i="39" s="1"/>
  <c r="D180" i="33"/>
  <c r="C180" i="33"/>
  <c r="B181" i="33"/>
  <c r="D168" i="46"/>
  <c r="E168" i="46"/>
  <c r="B169" i="46"/>
  <c r="T168" i="46"/>
  <c r="AA168" i="46" s="1"/>
  <c r="B180" i="32"/>
  <c r="D179" i="32"/>
  <c r="C179" i="32"/>
  <c r="C186" i="30"/>
  <c r="B186" i="30"/>
  <c r="D185" i="30"/>
  <c r="E179" i="40"/>
  <c r="Z179" i="40" s="1"/>
  <c r="C180" i="40"/>
  <c r="D179" i="40"/>
  <c r="B180" i="37"/>
  <c r="D179" i="37"/>
  <c r="C180" i="37"/>
  <c r="K178" i="40"/>
  <c r="B201" i="39"/>
  <c r="E200" i="39"/>
  <c r="R200" i="39" s="1"/>
  <c r="B555" i="7"/>
  <c r="C554" i="7"/>
  <c r="C170" i="13"/>
  <c r="K163" i="12"/>
  <c r="C225" i="7"/>
  <c r="C165" i="46"/>
  <c r="C170" i="39"/>
  <c r="G101" i="7" l="1"/>
  <c r="G68" i="46"/>
  <c r="P68" i="46" s="1"/>
  <c r="P101" i="7"/>
  <c r="Q101" i="7"/>
  <c r="AB47" i="13"/>
  <c r="Y47" i="13"/>
  <c r="H47" i="13" s="1"/>
  <c r="H102" i="7" s="1"/>
  <c r="V47" i="13"/>
  <c r="N47" i="13"/>
  <c r="M102" i="7" s="1"/>
  <c r="M47" i="13"/>
  <c r="L102" i="7" s="1"/>
  <c r="L47" i="13"/>
  <c r="K102" i="7" s="1"/>
  <c r="K47" i="13"/>
  <c r="J102" i="7" s="1"/>
  <c r="AB67" i="46"/>
  <c r="O228" i="7"/>
  <c r="E228" i="7"/>
  <c r="B229" i="7"/>
  <c r="B175" i="13"/>
  <c r="E174" i="13"/>
  <c r="I108" i="32"/>
  <c r="Y108" i="32"/>
  <c r="AA108" i="32" s="1"/>
  <c r="AG108" i="32"/>
  <c r="AE108" i="32" s="1"/>
  <c r="P108" i="32"/>
  <c r="W106" i="32" s="1"/>
  <c r="Q108" i="32"/>
  <c r="AB108" i="32"/>
  <c r="H52" i="28"/>
  <c r="J420" i="7"/>
  <c r="AG65" i="40"/>
  <c r="M65" i="40"/>
  <c r="AA65" i="40"/>
  <c r="AB65" i="40" s="1"/>
  <c r="L65" i="40"/>
  <c r="N65" i="40"/>
  <c r="AH65" i="40"/>
  <c r="AD65" i="40"/>
  <c r="N109" i="32"/>
  <c r="H109" i="32"/>
  <c r="AC109" i="32"/>
  <c r="M109" i="32"/>
  <c r="K109" i="32"/>
  <c r="AF109" i="32"/>
  <c r="Z109" i="32"/>
  <c r="L109" i="32"/>
  <c r="J109" i="32"/>
  <c r="Q72" i="37"/>
  <c r="J73" i="37"/>
  <c r="K73" i="37"/>
  <c r="L73" i="37"/>
  <c r="I73" i="37"/>
  <c r="M73" i="37"/>
  <c r="H81" i="30"/>
  <c r="Q81" i="30" s="1"/>
  <c r="M74" i="33"/>
  <c r="I74" i="33"/>
  <c r="P74" i="33"/>
  <c r="W72" i="33" s="1"/>
  <c r="K74" i="33"/>
  <c r="L74" i="33"/>
  <c r="N74" i="33"/>
  <c r="J74" i="33" s="1"/>
  <c r="B187" i="28"/>
  <c r="C186" i="28"/>
  <c r="D186" i="28"/>
  <c r="D554" i="7" s="1"/>
  <c r="U68" i="46"/>
  <c r="Z68" i="46" s="1"/>
  <c r="C181" i="33"/>
  <c r="D181" i="33"/>
  <c r="B182" i="33"/>
  <c r="U51" i="39"/>
  <c r="G51" i="39" s="1"/>
  <c r="D52" i="36" s="1"/>
  <c r="H51" i="39"/>
  <c r="B170" i="46"/>
  <c r="D169" i="46"/>
  <c r="T169" i="46"/>
  <c r="AA169" i="46" s="1"/>
  <c r="E169" i="46"/>
  <c r="B187" i="30"/>
  <c r="D186" i="30"/>
  <c r="C187" i="30"/>
  <c r="C180" i="32"/>
  <c r="B181" i="32"/>
  <c r="D180" i="32"/>
  <c r="K179" i="40"/>
  <c r="B202" i="39"/>
  <c r="E201" i="39"/>
  <c r="R201" i="39" s="1"/>
  <c r="C181" i="37"/>
  <c r="B181" i="37"/>
  <c r="D180" i="37"/>
  <c r="C181" i="40"/>
  <c r="E180" i="40"/>
  <c r="Z180" i="40" s="1"/>
  <c r="D180" i="40"/>
  <c r="C555" i="7"/>
  <c r="B556" i="7"/>
  <c r="C171" i="13"/>
  <c r="K164" i="12"/>
  <c r="C226" i="7"/>
  <c r="C166" i="46"/>
  <c r="C171" i="39"/>
  <c r="Q68" i="46" l="1"/>
  <c r="F69" i="46" s="1"/>
  <c r="J69" i="46" s="1"/>
  <c r="E38" i="10"/>
  <c r="Z47" i="13"/>
  <c r="U47" i="13"/>
  <c r="W47" i="13" s="1"/>
  <c r="AC47" i="13"/>
  <c r="AA47" i="13" s="1"/>
  <c r="O229" i="7"/>
  <c r="E229" i="7"/>
  <c r="B230" i="7"/>
  <c r="B176" i="13"/>
  <c r="E175" i="13"/>
  <c r="H420" i="7"/>
  <c r="F53" i="28"/>
  <c r="R52" i="28"/>
  <c r="R420" i="7" s="1"/>
  <c r="Q52" i="28"/>
  <c r="Q420" i="7" s="1"/>
  <c r="AF65" i="40"/>
  <c r="J65" i="40"/>
  <c r="AC65" i="40"/>
  <c r="I65" i="40" s="1"/>
  <c r="X63" i="40"/>
  <c r="Q65" i="40"/>
  <c r="I109" i="32"/>
  <c r="Y109" i="32"/>
  <c r="AA109" i="32" s="1"/>
  <c r="AD109" i="32"/>
  <c r="AB109" i="32" s="1"/>
  <c r="AG109" i="32"/>
  <c r="AE109" i="32" s="1"/>
  <c r="P109" i="32"/>
  <c r="W107" i="32" s="1"/>
  <c r="Q109" i="32"/>
  <c r="F110" i="32"/>
  <c r="I51" i="39"/>
  <c r="AC51" i="39" s="1"/>
  <c r="P73" i="37"/>
  <c r="W71" i="37" s="1"/>
  <c r="H73" i="37"/>
  <c r="F74" i="37" s="1"/>
  <c r="F82" i="30"/>
  <c r="L82" i="30" s="1"/>
  <c r="P81" i="30"/>
  <c r="W79" i="30" s="1"/>
  <c r="H74" i="33"/>
  <c r="C187" i="28"/>
  <c r="B188" i="28"/>
  <c r="D187" i="28"/>
  <c r="D555" i="7" s="1"/>
  <c r="W68" i="46"/>
  <c r="X68" i="46"/>
  <c r="Y68" i="46"/>
  <c r="D170" i="46"/>
  <c r="B171" i="46"/>
  <c r="T170" i="46"/>
  <c r="AA170" i="46" s="1"/>
  <c r="E170" i="46"/>
  <c r="O51" i="39"/>
  <c r="P51" i="39"/>
  <c r="C182" i="33"/>
  <c r="B183" i="33"/>
  <c r="D182" i="33"/>
  <c r="C188" i="30"/>
  <c r="D187" i="30"/>
  <c r="B188" i="30"/>
  <c r="C181" i="32"/>
  <c r="B182" i="32"/>
  <c r="D181" i="32"/>
  <c r="K180" i="40"/>
  <c r="E181" i="40"/>
  <c r="Z181" i="40" s="1"/>
  <c r="D181" i="40"/>
  <c r="C182" i="40"/>
  <c r="D181" i="37"/>
  <c r="B182" i="37"/>
  <c r="C182" i="37"/>
  <c r="B203" i="39"/>
  <c r="E202" i="39"/>
  <c r="R202" i="39" s="1"/>
  <c r="C556" i="7"/>
  <c r="B557" i="7"/>
  <c r="C172" i="13"/>
  <c r="K165" i="12"/>
  <c r="C227" i="7"/>
  <c r="C167" i="46"/>
  <c r="C172" i="39"/>
  <c r="A69" i="46" l="1"/>
  <c r="M69" i="46" s="1"/>
  <c r="K69" i="46"/>
  <c r="H69" i="46"/>
  <c r="L69" i="46"/>
  <c r="I69" i="46"/>
  <c r="J47" i="13"/>
  <c r="X47" i="13"/>
  <c r="I51" i="13"/>
  <c r="I106" i="7" s="1"/>
  <c r="O230" i="7"/>
  <c r="E230" i="7"/>
  <c r="B231" i="7"/>
  <c r="B177" i="13"/>
  <c r="E176" i="13"/>
  <c r="AG53" i="28"/>
  <c r="AD53" i="28"/>
  <c r="L53" i="28"/>
  <c r="L421" i="7" s="1"/>
  <c r="AA53" i="28"/>
  <c r="M53" i="28"/>
  <c r="M421" i="7" s="1"/>
  <c r="F421" i="7"/>
  <c r="S421" i="7" s="1"/>
  <c r="K53" i="28"/>
  <c r="N53" i="28"/>
  <c r="R65" i="40"/>
  <c r="G66" i="40"/>
  <c r="M110" i="32"/>
  <c r="N110" i="32"/>
  <c r="AC110" i="32"/>
  <c r="K110" i="32"/>
  <c r="AF110" i="32"/>
  <c r="J110" i="32"/>
  <c r="Z110" i="32"/>
  <c r="L110" i="32"/>
  <c r="H110" i="32"/>
  <c r="Q73" i="37"/>
  <c r="M74" i="37"/>
  <c r="J74" i="37"/>
  <c r="K74" i="37"/>
  <c r="I74" i="37"/>
  <c r="L74" i="37"/>
  <c r="N82" i="30"/>
  <c r="J82" i="30" s="1"/>
  <c r="M82" i="30"/>
  <c r="I82" i="30"/>
  <c r="K82" i="30"/>
  <c r="Q74" i="33"/>
  <c r="F75" i="33"/>
  <c r="C188" i="28"/>
  <c r="D188" i="28"/>
  <c r="D556" i="7" s="1"/>
  <c r="B189" i="28"/>
  <c r="V68" i="46"/>
  <c r="E171" i="46"/>
  <c r="T171" i="46"/>
  <c r="AA171" i="46" s="1"/>
  <c r="D171" i="46"/>
  <c r="B172" i="46"/>
  <c r="B184" i="33"/>
  <c r="D183" i="33"/>
  <c r="C183" i="33"/>
  <c r="Z52" i="39"/>
  <c r="F52" i="39"/>
  <c r="C53" i="36"/>
  <c r="E52" i="36"/>
  <c r="D188" i="30"/>
  <c r="C189" i="30"/>
  <c r="B189" i="30"/>
  <c r="D182" i="32"/>
  <c r="C182" i="32"/>
  <c r="B183" i="32"/>
  <c r="K181" i="40"/>
  <c r="B204" i="39"/>
  <c r="E203" i="39"/>
  <c r="R203" i="39" s="1"/>
  <c r="E182" i="40"/>
  <c r="Z182" i="40" s="1"/>
  <c r="C183" i="40"/>
  <c r="D182" i="40"/>
  <c r="D182" i="37"/>
  <c r="C183" i="37"/>
  <c r="B183" i="37"/>
  <c r="C557" i="7"/>
  <c r="B558" i="7"/>
  <c r="C173" i="13"/>
  <c r="K166" i="12"/>
  <c r="C228" i="7"/>
  <c r="C168" i="46"/>
  <c r="C173" i="39"/>
  <c r="G69" i="46" l="1"/>
  <c r="Q69" i="46" s="1"/>
  <c r="F70" i="46" s="1"/>
  <c r="H70" i="46" s="1"/>
  <c r="G47" i="13"/>
  <c r="G102" i="7" s="1"/>
  <c r="P69" i="46"/>
  <c r="L70" i="46"/>
  <c r="I70" i="46"/>
  <c r="AB68" i="46"/>
  <c r="O231" i="7"/>
  <c r="E231" i="7"/>
  <c r="B232" i="7"/>
  <c r="B178" i="13"/>
  <c r="E177" i="13"/>
  <c r="I53" i="28"/>
  <c r="I421" i="7" s="1"/>
  <c r="N421" i="7"/>
  <c r="AH53" i="28"/>
  <c r="AE53" i="28"/>
  <c r="AC53" i="28" s="1"/>
  <c r="Z53" i="28"/>
  <c r="AB53" i="28" s="1"/>
  <c r="K421" i="7"/>
  <c r="X51" i="28"/>
  <c r="N66" i="40"/>
  <c r="AA66" i="40"/>
  <c r="AB66" i="40" s="1"/>
  <c r="AH66" i="40"/>
  <c r="AG66" i="40"/>
  <c r="AD66" i="40"/>
  <c r="M66" i="40"/>
  <c r="L66" i="40"/>
  <c r="I110" i="32"/>
  <c r="P110" i="32"/>
  <c r="W108" i="32" s="1"/>
  <c r="AG110" i="32"/>
  <c r="AE110" i="32" s="1"/>
  <c r="AD110" i="32"/>
  <c r="AB110" i="32" s="1"/>
  <c r="Y110" i="32"/>
  <c r="AA110" i="32" s="1"/>
  <c r="F111" i="32"/>
  <c r="Q110" i="32"/>
  <c r="P74" i="37"/>
  <c r="W72" i="37" s="1"/>
  <c r="H74" i="37"/>
  <c r="H82" i="30"/>
  <c r="Q82" i="30" s="1"/>
  <c r="M75" i="33"/>
  <c r="P75" i="33"/>
  <c r="W73" i="33" s="1"/>
  <c r="I75" i="33"/>
  <c r="K75" i="33"/>
  <c r="N75" i="33"/>
  <c r="J75" i="33" s="1"/>
  <c r="L75" i="33"/>
  <c r="B190" i="28"/>
  <c r="D189" i="28"/>
  <c r="D557" i="7" s="1"/>
  <c r="C189" i="28"/>
  <c r="U69" i="46"/>
  <c r="W69" i="46" s="1"/>
  <c r="Q52" i="39"/>
  <c r="J52" i="39"/>
  <c r="S52" i="39"/>
  <c r="T52" i="39" s="1"/>
  <c r="L52" i="39"/>
  <c r="Y52" i="39"/>
  <c r="X52" i="39" s="1"/>
  <c r="K52" i="39"/>
  <c r="V52" i="39"/>
  <c r="B185" i="33"/>
  <c r="D184" i="33"/>
  <c r="C184" i="33"/>
  <c r="E172" i="46"/>
  <c r="B173" i="46"/>
  <c r="T172" i="46"/>
  <c r="AA172" i="46" s="1"/>
  <c r="D172" i="46"/>
  <c r="B190" i="30"/>
  <c r="D189" i="30"/>
  <c r="C190" i="30"/>
  <c r="D183" i="32"/>
  <c r="C183" i="32"/>
  <c r="B184" i="32"/>
  <c r="E183" i="40"/>
  <c r="Z183" i="40" s="1"/>
  <c r="C184" i="40"/>
  <c r="D183" i="40"/>
  <c r="C184" i="37"/>
  <c r="B184" i="37"/>
  <c r="D183" i="37"/>
  <c r="K182" i="40"/>
  <c r="B205" i="39"/>
  <c r="E204" i="39"/>
  <c r="R204" i="39" s="1"/>
  <c r="C558" i="7"/>
  <c r="B559" i="7"/>
  <c r="C174" i="13"/>
  <c r="K167" i="12"/>
  <c r="C229" i="7"/>
  <c r="C169" i="46"/>
  <c r="C174" i="39"/>
  <c r="K70" i="46" l="1"/>
  <c r="A70" i="46"/>
  <c r="M70" i="46" s="1"/>
  <c r="J70" i="46"/>
  <c r="P102" i="7"/>
  <c r="Q102" i="7"/>
  <c r="R47" i="13"/>
  <c r="F48" i="13"/>
  <c r="F103" i="7" s="1"/>
  <c r="R103" i="7" s="1"/>
  <c r="S47" i="13"/>
  <c r="G70" i="46"/>
  <c r="Q70" i="46" s="1"/>
  <c r="F71" i="46" s="1"/>
  <c r="I71" i="46" s="1"/>
  <c r="E232" i="7"/>
  <c r="O232" i="7"/>
  <c r="B233" i="7"/>
  <c r="B179" i="13"/>
  <c r="E178" i="13"/>
  <c r="AF53" i="28"/>
  <c r="J53" i="28"/>
  <c r="AF66" i="40"/>
  <c r="Q66" i="40"/>
  <c r="X64" i="40"/>
  <c r="AC66" i="40"/>
  <c r="I66" i="40" s="1"/>
  <c r="J66" i="40"/>
  <c r="L111" i="32"/>
  <c r="AF111" i="32"/>
  <c r="K111" i="32"/>
  <c r="N111" i="32"/>
  <c r="J111" i="32"/>
  <c r="M111" i="32"/>
  <c r="AC111" i="32"/>
  <c r="H111" i="32"/>
  <c r="F112" i="32" s="1"/>
  <c r="Z111" i="32"/>
  <c r="Q74" i="37"/>
  <c r="F75" i="37"/>
  <c r="P82" i="30"/>
  <c r="W80" i="30" s="1"/>
  <c r="F83" i="30"/>
  <c r="I83" i="30" s="1"/>
  <c r="H75" i="33"/>
  <c r="Z69" i="46"/>
  <c r="Y69" i="46"/>
  <c r="X69" i="46"/>
  <c r="V69" i="46" s="1"/>
  <c r="D190" i="28"/>
  <c r="D558" i="7" s="1"/>
  <c r="C190" i="28"/>
  <c r="B191" i="28"/>
  <c r="U52" i="39"/>
  <c r="G52" i="39" s="1"/>
  <c r="D53" i="36" s="1"/>
  <c r="H52" i="39"/>
  <c r="D185" i="33"/>
  <c r="B186" i="33"/>
  <c r="C185" i="33"/>
  <c r="E173" i="46"/>
  <c r="T173" i="46"/>
  <c r="AA173" i="46" s="1"/>
  <c r="B174" i="46"/>
  <c r="D173" i="46"/>
  <c r="C184" i="32"/>
  <c r="B185" i="32"/>
  <c r="D184" i="32"/>
  <c r="D190" i="30"/>
  <c r="C191" i="30"/>
  <c r="B191" i="30"/>
  <c r="K183" i="40"/>
  <c r="B206" i="39"/>
  <c r="E205" i="39"/>
  <c r="R205" i="39" s="1"/>
  <c r="D184" i="40"/>
  <c r="C185" i="40"/>
  <c r="E184" i="40"/>
  <c r="Z184" i="40" s="1"/>
  <c r="B185" i="37"/>
  <c r="C185" i="37"/>
  <c r="D184" i="37"/>
  <c r="B560" i="7"/>
  <c r="C559" i="7"/>
  <c r="C175" i="13"/>
  <c r="K168" i="12"/>
  <c r="C230" i="7"/>
  <c r="C170" i="46"/>
  <c r="C175" i="39"/>
  <c r="Y48" i="13" l="1"/>
  <c r="L48" i="13"/>
  <c r="K103" i="7" s="1"/>
  <c r="M48" i="13"/>
  <c r="L103" i="7" s="1"/>
  <c r="N48" i="13"/>
  <c r="M103" i="7" s="1"/>
  <c r="AB48" i="13"/>
  <c r="V48" i="13"/>
  <c r="K48" i="13"/>
  <c r="J103" i="7" s="1"/>
  <c r="J71" i="46"/>
  <c r="A71" i="46"/>
  <c r="M71" i="46" s="1"/>
  <c r="K71" i="46"/>
  <c r="L71" i="46"/>
  <c r="H71" i="46"/>
  <c r="P70" i="46"/>
  <c r="U70" i="46"/>
  <c r="X70" i="46" s="1"/>
  <c r="E233" i="7"/>
  <c r="O233" i="7"/>
  <c r="B234" i="7"/>
  <c r="E179" i="13"/>
  <c r="B180" i="13"/>
  <c r="J421" i="7"/>
  <c r="H53" i="28"/>
  <c r="I111" i="32"/>
  <c r="R66" i="40"/>
  <c r="G67" i="40"/>
  <c r="AC112" i="32"/>
  <c r="N112" i="32"/>
  <c r="K112" i="32"/>
  <c r="Z112" i="32"/>
  <c r="M112" i="32"/>
  <c r="J112" i="32"/>
  <c r="AF112" i="32"/>
  <c r="H112" i="32"/>
  <c r="Q112" i="32" s="1"/>
  <c r="L112" i="32"/>
  <c r="P111" i="32"/>
  <c r="W109" i="32" s="1"/>
  <c r="AG111" i="32"/>
  <c r="AE111" i="32" s="1"/>
  <c r="Y111" i="32"/>
  <c r="AA111" i="32" s="1"/>
  <c r="AD111" i="32"/>
  <c r="AB111" i="32" s="1"/>
  <c r="Q111" i="32"/>
  <c r="I52" i="39"/>
  <c r="AC52" i="39" s="1"/>
  <c r="J75" i="37"/>
  <c r="M75" i="37"/>
  <c r="I75" i="37"/>
  <c r="K75" i="37"/>
  <c r="L75" i="37"/>
  <c r="M83" i="30"/>
  <c r="N83" i="30"/>
  <c r="J83" i="30" s="1"/>
  <c r="H83" i="30" s="1"/>
  <c r="F84" i="30" s="1"/>
  <c r="K83" i="30"/>
  <c r="L83" i="30"/>
  <c r="F76" i="33"/>
  <c r="Q75" i="33"/>
  <c r="B192" i="28"/>
  <c r="D191" i="28"/>
  <c r="D559" i="7" s="1"/>
  <c r="C191" i="28"/>
  <c r="AB69" i="46"/>
  <c r="E174" i="46"/>
  <c r="D174" i="46"/>
  <c r="T174" i="46"/>
  <c r="AA174" i="46" s="1"/>
  <c r="B175" i="46"/>
  <c r="B187" i="33"/>
  <c r="D186" i="33"/>
  <c r="C186" i="33"/>
  <c r="O52" i="39"/>
  <c r="P52" i="39"/>
  <c r="K184" i="40"/>
  <c r="B192" i="30"/>
  <c r="C192" i="30"/>
  <c r="D191" i="30"/>
  <c r="C185" i="32"/>
  <c r="B186" i="32"/>
  <c r="D185" i="32"/>
  <c r="C186" i="37"/>
  <c r="B186" i="37"/>
  <c r="D185" i="37"/>
  <c r="B207" i="39"/>
  <c r="E206" i="39"/>
  <c r="R206" i="39" s="1"/>
  <c r="D185" i="40"/>
  <c r="E185" i="40"/>
  <c r="Z185" i="40" s="1"/>
  <c r="C186" i="40"/>
  <c r="C560" i="7"/>
  <c r="B561" i="7"/>
  <c r="C176" i="13"/>
  <c r="K169" i="12"/>
  <c r="C231" i="7"/>
  <c r="C171" i="46"/>
  <c r="C176" i="39"/>
  <c r="H48" i="13" l="1"/>
  <c r="H103" i="7" s="1"/>
  <c r="E39" i="10"/>
  <c r="Z48" i="13"/>
  <c r="AC48" i="13"/>
  <c r="AA48" i="13" s="1"/>
  <c r="U48" i="13"/>
  <c r="W48" i="13" s="1"/>
  <c r="G71" i="46"/>
  <c r="Q71" i="46" s="1"/>
  <c r="F72" i="46" s="1"/>
  <c r="Y70" i="46"/>
  <c r="Z70" i="46"/>
  <c r="W70" i="46"/>
  <c r="V70" i="46" s="1"/>
  <c r="E234" i="7"/>
  <c r="O234" i="7"/>
  <c r="B235" i="7"/>
  <c r="E180" i="13"/>
  <c r="B181" i="13"/>
  <c r="F54" i="28"/>
  <c r="Q53" i="28"/>
  <c r="Q421" i="7" s="1"/>
  <c r="R53" i="28"/>
  <c r="R421" i="7" s="1"/>
  <c r="H421" i="7"/>
  <c r="AA67" i="40"/>
  <c r="AB67" i="40" s="1"/>
  <c r="N67" i="40"/>
  <c r="L67" i="40"/>
  <c r="M67" i="40"/>
  <c r="AD67" i="40"/>
  <c r="AH67" i="40"/>
  <c r="AG67" i="40"/>
  <c r="I112" i="32"/>
  <c r="P112" i="32"/>
  <c r="W110" i="32" s="1"/>
  <c r="F113" i="32"/>
  <c r="AG112" i="32"/>
  <c r="AE112" i="32" s="1"/>
  <c r="Y112" i="32"/>
  <c r="AA112" i="32" s="1"/>
  <c r="AD112" i="32"/>
  <c r="AB112" i="32" s="1"/>
  <c r="P75" i="37"/>
  <c r="W73" i="37" s="1"/>
  <c r="H75" i="37"/>
  <c r="M76" i="33"/>
  <c r="P76" i="33"/>
  <c r="W74" i="33" s="1"/>
  <c r="I76" i="33"/>
  <c r="N76" i="33"/>
  <c r="J76" i="33" s="1"/>
  <c r="K76" i="33"/>
  <c r="L76" i="33"/>
  <c r="B193" i="28"/>
  <c r="C192" i="28"/>
  <c r="D192" i="28"/>
  <c r="D560" i="7" s="1"/>
  <c r="Q83" i="30"/>
  <c r="P83" i="30"/>
  <c r="W81" i="30" s="1"/>
  <c r="M84" i="30"/>
  <c r="N84" i="30"/>
  <c r="J84" i="30" s="1"/>
  <c r="I84" i="30"/>
  <c r="K84" i="30"/>
  <c r="L84" i="30"/>
  <c r="F53" i="39"/>
  <c r="Z53" i="39"/>
  <c r="D187" i="33"/>
  <c r="B188" i="33"/>
  <c r="C187" i="33"/>
  <c r="E53" i="36"/>
  <c r="C54" i="36"/>
  <c r="T175" i="46"/>
  <c r="AA175" i="46" s="1"/>
  <c r="E175" i="46"/>
  <c r="B176" i="46"/>
  <c r="D175" i="46"/>
  <c r="B187" i="32"/>
  <c r="D186" i="32"/>
  <c r="C186" i="32"/>
  <c r="B193" i="30"/>
  <c r="D192" i="30"/>
  <c r="C193" i="30"/>
  <c r="K185" i="40"/>
  <c r="C187" i="40"/>
  <c r="E186" i="40"/>
  <c r="Z186" i="40" s="1"/>
  <c r="D186" i="40"/>
  <c r="B208" i="39"/>
  <c r="E207" i="39"/>
  <c r="R207" i="39" s="1"/>
  <c r="D186" i="37"/>
  <c r="C187" i="37"/>
  <c r="B187" i="37"/>
  <c r="B562" i="7"/>
  <c r="C561" i="7"/>
  <c r="C177" i="13"/>
  <c r="K170" i="12"/>
  <c r="C232" i="7"/>
  <c r="C177" i="39"/>
  <c r="C172" i="46"/>
  <c r="X48" i="13" l="1"/>
  <c r="J48" i="13"/>
  <c r="G48" i="13" s="1"/>
  <c r="P71" i="46"/>
  <c r="A72" i="46"/>
  <c r="M72" i="46" s="1"/>
  <c r="I72" i="46"/>
  <c r="H72" i="46"/>
  <c r="K72" i="46"/>
  <c r="J72" i="46"/>
  <c r="L72" i="46"/>
  <c r="AB70" i="46"/>
  <c r="U71" i="46"/>
  <c r="W71" i="46" s="1"/>
  <c r="I52" i="13"/>
  <c r="I107" i="7" s="1"/>
  <c r="E235" i="7"/>
  <c r="O235" i="7"/>
  <c r="B236" i="7"/>
  <c r="B182" i="13"/>
  <c r="E181" i="13"/>
  <c r="AD54" i="28"/>
  <c r="AG54" i="28"/>
  <c r="K54" i="28"/>
  <c r="F422" i="7"/>
  <c r="S422" i="7" s="1"/>
  <c r="L54" i="28"/>
  <c r="L422" i="7" s="1"/>
  <c r="N54" i="28"/>
  <c r="AA54" i="28"/>
  <c r="M54" i="28"/>
  <c r="M422" i="7" s="1"/>
  <c r="AF67" i="40"/>
  <c r="J67" i="40"/>
  <c r="AC67" i="40"/>
  <c r="I67" i="40" s="1"/>
  <c r="Q67" i="40"/>
  <c r="X65" i="40"/>
  <c r="J113" i="32"/>
  <c r="AC113" i="32"/>
  <c r="AF113" i="32"/>
  <c r="K113" i="32"/>
  <c r="H113" i="32"/>
  <c r="F114" i="32" s="1"/>
  <c r="Z113" i="32"/>
  <c r="M113" i="32"/>
  <c r="N113" i="32"/>
  <c r="L113" i="32"/>
  <c r="F76" i="37"/>
  <c r="Q75" i="37"/>
  <c r="H76" i="33"/>
  <c r="C193" i="28"/>
  <c r="B194" i="28"/>
  <c r="D193" i="28"/>
  <c r="D561" i="7" s="1"/>
  <c r="H84" i="30"/>
  <c r="F85" i="30" s="1"/>
  <c r="B189" i="33"/>
  <c r="D188" i="33"/>
  <c r="C188" i="33"/>
  <c r="B177" i="46"/>
  <c r="E176" i="46"/>
  <c r="T176" i="46"/>
  <c r="AA176" i="46" s="1"/>
  <c r="D176" i="46"/>
  <c r="Y53" i="39"/>
  <c r="X53" i="39" s="1"/>
  <c r="K53" i="39"/>
  <c r="J53" i="39"/>
  <c r="Q53" i="39"/>
  <c r="L53" i="39"/>
  <c r="V53" i="39"/>
  <c r="S53" i="39"/>
  <c r="T53" i="39" s="1"/>
  <c r="D193" i="30"/>
  <c r="C194" i="30"/>
  <c r="B194" i="30"/>
  <c r="D187" i="32"/>
  <c r="C187" i="32"/>
  <c r="B188" i="32"/>
  <c r="K186" i="40"/>
  <c r="D187" i="37"/>
  <c r="C188" i="37"/>
  <c r="B188" i="37"/>
  <c r="D187" i="40"/>
  <c r="C188" i="40"/>
  <c r="E187" i="40"/>
  <c r="Z187" i="40" s="1"/>
  <c r="B209" i="39"/>
  <c r="E208" i="39"/>
  <c r="R208" i="39" s="1"/>
  <c r="C562" i="7"/>
  <c r="B563" i="7"/>
  <c r="C178" i="13"/>
  <c r="K171" i="12"/>
  <c r="C233" i="7"/>
  <c r="C173" i="46"/>
  <c r="C178" i="39"/>
  <c r="G103" i="7" l="1"/>
  <c r="S48" i="13"/>
  <c r="R48" i="13"/>
  <c r="F49" i="13"/>
  <c r="F104" i="7" s="1"/>
  <c r="R104" i="7" s="1"/>
  <c r="G72" i="46"/>
  <c r="X71" i="46"/>
  <c r="V71" i="46" s="1"/>
  <c r="Y71" i="46"/>
  <c r="Z71" i="46"/>
  <c r="O236" i="7"/>
  <c r="E236" i="7"/>
  <c r="B237" i="7"/>
  <c r="E182" i="13"/>
  <c r="B183" i="13"/>
  <c r="I54" i="28"/>
  <c r="I422" i="7" s="1"/>
  <c r="N422" i="7"/>
  <c r="Z54" i="28"/>
  <c r="AB54" i="28" s="1"/>
  <c r="AE54" i="28"/>
  <c r="AC54" i="28" s="1"/>
  <c r="AH54" i="28"/>
  <c r="K422" i="7"/>
  <c r="X52" i="28"/>
  <c r="I113" i="32"/>
  <c r="G68" i="40"/>
  <c r="R67" i="40"/>
  <c r="AG113" i="32"/>
  <c r="AE113" i="32" s="1"/>
  <c r="AD113" i="32"/>
  <c r="AB113" i="32" s="1"/>
  <c r="Y113" i="32"/>
  <c r="AA113" i="32" s="1"/>
  <c r="AF114" i="32"/>
  <c r="K114" i="32"/>
  <c r="AC114" i="32"/>
  <c r="M114" i="32"/>
  <c r="H114" i="32"/>
  <c r="Q114" i="32" s="1"/>
  <c r="J114" i="32"/>
  <c r="L114" i="32"/>
  <c r="Z114" i="32"/>
  <c r="N114" i="32"/>
  <c r="AG114" i="32" s="1"/>
  <c r="Q113" i="32"/>
  <c r="P113" i="32"/>
  <c r="W111" i="32" s="1"/>
  <c r="J76" i="37"/>
  <c r="K76" i="37"/>
  <c r="I76" i="37"/>
  <c r="L76" i="37"/>
  <c r="M76" i="37"/>
  <c r="F77" i="33"/>
  <c r="Q76" i="33"/>
  <c r="B195" i="28"/>
  <c r="C194" i="28"/>
  <c r="D194" i="28"/>
  <c r="D562" i="7" s="1"/>
  <c r="Q84" i="30"/>
  <c r="P84" i="30"/>
  <c r="W82" i="30" s="1"/>
  <c r="L85" i="30"/>
  <c r="N85" i="30"/>
  <c r="J85" i="30" s="1"/>
  <c r="I85" i="30"/>
  <c r="M85" i="30"/>
  <c r="K85" i="30"/>
  <c r="D189" i="33"/>
  <c r="B190" i="33"/>
  <c r="C189" i="33"/>
  <c r="U53" i="39"/>
  <c r="G53" i="39" s="1"/>
  <c r="D54" i="36" s="1"/>
  <c r="H53" i="39"/>
  <c r="B178" i="46"/>
  <c r="D177" i="46"/>
  <c r="T177" i="46"/>
  <c r="AA177" i="46" s="1"/>
  <c r="E177" i="46"/>
  <c r="D188" i="32"/>
  <c r="B189" i="32"/>
  <c r="C188" i="32"/>
  <c r="B195" i="30"/>
  <c r="C195" i="30"/>
  <c r="D194" i="30"/>
  <c r="B189" i="37"/>
  <c r="D188" i="37"/>
  <c r="C189" i="37"/>
  <c r="B210" i="39"/>
  <c r="E209" i="39"/>
  <c r="R209" i="39" s="1"/>
  <c r="K187" i="40"/>
  <c r="E188" i="40"/>
  <c r="Z188" i="40" s="1"/>
  <c r="D188" i="40"/>
  <c r="C189" i="40"/>
  <c r="C563" i="7"/>
  <c r="B564" i="7"/>
  <c r="C179" i="13"/>
  <c r="K172" i="12"/>
  <c r="C234" i="7"/>
  <c r="C174" i="46"/>
  <c r="C179" i="39"/>
  <c r="Q103" i="7" l="1"/>
  <c r="P103" i="7"/>
  <c r="V49" i="13"/>
  <c r="L49" i="13"/>
  <c r="K104" i="7" s="1"/>
  <c r="AB49" i="13"/>
  <c r="K49" i="13"/>
  <c r="J104" i="7" s="1"/>
  <c r="N49" i="13"/>
  <c r="M104" i="7" s="1"/>
  <c r="Y49" i="13"/>
  <c r="M49" i="13"/>
  <c r="L104" i="7" s="1"/>
  <c r="Q72" i="46"/>
  <c r="F73" i="46" s="1"/>
  <c r="P72" i="46"/>
  <c r="AB71" i="46"/>
  <c r="U72" i="46"/>
  <c r="X72" i="46" s="1"/>
  <c r="O237" i="7"/>
  <c r="E237" i="7"/>
  <c r="B238" i="7"/>
  <c r="B184" i="13"/>
  <c r="E183" i="13"/>
  <c r="J54" i="28"/>
  <c r="AF54" i="28"/>
  <c r="I114" i="32"/>
  <c r="M68" i="40"/>
  <c r="AD68" i="40"/>
  <c r="L68" i="40"/>
  <c r="AG68" i="40"/>
  <c r="AH68" i="40"/>
  <c r="N68" i="40"/>
  <c r="AA68" i="40"/>
  <c r="AB68" i="40" s="1"/>
  <c r="AE114" i="32"/>
  <c r="F115" i="32"/>
  <c r="Y114" i="32"/>
  <c r="AA114" i="32" s="1"/>
  <c r="AD114" i="32"/>
  <c r="AB114" i="32" s="1"/>
  <c r="P114" i="32"/>
  <c r="W112" i="32" s="1"/>
  <c r="I53" i="39"/>
  <c r="AC53" i="39" s="1"/>
  <c r="P76" i="37"/>
  <c r="W74" i="37" s="1"/>
  <c r="H76" i="37"/>
  <c r="F77" i="37" s="1"/>
  <c r="K77" i="33"/>
  <c r="M77" i="33"/>
  <c r="L77" i="33"/>
  <c r="I77" i="33"/>
  <c r="N77" i="33"/>
  <c r="J77" i="33" s="1"/>
  <c r="P77" i="33"/>
  <c r="W75" i="33" s="1"/>
  <c r="B196" i="28"/>
  <c r="D195" i="28"/>
  <c r="D563" i="7" s="1"/>
  <c r="C195" i="28"/>
  <c r="H85" i="30"/>
  <c r="T178" i="46"/>
  <c r="AA178" i="46" s="1"/>
  <c r="B179" i="46"/>
  <c r="E178" i="46"/>
  <c r="D178" i="46"/>
  <c r="O53" i="39"/>
  <c r="P53" i="39"/>
  <c r="C190" i="33"/>
  <c r="D190" i="33"/>
  <c r="B191" i="33"/>
  <c r="B196" i="30"/>
  <c r="C196" i="30"/>
  <c r="D195" i="30"/>
  <c r="D189" i="32"/>
  <c r="C189" i="32"/>
  <c r="B190" i="32"/>
  <c r="K188" i="40"/>
  <c r="C190" i="37"/>
  <c r="D189" i="37"/>
  <c r="B190" i="37"/>
  <c r="D189" i="40"/>
  <c r="C190" i="40"/>
  <c r="E189" i="40"/>
  <c r="Z189" i="40" s="1"/>
  <c r="B211" i="39"/>
  <c r="E210" i="39"/>
  <c r="R210" i="39" s="1"/>
  <c r="C564" i="7"/>
  <c r="B565" i="7"/>
  <c r="C180" i="13"/>
  <c r="K173" i="12"/>
  <c r="C235" i="7"/>
  <c r="C175" i="46"/>
  <c r="C180" i="39"/>
  <c r="H49" i="13" l="1"/>
  <c r="H104" i="7" s="1"/>
  <c r="AC49" i="13"/>
  <c r="Z49" i="13"/>
  <c r="U49" i="13"/>
  <c r="E40" i="10"/>
  <c r="J49" i="13"/>
  <c r="H73" i="46"/>
  <c r="L73" i="46"/>
  <c r="J73" i="46"/>
  <c r="K73" i="46"/>
  <c r="A73" i="46"/>
  <c r="M73" i="46" s="1"/>
  <c r="I73" i="46"/>
  <c r="Y72" i="46"/>
  <c r="W72" i="46"/>
  <c r="V72" i="46" s="1"/>
  <c r="U73" i="46" s="1"/>
  <c r="Z72" i="46"/>
  <c r="O238" i="7"/>
  <c r="E238" i="7"/>
  <c r="B239" i="7"/>
  <c r="B185" i="13"/>
  <c r="E184" i="13"/>
  <c r="J422" i="7"/>
  <c r="H54" i="28"/>
  <c r="AF68" i="40"/>
  <c r="X66" i="40"/>
  <c r="Q68" i="40"/>
  <c r="AC68" i="40"/>
  <c r="I68" i="40" s="1"/>
  <c r="J68" i="40"/>
  <c r="J115" i="32"/>
  <c r="M115" i="32"/>
  <c r="K115" i="32"/>
  <c r="Z115" i="32"/>
  <c r="L115" i="32"/>
  <c r="H115" i="32"/>
  <c r="F116" i="32" s="1"/>
  <c r="AC115" i="32"/>
  <c r="AF115" i="32"/>
  <c r="N115" i="32"/>
  <c r="Q76" i="37"/>
  <c r="L77" i="37"/>
  <c r="K77" i="37"/>
  <c r="I77" i="37"/>
  <c r="J77" i="37"/>
  <c r="M77" i="37"/>
  <c r="H77" i="33"/>
  <c r="D196" i="28"/>
  <c r="D564" i="7" s="1"/>
  <c r="C196" i="28"/>
  <c r="B197" i="28"/>
  <c r="P85" i="30"/>
  <c r="W83" i="30" s="1"/>
  <c r="F86" i="30"/>
  <c r="Q85" i="30"/>
  <c r="F54" i="39"/>
  <c r="Z54" i="39"/>
  <c r="C55" i="36"/>
  <c r="E54" i="36"/>
  <c r="C191" i="33"/>
  <c r="D191" i="33"/>
  <c r="B192" i="33"/>
  <c r="D179" i="46"/>
  <c r="E179" i="46"/>
  <c r="B180" i="46"/>
  <c r="T179" i="46"/>
  <c r="AA179" i="46" s="1"/>
  <c r="D190" i="32"/>
  <c r="B191" i="32"/>
  <c r="C190" i="32"/>
  <c r="B197" i="30"/>
  <c r="D196" i="30"/>
  <c r="C197" i="30"/>
  <c r="K189" i="40"/>
  <c r="D190" i="40"/>
  <c r="C191" i="40"/>
  <c r="E190" i="40"/>
  <c r="Z190" i="40" s="1"/>
  <c r="C191" i="37"/>
  <c r="B191" i="37"/>
  <c r="D190" i="37"/>
  <c r="B212" i="39"/>
  <c r="E211" i="39"/>
  <c r="R211" i="39" s="1"/>
  <c r="C565" i="7"/>
  <c r="B566" i="7"/>
  <c r="C181" i="13"/>
  <c r="K174" i="12"/>
  <c r="C236" i="7"/>
  <c r="C181" i="39"/>
  <c r="C176" i="46"/>
  <c r="AA49" i="13" l="1"/>
  <c r="X49" i="13"/>
  <c r="G49" i="13" s="1"/>
  <c r="G104" i="7" s="1"/>
  <c r="W49" i="13"/>
  <c r="G73" i="46"/>
  <c r="P73" i="46" s="1"/>
  <c r="AB72" i="46"/>
  <c r="I53" i="13"/>
  <c r="I108" i="7" s="1"/>
  <c r="O239" i="7"/>
  <c r="E239" i="7"/>
  <c r="B240" i="7"/>
  <c r="B186" i="13"/>
  <c r="E185" i="13"/>
  <c r="R54" i="28"/>
  <c r="R422" i="7" s="1"/>
  <c r="F55" i="28"/>
  <c r="Q54" i="28"/>
  <c r="Q422" i="7" s="1"/>
  <c r="H422" i="7"/>
  <c r="G69" i="40"/>
  <c r="R68" i="40"/>
  <c r="I115" i="32"/>
  <c r="Q115" i="32"/>
  <c r="H116" i="32"/>
  <c r="Q116" i="32" s="1"/>
  <c r="M116" i="32"/>
  <c r="N116" i="32"/>
  <c r="Z116" i="32"/>
  <c r="AF116" i="32"/>
  <c r="J116" i="32"/>
  <c r="AC116" i="32"/>
  <c r="L116" i="32"/>
  <c r="K116" i="32"/>
  <c r="AG115" i="32"/>
  <c r="AE115" i="32" s="1"/>
  <c r="AD115" i="32"/>
  <c r="AB115" i="32" s="1"/>
  <c r="Y115" i="32"/>
  <c r="AA115" i="32" s="1"/>
  <c r="P115" i="32"/>
  <c r="W113" i="32" s="1"/>
  <c r="H77" i="37"/>
  <c r="P77" i="37"/>
  <c r="W75" i="37" s="1"/>
  <c r="Q77" i="33"/>
  <c r="F78" i="33"/>
  <c r="C197" i="28"/>
  <c r="B198" i="28"/>
  <c r="D197" i="28"/>
  <c r="D565" i="7" s="1"/>
  <c r="I86" i="30"/>
  <c r="K86" i="30"/>
  <c r="N86" i="30"/>
  <c r="J86" i="30" s="1"/>
  <c r="M86" i="30"/>
  <c r="L86" i="30"/>
  <c r="T180" i="46"/>
  <c r="AA180" i="46" s="1"/>
  <c r="E180" i="46"/>
  <c r="D180" i="46"/>
  <c r="B181" i="46"/>
  <c r="D192" i="33"/>
  <c r="C192" i="33"/>
  <c r="B193" i="33"/>
  <c r="X73" i="46"/>
  <c r="Y73" i="46"/>
  <c r="Z73" i="46"/>
  <c r="W73" i="46"/>
  <c r="V54" i="39"/>
  <c r="K54" i="39"/>
  <c r="Q54" i="39"/>
  <c r="J54" i="39"/>
  <c r="L54" i="39"/>
  <c r="Y54" i="39"/>
  <c r="X54" i="39" s="1"/>
  <c r="S54" i="39"/>
  <c r="T54" i="39" s="1"/>
  <c r="C198" i="30"/>
  <c r="B198" i="30"/>
  <c r="D197" i="30"/>
  <c r="C191" i="32"/>
  <c r="B192" i="32"/>
  <c r="D191" i="32"/>
  <c r="K190" i="40"/>
  <c r="C192" i="40"/>
  <c r="D191" i="40"/>
  <c r="E191" i="40"/>
  <c r="Z191" i="40" s="1"/>
  <c r="B213" i="39"/>
  <c r="E212" i="39"/>
  <c r="R212" i="39" s="1"/>
  <c r="B192" i="37"/>
  <c r="D191" i="37"/>
  <c r="C192" i="37"/>
  <c r="B567" i="7"/>
  <c r="C566" i="7"/>
  <c r="C182" i="13"/>
  <c r="K175" i="12"/>
  <c r="C237" i="7"/>
  <c r="C177" i="46"/>
  <c r="C182" i="39"/>
  <c r="P104" i="7" l="1"/>
  <c r="R49" i="13"/>
  <c r="F50" i="13"/>
  <c r="F105" i="7" s="1"/>
  <c r="R105" i="7" s="1"/>
  <c r="S49" i="13"/>
  <c r="Q104" i="7"/>
  <c r="Q73" i="46"/>
  <c r="F74" i="46" s="1"/>
  <c r="L74" i="46" s="1"/>
  <c r="O240" i="7"/>
  <c r="E240" i="7"/>
  <c r="B241" i="7"/>
  <c r="B187" i="13"/>
  <c r="E186" i="13"/>
  <c r="AG55" i="28"/>
  <c r="F423" i="7"/>
  <c r="S423" i="7" s="1"/>
  <c r="M55" i="28"/>
  <c r="M423" i="7" s="1"/>
  <c r="N55" i="28"/>
  <c r="K55" i="28"/>
  <c r="AD55" i="28"/>
  <c r="L55" i="28"/>
  <c r="L423" i="7" s="1"/>
  <c r="AA55" i="28"/>
  <c r="M69" i="40"/>
  <c r="AG69" i="40"/>
  <c r="AA69" i="40"/>
  <c r="AB69" i="40" s="1"/>
  <c r="AH69" i="40"/>
  <c r="N69" i="40"/>
  <c r="L69" i="40"/>
  <c r="AD69" i="40"/>
  <c r="I116" i="32"/>
  <c r="F117" i="32"/>
  <c r="AF117" i="32" s="1"/>
  <c r="P116" i="32"/>
  <c r="W114" i="32" s="1"/>
  <c r="AG116" i="32"/>
  <c r="AE116" i="32" s="1"/>
  <c r="AD116" i="32"/>
  <c r="AB116" i="32" s="1"/>
  <c r="Y116" i="32"/>
  <c r="AA116" i="32" s="1"/>
  <c r="F78" i="37"/>
  <c r="Q77" i="37"/>
  <c r="M78" i="33"/>
  <c r="P78" i="33"/>
  <c r="W76" i="33" s="1"/>
  <c r="N78" i="33"/>
  <c r="J78" i="33" s="1"/>
  <c r="K78" i="33"/>
  <c r="I78" i="33"/>
  <c r="L78" i="33"/>
  <c r="D198" i="28"/>
  <c r="D566" i="7" s="1"/>
  <c r="C198" i="28"/>
  <c r="B199" i="28"/>
  <c r="H86" i="30"/>
  <c r="Q86" i="30" s="1"/>
  <c r="H54" i="39"/>
  <c r="U54" i="39"/>
  <c r="G54" i="39" s="1"/>
  <c r="D55" i="36" s="1"/>
  <c r="B182" i="46"/>
  <c r="T181" i="46"/>
  <c r="AA181" i="46" s="1"/>
  <c r="D181" i="46"/>
  <c r="E181" i="46"/>
  <c r="V73" i="46"/>
  <c r="C193" i="33"/>
  <c r="D193" i="33"/>
  <c r="B194" i="33"/>
  <c r="C192" i="32"/>
  <c r="B193" i="32"/>
  <c r="D192" i="32"/>
  <c r="D198" i="30"/>
  <c r="B199" i="30"/>
  <c r="C199" i="30"/>
  <c r="K191" i="40"/>
  <c r="C193" i="37"/>
  <c r="B193" i="37"/>
  <c r="D192" i="37"/>
  <c r="E192" i="40"/>
  <c r="Z192" i="40" s="1"/>
  <c r="C193" i="40"/>
  <c r="D192" i="40"/>
  <c r="B214" i="39"/>
  <c r="E213" i="39"/>
  <c r="R213" i="39" s="1"/>
  <c r="C567" i="7"/>
  <c r="B568" i="7"/>
  <c r="C183" i="13"/>
  <c r="K176" i="12"/>
  <c r="C238" i="7"/>
  <c r="C178" i="46"/>
  <c r="C183" i="39"/>
  <c r="M50" i="13" l="1"/>
  <c r="L105" i="7" s="1"/>
  <c r="N50" i="13"/>
  <c r="M105" i="7" s="1"/>
  <c r="K50" i="13"/>
  <c r="J105" i="7" s="1"/>
  <c r="L50" i="13"/>
  <c r="K105" i="7" s="1"/>
  <c r="AB50" i="13"/>
  <c r="V50" i="13"/>
  <c r="Y50" i="13"/>
  <c r="H50" i="13"/>
  <c r="H105" i="7" s="1"/>
  <c r="H74" i="46"/>
  <c r="I74" i="46"/>
  <c r="J74" i="46"/>
  <c r="K74" i="46"/>
  <c r="A74" i="46"/>
  <c r="M74" i="46" s="1"/>
  <c r="O241" i="7"/>
  <c r="E241" i="7"/>
  <c r="B242" i="7"/>
  <c r="B188" i="13"/>
  <c r="E187" i="13"/>
  <c r="I55" i="28"/>
  <c r="I423" i="7" s="1"/>
  <c r="K423" i="7"/>
  <c r="X53" i="28"/>
  <c r="N423" i="7"/>
  <c r="AE55" i="28"/>
  <c r="AC55" i="28" s="1"/>
  <c r="AH55" i="28"/>
  <c r="Z55" i="28"/>
  <c r="AB55" i="28" s="1"/>
  <c r="AF69" i="40"/>
  <c r="J69" i="40"/>
  <c r="AC69" i="40"/>
  <c r="I69" i="40" s="1"/>
  <c r="X67" i="40"/>
  <c r="Q69" i="40"/>
  <c r="M117" i="32"/>
  <c r="J117" i="32"/>
  <c r="K117" i="32"/>
  <c r="N117" i="32"/>
  <c r="AG117" i="32" s="1"/>
  <c r="AE117" i="32" s="1"/>
  <c r="AC117" i="32"/>
  <c r="I117" i="32" s="1"/>
  <c r="L117" i="32"/>
  <c r="H117" i="32"/>
  <c r="Q117" i="32" s="1"/>
  <c r="Z117" i="32"/>
  <c r="I54" i="39"/>
  <c r="AC54" i="39" s="1"/>
  <c r="J78" i="37"/>
  <c r="I78" i="37"/>
  <c r="K78" i="37"/>
  <c r="L78" i="37"/>
  <c r="M78" i="37"/>
  <c r="H78" i="33"/>
  <c r="D199" i="28"/>
  <c r="D567" i="7" s="1"/>
  <c r="C199" i="28"/>
  <c r="B200" i="28"/>
  <c r="P86" i="30"/>
  <c r="W84" i="30" s="1"/>
  <c r="F87" i="30"/>
  <c r="N87" i="30" s="1"/>
  <c r="J87" i="30" s="1"/>
  <c r="B195" i="33"/>
  <c r="C194" i="33"/>
  <c r="D194" i="33"/>
  <c r="E182" i="46"/>
  <c r="D182" i="46"/>
  <c r="T182" i="46"/>
  <c r="AA182" i="46" s="1"/>
  <c r="B183" i="46"/>
  <c r="AB73" i="46"/>
  <c r="U74" i="46"/>
  <c r="O54" i="39"/>
  <c r="P54" i="39"/>
  <c r="B200" i="30"/>
  <c r="C200" i="30"/>
  <c r="D199" i="30"/>
  <c r="B194" i="32"/>
  <c r="D193" i="32"/>
  <c r="C193" i="32"/>
  <c r="K192" i="40"/>
  <c r="D193" i="40"/>
  <c r="C194" i="40"/>
  <c r="E193" i="40"/>
  <c r="Z193" i="40" s="1"/>
  <c r="B215" i="39"/>
  <c r="E214" i="39"/>
  <c r="R214" i="39" s="1"/>
  <c r="C194" i="37"/>
  <c r="D193" i="37"/>
  <c r="B194" i="37"/>
  <c r="C568" i="7"/>
  <c r="B569" i="7"/>
  <c r="C184" i="13"/>
  <c r="K177" i="12"/>
  <c r="C239" i="7"/>
  <c r="C179" i="46"/>
  <c r="C184" i="39"/>
  <c r="Z50" i="13" l="1"/>
  <c r="U50" i="13"/>
  <c r="W50" i="13" s="1"/>
  <c r="AC50" i="13"/>
  <c r="AA50" i="13" s="1"/>
  <c r="E41" i="10"/>
  <c r="G74" i="46"/>
  <c r="P74" i="46" s="1"/>
  <c r="O242" i="7"/>
  <c r="E242" i="7"/>
  <c r="B243" i="7"/>
  <c r="B189" i="13"/>
  <c r="E188" i="13"/>
  <c r="AF55" i="28"/>
  <c r="J55" i="28"/>
  <c r="R69" i="40"/>
  <c r="G70" i="40"/>
  <c r="AD117" i="32"/>
  <c r="AB117" i="32" s="1"/>
  <c r="Y117" i="32"/>
  <c r="AA117" i="32" s="1"/>
  <c r="P117" i="32"/>
  <c r="W115" i="32" s="1"/>
  <c r="F118" i="32"/>
  <c r="M118" i="32" s="1"/>
  <c r="P78" i="37"/>
  <c r="W76" i="37" s="1"/>
  <c r="H78" i="37"/>
  <c r="Q78" i="33"/>
  <c r="F79" i="33"/>
  <c r="C200" i="28"/>
  <c r="D200" i="28"/>
  <c r="D568" i="7" s="1"/>
  <c r="B201" i="28"/>
  <c r="M87" i="30"/>
  <c r="I87" i="30"/>
  <c r="H87" i="30" s="1"/>
  <c r="L87" i="30"/>
  <c r="K87" i="30"/>
  <c r="D183" i="46"/>
  <c r="B184" i="46"/>
  <c r="E183" i="46"/>
  <c r="T183" i="46"/>
  <c r="AA183" i="46" s="1"/>
  <c r="Y74" i="46"/>
  <c r="W74" i="46"/>
  <c r="Z74" i="46"/>
  <c r="X74" i="46"/>
  <c r="F55" i="39"/>
  <c r="Z55" i="39"/>
  <c r="C56" i="36"/>
  <c r="E55" i="36"/>
  <c r="B196" i="33"/>
  <c r="D195" i="33"/>
  <c r="C195" i="33"/>
  <c r="D200" i="30"/>
  <c r="C201" i="30"/>
  <c r="B201" i="30"/>
  <c r="D194" i="32"/>
  <c r="C194" i="32"/>
  <c r="B195" i="32"/>
  <c r="K193" i="40"/>
  <c r="D194" i="40"/>
  <c r="C195" i="40"/>
  <c r="E194" i="40"/>
  <c r="Z194" i="40" s="1"/>
  <c r="B216" i="39"/>
  <c r="E215" i="39"/>
  <c r="R215" i="39" s="1"/>
  <c r="D194" i="37"/>
  <c r="C195" i="37"/>
  <c r="B195" i="37"/>
  <c r="C569" i="7"/>
  <c r="B570" i="7"/>
  <c r="C185" i="13"/>
  <c r="K178" i="12"/>
  <c r="C240" i="7"/>
  <c r="C185" i="39"/>
  <c r="C180" i="46"/>
  <c r="J50" i="13" l="1"/>
  <c r="X50" i="13"/>
  <c r="Q74" i="46"/>
  <c r="F75" i="46" s="1"/>
  <c r="I75" i="46" s="1"/>
  <c r="I54" i="13"/>
  <c r="I109" i="7" s="1"/>
  <c r="E243" i="7"/>
  <c r="O243" i="7"/>
  <c r="B244" i="7"/>
  <c r="B190" i="13"/>
  <c r="E189" i="13"/>
  <c r="J423" i="7"/>
  <c r="H55" i="28"/>
  <c r="N70" i="40"/>
  <c r="AG70" i="40"/>
  <c r="AD70" i="40"/>
  <c r="M70" i="40"/>
  <c r="AH70" i="40"/>
  <c r="AA70" i="40"/>
  <c r="AB70" i="40" s="1"/>
  <c r="L70" i="40"/>
  <c r="AC118" i="32"/>
  <c r="J118" i="32"/>
  <c r="Z118" i="32"/>
  <c r="L118" i="32"/>
  <c r="AF118" i="32"/>
  <c r="N118" i="32"/>
  <c r="AG118" i="32" s="1"/>
  <c r="K118" i="32"/>
  <c r="H118" i="32"/>
  <c r="F119" i="32" s="1"/>
  <c r="AF119" i="32" s="1"/>
  <c r="F79" i="37"/>
  <c r="Q78" i="37"/>
  <c r="I79" i="33"/>
  <c r="M79" i="33"/>
  <c r="N79" i="33"/>
  <c r="J79" i="33" s="1"/>
  <c r="L79" i="33"/>
  <c r="P79" i="33"/>
  <c r="W77" i="33" s="1"/>
  <c r="K79" i="33"/>
  <c r="D201" i="28"/>
  <c r="D569" i="7" s="1"/>
  <c r="B202" i="28"/>
  <c r="C201" i="28"/>
  <c r="P87" i="30"/>
  <c r="W85" i="30" s="1"/>
  <c r="F88" i="30"/>
  <c r="N88" i="30" s="1"/>
  <c r="J88" i="30" s="1"/>
  <c r="Q87" i="30"/>
  <c r="V74" i="46"/>
  <c r="E184" i="46"/>
  <c r="T184" i="46"/>
  <c r="AA184" i="46" s="1"/>
  <c r="D184" i="46"/>
  <c r="B185" i="46"/>
  <c r="D196" i="33"/>
  <c r="C196" i="33"/>
  <c r="B197" i="33"/>
  <c r="S55" i="39"/>
  <c r="T55" i="39" s="1"/>
  <c r="Y55" i="39"/>
  <c r="X55" i="39" s="1"/>
  <c r="L55" i="39"/>
  <c r="V55" i="39"/>
  <c r="Q55" i="39"/>
  <c r="J55" i="39"/>
  <c r="K55" i="39"/>
  <c r="D195" i="32"/>
  <c r="C195" i="32"/>
  <c r="B196" i="32"/>
  <c r="D201" i="30"/>
  <c r="C202" i="30"/>
  <c r="B202" i="30"/>
  <c r="K194" i="40"/>
  <c r="C196" i="40"/>
  <c r="D195" i="40"/>
  <c r="E195" i="40"/>
  <c r="Z195" i="40" s="1"/>
  <c r="C196" i="37"/>
  <c r="B196" i="37"/>
  <c r="D195" i="37"/>
  <c r="B217" i="39"/>
  <c r="E216" i="39"/>
  <c r="R216" i="39" s="1"/>
  <c r="C570" i="7"/>
  <c r="B571" i="7"/>
  <c r="C186" i="13"/>
  <c r="K179" i="12"/>
  <c r="C241" i="7"/>
  <c r="C181" i="46"/>
  <c r="C186" i="39"/>
  <c r="G50" i="13" l="1"/>
  <c r="G105" i="7" s="1"/>
  <c r="F51" i="13"/>
  <c r="Q105" i="7"/>
  <c r="R50" i="13"/>
  <c r="S50" i="13"/>
  <c r="F106" i="7"/>
  <c r="R106" i="7" s="1"/>
  <c r="L51" i="13"/>
  <c r="K106" i="7" s="1"/>
  <c r="P105" i="7"/>
  <c r="L75" i="46"/>
  <c r="J75" i="46"/>
  <c r="K75" i="46"/>
  <c r="A75" i="46"/>
  <c r="M75" i="46" s="1"/>
  <c r="H75" i="46"/>
  <c r="E244" i="7"/>
  <c r="O244" i="7"/>
  <c r="B245" i="7"/>
  <c r="B191" i="13"/>
  <c r="E190" i="13"/>
  <c r="Q55" i="28"/>
  <c r="Q423" i="7" s="1"/>
  <c r="F56" i="28"/>
  <c r="R55" i="28"/>
  <c r="R423" i="7" s="1"/>
  <c r="H423" i="7"/>
  <c r="AF70" i="40"/>
  <c r="Q70" i="40"/>
  <c r="X68" i="40"/>
  <c r="J70" i="40"/>
  <c r="AC70" i="40"/>
  <c r="I70" i="40" s="1"/>
  <c r="I118" i="32"/>
  <c r="P118" i="32"/>
  <c r="W116" i="32" s="1"/>
  <c r="Y118" i="32"/>
  <c r="AA118" i="32" s="1"/>
  <c r="AD118" i="32"/>
  <c r="AB118" i="32" s="1"/>
  <c r="AE118" i="32"/>
  <c r="H119" i="32"/>
  <c r="F120" i="32" s="1"/>
  <c r="K120" i="32" s="1"/>
  <c r="J119" i="32"/>
  <c r="Q118" i="32"/>
  <c r="Z119" i="32"/>
  <c r="K119" i="32"/>
  <c r="L119" i="32"/>
  <c r="M119" i="32"/>
  <c r="AC119" i="32"/>
  <c r="I119" i="32" s="1"/>
  <c r="N119" i="32"/>
  <c r="AG119" i="32" s="1"/>
  <c r="AE119" i="32" s="1"/>
  <c r="L79" i="37"/>
  <c r="M79" i="37"/>
  <c r="K79" i="37"/>
  <c r="J79" i="37"/>
  <c r="I79" i="37"/>
  <c r="H79" i="33"/>
  <c r="Q79" i="33" s="1"/>
  <c r="C202" i="28"/>
  <c r="D202" i="28"/>
  <c r="D570" i="7" s="1"/>
  <c r="B203" i="28"/>
  <c r="K88" i="30"/>
  <c r="M88" i="30"/>
  <c r="L88" i="30"/>
  <c r="I88" i="30"/>
  <c r="H88" i="30" s="1"/>
  <c r="Q88" i="30" s="1"/>
  <c r="E185" i="46"/>
  <c r="T185" i="46"/>
  <c r="AA185" i="46" s="1"/>
  <c r="B186" i="46"/>
  <c r="D185" i="46"/>
  <c r="H55" i="39"/>
  <c r="U55" i="39"/>
  <c r="G55" i="39" s="1"/>
  <c r="D56" i="36" s="1"/>
  <c r="U75" i="46"/>
  <c r="AB74" i="46"/>
  <c r="D197" i="33"/>
  <c r="B198" i="33"/>
  <c r="C197" i="33"/>
  <c r="D202" i="30"/>
  <c r="B203" i="30"/>
  <c r="C203" i="30"/>
  <c r="D196" i="32"/>
  <c r="C196" i="32"/>
  <c r="B197" i="32"/>
  <c r="K195" i="40"/>
  <c r="E196" i="40"/>
  <c r="Z196" i="40" s="1"/>
  <c r="D196" i="40"/>
  <c r="C197" i="40"/>
  <c r="B218" i="39"/>
  <c r="E217" i="39"/>
  <c r="R217" i="39" s="1"/>
  <c r="D196" i="37"/>
  <c r="C197" i="37"/>
  <c r="B197" i="37"/>
  <c r="B572" i="7"/>
  <c r="C571" i="7"/>
  <c r="C187" i="13"/>
  <c r="K180" i="12"/>
  <c r="C182" i="46"/>
  <c r="C187" i="39"/>
  <c r="C242" i="7"/>
  <c r="N51" i="13" l="1"/>
  <c r="M106" i="7" s="1"/>
  <c r="K51" i="13"/>
  <c r="J106" i="7" s="1"/>
  <c r="AB51" i="13"/>
  <c r="M51" i="13"/>
  <c r="L106" i="7" s="1"/>
  <c r="Y51" i="13"/>
  <c r="V51" i="13"/>
  <c r="G75" i="46"/>
  <c r="Q75" i="46" s="1"/>
  <c r="F76" i="46" s="1"/>
  <c r="A76" i="46" s="1"/>
  <c r="M76" i="46" s="1"/>
  <c r="E245" i="7"/>
  <c r="O245" i="7"/>
  <c r="B246" i="7"/>
  <c r="B192" i="13"/>
  <c r="E191" i="13"/>
  <c r="F424" i="7"/>
  <c r="S424" i="7" s="1"/>
  <c r="N56" i="28"/>
  <c r="L56" i="28"/>
  <c r="L424" i="7" s="1"/>
  <c r="M56" i="28"/>
  <c r="M424" i="7" s="1"/>
  <c r="AA56" i="28"/>
  <c r="AG56" i="28"/>
  <c r="K56" i="28"/>
  <c r="AD56" i="28"/>
  <c r="R70" i="40"/>
  <c r="G71" i="40"/>
  <c r="Q119" i="32"/>
  <c r="J120" i="32"/>
  <c r="H120" i="32"/>
  <c r="F121" i="32" s="1"/>
  <c r="AF121" i="32" s="1"/>
  <c r="Z120" i="32"/>
  <c r="N120" i="32"/>
  <c r="AG120" i="32" s="1"/>
  <c r="M120" i="32"/>
  <c r="AC120" i="32"/>
  <c r="AF120" i="32"/>
  <c r="Y119" i="32"/>
  <c r="AA119" i="32" s="1"/>
  <c r="L120" i="32"/>
  <c r="AD119" i="32"/>
  <c r="AB119" i="32" s="1"/>
  <c r="P119" i="32"/>
  <c r="W117" i="32" s="1"/>
  <c r="I55" i="39"/>
  <c r="AC55" i="39" s="1"/>
  <c r="H79" i="37"/>
  <c r="F80" i="37" s="1"/>
  <c r="L80" i="37" s="1"/>
  <c r="P79" i="37"/>
  <c r="W77" i="37" s="1"/>
  <c r="F80" i="33"/>
  <c r="P80" i="33" s="1"/>
  <c r="W78" i="33" s="1"/>
  <c r="D203" i="28"/>
  <c r="D571" i="7" s="1"/>
  <c r="B204" i="28"/>
  <c r="C203" i="28"/>
  <c r="P88" i="30"/>
  <c r="W86" i="30" s="1"/>
  <c r="F89" i="30"/>
  <c r="N89" i="30" s="1"/>
  <c r="J89" i="30" s="1"/>
  <c r="O55" i="39"/>
  <c r="P55" i="39"/>
  <c r="C198" i="33"/>
  <c r="D198" i="33"/>
  <c r="B199" i="33"/>
  <c r="D186" i="46"/>
  <c r="T186" i="46"/>
  <c r="AA186" i="46" s="1"/>
  <c r="E186" i="46"/>
  <c r="B187" i="46"/>
  <c r="W75" i="46"/>
  <c r="Y75" i="46"/>
  <c r="X75" i="46"/>
  <c r="Z75" i="46"/>
  <c r="B198" i="32"/>
  <c r="D197" i="32"/>
  <c r="C197" i="32"/>
  <c r="D203" i="30"/>
  <c r="B204" i="30"/>
  <c r="K196" i="40"/>
  <c r="B198" i="37"/>
  <c r="D197" i="37"/>
  <c r="D197" i="40"/>
  <c r="C198" i="40"/>
  <c r="E197" i="40"/>
  <c r="Z197" i="40" s="1"/>
  <c r="B219" i="39"/>
  <c r="E218" i="39"/>
  <c r="R218" i="39" s="1"/>
  <c r="C572" i="7"/>
  <c r="B573" i="7"/>
  <c r="C188" i="13"/>
  <c r="K181" i="12"/>
  <c r="C183" i="46"/>
  <c r="C188" i="39"/>
  <c r="C243" i="7"/>
  <c r="H51" i="13" l="1"/>
  <c r="H106" i="7" s="1"/>
  <c r="AC51" i="13"/>
  <c r="E42" i="10"/>
  <c r="Z51" i="13"/>
  <c r="U51" i="13"/>
  <c r="J76" i="46"/>
  <c r="L76" i="46"/>
  <c r="K76" i="46"/>
  <c r="I76" i="46"/>
  <c r="P75" i="46"/>
  <c r="H76" i="46"/>
  <c r="I55" i="13"/>
  <c r="I110" i="7" s="1"/>
  <c r="E246" i="7"/>
  <c r="O246" i="7"/>
  <c r="B247" i="7"/>
  <c r="E192" i="13"/>
  <c r="P192" i="13"/>
  <c r="B193" i="13"/>
  <c r="I56" i="28"/>
  <c r="I424" i="7" s="1"/>
  <c r="K424" i="7"/>
  <c r="X54" i="28"/>
  <c r="N424" i="7"/>
  <c r="AH56" i="28"/>
  <c r="AE56" i="28"/>
  <c r="AC56" i="28" s="1"/>
  <c r="Z56" i="28"/>
  <c r="AB56" i="28" s="1"/>
  <c r="AH71" i="40"/>
  <c r="AA71" i="40"/>
  <c r="AB71" i="40" s="1"/>
  <c r="AD71" i="40"/>
  <c r="L71" i="40"/>
  <c r="AG71" i="40"/>
  <c r="M71" i="40"/>
  <c r="N71" i="40"/>
  <c r="I120" i="32"/>
  <c r="AD120" i="32"/>
  <c r="AB120" i="32" s="1"/>
  <c r="P120" i="32"/>
  <c r="W118" i="32" s="1"/>
  <c r="AC121" i="32"/>
  <c r="I121" i="32" s="1"/>
  <c r="L121" i="32"/>
  <c r="N121" i="32"/>
  <c r="AG121" i="32" s="1"/>
  <c r="AE121" i="32" s="1"/>
  <c r="H121" i="32"/>
  <c r="Q121" i="32" s="1"/>
  <c r="Q120" i="32"/>
  <c r="M121" i="32"/>
  <c r="Z121" i="32"/>
  <c r="J121" i="32"/>
  <c r="Y120" i="32"/>
  <c r="AA120" i="32" s="1"/>
  <c r="AE120" i="32"/>
  <c r="K121" i="32"/>
  <c r="I80" i="37"/>
  <c r="K80" i="37"/>
  <c r="J80" i="37"/>
  <c r="M80" i="37"/>
  <c r="Q79" i="37"/>
  <c r="I80" i="33"/>
  <c r="K80" i="33"/>
  <c r="N80" i="33"/>
  <c r="J80" i="33" s="1"/>
  <c r="L80" i="33"/>
  <c r="M80" i="33"/>
  <c r="B205" i="28"/>
  <c r="D204" i="28"/>
  <c r="D572" i="7" s="1"/>
  <c r="C204" i="28"/>
  <c r="L89" i="30"/>
  <c r="M89" i="30"/>
  <c r="K89" i="30"/>
  <c r="I89" i="30"/>
  <c r="H89" i="30" s="1"/>
  <c r="V75" i="46"/>
  <c r="Z56" i="39"/>
  <c r="F56" i="39"/>
  <c r="T187" i="46"/>
  <c r="AA187" i="46" s="1"/>
  <c r="E187" i="46"/>
  <c r="B188" i="46"/>
  <c r="D187" i="46"/>
  <c r="C57" i="36"/>
  <c r="E56" i="36"/>
  <c r="B200" i="33"/>
  <c r="C199" i="33"/>
  <c r="D199" i="33"/>
  <c r="D204" i="30"/>
  <c r="C204" i="30"/>
  <c r="B205" i="30"/>
  <c r="D198" i="32"/>
  <c r="C198" i="32"/>
  <c r="B199" i="32"/>
  <c r="K197" i="40"/>
  <c r="B220" i="39"/>
  <c r="E219" i="39"/>
  <c r="R219" i="39" s="1"/>
  <c r="D198" i="40"/>
  <c r="C199" i="40"/>
  <c r="E198" i="40"/>
  <c r="Z198" i="40" s="1"/>
  <c r="D198" i="37"/>
  <c r="C198" i="37"/>
  <c r="B199" i="37"/>
  <c r="C573" i="7"/>
  <c r="B574" i="7"/>
  <c r="C189" i="13"/>
  <c r="K182" i="12"/>
  <c r="C244" i="7"/>
  <c r="C184" i="46"/>
  <c r="C189" i="39"/>
  <c r="AA51" i="13" l="1"/>
  <c r="J51" i="13"/>
  <c r="G51" i="13" s="1"/>
  <c r="G106" i="7" s="1"/>
  <c r="X51" i="13"/>
  <c r="W51" i="13"/>
  <c r="G76" i="46"/>
  <c r="Q76" i="46" s="1"/>
  <c r="F77" i="46" s="1"/>
  <c r="I77" i="46" s="1"/>
  <c r="U76" i="46"/>
  <c r="Y76" i="46" s="1"/>
  <c r="E247" i="7"/>
  <c r="O247" i="7"/>
  <c r="B248" i="7"/>
  <c r="B194" i="13"/>
  <c r="E193" i="13"/>
  <c r="AF56" i="28"/>
  <c r="J56" i="28"/>
  <c r="X69" i="40"/>
  <c r="Q71" i="40"/>
  <c r="AC71" i="40"/>
  <c r="I71" i="40" s="1"/>
  <c r="J71" i="40"/>
  <c r="AF71" i="40"/>
  <c r="P121" i="32"/>
  <c r="W119" i="32" s="1"/>
  <c r="AD121" i="32"/>
  <c r="AB121" i="32" s="1"/>
  <c r="Y121" i="32"/>
  <c r="AA121" i="32" s="1"/>
  <c r="F122" i="32"/>
  <c r="AC122" i="32" s="1"/>
  <c r="H80" i="37"/>
  <c r="F81" i="37" s="1"/>
  <c r="L81" i="37" s="1"/>
  <c r="P80" i="37"/>
  <c r="W78" i="37" s="1"/>
  <c r="H80" i="33"/>
  <c r="Q80" i="33" s="1"/>
  <c r="D205" i="28"/>
  <c r="D573" i="7" s="1"/>
  <c r="C205" i="28"/>
  <c r="B206" i="28"/>
  <c r="Q89" i="30"/>
  <c r="F90" i="30"/>
  <c r="L90" i="30" s="1"/>
  <c r="P89" i="30"/>
  <c r="W87" i="30" s="1"/>
  <c r="AB75" i="46"/>
  <c r="D188" i="46"/>
  <c r="T188" i="46"/>
  <c r="AA188" i="46" s="1"/>
  <c r="E188" i="46"/>
  <c r="B189" i="46"/>
  <c r="D200" i="33"/>
  <c r="B201" i="33"/>
  <c r="C200" i="33"/>
  <c r="J56" i="39"/>
  <c r="L56" i="39"/>
  <c r="K56" i="39"/>
  <c r="Y56" i="39"/>
  <c r="X56" i="39" s="1"/>
  <c r="S56" i="39"/>
  <c r="T56" i="39" s="1"/>
  <c r="Q56" i="39"/>
  <c r="V56" i="39"/>
  <c r="C199" i="32"/>
  <c r="B200" i="32"/>
  <c r="D199" i="32"/>
  <c r="C205" i="30"/>
  <c r="D205" i="30"/>
  <c r="B206" i="30"/>
  <c r="K198" i="40"/>
  <c r="C199" i="37"/>
  <c r="B200" i="37"/>
  <c r="D199" i="37"/>
  <c r="B221" i="39"/>
  <c r="E220" i="39"/>
  <c r="R220" i="39" s="1"/>
  <c r="C200" i="40"/>
  <c r="E199" i="40"/>
  <c r="Z199" i="40" s="1"/>
  <c r="D199" i="40"/>
  <c r="C574" i="7"/>
  <c r="B575" i="7"/>
  <c r="C190" i="13"/>
  <c r="K183" i="12"/>
  <c r="C245" i="7"/>
  <c r="C185" i="46"/>
  <c r="C190" i="39"/>
  <c r="F52" i="13" l="1"/>
  <c r="S51" i="13"/>
  <c r="P106" i="7"/>
  <c r="Q106" i="7"/>
  <c r="R51" i="13"/>
  <c r="V52" i="13"/>
  <c r="F107" i="7"/>
  <c r="R107" i="7" s="1"/>
  <c r="L77" i="46"/>
  <c r="J77" i="46"/>
  <c r="A77" i="46"/>
  <c r="M77" i="46" s="1"/>
  <c r="P76" i="46"/>
  <c r="H77" i="46"/>
  <c r="K77" i="46"/>
  <c r="X76" i="46"/>
  <c r="W76" i="46"/>
  <c r="Z76" i="46"/>
  <c r="E248" i="7"/>
  <c r="O248" i="7"/>
  <c r="B249" i="7"/>
  <c r="E194" i="13"/>
  <c r="B195" i="13"/>
  <c r="J424" i="7"/>
  <c r="H56" i="28"/>
  <c r="R71" i="40"/>
  <c r="G72" i="40"/>
  <c r="Z122" i="32"/>
  <c r="AF122" i="32"/>
  <c r="I122" i="32" s="1"/>
  <c r="J122" i="32"/>
  <c r="N122" i="32"/>
  <c r="Y122" i="32" s="1"/>
  <c r="L122" i="32"/>
  <c r="M122" i="32"/>
  <c r="K122" i="32"/>
  <c r="H122" i="32"/>
  <c r="F123" i="32" s="1"/>
  <c r="J123" i="32" s="1"/>
  <c r="K81" i="37"/>
  <c r="I81" i="37"/>
  <c r="M81" i="37"/>
  <c r="Q80" i="37"/>
  <c r="J81" i="37"/>
  <c r="F81" i="33"/>
  <c r="L81" i="33" s="1"/>
  <c r="D206" i="28"/>
  <c r="D574" i="7" s="1"/>
  <c r="C206" i="28"/>
  <c r="B207" i="28"/>
  <c r="M90" i="30"/>
  <c r="K90" i="30"/>
  <c r="I90" i="30"/>
  <c r="N90" i="30"/>
  <c r="J90" i="30" s="1"/>
  <c r="T189" i="46"/>
  <c r="AA189" i="46" s="1"/>
  <c r="E189" i="46"/>
  <c r="B190" i="46"/>
  <c r="D189" i="46"/>
  <c r="H56" i="39"/>
  <c r="U56" i="39"/>
  <c r="G56" i="39" s="1"/>
  <c r="D57" i="36" s="1"/>
  <c r="C201" i="33"/>
  <c r="B202" i="33"/>
  <c r="D201" i="33"/>
  <c r="C206" i="30"/>
  <c r="D206" i="30"/>
  <c r="B207" i="30"/>
  <c r="C200" i="32"/>
  <c r="B201" i="32"/>
  <c r="D200" i="32"/>
  <c r="E200" i="40"/>
  <c r="Z200" i="40" s="1"/>
  <c r="D200" i="40"/>
  <c r="C201" i="40"/>
  <c r="K199" i="40"/>
  <c r="C200" i="37"/>
  <c r="B201" i="37"/>
  <c r="D200" i="37"/>
  <c r="B222" i="39"/>
  <c r="E221" i="39"/>
  <c r="R221" i="39" s="1"/>
  <c r="C575" i="7"/>
  <c r="B576" i="7"/>
  <c r="C191" i="13"/>
  <c r="K184" i="12"/>
  <c r="C246" i="7"/>
  <c r="C186" i="46"/>
  <c r="C191" i="39"/>
  <c r="L52" i="13" l="1"/>
  <c r="K107" i="7" s="1"/>
  <c r="M52" i="13"/>
  <c r="L107" i="7" s="1"/>
  <c r="AB52" i="13"/>
  <c r="H52" i="13" s="1"/>
  <c r="H107" i="7" s="1"/>
  <c r="Y52" i="13"/>
  <c r="K52" i="13"/>
  <c r="J107" i="7" s="1"/>
  <c r="N52" i="13"/>
  <c r="E43" i="10"/>
  <c r="U52" i="13"/>
  <c r="Z52" i="13"/>
  <c r="M107" i="7"/>
  <c r="G77" i="46"/>
  <c r="Q77" i="46" s="1"/>
  <c r="F78" i="46" s="1"/>
  <c r="I78" i="46" s="1"/>
  <c r="V76" i="46"/>
  <c r="AB76" i="46" s="1"/>
  <c r="E249" i="7"/>
  <c r="O249" i="7"/>
  <c r="B250" i="7"/>
  <c r="E195" i="13"/>
  <c r="B196" i="13"/>
  <c r="Q56" i="28"/>
  <c r="Q424" i="7" s="1"/>
  <c r="H424" i="7"/>
  <c r="F57" i="28"/>
  <c r="R56" i="28"/>
  <c r="R424" i="7" s="1"/>
  <c r="P81" i="37"/>
  <c r="W79" i="37" s="1"/>
  <c r="M72" i="40"/>
  <c r="N72" i="40"/>
  <c r="AG72" i="40"/>
  <c r="AD72" i="40"/>
  <c r="AA72" i="40"/>
  <c r="AB72" i="40" s="1"/>
  <c r="AH72" i="40"/>
  <c r="L72" i="40"/>
  <c r="AA122" i="32"/>
  <c r="P122" i="32"/>
  <c r="W120" i="32" s="1"/>
  <c r="AG122" i="32"/>
  <c r="AE122" i="32" s="1"/>
  <c r="AD122" i="32"/>
  <c r="AB122" i="32" s="1"/>
  <c r="H123" i="32"/>
  <c r="F124" i="32" s="1"/>
  <c r="H124" i="32" s="1"/>
  <c r="AF123" i="32"/>
  <c r="K123" i="32"/>
  <c r="M123" i="32"/>
  <c r="N123" i="32"/>
  <c r="Y123" i="32" s="1"/>
  <c r="Q122" i="32"/>
  <c r="AC123" i="32"/>
  <c r="L123" i="32"/>
  <c r="Z123" i="32"/>
  <c r="I56" i="39"/>
  <c r="AC56" i="39" s="1"/>
  <c r="H81" i="37"/>
  <c r="Q81" i="37" s="1"/>
  <c r="N81" i="33"/>
  <c r="J81" i="33" s="1"/>
  <c r="M81" i="33"/>
  <c r="K81" i="33"/>
  <c r="P81" i="33"/>
  <c r="W79" i="33" s="1"/>
  <c r="I81" i="33"/>
  <c r="B208" i="28"/>
  <c r="D207" i="28"/>
  <c r="D575" i="7" s="1"/>
  <c r="C207" i="28"/>
  <c r="H90" i="30"/>
  <c r="F91" i="30" s="1"/>
  <c r="K91" i="30" s="1"/>
  <c r="O56" i="39"/>
  <c r="P56" i="39"/>
  <c r="D190" i="46"/>
  <c r="E190" i="46"/>
  <c r="B191" i="46"/>
  <c r="T190" i="46"/>
  <c r="AA190" i="46" s="1"/>
  <c r="B203" i="33"/>
  <c r="C202" i="33"/>
  <c r="D202" i="33"/>
  <c r="C201" i="32"/>
  <c r="B202" i="32"/>
  <c r="D201" i="32"/>
  <c r="B208" i="30"/>
  <c r="C207" i="30"/>
  <c r="D207" i="30"/>
  <c r="K200" i="40"/>
  <c r="B223" i="39"/>
  <c r="E222" i="39"/>
  <c r="R222" i="39" s="1"/>
  <c r="B202" i="37"/>
  <c r="D201" i="37"/>
  <c r="C201" i="37"/>
  <c r="D201" i="40"/>
  <c r="C202" i="40"/>
  <c r="E201" i="40"/>
  <c r="Z201" i="40" s="1"/>
  <c r="C576" i="7"/>
  <c r="B577" i="7"/>
  <c r="K185" i="12"/>
  <c r="C192" i="13"/>
  <c r="C247" i="7"/>
  <c r="C192" i="39"/>
  <c r="C187" i="46"/>
  <c r="AC52" i="13" l="1"/>
  <c r="J52" i="13" s="1"/>
  <c r="AA52" i="13"/>
  <c r="W52" i="13"/>
  <c r="X52" i="13"/>
  <c r="G52" i="13"/>
  <c r="P77" i="46"/>
  <c r="H78" i="46"/>
  <c r="K78" i="46"/>
  <c r="J78" i="46"/>
  <c r="A78" i="46"/>
  <c r="M78" i="46" s="1"/>
  <c r="L78" i="46"/>
  <c r="U77" i="46"/>
  <c r="X77" i="46" s="1"/>
  <c r="I56" i="13"/>
  <c r="I111" i="7" s="1"/>
  <c r="O250" i="7"/>
  <c r="E250" i="7"/>
  <c r="B251" i="7"/>
  <c r="B197" i="13"/>
  <c r="E196" i="13"/>
  <c r="AA57" i="28"/>
  <c r="L57" i="28"/>
  <c r="L425" i="7" s="1"/>
  <c r="K57" i="28"/>
  <c r="AG57" i="28"/>
  <c r="AD57" i="28"/>
  <c r="N57" i="28"/>
  <c r="F425" i="7"/>
  <c r="S425" i="7" s="1"/>
  <c r="M57" i="28"/>
  <c r="M425" i="7" s="1"/>
  <c r="AF72" i="40"/>
  <c r="X70" i="40"/>
  <c r="Q72" i="40"/>
  <c r="AC72" i="40"/>
  <c r="I72" i="40" s="1"/>
  <c r="J72" i="40"/>
  <c r="I123" i="32"/>
  <c r="P123" i="32"/>
  <c r="W121" i="32" s="1"/>
  <c r="J124" i="32"/>
  <c r="L124" i="32"/>
  <c r="N124" i="32"/>
  <c r="AD124" i="32" s="1"/>
  <c r="Z124" i="32"/>
  <c r="AF124" i="32"/>
  <c r="AC124" i="32"/>
  <c r="K124" i="32"/>
  <c r="Q123" i="32"/>
  <c r="M124" i="32"/>
  <c r="AG123" i="32"/>
  <c r="AE123" i="32" s="1"/>
  <c r="AD123" i="32"/>
  <c r="AB123" i="32" s="1"/>
  <c r="AA123" i="32"/>
  <c r="Q124" i="32"/>
  <c r="F125" i="32"/>
  <c r="F82" i="37"/>
  <c r="J82" i="37" s="1"/>
  <c r="H81" i="33"/>
  <c r="F82" i="33" s="1"/>
  <c r="B209" i="28"/>
  <c r="C208" i="28"/>
  <c r="D208" i="28"/>
  <c r="D576" i="7" s="1"/>
  <c r="P90" i="30"/>
  <c r="W88" i="30" s="1"/>
  <c r="Q90" i="30"/>
  <c r="N91" i="30"/>
  <c r="J91" i="30" s="1"/>
  <c r="L91" i="30"/>
  <c r="M91" i="30"/>
  <c r="I91" i="30"/>
  <c r="B204" i="33"/>
  <c r="C203" i="33"/>
  <c r="D203" i="33"/>
  <c r="D191" i="46"/>
  <c r="E191" i="46"/>
  <c r="B192" i="46"/>
  <c r="T191" i="46"/>
  <c r="AA191" i="46" s="1"/>
  <c r="F57" i="39"/>
  <c r="Z57" i="39"/>
  <c r="E57" i="36"/>
  <c r="C58" i="36"/>
  <c r="B203" i="32"/>
  <c r="C202" i="32"/>
  <c r="D202" i="32"/>
  <c r="C208" i="30"/>
  <c r="B209" i="30"/>
  <c r="D208" i="30"/>
  <c r="K201" i="40"/>
  <c r="D202" i="40"/>
  <c r="E202" i="40"/>
  <c r="Z202" i="40" s="1"/>
  <c r="C203" i="40"/>
  <c r="B203" i="37"/>
  <c r="C202" i="37"/>
  <c r="D202" i="37"/>
  <c r="B224" i="39"/>
  <c r="E223" i="39"/>
  <c r="R223" i="39" s="1"/>
  <c r="C577" i="7"/>
  <c r="B578" i="7"/>
  <c r="C193" i="13"/>
  <c r="K186" i="12"/>
  <c r="C248" i="7"/>
  <c r="C188" i="46"/>
  <c r="C193" i="39"/>
  <c r="G107" i="7" l="1"/>
  <c r="S52" i="13"/>
  <c r="F53" i="13"/>
  <c r="F108" i="7" s="1"/>
  <c r="R108" i="7" s="1"/>
  <c r="R52" i="13"/>
  <c r="Y53" i="13"/>
  <c r="G78" i="46"/>
  <c r="Q78" i="46" s="1"/>
  <c r="F79" i="46" s="1"/>
  <c r="J79" i="46" s="1"/>
  <c r="Y77" i="46"/>
  <c r="Z77" i="46"/>
  <c r="W77" i="46"/>
  <c r="V77" i="46" s="1"/>
  <c r="U78" i="46" s="1"/>
  <c r="O251" i="7"/>
  <c r="E251" i="7"/>
  <c r="B252" i="7"/>
  <c r="B198" i="13"/>
  <c r="E197" i="13"/>
  <c r="I57" i="28"/>
  <c r="I425" i="7" s="1"/>
  <c r="AH57" i="28"/>
  <c r="N425" i="7"/>
  <c r="Z57" i="28"/>
  <c r="AB57" i="28" s="1"/>
  <c r="AE57" i="28"/>
  <c r="AC57" i="28" s="1"/>
  <c r="I124" i="32"/>
  <c r="K425" i="7"/>
  <c r="X55" i="28"/>
  <c r="R72" i="40"/>
  <c r="G73" i="40"/>
  <c r="P124" i="32"/>
  <c r="W122" i="32" s="1"/>
  <c r="AG124" i="32"/>
  <c r="AE124" i="32" s="1"/>
  <c r="Y124" i="32"/>
  <c r="AA124" i="32" s="1"/>
  <c r="AB124" i="32"/>
  <c r="AF125" i="32"/>
  <c r="H125" i="32"/>
  <c r="J125" i="32"/>
  <c r="N125" i="32"/>
  <c r="AC125" i="32"/>
  <c r="K125" i="32"/>
  <c r="M125" i="32"/>
  <c r="L125" i="32"/>
  <c r="Z125" i="32"/>
  <c r="K82" i="37"/>
  <c r="L82" i="37"/>
  <c r="I82" i="37"/>
  <c r="H82" i="37" s="1"/>
  <c r="F83" i="37" s="1"/>
  <c r="M82" i="37"/>
  <c r="Q81" i="33"/>
  <c r="M82" i="33"/>
  <c r="K82" i="33"/>
  <c r="I82" i="33"/>
  <c r="L82" i="33"/>
  <c r="N82" i="33"/>
  <c r="J82" i="33" s="1"/>
  <c r="P82" i="33"/>
  <c r="W80" i="33" s="1"/>
  <c r="D209" i="28"/>
  <c r="D577" i="7" s="1"/>
  <c r="C209" i="28"/>
  <c r="B210" i="28"/>
  <c r="H91" i="30"/>
  <c r="T192" i="46"/>
  <c r="AA192" i="46" s="1"/>
  <c r="D192" i="46"/>
  <c r="B193" i="46"/>
  <c r="E192" i="46"/>
  <c r="L57" i="39"/>
  <c r="Q57" i="39"/>
  <c r="V57" i="39"/>
  <c r="K57" i="39"/>
  <c r="J57" i="39"/>
  <c r="Y57" i="39"/>
  <c r="X57" i="39" s="1"/>
  <c r="S57" i="39"/>
  <c r="T57" i="39" s="1"/>
  <c r="B205" i="33"/>
  <c r="D204" i="33"/>
  <c r="C204" i="33"/>
  <c r="B204" i="32"/>
  <c r="D203" i="32"/>
  <c r="C203" i="32"/>
  <c r="C209" i="30"/>
  <c r="D209" i="30"/>
  <c r="B210" i="30"/>
  <c r="K202" i="40"/>
  <c r="C203" i="37"/>
  <c r="D203" i="37"/>
  <c r="B204" i="37"/>
  <c r="C204" i="40"/>
  <c r="D203" i="40"/>
  <c r="E203" i="40"/>
  <c r="Z203" i="40" s="1"/>
  <c r="B225" i="39"/>
  <c r="E224" i="39"/>
  <c r="R224" i="39" s="1"/>
  <c r="C578" i="7"/>
  <c r="B579" i="7"/>
  <c r="K187" i="12"/>
  <c r="C194" i="13"/>
  <c r="C249" i="7"/>
  <c r="C189" i="46"/>
  <c r="C194" i="39"/>
  <c r="P107" i="7" l="1"/>
  <c r="K53" i="13"/>
  <c r="J108" i="7" s="1"/>
  <c r="Q107" i="7"/>
  <c r="AB53" i="13"/>
  <c r="L53" i="13"/>
  <c r="K108" i="7" s="1"/>
  <c r="M53" i="13"/>
  <c r="L108" i="7" s="1"/>
  <c r="N53" i="13"/>
  <c r="M108" i="7" s="1"/>
  <c r="V53" i="13"/>
  <c r="H53" i="13"/>
  <c r="H108" i="7" s="1"/>
  <c r="A79" i="46"/>
  <c r="M79" i="46" s="1"/>
  <c r="P78" i="46"/>
  <c r="H79" i="46"/>
  <c r="K79" i="46"/>
  <c r="I79" i="46"/>
  <c r="L79" i="46"/>
  <c r="AB77" i="46"/>
  <c r="O252" i="7"/>
  <c r="E252" i="7"/>
  <c r="B253" i="7"/>
  <c r="B199" i="13"/>
  <c r="E198" i="13"/>
  <c r="AF57" i="28"/>
  <c r="J57" i="28"/>
  <c r="P82" i="37"/>
  <c r="W80" i="37" s="1"/>
  <c r="AD73" i="40"/>
  <c r="M73" i="40"/>
  <c r="AA73" i="40"/>
  <c r="AB73" i="40" s="1"/>
  <c r="N73" i="40"/>
  <c r="L73" i="40"/>
  <c r="AH73" i="40"/>
  <c r="AG73" i="40"/>
  <c r="I125" i="32"/>
  <c r="P125" i="32"/>
  <c r="W123" i="32" s="1"/>
  <c r="AG125" i="32"/>
  <c r="AE125" i="32" s="1"/>
  <c r="Y125" i="32"/>
  <c r="AA125" i="32" s="1"/>
  <c r="AD125" i="32"/>
  <c r="AB125" i="32" s="1"/>
  <c r="Q125" i="32"/>
  <c r="F126" i="32"/>
  <c r="Q82" i="37"/>
  <c r="K83" i="37"/>
  <c r="M83" i="37"/>
  <c r="L83" i="37"/>
  <c r="J83" i="37"/>
  <c r="I83" i="37"/>
  <c r="H82" i="33"/>
  <c r="Q82" i="33" s="1"/>
  <c r="C210" i="28"/>
  <c r="B211" i="28"/>
  <c r="D210" i="28"/>
  <c r="D578" i="7" s="1"/>
  <c r="P91" i="30"/>
  <c r="W89" i="30" s="1"/>
  <c r="F92" i="30"/>
  <c r="Q91" i="30"/>
  <c r="U57" i="39"/>
  <c r="G57" i="39" s="1"/>
  <c r="D58" i="36" s="1"/>
  <c r="H57" i="39"/>
  <c r="D193" i="46"/>
  <c r="E193" i="46"/>
  <c r="T193" i="46"/>
  <c r="AA193" i="46" s="1"/>
  <c r="B194" i="46"/>
  <c r="B206" i="33"/>
  <c r="C205" i="33"/>
  <c r="D205" i="33"/>
  <c r="W78" i="46"/>
  <c r="Y78" i="46"/>
  <c r="Z78" i="46"/>
  <c r="X78" i="46"/>
  <c r="B205" i="32"/>
  <c r="C204" i="32"/>
  <c r="D204" i="32"/>
  <c r="B211" i="30"/>
  <c r="C210" i="30"/>
  <c r="D210" i="30"/>
  <c r="D204" i="40"/>
  <c r="E204" i="40"/>
  <c r="Z204" i="40" s="1"/>
  <c r="C205" i="40"/>
  <c r="C204" i="37"/>
  <c r="B205" i="37"/>
  <c r="D204" i="37"/>
  <c r="B226" i="39"/>
  <c r="E225" i="39"/>
  <c r="R225" i="39" s="1"/>
  <c r="K203" i="40"/>
  <c r="B580" i="7"/>
  <c r="C579" i="7"/>
  <c r="C195" i="13"/>
  <c r="K188" i="12"/>
  <c r="C250" i="7"/>
  <c r="C190" i="46"/>
  <c r="C195" i="39"/>
  <c r="E44" i="10" l="1"/>
  <c r="Z53" i="13"/>
  <c r="U53" i="13"/>
  <c r="AC53" i="13"/>
  <c r="G79" i="46"/>
  <c r="Q79" i="46" s="1"/>
  <c r="F80" i="46" s="1"/>
  <c r="O253" i="7"/>
  <c r="E253" i="7"/>
  <c r="B254" i="7"/>
  <c r="E199" i="13"/>
  <c r="B200" i="13"/>
  <c r="H57" i="28"/>
  <c r="J425" i="7"/>
  <c r="AF73" i="40"/>
  <c r="Q73" i="40"/>
  <c r="X71" i="40"/>
  <c r="J73" i="40"/>
  <c r="AC73" i="40"/>
  <c r="I73" i="40" s="1"/>
  <c r="I57" i="39"/>
  <c r="AC57" i="39" s="1"/>
  <c r="L126" i="32"/>
  <c r="K126" i="32"/>
  <c r="AF126" i="32"/>
  <c r="AC126" i="32"/>
  <c r="N126" i="32"/>
  <c r="J126" i="32"/>
  <c r="M126" i="32"/>
  <c r="Z126" i="32"/>
  <c r="H126" i="32"/>
  <c r="H83" i="37"/>
  <c r="Q83" i="37" s="1"/>
  <c r="P83" i="37"/>
  <c r="W81" i="37" s="1"/>
  <c r="F83" i="33"/>
  <c r="D211" i="28"/>
  <c r="D579" i="7" s="1"/>
  <c r="B212" i="28"/>
  <c r="C211" i="28"/>
  <c r="N92" i="30"/>
  <c r="J92" i="30" s="1"/>
  <c r="I92" i="30"/>
  <c r="K92" i="30"/>
  <c r="L92" i="30"/>
  <c r="M92" i="30"/>
  <c r="V78" i="46"/>
  <c r="D206" i="33"/>
  <c r="B207" i="33"/>
  <c r="C206" i="33"/>
  <c r="B195" i="46"/>
  <c r="D194" i="46"/>
  <c r="E194" i="46"/>
  <c r="T194" i="46"/>
  <c r="AA194" i="46" s="1"/>
  <c r="O57" i="39"/>
  <c r="P57" i="39"/>
  <c r="B212" i="30"/>
  <c r="C211" i="30"/>
  <c r="D211" i="30"/>
  <c r="C205" i="32"/>
  <c r="B206" i="32"/>
  <c r="D205" i="32"/>
  <c r="K204" i="40"/>
  <c r="C205" i="37"/>
  <c r="B206" i="37"/>
  <c r="D205" i="37"/>
  <c r="C206" i="40"/>
  <c r="E205" i="40"/>
  <c r="Z205" i="40" s="1"/>
  <c r="D205" i="40"/>
  <c r="B227" i="39"/>
  <c r="E226" i="39"/>
  <c r="R226" i="39" s="1"/>
  <c r="B581" i="7"/>
  <c r="C580" i="7"/>
  <c r="K189" i="12"/>
  <c r="C196" i="13"/>
  <c r="C251" i="7"/>
  <c r="C196" i="39"/>
  <c r="C191" i="46"/>
  <c r="J53" i="13" l="1"/>
  <c r="X53" i="13"/>
  <c r="W53" i="13"/>
  <c r="AA53" i="13"/>
  <c r="G53" i="13"/>
  <c r="G108" i="7" s="1"/>
  <c r="A80" i="46"/>
  <c r="M80" i="46" s="1"/>
  <c r="P79" i="46"/>
  <c r="I80" i="46"/>
  <c r="J80" i="46"/>
  <c r="K80" i="46"/>
  <c r="L80" i="46"/>
  <c r="H80" i="46"/>
  <c r="I57" i="13"/>
  <c r="I112" i="7" s="1"/>
  <c r="O254" i="7"/>
  <c r="E254" i="7"/>
  <c r="B255" i="7"/>
  <c r="E200" i="13"/>
  <c r="B201" i="13"/>
  <c r="H425" i="7"/>
  <c r="F58" i="28"/>
  <c r="Q57" i="28"/>
  <c r="Q425" i="7" s="1"/>
  <c r="R57" i="28"/>
  <c r="R425" i="7" s="1"/>
  <c r="G74" i="40"/>
  <c r="R73" i="40"/>
  <c r="I126" i="32"/>
  <c r="P126" i="32"/>
  <c r="W124" i="32" s="1"/>
  <c r="AG126" i="32"/>
  <c r="AE126" i="32" s="1"/>
  <c r="Y126" i="32"/>
  <c r="AA126" i="32" s="1"/>
  <c r="AD126" i="32"/>
  <c r="AB126" i="32" s="1"/>
  <c r="Q126" i="32"/>
  <c r="F127" i="32"/>
  <c r="F84" i="37"/>
  <c r="K84" i="37" s="1"/>
  <c r="M83" i="33"/>
  <c r="N83" i="33"/>
  <c r="J83" i="33" s="1"/>
  <c r="L83" i="33"/>
  <c r="I83" i="33"/>
  <c r="K83" i="33"/>
  <c r="P83" i="33"/>
  <c r="W81" i="33" s="1"/>
  <c r="D212" i="28"/>
  <c r="D580" i="7" s="1"/>
  <c r="B213" i="28"/>
  <c r="C212" i="28"/>
  <c r="H92" i="30"/>
  <c r="P92" i="30" s="1"/>
  <c r="W90" i="30" s="1"/>
  <c r="E195" i="46"/>
  <c r="B196" i="46"/>
  <c r="T195" i="46"/>
  <c r="AA195" i="46" s="1"/>
  <c r="D195" i="46"/>
  <c r="F58" i="39"/>
  <c r="Z58" i="39"/>
  <c r="C59" i="36"/>
  <c r="E58" i="36"/>
  <c r="C207" i="33"/>
  <c r="B208" i="33"/>
  <c r="D207" i="33"/>
  <c r="AB78" i="46"/>
  <c r="U79" i="46"/>
  <c r="D206" i="32"/>
  <c r="C206" i="32"/>
  <c r="B207" i="32"/>
  <c r="B213" i="30"/>
  <c r="C212" i="30"/>
  <c r="D212" i="30"/>
  <c r="D206" i="37"/>
  <c r="B207" i="37"/>
  <c r="C206" i="37"/>
  <c r="K205" i="40"/>
  <c r="C207" i="40"/>
  <c r="D206" i="40"/>
  <c r="E206" i="40"/>
  <c r="Z206" i="40" s="1"/>
  <c r="B228" i="39"/>
  <c r="E227" i="39"/>
  <c r="R227" i="39" s="1"/>
  <c r="C581" i="7"/>
  <c r="B582" i="7"/>
  <c r="C197" i="13"/>
  <c r="K190" i="12"/>
  <c r="C252" i="7"/>
  <c r="C192" i="46"/>
  <c r="C197" i="39"/>
  <c r="R53" i="13" l="1"/>
  <c r="S53" i="13"/>
  <c r="Q108" i="7"/>
  <c r="F54" i="13"/>
  <c r="P108" i="7"/>
  <c r="G80" i="46"/>
  <c r="Q80" i="46" s="1"/>
  <c r="F81" i="46" s="1"/>
  <c r="L81" i="46" s="1"/>
  <c r="O255" i="7"/>
  <c r="E255" i="7"/>
  <c r="B256" i="7"/>
  <c r="B202" i="13"/>
  <c r="E201" i="13"/>
  <c r="AA58" i="28"/>
  <c r="L58" i="28"/>
  <c r="L426" i="7" s="1"/>
  <c r="N58" i="28"/>
  <c r="N426" i="7" s="1"/>
  <c r="M58" i="28"/>
  <c r="M426" i="7" s="1"/>
  <c r="F426" i="7"/>
  <c r="S426" i="7" s="1"/>
  <c r="K58" i="28"/>
  <c r="K426" i="7" s="1"/>
  <c r="AD58" i="28"/>
  <c r="AG58" i="28"/>
  <c r="N74" i="40"/>
  <c r="M74" i="40"/>
  <c r="AH74" i="40"/>
  <c r="AG74" i="40"/>
  <c r="L74" i="40"/>
  <c r="AD74" i="40"/>
  <c r="AA74" i="40"/>
  <c r="AB74" i="40" s="1"/>
  <c r="Z127" i="32"/>
  <c r="AC127" i="32"/>
  <c r="AF127" i="32"/>
  <c r="J127" i="32"/>
  <c r="N127" i="32"/>
  <c r="K127" i="32"/>
  <c r="M127" i="32"/>
  <c r="L127" i="32"/>
  <c r="H127" i="32"/>
  <c r="I84" i="37"/>
  <c r="M84" i="37"/>
  <c r="L84" i="37"/>
  <c r="J84" i="37"/>
  <c r="H83" i="33"/>
  <c r="Q83" i="33" s="1"/>
  <c r="B214" i="28"/>
  <c r="C213" i="28"/>
  <c r="D213" i="28"/>
  <c r="D581" i="7" s="1"/>
  <c r="F93" i="30"/>
  <c r="Q92" i="30"/>
  <c r="Z79" i="46"/>
  <c r="Y79" i="46"/>
  <c r="X79" i="46"/>
  <c r="W79" i="46"/>
  <c r="S58" i="39"/>
  <c r="T58" i="39" s="1"/>
  <c r="Y58" i="39"/>
  <c r="X58" i="39" s="1"/>
  <c r="K58" i="39"/>
  <c r="J58" i="39"/>
  <c r="L58" i="39"/>
  <c r="Q58" i="39"/>
  <c r="V58" i="39"/>
  <c r="C208" i="33"/>
  <c r="D208" i="33"/>
  <c r="B209" i="33"/>
  <c r="D196" i="46"/>
  <c r="T196" i="46"/>
  <c r="AA196" i="46" s="1"/>
  <c r="E196" i="46"/>
  <c r="B197" i="46"/>
  <c r="D213" i="30"/>
  <c r="B214" i="30"/>
  <c r="C213" i="30"/>
  <c r="D207" i="32"/>
  <c r="C207" i="32"/>
  <c r="B208" i="32"/>
  <c r="B229" i="39"/>
  <c r="E228" i="39"/>
  <c r="R228" i="39" s="1"/>
  <c r="K206" i="40"/>
  <c r="C207" i="37"/>
  <c r="D207" i="37"/>
  <c r="B208" i="37"/>
  <c r="E207" i="40"/>
  <c r="Z207" i="40" s="1"/>
  <c r="D207" i="40"/>
  <c r="C208" i="40"/>
  <c r="C582" i="7"/>
  <c r="B583" i="7"/>
  <c r="K191" i="12"/>
  <c r="C198" i="13"/>
  <c r="C253" i="7"/>
  <c r="C193" i="46"/>
  <c r="C198" i="39"/>
  <c r="K54" i="13" l="1"/>
  <c r="J109" i="7" s="1"/>
  <c r="N54" i="13"/>
  <c r="M109" i="7" s="1"/>
  <c r="F109" i="7"/>
  <c r="R109" i="7" s="1"/>
  <c r="M54" i="13"/>
  <c r="L109" i="7" s="1"/>
  <c r="Y54" i="13"/>
  <c r="V54" i="13"/>
  <c r="L54" i="13"/>
  <c r="K109" i="7" s="1"/>
  <c r="AB54" i="13"/>
  <c r="H54" i="13" s="1"/>
  <c r="H109" i="7" s="1"/>
  <c r="A81" i="46"/>
  <c r="M81" i="46" s="1"/>
  <c r="P80" i="46"/>
  <c r="J81" i="46"/>
  <c r="H81" i="46"/>
  <c r="K81" i="46"/>
  <c r="I81" i="46"/>
  <c r="O256" i="7"/>
  <c r="E256" i="7"/>
  <c r="B257" i="7"/>
  <c r="B203" i="13"/>
  <c r="E202" i="13"/>
  <c r="I58" i="28"/>
  <c r="I426" i="7" s="1"/>
  <c r="Z58" i="28"/>
  <c r="AB58" i="28" s="1"/>
  <c r="AH58" i="28"/>
  <c r="AF58" i="28" s="1"/>
  <c r="AE58" i="28"/>
  <c r="AC58" i="28" s="1"/>
  <c r="X56" i="28"/>
  <c r="P84" i="37"/>
  <c r="W82" i="37" s="1"/>
  <c r="AF74" i="40"/>
  <c r="AC74" i="40"/>
  <c r="I74" i="40" s="1"/>
  <c r="J74" i="40"/>
  <c r="Q74" i="40"/>
  <c r="X72" i="40"/>
  <c r="I127" i="32"/>
  <c r="P127" i="32"/>
  <c r="W125" i="32" s="1"/>
  <c r="AG127" i="32"/>
  <c r="AE127" i="32" s="1"/>
  <c r="AD127" i="32"/>
  <c r="AB127" i="32" s="1"/>
  <c r="Y127" i="32"/>
  <c r="AA127" i="32" s="1"/>
  <c r="Q127" i="32"/>
  <c r="F128" i="32"/>
  <c r="H84" i="37"/>
  <c r="F85" i="37" s="1"/>
  <c r="F84" i="33"/>
  <c r="P84" i="33" s="1"/>
  <c r="W82" i="33" s="1"/>
  <c r="D214" i="28"/>
  <c r="D582" i="7" s="1"/>
  <c r="B215" i="28"/>
  <c r="C214" i="28"/>
  <c r="N93" i="30"/>
  <c r="J93" i="30" s="1"/>
  <c r="M93" i="30"/>
  <c r="L93" i="30"/>
  <c r="K93" i="30"/>
  <c r="I93" i="30"/>
  <c r="V79" i="46"/>
  <c r="B210" i="33"/>
  <c r="C209" i="33"/>
  <c r="D209" i="33"/>
  <c r="E197" i="46"/>
  <c r="B198" i="46"/>
  <c r="T197" i="46"/>
  <c r="AA197" i="46" s="1"/>
  <c r="D197" i="46"/>
  <c r="U58" i="39"/>
  <c r="G58" i="39" s="1"/>
  <c r="D59" i="36" s="1"/>
  <c r="H58" i="39"/>
  <c r="C208" i="32"/>
  <c r="B209" i="32"/>
  <c r="D208" i="32"/>
  <c r="B215" i="30"/>
  <c r="D214" i="30"/>
  <c r="C214" i="30"/>
  <c r="K207" i="40"/>
  <c r="D208" i="37"/>
  <c r="B209" i="37"/>
  <c r="C208" i="37"/>
  <c r="D208" i="40"/>
  <c r="E208" i="40"/>
  <c r="Z208" i="40" s="1"/>
  <c r="C209" i="40"/>
  <c r="B230" i="39"/>
  <c r="E229" i="39"/>
  <c r="R229" i="39" s="1"/>
  <c r="B584" i="7"/>
  <c r="C583" i="7"/>
  <c r="C199" i="13"/>
  <c r="K192" i="12"/>
  <c r="C254" i="7"/>
  <c r="C194" i="46"/>
  <c r="C199" i="39"/>
  <c r="Z54" i="13" l="1"/>
  <c r="U54" i="13"/>
  <c r="AC54" i="13"/>
  <c r="J54" i="13" s="1"/>
  <c r="E45" i="10"/>
  <c r="G81" i="46"/>
  <c r="Q81" i="46" s="1"/>
  <c r="F82" i="46" s="1"/>
  <c r="A82" i="46" s="1"/>
  <c r="M82" i="46" s="1"/>
  <c r="AB79" i="46"/>
  <c r="O257" i="7"/>
  <c r="E257" i="7"/>
  <c r="B258" i="7"/>
  <c r="E203" i="13"/>
  <c r="B204" i="13"/>
  <c r="J58" i="28"/>
  <c r="H58" i="28" s="1"/>
  <c r="R74" i="40"/>
  <c r="G75" i="40"/>
  <c r="I58" i="39"/>
  <c r="AC58" i="39" s="1"/>
  <c r="M128" i="32"/>
  <c r="L128" i="32"/>
  <c r="Z128" i="32"/>
  <c r="K128" i="32"/>
  <c r="N128" i="32"/>
  <c r="H128" i="32"/>
  <c r="J128" i="32"/>
  <c r="AC128" i="32"/>
  <c r="AF128" i="32"/>
  <c r="Q84" i="37"/>
  <c r="K85" i="37"/>
  <c r="L85" i="37"/>
  <c r="I85" i="37"/>
  <c r="M85" i="37"/>
  <c r="J85" i="37"/>
  <c r="K84" i="33"/>
  <c r="I84" i="33"/>
  <c r="L84" i="33"/>
  <c r="N84" i="33"/>
  <c r="J84" i="33" s="1"/>
  <c r="M84" i="33"/>
  <c r="C215" i="28"/>
  <c r="B216" i="28"/>
  <c r="D215" i="28"/>
  <c r="D583" i="7" s="1"/>
  <c r="H93" i="30"/>
  <c r="U80" i="46"/>
  <c r="W80" i="46" s="1"/>
  <c r="O58" i="39"/>
  <c r="P58" i="39"/>
  <c r="B211" i="33"/>
  <c r="C210" i="33"/>
  <c r="D210" i="33"/>
  <c r="T198" i="46"/>
  <c r="AA198" i="46" s="1"/>
  <c r="E198" i="46"/>
  <c r="B199" i="46"/>
  <c r="D198" i="46"/>
  <c r="D215" i="30"/>
  <c r="C215" i="30"/>
  <c r="B216" i="30"/>
  <c r="C209" i="32"/>
  <c r="D209" i="32"/>
  <c r="B210" i="32"/>
  <c r="B231" i="39"/>
  <c r="E230" i="39"/>
  <c r="R230" i="39" s="1"/>
  <c r="K208" i="40"/>
  <c r="C209" i="37"/>
  <c r="B210" i="37"/>
  <c r="D209" i="37"/>
  <c r="C210" i="40"/>
  <c r="E209" i="40"/>
  <c r="Z209" i="40" s="1"/>
  <c r="D209" i="40"/>
  <c r="C584" i="7"/>
  <c r="B585" i="7"/>
  <c r="K193" i="12"/>
  <c r="C200" i="13"/>
  <c r="C255" i="7"/>
  <c r="C200" i="39"/>
  <c r="C195" i="46"/>
  <c r="W54" i="13" l="1"/>
  <c r="X54" i="13"/>
  <c r="AA54" i="13"/>
  <c r="G54" i="13" s="1"/>
  <c r="H82" i="46"/>
  <c r="J82" i="46"/>
  <c r="I82" i="46"/>
  <c r="K82" i="46"/>
  <c r="L82" i="46"/>
  <c r="P81" i="46"/>
  <c r="I58" i="13"/>
  <c r="I113" i="7" s="1"/>
  <c r="E258" i="7"/>
  <c r="O258" i="7"/>
  <c r="B259" i="7"/>
  <c r="B205" i="13"/>
  <c r="E204" i="13"/>
  <c r="J426" i="7"/>
  <c r="R58" i="28"/>
  <c r="R426" i="7" s="1"/>
  <c r="H426" i="7"/>
  <c r="F59" i="28"/>
  <c r="Q58" i="28"/>
  <c r="Q426" i="7" s="1"/>
  <c r="M75" i="40"/>
  <c r="AH75" i="40"/>
  <c r="AA75" i="40"/>
  <c r="AB75" i="40" s="1"/>
  <c r="L75" i="40"/>
  <c r="AG75" i="40"/>
  <c r="N75" i="40"/>
  <c r="AD75" i="40"/>
  <c r="I128" i="32"/>
  <c r="P128" i="32"/>
  <c r="W126" i="32" s="1"/>
  <c r="Q128" i="32"/>
  <c r="F129" i="32"/>
  <c r="AG128" i="32"/>
  <c r="AE128" i="32" s="1"/>
  <c r="AD128" i="32"/>
  <c r="AB128" i="32" s="1"/>
  <c r="Y128" i="32"/>
  <c r="AA128" i="32" s="1"/>
  <c r="H85" i="37"/>
  <c r="Q85" i="37" s="1"/>
  <c r="P85" i="37"/>
  <c r="W83" i="37" s="1"/>
  <c r="H84" i="33"/>
  <c r="F85" i="33" s="1"/>
  <c r="C216" i="28"/>
  <c r="D216" i="28"/>
  <c r="D584" i="7" s="1"/>
  <c r="B217" i="28"/>
  <c r="Q93" i="30"/>
  <c r="P93" i="30"/>
  <c r="W91" i="30" s="1"/>
  <c r="F94" i="30"/>
  <c r="Y80" i="46"/>
  <c r="X80" i="46"/>
  <c r="V80" i="46" s="1"/>
  <c r="Z80" i="46"/>
  <c r="E199" i="46"/>
  <c r="T199" i="46"/>
  <c r="AA199" i="46" s="1"/>
  <c r="D199" i="46"/>
  <c r="B200" i="46"/>
  <c r="D211" i="33"/>
  <c r="C211" i="33"/>
  <c r="B212" i="33"/>
  <c r="Z59" i="39"/>
  <c r="F59" i="39"/>
  <c r="E59" i="36"/>
  <c r="C60" i="36"/>
  <c r="B211" i="32"/>
  <c r="D210" i="32"/>
  <c r="C210" i="32"/>
  <c r="B217" i="30"/>
  <c r="C216" i="30"/>
  <c r="D216" i="30"/>
  <c r="K209" i="40"/>
  <c r="B232" i="39"/>
  <c r="E231" i="39"/>
  <c r="R231" i="39" s="1"/>
  <c r="E210" i="40"/>
  <c r="Z210" i="40" s="1"/>
  <c r="D210" i="40"/>
  <c r="C211" i="40"/>
  <c r="B211" i="37"/>
  <c r="C210" i="37"/>
  <c r="D210" i="37"/>
  <c r="B586" i="7"/>
  <c r="C585" i="7"/>
  <c r="C201" i="13"/>
  <c r="K194" i="12"/>
  <c r="C256" i="7"/>
  <c r="C196" i="46"/>
  <c r="C201" i="39"/>
  <c r="R54" i="13" l="1"/>
  <c r="G109" i="7"/>
  <c r="S54" i="13"/>
  <c r="F55" i="13"/>
  <c r="G82" i="46"/>
  <c r="Q82" i="46" s="1"/>
  <c r="F83" i="46" s="1"/>
  <c r="J83" i="46" s="1"/>
  <c r="O259" i="7"/>
  <c r="E259" i="7"/>
  <c r="B260" i="7"/>
  <c r="B206" i="13"/>
  <c r="E205" i="13"/>
  <c r="AD59" i="28"/>
  <c r="L59" i="28"/>
  <c r="L427" i="7" s="1"/>
  <c r="AG59" i="28"/>
  <c r="AA59" i="28"/>
  <c r="N59" i="28"/>
  <c r="K59" i="28"/>
  <c r="F427" i="7"/>
  <c r="S427" i="7" s="1"/>
  <c r="M59" i="28"/>
  <c r="M427" i="7" s="1"/>
  <c r="AC75" i="40"/>
  <c r="I75" i="40" s="1"/>
  <c r="J75" i="40"/>
  <c r="X73" i="40"/>
  <c r="Q75" i="40"/>
  <c r="AF75" i="40"/>
  <c r="N129" i="32"/>
  <c r="AG129" i="32" s="1"/>
  <c r="AC129" i="32"/>
  <c r="H129" i="32"/>
  <c r="Z129" i="32"/>
  <c r="J129" i="32"/>
  <c r="K129" i="32"/>
  <c r="L129" i="32"/>
  <c r="AF129" i="32"/>
  <c r="M129" i="32"/>
  <c r="F86" i="37"/>
  <c r="J86" i="37" s="1"/>
  <c r="Q84" i="33"/>
  <c r="I85" i="33"/>
  <c r="K85" i="33"/>
  <c r="L85" i="33"/>
  <c r="N85" i="33"/>
  <c r="J85" i="33" s="1"/>
  <c r="M85" i="33"/>
  <c r="P85" i="33"/>
  <c r="W83" i="33" s="1"/>
  <c r="D217" i="28"/>
  <c r="D585" i="7" s="1"/>
  <c r="C217" i="28"/>
  <c r="B218" i="28"/>
  <c r="L94" i="30"/>
  <c r="K94" i="30"/>
  <c r="N94" i="30"/>
  <c r="J94" i="30" s="1"/>
  <c r="M94" i="30"/>
  <c r="I94" i="30"/>
  <c r="AB80" i="46"/>
  <c r="U81" i="46"/>
  <c r="Y81" i="46" s="1"/>
  <c r="B201" i="46"/>
  <c r="D200" i="46"/>
  <c r="E200" i="46"/>
  <c r="T200" i="46"/>
  <c r="AA200" i="46" s="1"/>
  <c r="S59" i="39"/>
  <c r="T59" i="39" s="1"/>
  <c r="Q59" i="39"/>
  <c r="J59" i="39"/>
  <c r="L59" i="39"/>
  <c r="Y59" i="39"/>
  <c r="X59" i="39" s="1"/>
  <c r="V59" i="39"/>
  <c r="K59" i="39"/>
  <c r="D212" i="33"/>
  <c r="B213" i="33"/>
  <c r="C212" i="33"/>
  <c r="B218" i="30"/>
  <c r="C217" i="30"/>
  <c r="D217" i="30"/>
  <c r="C211" i="32"/>
  <c r="B212" i="32"/>
  <c r="D211" i="32"/>
  <c r="K210" i="40"/>
  <c r="B212" i="37"/>
  <c r="D211" i="37"/>
  <c r="C211" i="37"/>
  <c r="C212" i="40"/>
  <c r="D211" i="40"/>
  <c r="E211" i="40"/>
  <c r="Z211" i="40" s="1"/>
  <c r="B233" i="39"/>
  <c r="E232" i="39"/>
  <c r="R232" i="39" s="1"/>
  <c r="B587" i="7"/>
  <c r="C586" i="7"/>
  <c r="K195" i="12"/>
  <c r="C202" i="13"/>
  <c r="C257" i="7"/>
  <c r="C197" i="46"/>
  <c r="C202" i="39"/>
  <c r="K55" i="13" l="1"/>
  <c r="J110" i="7" s="1"/>
  <c r="V55" i="13"/>
  <c r="M55" i="13"/>
  <c r="L110" i="7" s="1"/>
  <c r="P109" i="7"/>
  <c r="F110" i="7"/>
  <c r="R110" i="7" s="1"/>
  <c r="Y55" i="13"/>
  <c r="L55" i="13"/>
  <c r="K110" i="7" s="1"/>
  <c r="AB55" i="13"/>
  <c r="N55" i="13"/>
  <c r="Q109" i="7"/>
  <c r="K83" i="46"/>
  <c r="P82" i="46"/>
  <c r="L83" i="46"/>
  <c r="H83" i="46"/>
  <c r="A83" i="46"/>
  <c r="M83" i="46" s="1"/>
  <c r="I83" i="46"/>
  <c r="E260" i="7"/>
  <c r="O260" i="7"/>
  <c r="B261" i="7"/>
  <c r="B207" i="13"/>
  <c r="E206" i="13"/>
  <c r="I59" i="28"/>
  <c r="I427" i="7" s="1"/>
  <c r="K427" i="7"/>
  <c r="X57" i="28"/>
  <c r="N427" i="7"/>
  <c r="AE59" i="28"/>
  <c r="AC59" i="28" s="1"/>
  <c r="Z59" i="28"/>
  <c r="AB59" i="28" s="1"/>
  <c r="AH59" i="28"/>
  <c r="R75" i="40"/>
  <c r="G76" i="40"/>
  <c r="AE129" i="32"/>
  <c r="I129" i="32"/>
  <c r="P129" i="32"/>
  <c r="W127" i="32" s="1"/>
  <c r="Q129" i="32"/>
  <c r="F130" i="32"/>
  <c r="Y129" i="32"/>
  <c r="AA129" i="32" s="1"/>
  <c r="AD129" i="32"/>
  <c r="AB129" i="32" s="1"/>
  <c r="I86" i="37"/>
  <c r="H86" i="37" s="1"/>
  <c r="L86" i="37"/>
  <c r="K86" i="37"/>
  <c r="M86" i="37"/>
  <c r="H85" i="33"/>
  <c r="Q85" i="33" s="1"/>
  <c r="C218" i="28"/>
  <c r="B219" i="28"/>
  <c r="D218" i="28"/>
  <c r="D586" i="7" s="1"/>
  <c r="H94" i="30"/>
  <c r="X81" i="46"/>
  <c r="W81" i="46"/>
  <c r="Z81" i="46"/>
  <c r="H59" i="39"/>
  <c r="U59" i="39"/>
  <c r="G59" i="39" s="1"/>
  <c r="D60" i="36" s="1"/>
  <c r="B214" i="33"/>
  <c r="D213" i="33"/>
  <c r="C213" i="33"/>
  <c r="D201" i="46"/>
  <c r="T201" i="46"/>
  <c r="AA201" i="46" s="1"/>
  <c r="E201" i="46"/>
  <c r="B202" i="46"/>
  <c r="B219" i="30"/>
  <c r="C218" i="30"/>
  <c r="D218" i="30"/>
  <c r="D212" i="32"/>
  <c r="B213" i="32"/>
  <c r="C212" i="32"/>
  <c r="K211" i="40"/>
  <c r="D212" i="40"/>
  <c r="E212" i="40"/>
  <c r="Z212" i="40" s="1"/>
  <c r="C213" i="40"/>
  <c r="D212" i="37"/>
  <c r="C212" i="37"/>
  <c r="B213" i="37"/>
  <c r="B234" i="39"/>
  <c r="E233" i="39"/>
  <c r="R233" i="39" s="1"/>
  <c r="B588" i="7"/>
  <c r="C587" i="7"/>
  <c r="C203" i="13"/>
  <c r="K196" i="12"/>
  <c r="C258" i="7"/>
  <c r="C198" i="46"/>
  <c r="C203" i="39"/>
  <c r="H55" i="13" l="1"/>
  <c r="H110" i="7" s="1"/>
  <c r="E46" i="10"/>
  <c r="AC55" i="13"/>
  <c r="M110" i="7"/>
  <c r="Z55" i="13"/>
  <c r="X55" i="13" s="1"/>
  <c r="U55" i="13"/>
  <c r="G83" i="46"/>
  <c r="Q83" i="46" s="1"/>
  <c r="F84" i="46" s="1"/>
  <c r="I59" i="13"/>
  <c r="I114" i="7" s="1"/>
  <c r="E261" i="7"/>
  <c r="O261" i="7"/>
  <c r="B262" i="7"/>
  <c r="B208" i="13"/>
  <c r="E207" i="13"/>
  <c r="AF59" i="28"/>
  <c r="J59" i="28"/>
  <c r="L76" i="40"/>
  <c r="AD76" i="40"/>
  <c r="M76" i="40"/>
  <c r="AG76" i="40"/>
  <c r="AH76" i="40"/>
  <c r="AA76" i="40"/>
  <c r="AB76" i="40" s="1"/>
  <c r="N76" i="40"/>
  <c r="I59" i="39"/>
  <c r="AC59" i="39" s="1"/>
  <c r="Z130" i="32"/>
  <c r="AF130" i="32"/>
  <c r="K130" i="32"/>
  <c r="N130" i="32"/>
  <c r="H130" i="32"/>
  <c r="L130" i="32"/>
  <c r="AC130" i="32"/>
  <c r="M130" i="32"/>
  <c r="J130" i="32"/>
  <c r="P86" i="37"/>
  <c r="W84" i="37" s="1"/>
  <c r="F87" i="37"/>
  <c r="Q86" i="37"/>
  <c r="F86" i="33"/>
  <c r="M86" i="33" s="1"/>
  <c r="C219" i="28"/>
  <c r="B220" i="28"/>
  <c r="D219" i="28"/>
  <c r="D587" i="7" s="1"/>
  <c r="F95" i="30"/>
  <c r="P94" i="30"/>
  <c r="W92" i="30" s="1"/>
  <c r="Q94" i="30"/>
  <c r="V81" i="46"/>
  <c r="B215" i="33"/>
  <c r="D214" i="33"/>
  <c r="C214" i="33"/>
  <c r="O59" i="39"/>
  <c r="P59" i="39"/>
  <c r="E202" i="46"/>
  <c r="B203" i="46"/>
  <c r="D202" i="46"/>
  <c r="T202" i="46"/>
  <c r="AA202" i="46" s="1"/>
  <c r="B214" i="32"/>
  <c r="C213" i="32"/>
  <c r="D213" i="32"/>
  <c r="C219" i="30"/>
  <c r="D219" i="30"/>
  <c r="B220" i="30"/>
  <c r="K212" i="40"/>
  <c r="D213" i="40"/>
  <c r="C214" i="40"/>
  <c r="E213" i="40"/>
  <c r="Z213" i="40" s="1"/>
  <c r="B235" i="39"/>
  <c r="E234" i="39"/>
  <c r="R234" i="39" s="1"/>
  <c r="B214" i="37"/>
  <c r="D213" i="37"/>
  <c r="C213" i="37"/>
  <c r="B589" i="7"/>
  <c r="C588" i="7"/>
  <c r="K197" i="12"/>
  <c r="C204" i="13"/>
  <c r="C259" i="7"/>
  <c r="C204" i="39"/>
  <c r="C199" i="46"/>
  <c r="J55" i="13" l="1"/>
  <c r="AA55" i="13"/>
  <c r="W55" i="13"/>
  <c r="J84" i="46"/>
  <c r="L84" i="46"/>
  <c r="I84" i="46"/>
  <c r="K84" i="46"/>
  <c r="P83" i="46"/>
  <c r="H84" i="46"/>
  <c r="A84" i="46"/>
  <c r="M84" i="46" s="1"/>
  <c r="AB81" i="46"/>
  <c r="E262" i="7"/>
  <c r="O262" i="7"/>
  <c r="B263" i="7"/>
  <c r="E208" i="13"/>
  <c r="B209" i="13"/>
  <c r="H59" i="28"/>
  <c r="J427" i="7"/>
  <c r="AF76" i="40"/>
  <c r="J76" i="40"/>
  <c r="AC76" i="40"/>
  <c r="I76" i="40" s="1"/>
  <c r="X74" i="40"/>
  <c r="Q76" i="40"/>
  <c r="I130" i="32"/>
  <c r="P130" i="32"/>
  <c r="W128" i="32" s="1"/>
  <c r="F131" i="32"/>
  <c r="Q130" i="32"/>
  <c r="AG130" i="32"/>
  <c r="AE130" i="32" s="1"/>
  <c r="AD130" i="32"/>
  <c r="AB130" i="32" s="1"/>
  <c r="Y130" i="32"/>
  <c r="AA130" i="32" s="1"/>
  <c r="J87" i="37"/>
  <c r="I87" i="37"/>
  <c r="L87" i="37"/>
  <c r="M87" i="37"/>
  <c r="K87" i="37"/>
  <c r="K86" i="33"/>
  <c r="I86" i="33"/>
  <c r="N86" i="33"/>
  <c r="J86" i="33" s="1"/>
  <c r="P86" i="33"/>
  <c r="W84" i="33" s="1"/>
  <c r="L86" i="33"/>
  <c r="B221" i="28"/>
  <c r="C220" i="28"/>
  <c r="D220" i="28"/>
  <c r="D588" i="7" s="1"/>
  <c r="N95" i="30"/>
  <c r="J95" i="30" s="1"/>
  <c r="L95" i="30"/>
  <c r="M95" i="30"/>
  <c r="I95" i="30"/>
  <c r="K95" i="30"/>
  <c r="U82" i="46"/>
  <c r="Z82" i="46" s="1"/>
  <c r="F60" i="39"/>
  <c r="Z60" i="39"/>
  <c r="E60" i="36"/>
  <c r="C61" i="36"/>
  <c r="D203" i="46"/>
  <c r="T203" i="46"/>
  <c r="AA203" i="46" s="1"/>
  <c r="E203" i="46"/>
  <c r="B204" i="46"/>
  <c r="B216" i="33"/>
  <c r="C215" i="33"/>
  <c r="D215" i="33"/>
  <c r="D214" i="32"/>
  <c r="B215" i="32"/>
  <c r="C214" i="32"/>
  <c r="C220" i="30"/>
  <c r="B221" i="30"/>
  <c r="D220" i="30"/>
  <c r="C214" i="37"/>
  <c r="B215" i="37"/>
  <c r="D214" i="37"/>
  <c r="K213" i="40"/>
  <c r="B236" i="39"/>
  <c r="E235" i="39"/>
  <c r="R235" i="39" s="1"/>
  <c r="C215" i="40"/>
  <c r="E214" i="40"/>
  <c r="Z214" i="40" s="1"/>
  <c r="D214" i="40"/>
  <c r="B590" i="7"/>
  <c r="C589" i="7"/>
  <c r="C205" i="13"/>
  <c r="K198" i="12"/>
  <c r="C260" i="7"/>
  <c r="C200" i="46"/>
  <c r="C205" i="39"/>
  <c r="G55" i="13" l="1"/>
  <c r="G84" i="46"/>
  <c r="P84" i="46" s="1"/>
  <c r="E263" i="7"/>
  <c r="O263" i="7"/>
  <c r="B264" i="7"/>
  <c r="E209" i="13"/>
  <c r="B210" i="13"/>
  <c r="Q59" i="28"/>
  <c r="Q427" i="7" s="1"/>
  <c r="F60" i="28"/>
  <c r="H427" i="7"/>
  <c r="R59" i="28"/>
  <c r="R427" i="7" s="1"/>
  <c r="G77" i="40"/>
  <c r="R76" i="40"/>
  <c r="AF131" i="32"/>
  <c r="H131" i="32"/>
  <c r="Q131" i="32" s="1"/>
  <c r="Z131" i="32"/>
  <c r="J131" i="32"/>
  <c r="AC131" i="32"/>
  <c r="N131" i="32"/>
  <c r="K131" i="32"/>
  <c r="L131" i="32"/>
  <c r="M131" i="32"/>
  <c r="H87" i="37"/>
  <c r="F88" i="37" s="1"/>
  <c r="J88" i="37" s="1"/>
  <c r="P87" i="37"/>
  <c r="W85" i="37" s="1"/>
  <c r="H86" i="33"/>
  <c r="F87" i="33" s="1"/>
  <c r="K87" i="33" s="1"/>
  <c r="D221" i="28"/>
  <c r="D589" i="7" s="1"/>
  <c r="B222" i="28"/>
  <c r="C221" i="28"/>
  <c r="X82" i="46"/>
  <c r="Y82" i="46"/>
  <c r="H95" i="30"/>
  <c r="W82" i="46"/>
  <c r="B217" i="33"/>
  <c r="D216" i="33"/>
  <c r="C216" i="33"/>
  <c r="D204" i="46"/>
  <c r="B205" i="46"/>
  <c r="E204" i="46"/>
  <c r="T204" i="46"/>
  <c r="AA204" i="46" s="1"/>
  <c r="Y60" i="39"/>
  <c r="X60" i="39" s="1"/>
  <c r="Q60" i="39"/>
  <c r="L60" i="39"/>
  <c r="V60" i="39"/>
  <c r="S60" i="39"/>
  <c r="T60" i="39" s="1"/>
  <c r="J60" i="39"/>
  <c r="K60" i="39"/>
  <c r="C215" i="32"/>
  <c r="D215" i="32"/>
  <c r="B216" i="32"/>
  <c r="C221" i="30"/>
  <c r="D221" i="30"/>
  <c r="B222" i="30"/>
  <c r="C216" i="40"/>
  <c r="D215" i="40"/>
  <c r="E215" i="40"/>
  <c r="Z215" i="40" s="1"/>
  <c r="C215" i="37"/>
  <c r="D215" i="37"/>
  <c r="B216" i="37"/>
  <c r="K214" i="40"/>
  <c r="B237" i="39"/>
  <c r="E236" i="39"/>
  <c r="R236" i="39" s="1"/>
  <c r="C590" i="7"/>
  <c r="B591" i="7"/>
  <c r="C206" i="13"/>
  <c r="K199" i="12"/>
  <c r="C261" i="7"/>
  <c r="C201" i="46"/>
  <c r="C206" i="39"/>
  <c r="G110" i="7" l="1"/>
  <c r="R55" i="13"/>
  <c r="F56" i="13"/>
  <c r="S55" i="13"/>
  <c r="K56" i="13"/>
  <c r="J111" i="7" s="1"/>
  <c r="V56" i="13"/>
  <c r="Q84" i="46"/>
  <c r="F85" i="46" s="1"/>
  <c r="O264" i="7"/>
  <c r="E264" i="7"/>
  <c r="B265" i="7"/>
  <c r="B211" i="13"/>
  <c r="E210" i="13"/>
  <c r="M60" i="28"/>
  <c r="M428" i="7" s="1"/>
  <c r="N60" i="28"/>
  <c r="N428" i="7" s="1"/>
  <c r="AG60" i="28"/>
  <c r="L60" i="28"/>
  <c r="L428" i="7" s="1"/>
  <c r="AD60" i="28"/>
  <c r="F428" i="7"/>
  <c r="S428" i="7" s="1"/>
  <c r="K60" i="28"/>
  <c r="K428" i="7" s="1"/>
  <c r="AA60" i="28"/>
  <c r="AH77" i="40"/>
  <c r="M77" i="40"/>
  <c r="AG77" i="40"/>
  <c r="L77" i="40"/>
  <c r="AD77" i="40"/>
  <c r="N77" i="40"/>
  <c r="AA77" i="40"/>
  <c r="AB77" i="40" s="1"/>
  <c r="F132" i="32"/>
  <c r="J132" i="32" s="1"/>
  <c r="I131" i="32"/>
  <c r="P131" i="32"/>
  <c r="W129" i="32" s="1"/>
  <c r="AD131" i="32"/>
  <c r="AB131" i="32" s="1"/>
  <c r="Y131" i="32"/>
  <c r="AA131" i="32" s="1"/>
  <c r="AG131" i="32"/>
  <c r="AE131" i="32" s="1"/>
  <c r="L88" i="37"/>
  <c r="K88" i="37"/>
  <c r="I88" i="37"/>
  <c r="H88" i="37" s="1"/>
  <c r="M88" i="37"/>
  <c r="Q87" i="37"/>
  <c r="Q86" i="33"/>
  <c r="I87" i="33"/>
  <c r="M87" i="33"/>
  <c r="N87" i="33"/>
  <c r="J87" i="33" s="1"/>
  <c r="L87" i="33"/>
  <c r="P87" i="33"/>
  <c r="W85" i="33" s="1"/>
  <c r="V82" i="46"/>
  <c r="C222" i="28"/>
  <c r="B223" i="28"/>
  <c r="D222" i="28"/>
  <c r="D590" i="7" s="1"/>
  <c r="P95" i="30"/>
  <c r="W93" i="30" s="1"/>
  <c r="Q95" i="30"/>
  <c r="F96" i="30"/>
  <c r="E205" i="46"/>
  <c r="D205" i="46"/>
  <c r="B206" i="46"/>
  <c r="T205" i="46"/>
  <c r="AA205" i="46" s="1"/>
  <c r="H60" i="39"/>
  <c r="U60" i="39"/>
  <c r="G60" i="39" s="1"/>
  <c r="D61" i="36" s="1"/>
  <c r="C217" i="33"/>
  <c r="B218" i="33"/>
  <c r="D217" i="33"/>
  <c r="D222" i="30"/>
  <c r="C222" i="30"/>
  <c r="B223" i="30"/>
  <c r="C216" i="32"/>
  <c r="B217" i="32"/>
  <c r="D216" i="32"/>
  <c r="B217" i="37"/>
  <c r="D216" i="37"/>
  <c r="C216" i="37"/>
  <c r="D216" i="40"/>
  <c r="C217" i="40"/>
  <c r="E216" i="40"/>
  <c r="Z216" i="40" s="1"/>
  <c r="B238" i="39"/>
  <c r="E237" i="39"/>
  <c r="R237" i="39" s="1"/>
  <c r="K215" i="40"/>
  <c r="C591" i="7"/>
  <c r="B592" i="7"/>
  <c r="C207" i="13"/>
  <c r="K200" i="12"/>
  <c r="C262" i="7"/>
  <c r="C202" i="46"/>
  <c r="C207" i="39"/>
  <c r="F111" i="7" l="1"/>
  <c r="R111" i="7" s="1"/>
  <c r="P110" i="7"/>
  <c r="Y56" i="13"/>
  <c r="M56" i="13"/>
  <c r="L111" i="7" s="1"/>
  <c r="AB56" i="13"/>
  <c r="L56" i="13"/>
  <c r="K111" i="7" s="1"/>
  <c r="N56" i="13"/>
  <c r="U56" i="13" s="1"/>
  <c r="Q110" i="7"/>
  <c r="H85" i="46"/>
  <c r="K85" i="46"/>
  <c r="I85" i="46"/>
  <c r="A85" i="46"/>
  <c r="M85" i="46" s="1"/>
  <c r="L85" i="46"/>
  <c r="J85" i="46"/>
  <c r="U83" i="46"/>
  <c r="Z83" i="46" s="1"/>
  <c r="O265" i="7"/>
  <c r="E265" i="7"/>
  <c r="B266" i="7"/>
  <c r="B212" i="13"/>
  <c r="E211" i="13"/>
  <c r="Z60" i="28"/>
  <c r="AB60" i="28" s="1"/>
  <c r="AE60" i="28"/>
  <c r="AC60" i="28" s="1"/>
  <c r="I60" i="28"/>
  <c r="I428" i="7" s="1"/>
  <c r="AH60" i="28"/>
  <c r="AF60" i="28" s="1"/>
  <c r="X58" i="28"/>
  <c r="P88" i="37"/>
  <c r="W86" i="37" s="1"/>
  <c r="AF77" i="40"/>
  <c r="AC77" i="40"/>
  <c r="I77" i="40" s="1"/>
  <c r="J77" i="40"/>
  <c r="X75" i="40"/>
  <c r="Q77" i="40"/>
  <c r="AC132" i="32"/>
  <c r="L132" i="32"/>
  <c r="Z132" i="32"/>
  <c r="N132" i="32"/>
  <c r="AG132" i="32" s="1"/>
  <c r="K132" i="32"/>
  <c r="AF132" i="32"/>
  <c r="H132" i="32"/>
  <c r="Q132" i="32" s="1"/>
  <c r="M132" i="32"/>
  <c r="I60" i="39"/>
  <c r="AC60" i="39" s="1"/>
  <c r="F89" i="37"/>
  <c r="Q88" i="37"/>
  <c r="H87" i="33"/>
  <c r="Q87" i="33" s="1"/>
  <c r="AB82" i="46"/>
  <c r="B224" i="28"/>
  <c r="D223" i="28"/>
  <c r="D591" i="7" s="1"/>
  <c r="C223" i="28"/>
  <c r="L96" i="30"/>
  <c r="I96" i="30"/>
  <c r="N96" i="30"/>
  <c r="J96" i="30" s="1"/>
  <c r="M96" i="30"/>
  <c r="K96" i="30"/>
  <c r="E206" i="46"/>
  <c r="B207" i="46"/>
  <c r="D206" i="46"/>
  <c r="T206" i="46"/>
  <c r="AA206" i="46" s="1"/>
  <c r="O60" i="39"/>
  <c r="P60" i="39"/>
  <c r="B219" i="33"/>
  <c r="D218" i="33"/>
  <c r="C218" i="33"/>
  <c r="C223" i="30"/>
  <c r="D223" i="30"/>
  <c r="B224" i="30"/>
  <c r="C217" i="32"/>
  <c r="D217" i="32"/>
  <c r="B218" i="32"/>
  <c r="K216" i="40"/>
  <c r="E217" i="40"/>
  <c r="Z217" i="40" s="1"/>
  <c r="D217" i="40"/>
  <c r="C218" i="40"/>
  <c r="B239" i="39"/>
  <c r="E238" i="39"/>
  <c r="R238" i="39" s="1"/>
  <c r="B218" i="37"/>
  <c r="D217" i="37"/>
  <c r="C217" i="37"/>
  <c r="C592" i="7"/>
  <c r="B593" i="7"/>
  <c r="C208" i="13"/>
  <c r="K201" i="12"/>
  <c r="C263" i="7"/>
  <c r="C208" i="39"/>
  <c r="C203" i="46"/>
  <c r="H56" i="13" l="1"/>
  <c r="H111" i="7" s="1"/>
  <c r="Z56" i="13"/>
  <c r="M111" i="7"/>
  <c r="AC56" i="13"/>
  <c r="E47" i="10"/>
  <c r="W56" i="13"/>
  <c r="G85" i="46"/>
  <c r="X83" i="46"/>
  <c r="Y83" i="46"/>
  <c r="W83" i="46"/>
  <c r="O266" i="7"/>
  <c r="E266" i="7"/>
  <c r="B267" i="7"/>
  <c r="I60" i="13"/>
  <c r="B213" i="13"/>
  <c r="E212" i="13"/>
  <c r="J60" i="28"/>
  <c r="H60" i="28" s="1"/>
  <c r="R77" i="40"/>
  <c r="G78" i="40"/>
  <c r="I132" i="32"/>
  <c r="P132" i="32"/>
  <c r="W130" i="32" s="1"/>
  <c r="AD132" i="32"/>
  <c r="AB132" i="32" s="1"/>
  <c r="Y132" i="32"/>
  <c r="AA132" i="32" s="1"/>
  <c r="AE132" i="32"/>
  <c r="F133" i="32"/>
  <c r="L133" i="32" s="1"/>
  <c r="K89" i="37"/>
  <c r="I89" i="37"/>
  <c r="L89" i="37"/>
  <c r="J89" i="37"/>
  <c r="M89" i="37"/>
  <c r="F88" i="33"/>
  <c r="M88" i="33" s="1"/>
  <c r="D224" i="28"/>
  <c r="D592" i="7" s="1"/>
  <c r="C224" i="28"/>
  <c r="B225" i="28"/>
  <c r="H96" i="30"/>
  <c r="Q96" i="30" s="1"/>
  <c r="E61" i="36"/>
  <c r="C62" i="36"/>
  <c r="B208" i="46"/>
  <c r="E207" i="46"/>
  <c r="T207" i="46"/>
  <c r="AA207" i="46" s="1"/>
  <c r="D207" i="46"/>
  <c r="F61" i="39"/>
  <c r="Z61" i="39"/>
  <c r="C219" i="33"/>
  <c r="B220" i="33"/>
  <c r="D219" i="33"/>
  <c r="C224" i="30"/>
  <c r="B225" i="30"/>
  <c r="D224" i="30"/>
  <c r="C218" i="32"/>
  <c r="D218" i="32"/>
  <c r="B219" i="32"/>
  <c r="D218" i="40"/>
  <c r="E218" i="40"/>
  <c r="Z218" i="40" s="1"/>
  <c r="C219" i="40"/>
  <c r="C218" i="37"/>
  <c r="B219" i="37"/>
  <c r="D218" i="37"/>
  <c r="B240" i="39"/>
  <c r="E239" i="39"/>
  <c r="R239" i="39" s="1"/>
  <c r="K217" i="40"/>
  <c r="B594" i="7"/>
  <c r="C593" i="7"/>
  <c r="C209" i="13"/>
  <c r="K202" i="12"/>
  <c r="C264" i="7"/>
  <c r="C204" i="46"/>
  <c r="C209" i="39"/>
  <c r="J56" i="13" l="1"/>
  <c r="X56" i="13"/>
  <c r="AA56" i="13"/>
  <c r="P85" i="46"/>
  <c r="Q85" i="46"/>
  <c r="F86" i="46" s="1"/>
  <c r="V83" i="46"/>
  <c r="AB83" i="46" s="1"/>
  <c r="O267" i="7"/>
  <c r="E267" i="7"/>
  <c r="B268" i="7"/>
  <c r="I115" i="7"/>
  <c r="B214" i="13"/>
  <c r="E213" i="13"/>
  <c r="J428" i="7"/>
  <c r="F61" i="28"/>
  <c r="Q60" i="28"/>
  <c r="Q428" i="7" s="1"/>
  <c r="H428" i="7"/>
  <c r="R60" i="28"/>
  <c r="R428" i="7" s="1"/>
  <c r="N78" i="40"/>
  <c r="AH78" i="40"/>
  <c r="AA78" i="40"/>
  <c r="AB78" i="40" s="1"/>
  <c r="M78" i="40"/>
  <c r="AD78" i="40"/>
  <c r="AG78" i="40"/>
  <c r="L78" i="40"/>
  <c r="AC133" i="32"/>
  <c r="J133" i="32"/>
  <c r="Z133" i="32"/>
  <c r="H133" i="32"/>
  <c r="Q133" i="32" s="1"/>
  <c r="M133" i="32"/>
  <c r="AF133" i="32"/>
  <c r="N133" i="32"/>
  <c r="AG133" i="32" s="1"/>
  <c r="K133" i="32"/>
  <c r="P89" i="37"/>
  <c r="W87" i="37" s="1"/>
  <c r="H89" i="37"/>
  <c r="P88" i="33"/>
  <c r="W86" i="33" s="1"/>
  <c r="L88" i="33"/>
  <c r="N88" i="33"/>
  <c r="J88" i="33" s="1"/>
  <c r="I88" i="33"/>
  <c r="K88" i="33"/>
  <c r="C225" i="28"/>
  <c r="B226" i="28"/>
  <c r="D225" i="28"/>
  <c r="D593" i="7" s="1"/>
  <c r="P96" i="30"/>
  <c r="W94" i="30" s="1"/>
  <c r="F97" i="30"/>
  <c r="N97" i="30" s="1"/>
  <c r="J97" i="30" s="1"/>
  <c r="B209" i="46"/>
  <c r="T208" i="46"/>
  <c r="AA208" i="46" s="1"/>
  <c r="D208" i="46"/>
  <c r="E208" i="46"/>
  <c r="D220" i="33"/>
  <c r="C220" i="33"/>
  <c r="B221" i="33"/>
  <c r="K61" i="39"/>
  <c r="J61" i="39"/>
  <c r="Q61" i="39"/>
  <c r="Y61" i="39"/>
  <c r="X61" i="39" s="1"/>
  <c r="L61" i="39"/>
  <c r="S61" i="39"/>
  <c r="T61" i="39" s="1"/>
  <c r="V61" i="39"/>
  <c r="C225" i="30"/>
  <c r="B226" i="30"/>
  <c r="D225" i="30"/>
  <c r="B220" i="32"/>
  <c r="C219" i="32"/>
  <c r="D219" i="32"/>
  <c r="K218" i="40"/>
  <c r="E219" i="40"/>
  <c r="Z219" i="40" s="1"/>
  <c r="C220" i="40"/>
  <c r="D219" i="40"/>
  <c r="B241" i="39"/>
  <c r="E240" i="39"/>
  <c r="R240" i="39" s="1"/>
  <c r="C219" i="37"/>
  <c r="D219" i="37"/>
  <c r="B220" i="37"/>
  <c r="B595" i="7"/>
  <c r="C594" i="7"/>
  <c r="C210" i="13"/>
  <c r="K203" i="12"/>
  <c r="C265" i="7"/>
  <c r="C205" i="46"/>
  <c r="C210" i="39"/>
  <c r="G56" i="13" l="1"/>
  <c r="A86" i="46"/>
  <c r="M86" i="46" s="1"/>
  <c r="H86" i="46"/>
  <c r="J86" i="46"/>
  <c r="I86" i="46"/>
  <c r="K86" i="46"/>
  <c r="L86" i="46"/>
  <c r="U84" i="46"/>
  <c r="Y84" i="46" s="1"/>
  <c r="O268" i="7"/>
  <c r="E268" i="7"/>
  <c r="B269" i="7"/>
  <c r="E214" i="13"/>
  <c r="B215" i="13"/>
  <c r="AG61" i="28"/>
  <c r="AA61" i="28"/>
  <c r="AD61" i="28"/>
  <c r="M61" i="28"/>
  <c r="M429" i="7" s="1"/>
  <c r="N61" i="28"/>
  <c r="N429" i="7" s="1"/>
  <c r="K61" i="28"/>
  <c r="K429" i="7" s="1"/>
  <c r="L61" i="28"/>
  <c r="L429" i="7" s="1"/>
  <c r="F429" i="7"/>
  <c r="S429" i="7" s="1"/>
  <c r="Q78" i="40"/>
  <c r="X76" i="40"/>
  <c r="J78" i="40"/>
  <c r="AC78" i="40"/>
  <c r="I78" i="40" s="1"/>
  <c r="AF78" i="40"/>
  <c r="I133" i="32"/>
  <c r="P133" i="32"/>
  <c r="W131" i="32" s="1"/>
  <c r="Y133" i="32"/>
  <c r="AA133" i="32" s="1"/>
  <c r="AD133" i="32"/>
  <c r="AB133" i="32" s="1"/>
  <c r="F134" i="32"/>
  <c r="L134" i="32" s="1"/>
  <c r="AE133" i="32"/>
  <c r="Q89" i="37"/>
  <c r="F90" i="37"/>
  <c r="H88" i="33"/>
  <c r="Q88" i="33" s="1"/>
  <c r="B227" i="28"/>
  <c r="D226" i="28"/>
  <c r="D594" i="7" s="1"/>
  <c r="C226" i="28"/>
  <c r="L97" i="30"/>
  <c r="K97" i="30"/>
  <c r="I97" i="30"/>
  <c r="H97" i="30" s="1"/>
  <c r="M97" i="30"/>
  <c r="D221" i="33"/>
  <c r="B222" i="33"/>
  <c r="C221" i="33"/>
  <c r="H61" i="39"/>
  <c r="U61" i="39"/>
  <c r="G61" i="39" s="1"/>
  <c r="D62" i="36" s="1"/>
  <c r="E209" i="46"/>
  <c r="B210" i="46"/>
  <c r="T209" i="46"/>
  <c r="AA209" i="46" s="1"/>
  <c r="D209" i="46"/>
  <c r="B227" i="30"/>
  <c r="C226" i="30"/>
  <c r="D226" i="30"/>
  <c r="B221" i="32"/>
  <c r="D220" i="32"/>
  <c r="C220" i="32"/>
  <c r="D220" i="40"/>
  <c r="C221" i="40"/>
  <c r="E220" i="40"/>
  <c r="Z220" i="40" s="1"/>
  <c r="B221" i="37"/>
  <c r="D220" i="37"/>
  <c r="C220" i="37"/>
  <c r="B242" i="39"/>
  <c r="E241" i="39"/>
  <c r="R241" i="39" s="1"/>
  <c r="K219" i="40"/>
  <c r="B596" i="7"/>
  <c r="C595" i="7"/>
  <c r="C211" i="13"/>
  <c r="K204" i="12"/>
  <c r="C266" i="7"/>
  <c r="C206" i="46"/>
  <c r="C211" i="39"/>
  <c r="G111" i="7" l="1"/>
  <c r="S56" i="13"/>
  <c r="R56" i="13"/>
  <c r="F57" i="13"/>
  <c r="G86" i="46"/>
  <c r="W84" i="46"/>
  <c r="Z84" i="46"/>
  <c r="X84" i="46"/>
  <c r="E269" i="7"/>
  <c r="O269" i="7"/>
  <c r="B270" i="7"/>
  <c r="B216" i="13"/>
  <c r="E215" i="13"/>
  <c r="I61" i="28"/>
  <c r="I429" i="7" s="1"/>
  <c r="AE61" i="28"/>
  <c r="AC61" i="28" s="1"/>
  <c r="X59" i="28"/>
  <c r="AH61" i="28"/>
  <c r="Z61" i="28"/>
  <c r="AB61" i="28" s="1"/>
  <c r="G79" i="40"/>
  <c r="R78" i="40"/>
  <c r="N134" i="32"/>
  <c r="Y134" i="32" s="1"/>
  <c r="AC134" i="32"/>
  <c r="K134" i="32"/>
  <c r="AF134" i="32"/>
  <c r="M134" i="32"/>
  <c r="J134" i="32"/>
  <c r="H134" i="32"/>
  <c r="F135" i="32" s="1"/>
  <c r="Z134" i="32"/>
  <c r="I61" i="39"/>
  <c r="AC61" i="39" s="1"/>
  <c r="K90" i="37"/>
  <c r="L90" i="37"/>
  <c r="M90" i="37"/>
  <c r="J90" i="37"/>
  <c r="I90" i="37"/>
  <c r="F89" i="33"/>
  <c r="P89" i="33" s="1"/>
  <c r="W87" i="33" s="1"/>
  <c r="B228" i="28"/>
  <c r="C227" i="28"/>
  <c r="D227" i="28"/>
  <c r="D595" i="7" s="1"/>
  <c r="P97" i="30"/>
  <c r="W95" i="30" s="1"/>
  <c r="Q97" i="30"/>
  <c r="F98" i="30"/>
  <c r="O61" i="39"/>
  <c r="P61" i="39"/>
  <c r="D222" i="33"/>
  <c r="C222" i="33"/>
  <c r="B223" i="33"/>
  <c r="B211" i="46"/>
  <c r="D210" i="46"/>
  <c r="E210" i="46"/>
  <c r="T210" i="46"/>
  <c r="AA210" i="46" s="1"/>
  <c r="D221" i="32"/>
  <c r="B222" i="32"/>
  <c r="C221" i="32"/>
  <c r="B228" i="30"/>
  <c r="C227" i="30"/>
  <c r="D227" i="30"/>
  <c r="D221" i="40"/>
  <c r="C222" i="40"/>
  <c r="E221" i="40"/>
  <c r="Z221" i="40" s="1"/>
  <c r="B243" i="39"/>
  <c r="E242" i="39"/>
  <c r="R242" i="39" s="1"/>
  <c r="C221" i="37"/>
  <c r="B222" i="37"/>
  <c r="D221" i="37"/>
  <c r="K220" i="40"/>
  <c r="C596" i="7"/>
  <c r="B597" i="7"/>
  <c r="C212" i="13"/>
  <c r="K205" i="12"/>
  <c r="C267" i="7"/>
  <c r="C212" i="39"/>
  <c r="C207" i="46"/>
  <c r="V57" i="13" l="1"/>
  <c r="P111" i="7"/>
  <c r="Q111" i="7"/>
  <c r="K57" i="13"/>
  <c r="J112" i="7" s="1"/>
  <c r="F112" i="7"/>
  <c r="R112" i="7" s="1"/>
  <c r="Y57" i="13"/>
  <c r="N57" i="13"/>
  <c r="M57" i="13"/>
  <c r="L112" i="7" s="1"/>
  <c r="AB57" i="13"/>
  <c r="L57" i="13"/>
  <c r="K112" i="7" s="1"/>
  <c r="Q86" i="46"/>
  <c r="F87" i="46" s="1"/>
  <c r="I87" i="46" s="1"/>
  <c r="P86" i="46"/>
  <c r="V84" i="46"/>
  <c r="U85" i="46" s="1"/>
  <c r="E270" i="7"/>
  <c r="O270" i="7"/>
  <c r="B271" i="7"/>
  <c r="I61" i="13"/>
  <c r="I116" i="7" s="1"/>
  <c r="E216" i="13"/>
  <c r="B217" i="13"/>
  <c r="J61" i="28"/>
  <c r="AF61" i="28"/>
  <c r="M79" i="40"/>
  <c r="AH79" i="40"/>
  <c r="N79" i="40"/>
  <c r="L79" i="40"/>
  <c r="AG79" i="40"/>
  <c r="AD79" i="40"/>
  <c r="AA79" i="40"/>
  <c r="AB79" i="40" s="1"/>
  <c r="I134" i="32"/>
  <c r="AD134" i="32"/>
  <c r="AB134" i="32" s="1"/>
  <c r="AG134" i="32"/>
  <c r="AE134" i="32" s="1"/>
  <c r="P134" i="32"/>
  <c r="W132" i="32" s="1"/>
  <c r="AA134" i="32"/>
  <c r="Q134" i="32"/>
  <c r="AC135" i="32"/>
  <c r="N135" i="32"/>
  <c r="J135" i="32"/>
  <c r="K135" i="32"/>
  <c r="Z135" i="32"/>
  <c r="H135" i="32"/>
  <c r="AF135" i="32"/>
  <c r="M135" i="32"/>
  <c r="L135" i="32"/>
  <c r="K89" i="33"/>
  <c r="I89" i="33"/>
  <c r="N89" i="33"/>
  <c r="J89" i="33" s="1"/>
  <c r="M89" i="33"/>
  <c r="L89" i="33"/>
  <c r="P90" i="37"/>
  <c r="W88" i="37" s="1"/>
  <c r="H90" i="37"/>
  <c r="D228" i="28"/>
  <c r="D596" i="7" s="1"/>
  <c r="B229" i="28"/>
  <c r="C228" i="28"/>
  <c r="I98" i="30"/>
  <c r="M98" i="30"/>
  <c r="N98" i="30"/>
  <c r="J98" i="30" s="1"/>
  <c r="L98" i="30"/>
  <c r="K98" i="30"/>
  <c r="D211" i="46"/>
  <c r="B212" i="46"/>
  <c r="E211" i="46"/>
  <c r="T211" i="46"/>
  <c r="AA211" i="46" s="1"/>
  <c r="E62" i="36"/>
  <c r="C63" i="36"/>
  <c r="B224" i="33"/>
  <c r="D223" i="33"/>
  <c r="C223" i="33"/>
  <c r="F62" i="39"/>
  <c r="Z62" i="39"/>
  <c r="D222" i="32"/>
  <c r="C222" i="32"/>
  <c r="B223" i="32"/>
  <c r="C228" i="30"/>
  <c r="D228" i="30"/>
  <c r="B229" i="30"/>
  <c r="D222" i="37"/>
  <c r="C222" i="37"/>
  <c r="B223" i="37"/>
  <c r="K221" i="40"/>
  <c r="E222" i="40"/>
  <c r="Z222" i="40" s="1"/>
  <c r="D222" i="40"/>
  <c r="C223" i="40"/>
  <c r="B244" i="39"/>
  <c r="E243" i="39"/>
  <c r="R243" i="39" s="1"/>
  <c r="B598" i="7"/>
  <c r="C597" i="7"/>
  <c r="C213" i="13"/>
  <c r="K206" i="12"/>
  <c r="C268" i="7"/>
  <c r="C208" i="46"/>
  <c r="C213" i="39"/>
  <c r="M112" i="7" l="1"/>
  <c r="H57" i="13"/>
  <c r="H112" i="7" s="1"/>
  <c r="AC57" i="13"/>
  <c r="Z57" i="13"/>
  <c r="U57" i="13"/>
  <c r="K87" i="46"/>
  <c r="J87" i="46"/>
  <c r="A87" i="46"/>
  <c r="M87" i="46" s="1"/>
  <c r="H87" i="46"/>
  <c r="L87" i="46"/>
  <c r="AB84" i="46"/>
  <c r="W85" i="46"/>
  <c r="X85" i="46"/>
  <c r="Y85" i="46"/>
  <c r="Z85" i="46"/>
  <c r="E271" i="7"/>
  <c r="O271" i="7"/>
  <c r="B272" i="7"/>
  <c r="E217" i="13"/>
  <c r="B218" i="13"/>
  <c r="J429" i="7"/>
  <c r="H61" i="28"/>
  <c r="AC79" i="40"/>
  <c r="I79" i="40" s="1"/>
  <c r="J79" i="40"/>
  <c r="Q79" i="40"/>
  <c r="X77" i="40"/>
  <c r="AF79" i="40"/>
  <c r="I135" i="32"/>
  <c r="P135" i="32"/>
  <c r="W133" i="32" s="1"/>
  <c r="Q135" i="32"/>
  <c r="F136" i="32"/>
  <c r="AG135" i="32"/>
  <c r="AE135" i="32" s="1"/>
  <c r="AD135" i="32"/>
  <c r="AB135" i="32" s="1"/>
  <c r="Y135" i="32"/>
  <c r="AA135" i="32" s="1"/>
  <c r="H89" i="33"/>
  <c r="Q89" i="33" s="1"/>
  <c r="Q90" i="37"/>
  <c r="F91" i="37"/>
  <c r="C229" i="28"/>
  <c r="B230" i="28"/>
  <c r="D229" i="28"/>
  <c r="D597" i="7" s="1"/>
  <c r="H98" i="30"/>
  <c r="F99" i="30" s="1"/>
  <c r="K99" i="30" s="1"/>
  <c r="B225" i="33"/>
  <c r="D224" i="33"/>
  <c r="C224" i="33"/>
  <c r="D212" i="46"/>
  <c r="T212" i="46"/>
  <c r="AA212" i="46" s="1"/>
  <c r="B213" i="46"/>
  <c r="E212" i="46"/>
  <c r="L62" i="39"/>
  <c r="K62" i="39"/>
  <c r="J62" i="39"/>
  <c r="Y62" i="39"/>
  <c r="X62" i="39" s="1"/>
  <c r="Q62" i="39"/>
  <c r="V62" i="39"/>
  <c r="S62" i="39"/>
  <c r="T62" i="39" s="1"/>
  <c r="D229" i="30"/>
  <c r="B230" i="30"/>
  <c r="C229" i="30"/>
  <c r="C223" i="32"/>
  <c r="B224" i="32"/>
  <c r="D223" i="32"/>
  <c r="K222" i="40"/>
  <c r="E223" i="40"/>
  <c r="Z223" i="40" s="1"/>
  <c r="C224" i="40"/>
  <c r="D223" i="40"/>
  <c r="B245" i="39"/>
  <c r="E244" i="39"/>
  <c r="R244" i="39" s="1"/>
  <c r="D223" i="37"/>
  <c r="B224" i="37"/>
  <c r="C223" i="37"/>
  <c r="B599" i="7"/>
  <c r="C598" i="7"/>
  <c r="C214" i="13"/>
  <c r="K207" i="12"/>
  <c r="C269" i="7"/>
  <c r="C209" i="46"/>
  <c r="C214" i="39"/>
  <c r="J57" i="13" l="1"/>
  <c r="X57" i="13"/>
  <c r="AA57" i="13"/>
  <c r="W57" i="13"/>
  <c r="G87" i="46"/>
  <c r="Q87" i="46" s="1"/>
  <c r="F88" i="46" s="1"/>
  <c r="I88" i="46" s="1"/>
  <c r="V85" i="46"/>
  <c r="U86" i="46" s="1"/>
  <c r="X86" i="46" s="1"/>
  <c r="E272" i="7"/>
  <c r="O272" i="7"/>
  <c r="B273" i="7"/>
  <c r="B219" i="13"/>
  <c r="E218" i="13"/>
  <c r="Q61" i="28"/>
  <c r="Q429" i="7" s="1"/>
  <c r="R61" i="28"/>
  <c r="R429" i="7" s="1"/>
  <c r="F62" i="28"/>
  <c r="H429" i="7"/>
  <c r="G80" i="40"/>
  <c r="R79" i="40"/>
  <c r="AF136" i="32"/>
  <c r="J136" i="32"/>
  <c r="AC136" i="32"/>
  <c r="L136" i="32"/>
  <c r="H136" i="32"/>
  <c r="Q136" i="32" s="1"/>
  <c r="M136" i="32"/>
  <c r="Z136" i="32"/>
  <c r="N136" i="32"/>
  <c r="K136" i="32"/>
  <c r="F90" i="33"/>
  <c r="M90" i="33" s="1"/>
  <c r="M91" i="37"/>
  <c r="L91" i="37"/>
  <c r="K91" i="37"/>
  <c r="J91" i="37"/>
  <c r="I91" i="37"/>
  <c r="C230" i="28"/>
  <c r="D230" i="28"/>
  <c r="D598" i="7" s="1"/>
  <c r="B231" i="28"/>
  <c r="P98" i="30"/>
  <c r="W96" i="30" s="1"/>
  <c r="I99" i="30"/>
  <c r="Q98" i="30"/>
  <c r="M99" i="30"/>
  <c r="L99" i="30"/>
  <c r="N99" i="30"/>
  <c r="J99" i="30" s="1"/>
  <c r="B226" i="33"/>
  <c r="C225" i="33"/>
  <c r="D225" i="33"/>
  <c r="U62" i="39"/>
  <c r="G62" i="39" s="1"/>
  <c r="D63" i="36" s="1"/>
  <c r="H62" i="39"/>
  <c r="E213" i="46"/>
  <c r="B214" i="46"/>
  <c r="D213" i="46"/>
  <c r="T213" i="46"/>
  <c r="AA213" i="46" s="1"/>
  <c r="B225" i="32"/>
  <c r="D224" i="32"/>
  <c r="C224" i="32"/>
  <c r="C230" i="30"/>
  <c r="D230" i="30"/>
  <c r="B231" i="30"/>
  <c r="B246" i="39"/>
  <c r="E245" i="39"/>
  <c r="R245" i="39" s="1"/>
  <c r="D224" i="37"/>
  <c r="B225" i="37"/>
  <c r="C224" i="37"/>
  <c r="K223" i="40"/>
  <c r="D224" i="40"/>
  <c r="E224" i="40"/>
  <c r="Z224" i="40" s="1"/>
  <c r="C225" i="40"/>
  <c r="B600" i="7"/>
  <c r="C599" i="7"/>
  <c r="C215" i="13"/>
  <c r="K208" i="12"/>
  <c r="C270" i="7"/>
  <c r="C210" i="46"/>
  <c r="C215" i="39"/>
  <c r="G57" i="13" l="1"/>
  <c r="P87" i="46"/>
  <c r="A88" i="46"/>
  <c r="M88" i="46" s="1"/>
  <c r="K88" i="46"/>
  <c r="H88" i="46"/>
  <c r="J88" i="46"/>
  <c r="L88" i="46"/>
  <c r="AB85" i="46"/>
  <c r="Z86" i="46"/>
  <c r="Y86" i="46"/>
  <c r="W86" i="46"/>
  <c r="V86" i="46" s="1"/>
  <c r="E273" i="7"/>
  <c r="O273" i="7"/>
  <c r="B274" i="7"/>
  <c r="E219" i="13"/>
  <c r="B220" i="13"/>
  <c r="F430" i="7"/>
  <c r="S430" i="7" s="1"/>
  <c r="L62" i="28"/>
  <c r="L430" i="7" s="1"/>
  <c r="AD62" i="28"/>
  <c r="K62" i="28"/>
  <c r="K430" i="7" s="1"/>
  <c r="M62" i="28"/>
  <c r="M430" i="7" s="1"/>
  <c r="N62" i="28"/>
  <c r="AE62" i="28" s="1"/>
  <c r="AG62" i="28"/>
  <c r="AA62" i="28"/>
  <c r="AG80" i="40"/>
  <c r="AD80" i="40"/>
  <c r="AH80" i="40"/>
  <c r="L80" i="40"/>
  <c r="N80" i="40"/>
  <c r="M80" i="40"/>
  <c r="AA80" i="40"/>
  <c r="AB80" i="40" s="1"/>
  <c r="I136" i="32"/>
  <c r="P136" i="32"/>
  <c r="W134" i="32" s="1"/>
  <c r="I62" i="39"/>
  <c r="AC62" i="39" s="1"/>
  <c r="AG136" i="32"/>
  <c r="AE136" i="32" s="1"/>
  <c r="AD136" i="32"/>
  <c r="AB136" i="32" s="1"/>
  <c r="Y136" i="32"/>
  <c r="AA136" i="32" s="1"/>
  <c r="F137" i="32"/>
  <c r="K90" i="33"/>
  <c r="I90" i="33"/>
  <c r="P90" i="33"/>
  <c r="W88" i="33" s="1"/>
  <c r="L90" i="33"/>
  <c r="N90" i="33"/>
  <c r="J90" i="33" s="1"/>
  <c r="P91" i="37"/>
  <c r="W89" i="37" s="1"/>
  <c r="H91" i="37"/>
  <c r="D231" i="28"/>
  <c r="D599" i="7" s="1"/>
  <c r="B232" i="28"/>
  <c r="C231" i="28"/>
  <c r="H99" i="30"/>
  <c r="P99" i="30" s="1"/>
  <c r="W97" i="30" s="1"/>
  <c r="D214" i="46"/>
  <c r="E214" i="46"/>
  <c r="B215" i="46"/>
  <c r="T214" i="46"/>
  <c r="AA214" i="46" s="1"/>
  <c r="O62" i="39"/>
  <c r="P62" i="39"/>
  <c r="C226" i="33"/>
  <c r="D226" i="33"/>
  <c r="B227" i="33"/>
  <c r="C231" i="30"/>
  <c r="D231" i="30"/>
  <c r="B232" i="30"/>
  <c r="B226" i="32"/>
  <c r="C225" i="32"/>
  <c r="D225" i="32"/>
  <c r="K224" i="40"/>
  <c r="D225" i="40"/>
  <c r="C226" i="40"/>
  <c r="E225" i="40"/>
  <c r="Z225" i="40" s="1"/>
  <c r="D225" i="37"/>
  <c r="B226" i="37"/>
  <c r="C225" i="37"/>
  <c r="B247" i="39"/>
  <c r="E246" i="39"/>
  <c r="R246" i="39" s="1"/>
  <c r="C600" i="7"/>
  <c r="B601" i="7"/>
  <c r="C216" i="13"/>
  <c r="K209" i="12"/>
  <c r="C271" i="7"/>
  <c r="C216" i="39"/>
  <c r="C211" i="46"/>
  <c r="G112" i="7" l="1"/>
  <c r="Q112" i="7" s="1"/>
  <c r="S57" i="13"/>
  <c r="R57" i="13"/>
  <c r="F58" i="13"/>
  <c r="L58" i="13" s="1"/>
  <c r="K113" i="7" s="1"/>
  <c r="G88" i="46"/>
  <c r="Q88" i="46" s="1"/>
  <c r="F89" i="46" s="1"/>
  <c r="A89" i="46" s="1"/>
  <c r="M89" i="46" s="1"/>
  <c r="AB86" i="46"/>
  <c r="U87" i="46"/>
  <c r="X87" i="46" s="1"/>
  <c r="E274" i="7"/>
  <c r="O274" i="7"/>
  <c r="B275" i="7"/>
  <c r="I62" i="13"/>
  <c r="I117" i="7" s="1"/>
  <c r="B221" i="13"/>
  <c r="E220" i="13"/>
  <c r="AC62" i="28"/>
  <c r="I62" i="28"/>
  <c r="I430" i="7" s="1"/>
  <c r="X60" i="28"/>
  <c r="AH62" i="28"/>
  <c r="N430" i="7"/>
  <c r="Z62" i="28"/>
  <c r="AB62" i="28" s="1"/>
  <c r="AF80" i="40"/>
  <c r="Q80" i="40"/>
  <c r="X78" i="40"/>
  <c r="AC80" i="40"/>
  <c r="I80" i="40" s="1"/>
  <c r="J80" i="40"/>
  <c r="AF137" i="32"/>
  <c r="Z137" i="32"/>
  <c r="L137" i="32"/>
  <c r="H137" i="32"/>
  <c r="N137" i="32"/>
  <c r="J137" i="32"/>
  <c r="AC137" i="32"/>
  <c r="K137" i="32"/>
  <c r="M137" i="32"/>
  <c r="H90" i="33"/>
  <c r="F91" i="33" s="1"/>
  <c r="K91" i="33" s="1"/>
  <c r="F92" i="37"/>
  <c r="Q91" i="37"/>
  <c r="C232" i="28"/>
  <c r="B233" i="28"/>
  <c r="D232" i="28"/>
  <c r="D600" i="7" s="1"/>
  <c r="Q99" i="30"/>
  <c r="F100" i="30"/>
  <c r="M100" i="30" s="1"/>
  <c r="B228" i="33"/>
  <c r="D227" i="33"/>
  <c r="C227" i="33"/>
  <c r="F63" i="39"/>
  <c r="Z63" i="39"/>
  <c r="T215" i="46"/>
  <c r="AA215" i="46" s="1"/>
  <c r="D215" i="46"/>
  <c r="E215" i="46"/>
  <c r="B216" i="46"/>
  <c r="C64" i="36"/>
  <c r="E63" i="36"/>
  <c r="D232" i="30"/>
  <c r="B233" i="30"/>
  <c r="C232" i="30"/>
  <c r="B227" i="32"/>
  <c r="D226" i="32"/>
  <c r="C226" i="32"/>
  <c r="K225" i="40"/>
  <c r="C226" i="37"/>
  <c r="D226" i="37"/>
  <c r="B227" i="37"/>
  <c r="E226" i="40"/>
  <c r="Z226" i="40" s="1"/>
  <c r="C227" i="40"/>
  <c r="D226" i="40"/>
  <c r="B248" i="39"/>
  <c r="E247" i="39"/>
  <c r="R247" i="39" s="1"/>
  <c r="B602" i="7"/>
  <c r="C601" i="7"/>
  <c r="C217" i="13"/>
  <c r="K210" i="12"/>
  <c r="C272" i="7"/>
  <c r="C212" i="46"/>
  <c r="C217" i="39"/>
  <c r="K58" i="13" l="1"/>
  <c r="J113" i="7" s="1"/>
  <c r="N58" i="13"/>
  <c r="M113" i="7" s="1"/>
  <c r="F113" i="7"/>
  <c r="R113" i="7" s="1"/>
  <c r="V58" i="13"/>
  <c r="AB58" i="13"/>
  <c r="M58" i="13"/>
  <c r="L113" i="7" s="1"/>
  <c r="Y58" i="13"/>
  <c r="H58" i="13"/>
  <c r="H113" i="7" s="1"/>
  <c r="P88" i="46"/>
  <c r="H89" i="46"/>
  <c r="L89" i="46"/>
  <c r="I89" i="46"/>
  <c r="K89" i="46"/>
  <c r="J89" i="46"/>
  <c r="Z87" i="46"/>
  <c r="Y87" i="46"/>
  <c r="W87" i="46"/>
  <c r="V87" i="46" s="1"/>
  <c r="E275" i="7"/>
  <c r="O275" i="7"/>
  <c r="B276" i="7"/>
  <c r="B222" i="13"/>
  <c r="E221" i="13"/>
  <c r="AF62" i="28"/>
  <c r="J62" i="28"/>
  <c r="G81" i="40"/>
  <c r="R80" i="40"/>
  <c r="I137" i="32"/>
  <c r="P137" i="32"/>
  <c r="W135" i="32" s="1"/>
  <c r="AG137" i="32"/>
  <c r="AE137" i="32" s="1"/>
  <c r="Y137" i="32"/>
  <c r="AA137" i="32" s="1"/>
  <c r="AD137" i="32"/>
  <c r="AB137" i="32" s="1"/>
  <c r="F138" i="32"/>
  <c r="Q137" i="32"/>
  <c r="N91" i="33"/>
  <c r="J91" i="33" s="1"/>
  <c r="L91" i="33"/>
  <c r="Q90" i="33"/>
  <c r="P91" i="33"/>
  <c r="W89" i="33" s="1"/>
  <c r="M91" i="33"/>
  <c r="I91" i="33"/>
  <c r="I92" i="37"/>
  <c r="L92" i="37"/>
  <c r="M92" i="37"/>
  <c r="J92" i="37"/>
  <c r="K92" i="37"/>
  <c r="L100" i="30"/>
  <c r="B234" i="28"/>
  <c r="D233" i="28"/>
  <c r="D601" i="7" s="1"/>
  <c r="C233" i="28"/>
  <c r="I100" i="30"/>
  <c r="N100" i="30"/>
  <c r="J100" i="30" s="1"/>
  <c r="K100" i="30"/>
  <c r="V63" i="39"/>
  <c r="K63" i="39"/>
  <c r="L63" i="39"/>
  <c r="Y63" i="39"/>
  <c r="X63" i="39" s="1"/>
  <c r="J63" i="39"/>
  <c r="Q63" i="39"/>
  <c r="S63" i="39"/>
  <c r="T63" i="39" s="1"/>
  <c r="E216" i="46"/>
  <c r="B217" i="46"/>
  <c r="T216" i="46"/>
  <c r="AA216" i="46" s="1"/>
  <c r="D216" i="46"/>
  <c r="B229" i="33"/>
  <c r="C228" i="33"/>
  <c r="D228" i="33"/>
  <c r="C227" i="32"/>
  <c r="D227" i="32"/>
  <c r="B228" i="32"/>
  <c r="C233" i="30"/>
  <c r="B234" i="30"/>
  <c r="D233" i="30"/>
  <c r="K226" i="40"/>
  <c r="D227" i="40"/>
  <c r="E227" i="40"/>
  <c r="Z227" i="40" s="1"/>
  <c r="C228" i="40"/>
  <c r="B249" i="39"/>
  <c r="E248" i="39"/>
  <c r="R248" i="39" s="1"/>
  <c r="C227" i="37"/>
  <c r="D227" i="37"/>
  <c r="B228" i="37"/>
  <c r="B603" i="7"/>
  <c r="C602" i="7"/>
  <c r="C218" i="13"/>
  <c r="K211" i="12"/>
  <c r="C273" i="7"/>
  <c r="C213" i="46"/>
  <c r="C218" i="39"/>
  <c r="U58" i="13" l="1"/>
  <c r="AC58" i="13"/>
  <c r="Z58" i="13"/>
  <c r="J58" i="13"/>
  <c r="G89" i="46"/>
  <c r="Q89" i="46" s="1"/>
  <c r="F90" i="46" s="1"/>
  <c r="A90" i="46" s="1"/>
  <c r="M90" i="46" s="1"/>
  <c r="U88" i="46"/>
  <c r="Y88" i="46" s="1"/>
  <c r="E276" i="7"/>
  <c r="O276" i="7"/>
  <c r="B277" i="7"/>
  <c r="E222" i="13"/>
  <c r="B223" i="13"/>
  <c r="H62" i="28"/>
  <c r="J430" i="7"/>
  <c r="N81" i="40"/>
  <c r="AH81" i="40"/>
  <c r="M81" i="40"/>
  <c r="L81" i="40"/>
  <c r="AG81" i="40"/>
  <c r="AD81" i="40"/>
  <c r="AA81" i="40"/>
  <c r="AB81" i="40" s="1"/>
  <c r="Z138" i="32"/>
  <c r="H138" i="32"/>
  <c r="F139" i="32" s="1"/>
  <c r="L138" i="32"/>
  <c r="M138" i="32"/>
  <c r="K138" i="32"/>
  <c r="AF138" i="32"/>
  <c r="J138" i="32"/>
  <c r="N138" i="32"/>
  <c r="AC138" i="32"/>
  <c r="H91" i="33"/>
  <c r="Q91" i="33" s="1"/>
  <c r="P92" i="37"/>
  <c r="W90" i="37" s="1"/>
  <c r="H92" i="37"/>
  <c r="H100" i="30"/>
  <c r="P100" i="30" s="1"/>
  <c r="W98" i="30" s="1"/>
  <c r="D234" i="28"/>
  <c r="D602" i="7" s="1"/>
  <c r="B235" i="28"/>
  <c r="C234" i="28"/>
  <c r="AB87" i="46"/>
  <c r="D229" i="33"/>
  <c r="B230" i="33"/>
  <c r="C229" i="33"/>
  <c r="U63" i="39"/>
  <c r="G63" i="39" s="1"/>
  <c r="D64" i="36" s="1"/>
  <c r="H63" i="39"/>
  <c r="E217" i="46"/>
  <c r="T217" i="46"/>
  <c r="AA217" i="46" s="1"/>
  <c r="B218" i="46"/>
  <c r="D217" i="46"/>
  <c r="K227" i="40"/>
  <c r="D234" i="30"/>
  <c r="C234" i="30"/>
  <c r="B235" i="30"/>
  <c r="C228" i="32"/>
  <c r="D228" i="32"/>
  <c r="B229" i="32"/>
  <c r="B250" i="39"/>
  <c r="E249" i="39"/>
  <c r="R249" i="39" s="1"/>
  <c r="C228" i="37"/>
  <c r="B229" i="37"/>
  <c r="D228" i="37"/>
  <c r="D228" i="40"/>
  <c r="E228" i="40"/>
  <c r="Z228" i="40" s="1"/>
  <c r="C229" i="40"/>
  <c r="C603" i="7"/>
  <c r="B604" i="7"/>
  <c r="C219" i="13"/>
  <c r="K212" i="12"/>
  <c r="C274" i="7"/>
  <c r="C214" i="46"/>
  <c r="C219" i="39"/>
  <c r="W58" i="13" l="1"/>
  <c r="AA58" i="13"/>
  <c r="X58" i="13"/>
  <c r="G58" i="13"/>
  <c r="G113" i="7" s="1"/>
  <c r="Q113" i="7" s="1"/>
  <c r="L90" i="46"/>
  <c r="P89" i="46"/>
  <c r="I90" i="46"/>
  <c r="H90" i="46"/>
  <c r="J90" i="46"/>
  <c r="K90" i="46"/>
  <c r="X88" i="46"/>
  <c r="Z88" i="46"/>
  <c r="W88" i="46"/>
  <c r="E277" i="7"/>
  <c r="O277" i="7"/>
  <c r="B278" i="7"/>
  <c r="B224" i="13"/>
  <c r="E223" i="13"/>
  <c r="R62" i="28"/>
  <c r="R430" i="7" s="1"/>
  <c r="Q62" i="28"/>
  <c r="Q430" i="7" s="1"/>
  <c r="H430" i="7"/>
  <c r="F63" i="28"/>
  <c r="AC81" i="40"/>
  <c r="I81" i="40" s="1"/>
  <c r="J81" i="40"/>
  <c r="Q81" i="40"/>
  <c r="X79" i="40"/>
  <c r="AF81" i="40"/>
  <c r="I138" i="32"/>
  <c r="P138" i="32"/>
  <c r="W136" i="32" s="1"/>
  <c r="I63" i="39"/>
  <c r="AC63" i="39" s="1"/>
  <c r="Q138" i="32"/>
  <c r="AG138" i="32"/>
  <c r="AE138" i="32" s="1"/>
  <c r="Y138" i="32"/>
  <c r="AA138" i="32" s="1"/>
  <c r="AD138" i="32"/>
  <c r="AB138" i="32" s="1"/>
  <c r="K139" i="32"/>
  <c r="L139" i="32"/>
  <c r="Z139" i="32"/>
  <c r="AF139" i="32"/>
  <c r="H139" i="32"/>
  <c r="Q139" i="32" s="1"/>
  <c r="N139" i="32"/>
  <c r="AG139" i="32" s="1"/>
  <c r="J139" i="32"/>
  <c r="M139" i="32"/>
  <c r="AC139" i="32"/>
  <c r="F92" i="33"/>
  <c r="I92" i="33" s="1"/>
  <c r="Q92" i="37"/>
  <c r="F93" i="37"/>
  <c r="Q100" i="30"/>
  <c r="F101" i="30"/>
  <c r="K101" i="30" s="1"/>
  <c r="B236" i="28"/>
  <c r="D235" i="28"/>
  <c r="D603" i="7" s="1"/>
  <c r="C235" i="28"/>
  <c r="D230" i="33"/>
  <c r="C230" i="33"/>
  <c r="B231" i="33"/>
  <c r="B219" i="46"/>
  <c r="D218" i="46"/>
  <c r="E218" i="46"/>
  <c r="T218" i="46"/>
  <c r="AA218" i="46" s="1"/>
  <c r="O63" i="39"/>
  <c r="P63" i="39"/>
  <c r="C235" i="30"/>
  <c r="D235" i="30"/>
  <c r="B236" i="30"/>
  <c r="C229" i="32"/>
  <c r="B230" i="32"/>
  <c r="D229" i="32"/>
  <c r="K228" i="40"/>
  <c r="D229" i="37"/>
  <c r="C229" i="37"/>
  <c r="B230" i="37"/>
  <c r="E229" i="40"/>
  <c r="Z229" i="40" s="1"/>
  <c r="D229" i="40"/>
  <c r="C230" i="40"/>
  <c r="B251" i="39"/>
  <c r="E250" i="39"/>
  <c r="R250" i="39" s="1"/>
  <c r="B605" i="7"/>
  <c r="C604" i="7"/>
  <c r="C220" i="13"/>
  <c r="K213" i="12"/>
  <c r="C275" i="7"/>
  <c r="C220" i="39"/>
  <c r="C215" i="46"/>
  <c r="F59" i="13" l="1"/>
  <c r="R58" i="13"/>
  <c r="S58" i="13"/>
  <c r="V59" i="13"/>
  <c r="F114" i="7"/>
  <c r="R114" i="7" s="1"/>
  <c r="G90" i="46"/>
  <c r="Q90" i="46" s="1"/>
  <c r="F91" i="46" s="1"/>
  <c r="A91" i="46" s="1"/>
  <c r="M91" i="46" s="1"/>
  <c r="V88" i="46"/>
  <c r="AB88" i="46" s="1"/>
  <c r="O278" i="7"/>
  <c r="E278" i="7"/>
  <c r="B279" i="7"/>
  <c r="B225" i="13"/>
  <c r="E224" i="13"/>
  <c r="L63" i="28"/>
  <c r="L431" i="7" s="1"/>
  <c r="M63" i="28"/>
  <c r="M431" i="7" s="1"/>
  <c r="N63" i="28"/>
  <c r="N431" i="7" s="1"/>
  <c r="AG63" i="28"/>
  <c r="F431" i="7"/>
  <c r="S431" i="7" s="1"/>
  <c r="AA63" i="28"/>
  <c r="AD63" i="28"/>
  <c r="K63" i="28"/>
  <c r="K431" i="7" s="1"/>
  <c r="R81" i="40"/>
  <c r="G82" i="40"/>
  <c r="I139" i="32"/>
  <c r="P139" i="32"/>
  <c r="W137" i="32" s="1"/>
  <c r="AE139" i="32"/>
  <c r="F140" i="32"/>
  <c r="Y139" i="32"/>
  <c r="AA139" i="32" s="1"/>
  <c r="AD139" i="32"/>
  <c r="AB139" i="32" s="1"/>
  <c r="N92" i="33"/>
  <c r="J92" i="33" s="1"/>
  <c r="H92" i="33" s="1"/>
  <c r="F93" i="33" s="1"/>
  <c r="L93" i="33" s="1"/>
  <c r="L92" i="33"/>
  <c r="M92" i="33"/>
  <c r="K92" i="33"/>
  <c r="P92" i="33"/>
  <c r="W90" i="33" s="1"/>
  <c r="K93" i="37"/>
  <c r="L93" i="37"/>
  <c r="M93" i="37"/>
  <c r="J93" i="37"/>
  <c r="I93" i="37"/>
  <c r="M101" i="30"/>
  <c r="N101" i="30"/>
  <c r="J101" i="30" s="1"/>
  <c r="L101" i="30"/>
  <c r="I101" i="30"/>
  <c r="C236" i="28"/>
  <c r="B237" i="28"/>
  <c r="D236" i="28"/>
  <c r="D604" i="7" s="1"/>
  <c r="F64" i="39"/>
  <c r="Z64" i="39"/>
  <c r="E64" i="36"/>
  <c r="C65" i="36"/>
  <c r="T219" i="46"/>
  <c r="AA219" i="46" s="1"/>
  <c r="D219" i="46"/>
  <c r="B220" i="46"/>
  <c r="E219" i="46"/>
  <c r="D231" i="33"/>
  <c r="C231" i="33"/>
  <c r="B232" i="33"/>
  <c r="D230" i="32"/>
  <c r="B231" i="32"/>
  <c r="C230" i="32"/>
  <c r="B237" i="30"/>
  <c r="C236" i="30"/>
  <c r="D236" i="30"/>
  <c r="K229" i="40"/>
  <c r="B252" i="39"/>
  <c r="E251" i="39"/>
  <c r="R251" i="39" s="1"/>
  <c r="E230" i="40"/>
  <c r="Z230" i="40" s="1"/>
  <c r="C231" i="40"/>
  <c r="D230" i="40"/>
  <c r="C230" i="37"/>
  <c r="B231" i="37"/>
  <c r="D230" i="37"/>
  <c r="C605" i="7"/>
  <c r="B606" i="7"/>
  <c r="C221" i="13"/>
  <c r="K214" i="12"/>
  <c r="C276" i="7"/>
  <c r="C216" i="46"/>
  <c r="C221" i="39"/>
  <c r="N59" i="13" l="1"/>
  <c r="M114" i="7" s="1"/>
  <c r="L59" i="13"/>
  <c r="K114" i="7" s="1"/>
  <c r="AB59" i="13"/>
  <c r="K59" i="13"/>
  <c r="J114" i="7" s="1"/>
  <c r="Y59" i="13"/>
  <c r="M59" i="13"/>
  <c r="L114" i="7" s="1"/>
  <c r="H91" i="46"/>
  <c r="K91" i="46"/>
  <c r="P90" i="46"/>
  <c r="L91" i="46"/>
  <c r="J91" i="46"/>
  <c r="I91" i="46"/>
  <c r="U89" i="46"/>
  <c r="W89" i="46" s="1"/>
  <c r="O279" i="7"/>
  <c r="E279" i="7"/>
  <c r="B280" i="7"/>
  <c r="I63" i="13"/>
  <c r="B226" i="13"/>
  <c r="E225" i="13"/>
  <c r="I63" i="28"/>
  <c r="I431" i="7" s="1"/>
  <c r="Z63" i="28"/>
  <c r="AB63" i="28" s="1"/>
  <c r="X61" i="28"/>
  <c r="AH63" i="28"/>
  <c r="AF63" i="28" s="1"/>
  <c r="AE63" i="28"/>
  <c r="AC63" i="28" s="1"/>
  <c r="AA82" i="40"/>
  <c r="AB82" i="40" s="1"/>
  <c r="M82" i="40"/>
  <c r="N82" i="40"/>
  <c r="AG82" i="40"/>
  <c r="AD82" i="40"/>
  <c r="AH82" i="40"/>
  <c r="L82" i="40"/>
  <c r="M140" i="32"/>
  <c r="K140" i="32"/>
  <c r="Z140" i="32"/>
  <c r="J140" i="32"/>
  <c r="N140" i="32"/>
  <c r="AC140" i="32"/>
  <c r="AF140" i="32"/>
  <c r="L140" i="32"/>
  <c r="H140" i="32"/>
  <c r="Q140" i="32" s="1"/>
  <c r="K93" i="33"/>
  <c r="M93" i="33"/>
  <c r="Q92" i="33"/>
  <c r="I93" i="33"/>
  <c r="N93" i="33"/>
  <c r="J93" i="33" s="1"/>
  <c r="P93" i="33"/>
  <c r="W91" i="33" s="1"/>
  <c r="H93" i="37"/>
  <c r="P93" i="37"/>
  <c r="W91" i="37" s="1"/>
  <c r="H101" i="30"/>
  <c r="F102" i="30" s="1"/>
  <c r="C237" i="28"/>
  <c r="B238" i="28"/>
  <c r="D237" i="28"/>
  <c r="D605" i="7" s="1"/>
  <c r="C232" i="33"/>
  <c r="D232" i="33"/>
  <c r="B233" i="33"/>
  <c r="B221" i="46"/>
  <c r="T220" i="46"/>
  <c r="AA220" i="46" s="1"/>
  <c r="D220" i="46"/>
  <c r="E220" i="46"/>
  <c r="K64" i="39"/>
  <c r="Y64" i="39"/>
  <c r="X64" i="39" s="1"/>
  <c r="Q64" i="39"/>
  <c r="L64" i="39"/>
  <c r="V64" i="39"/>
  <c r="S64" i="39"/>
  <c r="T64" i="39" s="1"/>
  <c r="J64" i="39"/>
  <c r="D231" i="32"/>
  <c r="C231" i="32"/>
  <c r="B232" i="32"/>
  <c r="B238" i="30"/>
  <c r="C237" i="30"/>
  <c r="D237" i="30"/>
  <c r="K230" i="40"/>
  <c r="B232" i="37"/>
  <c r="D231" i="37"/>
  <c r="C231" i="37"/>
  <c r="D231" i="40"/>
  <c r="C232" i="40"/>
  <c r="E231" i="40"/>
  <c r="Z231" i="40" s="1"/>
  <c r="B253" i="39"/>
  <c r="E252" i="39"/>
  <c r="B607" i="7"/>
  <c r="C606" i="7"/>
  <c r="K215" i="12"/>
  <c r="C222" i="13"/>
  <c r="C277" i="7"/>
  <c r="C217" i="46"/>
  <c r="C222" i="39"/>
  <c r="AC59" i="13" l="1"/>
  <c r="U59" i="13"/>
  <c r="Z59" i="13"/>
  <c r="J59" i="13"/>
  <c r="H59" i="13"/>
  <c r="H114" i="7" s="1"/>
  <c r="G91" i="46"/>
  <c r="X89" i="46"/>
  <c r="V89" i="46" s="1"/>
  <c r="U90" i="46" s="1"/>
  <c r="Z89" i="46"/>
  <c r="Y89" i="46"/>
  <c r="O280" i="7"/>
  <c r="E280" i="7"/>
  <c r="B281" i="7"/>
  <c r="I118" i="7"/>
  <c r="B227" i="13"/>
  <c r="E226" i="13"/>
  <c r="J63" i="28"/>
  <c r="H63" i="28" s="1"/>
  <c r="AF82" i="40"/>
  <c r="Q82" i="40"/>
  <c r="X80" i="40"/>
  <c r="AC82" i="40"/>
  <c r="I82" i="40" s="1"/>
  <c r="J82" i="40"/>
  <c r="I140" i="32"/>
  <c r="P140" i="32"/>
  <c r="W138" i="32" s="1"/>
  <c r="AG140" i="32"/>
  <c r="AE140" i="32" s="1"/>
  <c r="AD140" i="32"/>
  <c r="AB140" i="32" s="1"/>
  <c r="Y140" i="32"/>
  <c r="AA140" i="32" s="1"/>
  <c r="F141" i="32"/>
  <c r="H93" i="33"/>
  <c r="F94" i="33" s="1"/>
  <c r="F94" i="37"/>
  <c r="Q93" i="37"/>
  <c r="Q101" i="30"/>
  <c r="P101" i="30"/>
  <c r="W99" i="30" s="1"/>
  <c r="C238" i="28"/>
  <c r="D238" i="28"/>
  <c r="D606" i="7" s="1"/>
  <c r="B239" i="28"/>
  <c r="K102" i="30"/>
  <c r="M102" i="30"/>
  <c r="N102" i="30"/>
  <c r="J102" i="30" s="1"/>
  <c r="L102" i="30"/>
  <c r="I102" i="30"/>
  <c r="U64" i="39"/>
  <c r="G64" i="39" s="1"/>
  <c r="D65" i="36" s="1"/>
  <c r="H64" i="39"/>
  <c r="B222" i="46"/>
  <c r="D221" i="46"/>
  <c r="E221" i="46"/>
  <c r="T221" i="46"/>
  <c r="AA221" i="46" s="1"/>
  <c r="C233" i="33"/>
  <c r="D233" i="33"/>
  <c r="B234" i="33"/>
  <c r="K231" i="40"/>
  <c r="C238" i="30"/>
  <c r="B239" i="30"/>
  <c r="D238" i="30"/>
  <c r="B233" i="32"/>
  <c r="C232" i="32"/>
  <c r="D232" i="32"/>
  <c r="C233" i="40"/>
  <c r="E232" i="40"/>
  <c r="Z232" i="40" s="1"/>
  <c r="D232" i="40"/>
  <c r="B233" i="37"/>
  <c r="D232" i="37"/>
  <c r="C232" i="37"/>
  <c r="R252" i="39"/>
  <c r="B254" i="39"/>
  <c r="E253" i="39"/>
  <c r="B608" i="7"/>
  <c r="C607" i="7"/>
  <c r="C223" i="13"/>
  <c r="K216" i="12"/>
  <c r="C278" i="7"/>
  <c r="C218" i="46"/>
  <c r="C223" i="39"/>
  <c r="AA59" i="13" l="1"/>
  <c r="W59" i="13"/>
  <c r="X59" i="13"/>
  <c r="G59" i="13"/>
  <c r="G114" i="7" s="1"/>
  <c r="Q114" i="7" s="1"/>
  <c r="Q91" i="46"/>
  <c r="F92" i="46" s="1"/>
  <c r="I92" i="46" s="1"/>
  <c r="P91" i="46"/>
  <c r="AB89" i="46"/>
  <c r="O281" i="7"/>
  <c r="E281" i="7"/>
  <c r="B282" i="7"/>
  <c r="B228" i="13"/>
  <c r="E227" i="13"/>
  <c r="J431" i="7"/>
  <c r="F64" i="28"/>
  <c r="Q63" i="28"/>
  <c r="Q431" i="7" s="1"/>
  <c r="H431" i="7"/>
  <c r="R63" i="28"/>
  <c r="R431" i="7" s="1"/>
  <c r="G83" i="40"/>
  <c r="R82" i="40"/>
  <c r="I64" i="39"/>
  <c r="AC64" i="39" s="1"/>
  <c r="K141" i="32"/>
  <c r="J141" i="32"/>
  <c r="Z141" i="32"/>
  <c r="H141" i="32"/>
  <c r="F142" i="32" s="1"/>
  <c r="AF141" i="32"/>
  <c r="N141" i="32"/>
  <c r="L141" i="32"/>
  <c r="AC141" i="32"/>
  <c r="M141" i="32"/>
  <c r="Q93" i="33"/>
  <c r="I94" i="33"/>
  <c r="N94" i="33"/>
  <c r="J94" i="33" s="1"/>
  <c r="K94" i="33"/>
  <c r="M94" i="33"/>
  <c r="P94" i="33"/>
  <c r="W92" i="33" s="1"/>
  <c r="L94" i="33"/>
  <c r="M94" i="37"/>
  <c r="J94" i="37"/>
  <c r="I94" i="37"/>
  <c r="L94" i="37"/>
  <c r="K94" i="37"/>
  <c r="B240" i="28"/>
  <c r="C239" i="28"/>
  <c r="D239" i="28"/>
  <c r="D607" i="7" s="1"/>
  <c r="H102" i="30"/>
  <c r="C234" i="33"/>
  <c r="D234" i="33"/>
  <c r="B235" i="33"/>
  <c r="Z90" i="46"/>
  <c r="Y90" i="46"/>
  <c r="X90" i="46"/>
  <c r="W90" i="46"/>
  <c r="T222" i="46"/>
  <c r="AA222" i="46" s="1"/>
  <c r="E222" i="46"/>
  <c r="D222" i="46"/>
  <c r="B223" i="46"/>
  <c r="O64" i="39"/>
  <c r="P64" i="39"/>
  <c r="K232" i="40"/>
  <c r="B240" i="30"/>
  <c r="C239" i="30"/>
  <c r="D239" i="30"/>
  <c r="B234" i="32"/>
  <c r="D233" i="32"/>
  <c r="C233" i="32"/>
  <c r="B255" i="39"/>
  <c r="E254" i="39"/>
  <c r="C233" i="37"/>
  <c r="B234" i="37"/>
  <c r="D233" i="37"/>
  <c r="E233" i="40"/>
  <c r="Z233" i="40" s="1"/>
  <c r="C234" i="40"/>
  <c r="D233" i="40"/>
  <c r="R253" i="39"/>
  <c r="B609" i="7"/>
  <c r="C608" i="7"/>
  <c r="K217" i="12"/>
  <c r="C224" i="13"/>
  <c r="C279" i="7"/>
  <c r="C224" i="39"/>
  <c r="C219" i="46"/>
  <c r="S59" i="13" l="1"/>
  <c r="F60" i="13"/>
  <c r="R59" i="13"/>
  <c r="A92" i="46"/>
  <c r="M92" i="46" s="1"/>
  <c r="J92" i="46"/>
  <c r="K92" i="46"/>
  <c r="H92" i="46"/>
  <c r="L92" i="46"/>
  <c r="O282" i="7"/>
  <c r="E282" i="7"/>
  <c r="B283" i="7"/>
  <c r="B229" i="13"/>
  <c r="E228" i="13"/>
  <c r="P228" i="13"/>
  <c r="L64" i="28"/>
  <c r="L432" i="7" s="1"/>
  <c r="AD64" i="28"/>
  <c r="K64" i="28"/>
  <c r="K432" i="7" s="1"/>
  <c r="AA64" i="28"/>
  <c r="M64" i="28"/>
  <c r="M432" i="7" s="1"/>
  <c r="N64" i="28"/>
  <c r="N432" i="7" s="1"/>
  <c r="F432" i="7"/>
  <c r="S432" i="7" s="1"/>
  <c r="AG64" i="28"/>
  <c r="L83" i="40"/>
  <c r="M83" i="40"/>
  <c r="AG83" i="40"/>
  <c r="AA83" i="40"/>
  <c r="AB83" i="40" s="1"/>
  <c r="AD83" i="40"/>
  <c r="N83" i="40"/>
  <c r="AH83" i="40"/>
  <c r="I141" i="32"/>
  <c r="P141" i="32"/>
  <c r="W139" i="32" s="1"/>
  <c r="Q141" i="32"/>
  <c r="AD141" i="32"/>
  <c r="AB141" i="32" s="1"/>
  <c r="Y141" i="32"/>
  <c r="AA141" i="32" s="1"/>
  <c r="H142" i="32"/>
  <c r="F143" i="32" s="1"/>
  <c r="J142" i="32"/>
  <c r="AF142" i="32"/>
  <c r="M142" i="32"/>
  <c r="N142" i="32"/>
  <c r="AC142" i="32"/>
  <c r="L142" i="32"/>
  <c r="Z142" i="32"/>
  <c r="K142" i="32"/>
  <c r="AG141" i="32"/>
  <c r="AE141" i="32" s="1"/>
  <c r="H94" i="33"/>
  <c r="Q94" i="33" s="1"/>
  <c r="H94" i="37"/>
  <c r="F95" i="37" s="1"/>
  <c r="P94" i="37"/>
  <c r="W92" i="37" s="1"/>
  <c r="B241" i="28"/>
  <c r="C240" i="28"/>
  <c r="D240" i="28"/>
  <c r="D608" i="7" s="1"/>
  <c r="Q102" i="30"/>
  <c r="P102" i="30"/>
  <c r="W100" i="30" s="1"/>
  <c r="F103" i="30"/>
  <c r="B224" i="46"/>
  <c r="T223" i="46"/>
  <c r="AA223" i="46" s="1"/>
  <c r="E223" i="46"/>
  <c r="D223" i="46"/>
  <c r="V90" i="46"/>
  <c r="F65" i="39"/>
  <c r="Z65" i="39"/>
  <c r="E65" i="36"/>
  <c r="C66" i="36"/>
  <c r="B236" i="33"/>
  <c r="D235" i="33"/>
  <c r="C235" i="33"/>
  <c r="C234" i="32"/>
  <c r="D234" i="32"/>
  <c r="B235" i="32"/>
  <c r="D240" i="30"/>
  <c r="B241" i="30"/>
  <c r="C240" i="30"/>
  <c r="K233" i="40"/>
  <c r="E234" i="40"/>
  <c r="Z234" i="40" s="1"/>
  <c r="D234" i="40"/>
  <c r="C235" i="40"/>
  <c r="C234" i="37"/>
  <c r="B235" i="37"/>
  <c r="D234" i="37"/>
  <c r="R254" i="39"/>
  <c r="B256" i="39"/>
  <c r="E255" i="39"/>
  <c r="B610" i="7"/>
  <c r="C609" i="7"/>
  <c r="C225" i="13"/>
  <c r="K218" i="12"/>
  <c r="C280" i="7"/>
  <c r="C220" i="46"/>
  <c r="C225" i="39"/>
  <c r="V60" i="13" l="1"/>
  <c r="F115" i="7"/>
  <c r="R115" i="7" s="1"/>
  <c r="K60" i="13"/>
  <c r="J115" i="7" s="1"/>
  <c r="Y60" i="13"/>
  <c r="L60" i="13"/>
  <c r="K115" i="7" s="1"/>
  <c r="N60" i="13"/>
  <c r="AB60" i="13"/>
  <c r="M60" i="13"/>
  <c r="L115" i="7" s="1"/>
  <c r="G92" i="46"/>
  <c r="E283" i="7"/>
  <c r="O283" i="7"/>
  <c r="B284" i="7"/>
  <c r="I64" i="13"/>
  <c r="E229" i="13"/>
  <c r="B230" i="13"/>
  <c r="I64" i="28"/>
  <c r="I432" i="7" s="1"/>
  <c r="AE64" i="28"/>
  <c r="AC64" i="28" s="1"/>
  <c r="Z64" i="28"/>
  <c r="AB64" i="28" s="1"/>
  <c r="X62" i="28"/>
  <c r="AH64" i="28"/>
  <c r="AF83" i="40"/>
  <c r="AC83" i="40"/>
  <c r="I83" i="40" s="1"/>
  <c r="J83" i="40"/>
  <c r="X81" i="40"/>
  <c r="Q83" i="40"/>
  <c r="I142" i="32"/>
  <c r="P142" i="32"/>
  <c r="W140" i="32" s="1"/>
  <c r="Q142" i="32"/>
  <c r="AG142" i="32"/>
  <c r="AE142" i="32" s="1"/>
  <c r="AD142" i="32"/>
  <c r="AB142" i="32" s="1"/>
  <c r="Y142" i="32"/>
  <c r="AA142" i="32" s="1"/>
  <c r="M143" i="32"/>
  <c r="N143" i="32"/>
  <c r="J143" i="32"/>
  <c r="AF143" i="32"/>
  <c r="AC143" i="32"/>
  <c r="H143" i="32"/>
  <c r="Q143" i="32" s="1"/>
  <c r="L143" i="32"/>
  <c r="K143" i="32"/>
  <c r="Z143" i="32"/>
  <c r="F95" i="33"/>
  <c r="P95" i="33" s="1"/>
  <c r="W93" i="33" s="1"/>
  <c r="Q94" i="37"/>
  <c r="K95" i="37"/>
  <c r="I95" i="37"/>
  <c r="M95" i="37"/>
  <c r="J95" i="37"/>
  <c r="L95" i="37"/>
  <c r="B242" i="28"/>
  <c r="D241" i="28"/>
  <c r="D609" i="7" s="1"/>
  <c r="C241" i="28"/>
  <c r="M103" i="30"/>
  <c r="L103" i="30"/>
  <c r="K103" i="30"/>
  <c r="N103" i="30"/>
  <c r="J103" i="30" s="1"/>
  <c r="I103" i="30"/>
  <c r="V65" i="39"/>
  <c r="K65" i="39"/>
  <c r="Q65" i="39"/>
  <c r="J65" i="39"/>
  <c r="Y65" i="39"/>
  <c r="X65" i="39" s="1"/>
  <c r="S65" i="39"/>
  <c r="T65" i="39" s="1"/>
  <c r="L65" i="39"/>
  <c r="AB90" i="46"/>
  <c r="U91" i="46"/>
  <c r="D236" i="33"/>
  <c r="C236" i="33"/>
  <c r="B237" i="33"/>
  <c r="T224" i="46"/>
  <c r="AA224" i="46" s="1"/>
  <c r="D224" i="46"/>
  <c r="B225" i="46"/>
  <c r="E224" i="46"/>
  <c r="B236" i="32"/>
  <c r="D235" i="32"/>
  <c r="C235" i="32"/>
  <c r="C241" i="30"/>
  <c r="D241" i="30"/>
  <c r="B242" i="30"/>
  <c r="K234" i="40"/>
  <c r="C236" i="40"/>
  <c r="E235" i="40"/>
  <c r="Z235" i="40" s="1"/>
  <c r="D235" i="40"/>
  <c r="R255" i="39"/>
  <c r="B257" i="39"/>
  <c r="E256" i="39"/>
  <c r="C235" i="37"/>
  <c r="B236" i="37"/>
  <c r="D235" i="37"/>
  <c r="B611" i="7"/>
  <c r="C610" i="7"/>
  <c r="K219" i="12"/>
  <c r="C226" i="13"/>
  <c r="C281" i="7"/>
  <c r="C221" i="46"/>
  <c r="C226" i="39"/>
  <c r="H60" i="13" l="1"/>
  <c r="H115" i="7" s="1"/>
  <c r="M115" i="7"/>
  <c r="E51" i="10"/>
  <c r="U60" i="13"/>
  <c r="W60" i="13" s="1"/>
  <c r="AC60" i="13"/>
  <c r="Z60" i="13"/>
  <c r="X60" i="13" s="1"/>
  <c r="P92" i="46"/>
  <c r="Q92" i="46"/>
  <c r="F93" i="46" s="1"/>
  <c r="E284" i="7"/>
  <c r="O284" i="7"/>
  <c r="B285" i="7"/>
  <c r="I119" i="7"/>
  <c r="E230" i="13"/>
  <c r="B231" i="13"/>
  <c r="AF64" i="28"/>
  <c r="J64" i="28"/>
  <c r="R83" i="40"/>
  <c r="G84" i="40"/>
  <c r="I143" i="32"/>
  <c r="P143" i="32"/>
  <c r="W141" i="32" s="1"/>
  <c r="F144" i="32"/>
  <c r="L144" i="32" s="1"/>
  <c r="AG143" i="32"/>
  <c r="AE143" i="32" s="1"/>
  <c r="Y143" i="32"/>
  <c r="AA143" i="32" s="1"/>
  <c r="AD143" i="32"/>
  <c r="AB143" i="32" s="1"/>
  <c r="I95" i="33"/>
  <c r="L95" i="33"/>
  <c r="K95" i="33"/>
  <c r="N95" i="33"/>
  <c r="J95" i="33" s="1"/>
  <c r="M95" i="33"/>
  <c r="H95" i="37"/>
  <c r="Q95" i="37" s="1"/>
  <c r="P95" i="37"/>
  <c r="W93" i="37" s="1"/>
  <c r="C242" i="28"/>
  <c r="B243" i="28"/>
  <c r="D242" i="28"/>
  <c r="D610" i="7" s="1"/>
  <c r="H103" i="30"/>
  <c r="B238" i="33"/>
  <c r="C237" i="33"/>
  <c r="D237" i="33"/>
  <c r="T225" i="46"/>
  <c r="AA225" i="46" s="1"/>
  <c r="E225" i="46"/>
  <c r="B226" i="46"/>
  <c r="D225" i="46"/>
  <c r="W91" i="46"/>
  <c r="X91" i="46"/>
  <c r="Z91" i="46"/>
  <c r="Y91" i="46"/>
  <c r="U65" i="39"/>
  <c r="G65" i="39" s="1"/>
  <c r="D66" i="36" s="1"/>
  <c r="H65" i="39"/>
  <c r="B243" i="30"/>
  <c r="C242" i="30"/>
  <c r="D242" i="30"/>
  <c r="C236" i="32"/>
  <c r="B237" i="32"/>
  <c r="D236" i="32"/>
  <c r="B258" i="39"/>
  <c r="E257" i="39"/>
  <c r="K235" i="40"/>
  <c r="B237" i="37"/>
  <c r="D236" i="37"/>
  <c r="C236" i="37"/>
  <c r="C237" i="40"/>
  <c r="E236" i="40"/>
  <c r="Z236" i="40" s="1"/>
  <c r="D236" i="40"/>
  <c r="R256" i="39"/>
  <c r="C611" i="7"/>
  <c r="B612" i="7"/>
  <c r="C227" i="13"/>
  <c r="K220" i="12"/>
  <c r="C282" i="7"/>
  <c r="C222" i="46"/>
  <c r="C227" i="39"/>
  <c r="AA60" i="13" l="1"/>
  <c r="J60" i="13"/>
  <c r="H93" i="46"/>
  <c r="A93" i="46"/>
  <c r="M93" i="46" s="1"/>
  <c r="L93" i="46"/>
  <c r="J93" i="46"/>
  <c r="I93" i="46"/>
  <c r="K93" i="46"/>
  <c r="O285" i="7"/>
  <c r="E285" i="7"/>
  <c r="B286" i="7"/>
  <c r="B232" i="13"/>
  <c r="E231" i="13"/>
  <c r="J432" i="7"/>
  <c r="H64" i="28"/>
  <c r="M84" i="40"/>
  <c r="L84" i="40"/>
  <c r="AH84" i="40"/>
  <c r="AD84" i="40"/>
  <c r="AG84" i="40"/>
  <c r="AA84" i="40"/>
  <c r="AB84" i="40" s="1"/>
  <c r="N84" i="40"/>
  <c r="I65" i="39"/>
  <c r="AC65" i="39" s="1"/>
  <c r="AF144" i="32"/>
  <c r="AC144" i="32"/>
  <c r="N144" i="32"/>
  <c r="AD144" i="32" s="1"/>
  <c r="J144" i="32"/>
  <c r="H144" i="32"/>
  <c r="F145" i="32" s="1"/>
  <c r="N145" i="32" s="1"/>
  <c r="K144" i="32"/>
  <c r="Z144" i="32"/>
  <c r="M144" i="32"/>
  <c r="H95" i="33"/>
  <c r="F96" i="33" s="1"/>
  <c r="L96" i="33" s="1"/>
  <c r="F96" i="37"/>
  <c r="K96" i="37" s="1"/>
  <c r="B244" i="28"/>
  <c r="C243" i="28"/>
  <c r="D243" i="28"/>
  <c r="D611" i="7" s="1"/>
  <c r="P103" i="30"/>
  <c r="W101" i="30" s="1"/>
  <c r="Q103" i="30"/>
  <c r="F104" i="30"/>
  <c r="V91" i="46"/>
  <c r="C238" i="33"/>
  <c r="D238" i="33"/>
  <c r="B239" i="33"/>
  <c r="O65" i="39"/>
  <c r="P65" i="39"/>
  <c r="B227" i="46"/>
  <c r="E226" i="46"/>
  <c r="T226" i="46"/>
  <c r="AA226" i="46" s="1"/>
  <c r="D226" i="46"/>
  <c r="C243" i="30"/>
  <c r="D243" i="30"/>
  <c r="B244" i="30"/>
  <c r="C237" i="32"/>
  <c r="B238" i="32"/>
  <c r="D237" i="32"/>
  <c r="K236" i="40"/>
  <c r="D237" i="37"/>
  <c r="B238" i="37"/>
  <c r="C237" i="37"/>
  <c r="B259" i="39"/>
  <c r="E258" i="39"/>
  <c r="E237" i="40"/>
  <c r="Z237" i="40" s="1"/>
  <c r="C238" i="40"/>
  <c r="D237" i="40"/>
  <c r="R257" i="39"/>
  <c r="B613" i="7"/>
  <c r="C612" i="7"/>
  <c r="K221" i="12"/>
  <c r="C228" i="13"/>
  <c r="C283" i="7"/>
  <c r="C228" i="39"/>
  <c r="C223" i="46"/>
  <c r="G60" i="13" l="1"/>
  <c r="G115" i="7" s="1"/>
  <c r="G93" i="46"/>
  <c r="U92" i="46"/>
  <c r="W92" i="46" s="1"/>
  <c r="O286" i="7"/>
  <c r="E286" i="7"/>
  <c r="B287" i="7"/>
  <c r="E232" i="13"/>
  <c r="B233" i="13"/>
  <c r="R64" i="28"/>
  <c r="R432" i="7" s="1"/>
  <c r="Q64" i="28"/>
  <c r="Q432" i="7" s="1"/>
  <c r="F65" i="28"/>
  <c r="H432" i="7"/>
  <c r="AF84" i="40"/>
  <c r="AC84" i="40"/>
  <c r="I84" i="40" s="1"/>
  <c r="J84" i="40"/>
  <c r="Q84" i="40"/>
  <c r="X82" i="40"/>
  <c r="I144" i="32"/>
  <c r="AB144" i="32"/>
  <c r="P144" i="32"/>
  <c r="W142" i="32" s="1"/>
  <c r="AG144" i="32"/>
  <c r="AE144" i="32" s="1"/>
  <c r="Y144" i="32"/>
  <c r="AA144" i="32" s="1"/>
  <c r="L145" i="32"/>
  <c r="Q144" i="32"/>
  <c r="M145" i="32"/>
  <c r="Z145" i="32"/>
  <c r="J145" i="32"/>
  <c r="H145" i="32"/>
  <c r="Q145" i="32" s="1"/>
  <c r="K145" i="32"/>
  <c r="AF145" i="32"/>
  <c r="AC145" i="32"/>
  <c r="AG145" i="32"/>
  <c r="AD145" i="32"/>
  <c r="Y145" i="32"/>
  <c r="Q95" i="33"/>
  <c r="M96" i="33"/>
  <c r="I96" i="33"/>
  <c r="N96" i="33"/>
  <c r="J96" i="33" s="1"/>
  <c r="P96" i="33"/>
  <c r="W94" i="33" s="1"/>
  <c r="K96" i="33"/>
  <c r="L96" i="37"/>
  <c r="J96" i="37"/>
  <c r="I96" i="37"/>
  <c r="M96" i="37"/>
  <c r="C244" i="28"/>
  <c r="B245" i="28"/>
  <c r="D244" i="28"/>
  <c r="D612" i="7" s="1"/>
  <c r="L104" i="30"/>
  <c r="K104" i="30"/>
  <c r="N104" i="30"/>
  <c r="J104" i="30" s="1"/>
  <c r="I104" i="30"/>
  <c r="M104" i="30"/>
  <c r="AB91" i="46"/>
  <c r="Z66" i="39"/>
  <c r="F66" i="39"/>
  <c r="C67" i="36"/>
  <c r="E66" i="36"/>
  <c r="B240" i="33"/>
  <c r="D239" i="33"/>
  <c r="C239" i="33"/>
  <c r="B228" i="46"/>
  <c r="D227" i="46"/>
  <c r="E227" i="46"/>
  <c r="T227" i="46"/>
  <c r="AA227" i="46" s="1"/>
  <c r="D238" i="32"/>
  <c r="C238" i="32"/>
  <c r="B239" i="32"/>
  <c r="D244" i="30"/>
  <c r="B245" i="30"/>
  <c r="C244" i="30"/>
  <c r="K237" i="40"/>
  <c r="E238" i="40"/>
  <c r="Z238" i="40" s="1"/>
  <c r="C239" i="40"/>
  <c r="D238" i="40"/>
  <c r="R258" i="39"/>
  <c r="B260" i="39"/>
  <c r="E259" i="39"/>
  <c r="C238" i="37"/>
  <c r="B239" i="37"/>
  <c r="D238" i="37"/>
  <c r="B614" i="7"/>
  <c r="C613" i="7"/>
  <c r="C229" i="13"/>
  <c r="K222" i="12"/>
  <c r="C284" i="7"/>
  <c r="C224" i="46"/>
  <c r="C229" i="39"/>
  <c r="Q115" i="7" l="1"/>
  <c r="P115" i="7"/>
  <c r="S60" i="13"/>
  <c r="R60" i="13"/>
  <c r="F61" i="13"/>
  <c r="F116" i="7"/>
  <c r="R116" i="7" s="1"/>
  <c r="P93" i="46"/>
  <c r="Q93" i="46"/>
  <c r="F94" i="46" s="1"/>
  <c r="X92" i="46"/>
  <c r="V92" i="46" s="1"/>
  <c r="U93" i="46" s="1"/>
  <c r="W93" i="46" s="1"/>
  <c r="Y92" i="46"/>
  <c r="Z92" i="46"/>
  <c r="O287" i="7"/>
  <c r="E287" i="7"/>
  <c r="B288" i="7"/>
  <c r="I65" i="13"/>
  <c r="B234" i="13"/>
  <c r="E233" i="13"/>
  <c r="L65" i="28"/>
  <c r="L433" i="7" s="1"/>
  <c r="K65" i="28"/>
  <c r="K433" i="7" s="1"/>
  <c r="AD65" i="28"/>
  <c r="M65" i="28"/>
  <c r="M433" i="7" s="1"/>
  <c r="AG65" i="28"/>
  <c r="AA65" i="28"/>
  <c r="F433" i="7"/>
  <c r="S433" i="7" s="1"/>
  <c r="N65" i="28"/>
  <c r="Z65" i="28" s="1"/>
  <c r="P96" i="37"/>
  <c r="W94" i="37" s="1"/>
  <c r="G85" i="40"/>
  <c r="R84" i="40"/>
  <c r="I145" i="32"/>
  <c r="P145" i="32"/>
  <c r="W143" i="32" s="1"/>
  <c r="AB145" i="32"/>
  <c r="AA145" i="32"/>
  <c r="F146" i="32"/>
  <c r="K146" i="32" s="1"/>
  <c r="AE145" i="32"/>
  <c r="H96" i="33"/>
  <c r="Q96" i="33" s="1"/>
  <c r="H96" i="37"/>
  <c r="F97" i="37" s="1"/>
  <c r="I97" i="37" s="1"/>
  <c r="D245" i="28"/>
  <c r="D613" i="7" s="1"/>
  <c r="C245" i="28"/>
  <c r="B246" i="28"/>
  <c r="H104" i="30"/>
  <c r="B241" i="33"/>
  <c r="D240" i="33"/>
  <c r="C240" i="33"/>
  <c r="S66" i="39"/>
  <c r="T66" i="39" s="1"/>
  <c r="Y66" i="39"/>
  <c r="X66" i="39" s="1"/>
  <c r="V66" i="39"/>
  <c r="Q66" i="39"/>
  <c r="L66" i="39"/>
  <c r="J66" i="39"/>
  <c r="K66" i="39"/>
  <c r="B229" i="46"/>
  <c r="E228" i="46"/>
  <c r="D228" i="46"/>
  <c r="T228" i="46"/>
  <c r="AA228" i="46" s="1"/>
  <c r="B240" i="32"/>
  <c r="C239" i="32"/>
  <c r="D239" i="32"/>
  <c r="B246" i="30"/>
  <c r="D245" i="30"/>
  <c r="C245" i="30"/>
  <c r="K238" i="40"/>
  <c r="R259" i="39"/>
  <c r="B261" i="39"/>
  <c r="E260" i="39"/>
  <c r="B240" i="37"/>
  <c r="C239" i="37"/>
  <c r="D239" i="37"/>
  <c r="C240" i="40"/>
  <c r="E239" i="40"/>
  <c r="Z239" i="40" s="1"/>
  <c r="D239" i="40"/>
  <c r="B615" i="7"/>
  <c r="C614" i="7"/>
  <c r="K223" i="12"/>
  <c r="C230" i="13"/>
  <c r="C285" i="7"/>
  <c r="C225" i="46"/>
  <c r="C230" i="39"/>
  <c r="K61" i="13" l="1"/>
  <c r="J116" i="7" s="1"/>
  <c r="V61" i="13"/>
  <c r="AB61" i="13"/>
  <c r="M61" i="13"/>
  <c r="L116" i="7" s="1"/>
  <c r="Y61" i="13"/>
  <c r="L61" i="13"/>
  <c r="K116" i="7" s="1"/>
  <c r="N61" i="13"/>
  <c r="K94" i="46"/>
  <c r="A94" i="46"/>
  <c r="M94" i="46" s="1"/>
  <c r="H94" i="46"/>
  <c r="L94" i="46"/>
  <c r="J94" i="46"/>
  <c r="I94" i="46"/>
  <c r="AB92" i="46"/>
  <c r="Z93" i="46"/>
  <c r="Y93" i="46"/>
  <c r="X93" i="46"/>
  <c r="V93" i="46" s="1"/>
  <c r="E288" i="7"/>
  <c r="O288" i="7"/>
  <c r="B289" i="7"/>
  <c r="I120" i="7"/>
  <c r="E234" i="13"/>
  <c r="B235" i="13"/>
  <c r="I65" i="28"/>
  <c r="I433" i="7" s="1"/>
  <c r="X63" i="28"/>
  <c r="AB65" i="28"/>
  <c r="AH65" i="28"/>
  <c r="N433" i="7"/>
  <c r="AE65" i="28"/>
  <c r="AC65" i="28" s="1"/>
  <c r="AH85" i="40"/>
  <c r="AA85" i="40"/>
  <c r="AB85" i="40" s="1"/>
  <c r="N85" i="40"/>
  <c r="M85" i="40"/>
  <c r="AD85" i="40"/>
  <c r="L85" i="40"/>
  <c r="AG85" i="40"/>
  <c r="J146" i="32"/>
  <c r="L146" i="32"/>
  <c r="AC146" i="32"/>
  <c r="H146" i="32"/>
  <c r="Q146" i="32" s="1"/>
  <c r="N146" i="32"/>
  <c r="AG146" i="32" s="1"/>
  <c r="Z146" i="32"/>
  <c r="M146" i="32"/>
  <c r="AF146" i="32"/>
  <c r="F97" i="33"/>
  <c r="N97" i="33" s="1"/>
  <c r="J97" i="33" s="1"/>
  <c r="J97" i="37"/>
  <c r="H97" i="37" s="1"/>
  <c r="K97" i="37"/>
  <c r="L97" i="37"/>
  <c r="M97" i="37"/>
  <c r="Q96" i="37"/>
  <c r="B247" i="28"/>
  <c r="C246" i="28"/>
  <c r="D246" i="28"/>
  <c r="D614" i="7" s="1"/>
  <c r="F105" i="30"/>
  <c r="P104" i="30"/>
  <c r="W102" i="30" s="1"/>
  <c r="Q104" i="30"/>
  <c r="H66" i="39"/>
  <c r="U66" i="39"/>
  <c r="G66" i="39" s="1"/>
  <c r="D67" i="36" s="1"/>
  <c r="B242" i="33"/>
  <c r="C241" i="33"/>
  <c r="D241" i="33"/>
  <c r="D229" i="46"/>
  <c r="B230" i="46"/>
  <c r="T229" i="46"/>
  <c r="AA229" i="46" s="1"/>
  <c r="E229" i="46"/>
  <c r="C246" i="30"/>
  <c r="D246" i="30"/>
  <c r="B247" i="30"/>
  <c r="D240" i="32"/>
  <c r="B241" i="32"/>
  <c r="C240" i="32"/>
  <c r="K239" i="40"/>
  <c r="R260" i="39"/>
  <c r="B262" i="39"/>
  <c r="E261" i="39"/>
  <c r="B241" i="37"/>
  <c r="D240" i="37"/>
  <c r="C240" i="37"/>
  <c r="C241" i="40"/>
  <c r="E240" i="40"/>
  <c r="Z240" i="40" s="1"/>
  <c r="D240" i="40"/>
  <c r="B616" i="7"/>
  <c r="C615" i="7"/>
  <c r="C231" i="13"/>
  <c r="K224" i="12"/>
  <c r="C286" i="7"/>
  <c r="C226" i="46"/>
  <c r="C231" i="39"/>
  <c r="M116" i="7" l="1"/>
  <c r="H61" i="13"/>
  <c r="H116" i="7" s="1"/>
  <c r="Z61" i="13"/>
  <c r="X61" i="13" s="1"/>
  <c r="AC61" i="13"/>
  <c r="U61" i="13"/>
  <c r="W61" i="13" s="1"/>
  <c r="G94" i="46"/>
  <c r="AB93" i="46"/>
  <c r="E289" i="7"/>
  <c r="O289" i="7"/>
  <c r="B290" i="7"/>
  <c r="E235" i="13"/>
  <c r="B236" i="13"/>
  <c r="AF65" i="28"/>
  <c r="J65" i="28"/>
  <c r="P97" i="37"/>
  <c r="W95" i="37" s="1"/>
  <c r="Q85" i="40"/>
  <c r="X83" i="40"/>
  <c r="AC85" i="40"/>
  <c r="I85" i="40" s="1"/>
  <c r="J85" i="40"/>
  <c r="AF85" i="40"/>
  <c r="I146" i="32"/>
  <c r="I66" i="39"/>
  <c r="AC66" i="39" s="1"/>
  <c r="P146" i="32"/>
  <c r="W144" i="32" s="1"/>
  <c r="F147" i="32"/>
  <c r="AF147" i="32" s="1"/>
  <c r="AD146" i="32"/>
  <c r="AB146" i="32" s="1"/>
  <c r="Y146" i="32"/>
  <c r="AA146" i="32" s="1"/>
  <c r="AE146" i="32"/>
  <c r="I97" i="33"/>
  <c r="H97" i="33" s="1"/>
  <c r="Q97" i="33" s="1"/>
  <c r="P97" i="33"/>
  <c r="W95" i="33" s="1"/>
  <c r="M97" i="33"/>
  <c r="K97" i="33"/>
  <c r="L97" i="33"/>
  <c r="Q97" i="37"/>
  <c r="F98" i="37"/>
  <c r="B248" i="28"/>
  <c r="C247" i="28"/>
  <c r="D247" i="28"/>
  <c r="D615" i="7" s="1"/>
  <c r="U94" i="46"/>
  <c r="Y94" i="46" s="1"/>
  <c r="M105" i="30"/>
  <c r="I105" i="30"/>
  <c r="K105" i="30"/>
  <c r="N105" i="30"/>
  <c r="J105" i="30" s="1"/>
  <c r="L105" i="30"/>
  <c r="O66" i="39"/>
  <c r="P66" i="39"/>
  <c r="E230" i="46"/>
  <c r="D230" i="46"/>
  <c r="B231" i="46"/>
  <c r="T230" i="46"/>
  <c r="AA230" i="46" s="1"/>
  <c r="D242" i="33"/>
  <c r="B243" i="33"/>
  <c r="C242" i="33"/>
  <c r="B242" i="32"/>
  <c r="D241" i="32"/>
  <c r="C241" i="32"/>
  <c r="B248" i="30"/>
  <c r="D247" i="30"/>
  <c r="C247" i="30"/>
  <c r="K240" i="40"/>
  <c r="B263" i="39"/>
  <c r="E262" i="39"/>
  <c r="B242" i="37"/>
  <c r="C241" i="37"/>
  <c r="D241" i="37"/>
  <c r="E241" i="40"/>
  <c r="Z241" i="40" s="1"/>
  <c r="C242" i="40"/>
  <c r="D241" i="40"/>
  <c r="R261" i="39"/>
  <c r="C616" i="7"/>
  <c r="B617" i="7"/>
  <c r="K225" i="12"/>
  <c r="C232" i="13"/>
  <c r="C287" i="7"/>
  <c r="C232" i="39"/>
  <c r="C227" i="46"/>
  <c r="J61" i="13" l="1"/>
  <c r="AA61" i="13"/>
  <c r="P94" i="46"/>
  <c r="Q94" i="46"/>
  <c r="F95" i="46" s="1"/>
  <c r="E290" i="7"/>
  <c r="O290" i="7"/>
  <c r="B291" i="7"/>
  <c r="B237" i="13"/>
  <c r="E236" i="13"/>
  <c r="H65" i="28"/>
  <c r="J433" i="7"/>
  <c r="R85" i="40"/>
  <c r="G86" i="40"/>
  <c r="Z147" i="32"/>
  <c r="H147" i="32"/>
  <c r="F148" i="32" s="1"/>
  <c r="Z148" i="32" s="1"/>
  <c r="M147" i="32"/>
  <c r="K147" i="32"/>
  <c r="N147" i="32"/>
  <c r="AG147" i="32" s="1"/>
  <c r="AE147" i="32" s="1"/>
  <c r="AC147" i="32"/>
  <c r="J147" i="32"/>
  <c r="L147" i="32"/>
  <c r="F98" i="33"/>
  <c r="P98" i="33" s="1"/>
  <c r="W96" i="33" s="1"/>
  <c r="K98" i="37"/>
  <c r="J98" i="37"/>
  <c r="L98" i="37"/>
  <c r="I98" i="37"/>
  <c r="M98" i="37"/>
  <c r="C248" i="28"/>
  <c r="B249" i="28"/>
  <c r="D248" i="28"/>
  <c r="D616" i="7" s="1"/>
  <c r="W94" i="46"/>
  <c r="Z94" i="46"/>
  <c r="X94" i="46"/>
  <c r="H105" i="30"/>
  <c r="P105" i="30" s="1"/>
  <c r="W103" i="30" s="1"/>
  <c r="B232" i="46"/>
  <c r="E231" i="46"/>
  <c r="T231" i="46"/>
  <c r="AA231" i="46" s="1"/>
  <c r="D231" i="46"/>
  <c r="F67" i="39"/>
  <c r="Z67" i="39"/>
  <c r="C243" i="33"/>
  <c r="B244" i="33"/>
  <c r="D243" i="33"/>
  <c r="C68" i="36"/>
  <c r="E67" i="36"/>
  <c r="C248" i="30"/>
  <c r="D248" i="30"/>
  <c r="B249" i="30"/>
  <c r="B243" i="32"/>
  <c r="D242" i="32"/>
  <c r="C242" i="32"/>
  <c r="K241" i="40"/>
  <c r="E242" i="40"/>
  <c r="Z242" i="40" s="1"/>
  <c r="D242" i="40"/>
  <c r="C243" i="40"/>
  <c r="C242" i="37"/>
  <c r="D242" i="37"/>
  <c r="B243" i="37"/>
  <c r="R262" i="39"/>
  <c r="E263" i="39"/>
  <c r="B264" i="39"/>
  <c r="C617" i="7"/>
  <c r="B618" i="7"/>
  <c r="C233" i="13"/>
  <c r="K226" i="12"/>
  <c r="C288" i="7"/>
  <c r="C228" i="46"/>
  <c r="C233" i="39"/>
  <c r="G61" i="13" l="1"/>
  <c r="G116" i="7" s="1"/>
  <c r="Q116" i="7" s="1"/>
  <c r="H95" i="46"/>
  <c r="I95" i="46"/>
  <c r="L95" i="46"/>
  <c r="K95" i="46"/>
  <c r="J95" i="46"/>
  <c r="A95" i="46"/>
  <c r="M95" i="46" s="1"/>
  <c r="I66" i="13"/>
  <c r="I121" i="7" s="1"/>
  <c r="E291" i="7"/>
  <c r="O291" i="7"/>
  <c r="B292" i="7"/>
  <c r="B238" i="13"/>
  <c r="E237" i="13"/>
  <c r="F66" i="28"/>
  <c r="H433" i="7"/>
  <c r="R65" i="28"/>
  <c r="R433" i="7" s="1"/>
  <c r="Q65" i="28"/>
  <c r="Q433" i="7" s="1"/>
  <c r="AG86" i="40"/>
  <c r="M86" i="40"/>
  <c r="L86" i="40"/>
  <c r="AD86" i="40"/>
  <c r="AA86" i="40"/>
  <c r="AB86" i="40" s="1"/>
  <c r="AH86" i="40"/>
  <c r="N86" i="40"/>
  <c r="I147" i="32"/>
  <c r="Y147" i="32"/>
  <c r="AA147" i="32" s="1"/>
  <c r="AD147" i="32"/>
  <c r="AB147" i="32" s="1"/>
  <c r="AF148" i="32"/>
  <c r="M148" i="32"/>
  <c r="H148" i="32"/>
  <c r="F149" i="32" s="1"/>
  <c r="M149" i="32" s="1"/>
  <c r="J148" i="32"/>
  <c r="N148" i="32"/>
  <c r="AG148" i="32" s="1"/>
  <c r="K148" i="32"/>
  <c r="AC148" i="32"/>
  <c r="L148" i="32"/>
  <c r="Q147" i="32"/>
  <c r="P147" i="32"/>
  <c r="W145" i="32" s="1"/>
  <c r="N98" i="33"/>
  <c r="J98" i="33" s="1"/>
  <c r="M98" i="33"/>
  <c r="L98" i="33"/>
  <c r="K98" i="33"/>
  <c r="I98" i="33"/>
  <c r="H98" i="37"/>
  <c r="P98" i="37"/>
  <c r="W96" i="37" s="1"/>
  <c r="V94" i="46"/>
  <c r="B250" i="28"/>
  <c r="C249" i="28"/>
  <c r="D249" i="28"/>
  <c r="D617" i="7" s="1"/>
  <c r="F106" i="30"/>
  <c r="Q105" i="30"/>
  <c r="T232" i="46"/>
  <c r="AA232" i="46" s="1"/>
  <c r="B233" i="46"/>
  <c r="E232" i="46"/>
  <c r="D232" i="46"/>
  <c r="B245" i="33"/>
  <c r="C244" i="33"/>
  <c r="D244" i="33"/>
  <c r="Q67" i="39"/>
  <c r="J67" i="39"/>
  <c r="K67" i="39"/>
  <c r="S67" i="39"/>
  <c r="T67" i="39" s="1"/>
  <c r="L67" i="39"/>
  <c r="V67" i="39"/>
  <c r="Y67" i="39"/>
  <c r="X67" i="39" s="1"/>
  <c r="D243" i="32"/>
  <c r="C243" i="32"/>
  <c r="B244" i="32"/>
  <c r="C249" i="30"/>
  <c r="D249" i="30"/>
  <c r="B250" i="30"/>
  <c r="K242" i="40"/>
  <c r="D243" i="37"/>
  <c r="B244" i="37"/>
  <c r="C243" i="37"/>
  <c r="R263" i="39"/>
  <c r="B265" i="39"/>
  <c r="E264" i="39"/>
  <c r="C244" i="40"/>
  <c r="E243" i="40"/>
  <c r="Z243" i="40" s="1"/>
  <c r="D243" i="40"/>
  <c r="B619" i="7"/>
  <c r="C618" i="7"/>
  <c r="K227" i="12"/>
  <c r="C234" i="13"/>
  <c r="C289" i="7"/>
  <c r="C229" i="46"/>
  <c r="C234" i="39"/>
  <c r="F62" i="13" l="1"/>
  <c r="S61" i="13"/>
  <c r="R61" i="13"/>
  <c r="N62" i="13"/>
  <c r="G95" i="46"/>
  <c r="AB94" i="46"/>
  <c r="O292" i="7"/>
  <c r="E292" i="7"/>
  <c r="B293" i="7"/>
  <c r="B239" i="13"/>
  <c r="E238" i="13"/>
  <c r="AF86" i="40"/>
  <c r="L66" i="28"/>
  <c r="L434" i="7" s="1"/>
  <c r="AA66" i="28"/>
  <c r="N66" i="28"/>
  <c r="N434" i="7" s="1"/>
  <c r="K66" i="28"/>
  <c r="K434" i="7" s="1"/>
  <c r="F434" i="7"/>
  <c r="S434" i="7" s="1"/>
  <c r="AD66" i="28"/>
  <c r="M66" i="28"/>
  <c r="M434" i="7" s="1"/>
  <c r="AG66" i="28"/>
  <c r="J86" i="40"/>
  <c r="AC86" i="40"/>
  <c r="I86" i="40" s="1"/>
  <c r="X84" i="40"/>
  <c r="Q86" i="40"/>
  <c r="I148" i="32"/>
  <c r="P148" i="32"/>
  <c r="W146" i="32" s="1"/>
  <c r="AE148" i="32"/>
  <c r="J149" i="32"/>
  <c r="AF149" i="32"/>
  <c r="Q148" i="32"/>
  <c r="AC149" i="32"/>
  <c r="H149" i="32"/>
  <c r="Q149" i="32" s="1"/>
  <c r="N149" i="32"/>
  <c r="AG149" i="32" s="1"/>
  <c r="L149" i="32"/>
  <c r="K149" i="32"/>
  <c r="Z149" i="32"/>
  <c r="AD148" i="32"/>
  <c r="AB148" i="32" s="1"/>
  <c r="Y148" i="32"/>
  <c r="AA148" i="32" s="1"/>
  <c r="H98" i="33"/>
  <c r="Q98" i="33" s="1"/>
  <c r="F99" i="37"/>
  <c r="Q98" i="37"/>
  <c r="U95" i="46"/>
  <c r="X95" i="46" s="1"/>
  <c r="D250" i="28"/>
  <c r="D618" i="7" s="1"/>
  <c r="C250" i="28"/>
  <c r="B251" i="28"/>
  <c r="M106" i="30"/>
  <c r="K106" i="30"/>
  <c r="I106" i="30"/>
  <c r="L106" i="30"/>
  <c r="N106" i="30"/>
  <c r="J106" i="30" s="1"/>
  <c r="D245" i="33"/>
  <c r="B246" i="33"/>
  <c r="C245" i="33"/>
  <c r="T233" i="46"/>
  <c r="AA233" i="46" s="1"/>
  <c r="D233" i="46"/>
  <c r="B234" i="46"/>
  <c r="E233" i="46"/>
  <c r="H67" i="39"/>
  <c r="U67" i="39"/>
  <c r="G67" i="39" s="1"/>
  <c r="D68" i="36" s="1"/>
  <c r="K243" i="40"/>
  <c r="B251" i="30"/>
  <c r="C250" i="30"/>
  <c r="D250" i="30"/>
  <c r="C244" i="32"/>
  <c r="B245" i="32"/>
  <c r="D244" i="32"/>
  <c r="D244" i="40"/>
  <c r="C245" i="40"/>
  <c r="E244" i="40"/>
  <c r="Z244" i="40" s="1"/>
  <c r="R264" i="39"/>
  <c r="B266" i="39"/>
  <c r="E265" i="39"/>
  <c r="B245" i="37"/>
  <c r="D244" i="37"/>
  <c r="C244" i="37"/>
  <c r="B620" i="7"/>
  <c r="C619" i="7"/>
  <c r="C235" i="13"/>
  <c r="K228" i="12"/>
  <c r="C290" i="7"/>
  <c r="C230" i="46"/>
  <c r="C235" i="39"/>
  <c r="Y62" i="13" l="1"/>
  <c r="K62" i="13"/>
  <c r="J117" i="7" s="1"/>
  <c r="F117" i="7"/>
  <c r="R117" i="7" s="1"/>
  <c r="L62" i="13"/>
  <c r="K117" i="7" s="1"/>
  <c r="M62" i="13"/>
  <c r="L117" i="7" s="1"/>
  <c r="V62" i="13"/>
  <c r="AB62" i="13"/>
  <c r="H62" i="13"/>
  <c r="H117" i="7" s="1"/>
  <c r="U62" i="13"/>
  <c r="AC62" i="13"/>
  <c r="Z62" i="13"/>
  <c r="M117" i="7"/>
  <c r="Q95" i="46"/>
  <c r="F96" i="46" s="1"/>
  <c r="P95" i="46"/>
  <c r="O293" i="7"/>
  <c r="E293" i="7"/>
  <c r="B294" i="7"/>
  <c r="E239" i="13"/>
  <c r="B240" i="13"/>
  <c r="I66" i="28"/>
  <c r="I434" i="7" s="1"/>
  <c r="Z66" i="28"/>
  <c r="AB66" i="28" s="1"/>
  <c r="X64" i="28"/>
  <c r="AE66" i="28"/>
  <c r="AC66" i="28" s="1"/>
  <c r="AH66" i="28"/>
  <c r="G87" i="40"/>
  <c r="R86" i="40"/>
  <c r="I149" i="32"/>
  <c r="AE149" i="32"/>
  <c r="P149" i="32"/>
  <c r="W147" i="32" s="1"/>
  <c r="AD149" i="32"/>
  <c r="AB149" i="32" s="1"/>
  <c r="Y149" i="32"/>
  <c r="AA149" i="32" s="1"/>
  <c r="F150" i="32"/>
  <c r="K150" i="32" s="1"/>
  <c r="I67" i="39"/>
  <c r="AC67" i="39" s="1"/>
  <c r="F99" i="33"/>
  <c r="M99" i="33" s="1"/>
  <c r="L99" i="37"/>
  <c r="I99" i="37"/>
  <c r="J99" i="37"/>
  <c r="M99" i="37"/>
  <c r="K99" i="37"/>
  <c r="Y95" i="46"/>
  <c r="Z95" i="46"/>
  <c r="W95" i="46"/>
  <c r="V95" i="46" s="1"/>
  <c r="C251" i="28"/>
  <c r="D251" i="28"/>
  <c r="D619" i="7" s="1"/>
  <c r="B252" i="28"/>
  <c r="H106" i="30"/>
  <c r="F107" i="30" s="1"/>
  <c r="N107" i="30" s="1"/>
  <c r="J107" i="30" s="1"/>
  <c r="O67" i="39"/>
  <c r="P67" i="39"/>
  <c r="C246" i="33"/>
  <c r="D246" i="33"/>
  <c r="B247" i="33"/>
  <c r="D234" i="46"/>
  <c r="B235" i="46"/>
  <c r="T234" i="46"/>
  <c r="AA234" i="46" s="1"/>
  <c r="E234" i="46"/>
  <c r="B246" i="32"/>
  <c r="D245" i="32"/>
  <c r="C245" i="32"/>
  <c r="B252" i="30"/>
  <c r="C251" i="30"/>
  <c r="D251" i="30"/>
  <c r="K244" i="40"/>
  <c r="R265" i="39"/>
  <c r="B246" i="37"/>
  <c r="C245" i="37"/>
  <c r="D245" i="37"/>
  <c r="B267" i="39"/>
  <c r="E266" i="39"/>
  <c r="D245" i="40"/>
  <c r="C246" i="40"/>
  <c r="E245" i="40"/>
  <c r="Z245" i="40" s="1"/>
  <c r="B621" i="7"/>
  <c r="C620" i="7"/>
  <c r="K229" i="12"/>
  <c r="C236" i="13"/>
  <c r="C291" i="7"/>
  <c r="C236" i="39"/>
  <c r="C231" i="46"/>
  <c r="X62" i="13" l="1"/>
  <c r="W62" i="13"/>
  <c r="AA62" i="13"/>
  <c r="J62" i="13"/>
  <c r="G62" i="13" s="1"/>
  <c r="I96" i="46"/>
  <c r="H96" i="46"/>
  <c r="L96" i="46"/>
  <c r="J96" i="46"/>
  <c r="K96" i="46"/>
  <c r="A96" i="46"/>
  <c r="M96" i="46" s="1"/>
  <c r="O294" i="7"/>
  <c r="E294" i="7"/>
  <c r="B295" i="7"/>
  <c r="B241" i="13"/>
  <c r="E240" i="13"/>
  <c r="AF66" i="28"/>
  <c r="J66" i="28"/>
  <c r="AD87" i="40"/>
  <c r="L87" i="40"/>
  <c r="N87" i="40"/>
  <c r="M87" i="40"/>
  <c r="AG87" i="40"/>
  <c r="AA87" i="40"/>
  <c r="AB87" i="40" s="1"/>
  <c r="AH87" i="40"/>
  <c r="N150" i="32"/>
  <c r="AG150" i="32" s="1"/>
  <c r="AF150" i="32"/>
  <c r="H150" i="32"/>
  <c r="F151" i="32" s="1"/>
  <c r="N151" i="32" s="1"/>
  <c r="AG151" i="32" s="1"/>
  <c r="M150" i="32"/>
  <c r="Z150" i="32"/>
  <c r="J150" i="32"/>
  <c r="AC150" i="32"/>
  <c r="L150" i="32"/>
  <c r="P99" i="33"/>
  <c r="W97" i="33" s="1"/>
  <c r="I99" i="33"/>
  <c r="N99" i="33"/>
  <c r="J99" i="33" s="1"/>
  <c r="L99" i="33"/>
  <c r="K99" i="33"/>
  <c r="H99" i="37"/>
  <c r="Q99" i="37" s="1"/>
  <c r="P99" i="37"/>
  <c r="W97" i="37" s="1"/>
  <c r="P106" i="30"/>
  <c r="W104" i="30" s="1"/>
  <c r="Q106" i="30"/>
  <c r="K107" i="30"/>
  <c r="L107" i="30"/>
  <c r="D252" i="28"/>
  <c r="D620" i="7" s="1"/>
  <c r="C252" i="28"/>
  <c r="B253" i="28"/>
  <c r="M107" i="30"/>
  <c r="I107" i="30"/>
  <c r="H107" i="30" s="1"/>
  <c r="B248" i="33"/>
  <c r="C247" i="33"/>
  <c r="D247" i="33"/>
  <c r="U96" i="46"/>
  <c r="AB95" i="46"/>
  <c r="F68" i="39"/>
  <c r="Z68" i="39"/>
  <c r="E68" i="36"/>
  <c r="C69" i="36"/>
  <c r="T235" i="46"/>
  <c r="AA235" i="46" s="1"/>
  <c r="B236" i="46"/>
  <c r="E235" i="46"/>
  <c r="D235" i="46"/>
  <c r="C252" i="30"/>
  <c r="B253" i="30"/>
  <c r="D252" i="30"/>
  <c r="C246" i="32"/>
  <c r="B247" i="32"/>
  <c r="D246" i="32"/>
  <c r="B268" i="39"/>
  <c r="E267" i="39"/>
  <c r="C247" i="40"/>
  <c r="E246" i="40"/>
  <c r="Z246" i="40" s="1"/>
  <c r="D246" i="40"/>
  <c r="D246" i="37"/>
  <c r="C246" i="37"/>
  <c r="B247" i="37"/>
  <c r="K245" i="40"/>
  <c r="R266" i="39"/>
  <c r="C621" i="7"/>
  <c r="B622" i="7"/>
  <c r="C237" i="13"/>
  <c r="K230" i="12"/>
  <c r="C292" i="7"/>
  <c r="C232" i="46"/>
  <c r="C237" i="39"/>
  <c r="F63" i="13" l="1"/>
  <c r="R62" i="13"/>
  <c r="S62" i="13"/>
  <c r="G117" i="7"/>
  <c r="Q117" i="7" s="1"/>
  <c r="G96" i="46"/>
  <c r="I67" i="13"/>
  <c r="I122" i="7" s="1"/>
  <c r="O295" i="7"/>
  <c r="E295" i="7"/>
  <c r="B296" i="7"/>
  <c r="E241" i="13"/>
  <c r="B242" i="13"/>
  <c r="J434" i="7"/>
  <c r="H66" i="28"/>
  <c r="AF87" i="40"/>
  <c r="X85" i="40"/>
  <c r="Q87" i="40"/>
  <c r="J87" i="40"/>
  <c r="AC87" i="40"/>
  <c r="I87" i="40" s="1"/>
  <c r="Y150" i="32"/>
  <c r="AA150" i="32" s="1"/>
  <c r="I150" i="32"/>
  <c r="Y151" i="32"/>
  <c r="AD151" i="32"/>
  <c r="AD150" i="32"/>
  <c r="AB150" i="32" s="1"/>
  <c r="Z151" i="32"/>
  <c r="J151" i="32"/>
  <c r="AF151" i="32"/>
  <c r="AE151" i="32" s="1"/>
  <c r="Q150" i="32"/>
  <c r="L151" i="32"/>
  <c r="H151" i="32"/>
  <c r="F152" i="32" s="1"/>
  <c r="M152" i="32" s="1"/>
  <c r="AE150" i="32"/>
  <c r="AC151" i="32"/>
  <c r="P150" i="32"/>
  <c r="W148" i="32" s="1"/>
  <c r="K151" i="32"/>
  <c r="M151" i="32"/>
  <c r="H99" i="33"/>
  <c r="Q99" i="33" s="1"/>
  <c r="F100" i="37"/>
  <c r="K100" i="37" s="1"/>
  <c r="P107" i="30"/>
  <c r="W105" i="30" s="1"/>
  <c r="C253" i="28"/>
  <c r="B254" i="28"/>
  <c r="D253" i="28"/>
  <c r="D621" i="7" s="1"/>
  <c r="Q107" i="30"/>
  <c r="F108" i="30"/>
  <c r="M108" i="30" s="1"/>
  <c r="D236" i="46"/>
  <c r="B237" i="46"/>
  <c r="T236" i="46"/>
  <c r="AA236" i="46" s="1"/>
  <c r="E236" i="46"/>
  <c r="C248" i="33"/>
  <c r="B249" i="33"/>
  <c r="D248" i="33"/>
  <c r="S68" i="39"/>
  <c r="T68" i="39" s="1"/>
  <c r="K68" i="39"/>
  <c r="Y68" i="39"/>
  <c r="X68" i="39" s="1"/>
  <c r="V68" i="39"/>
  <c r="L68" i="39"/>
  <c r="J68" i="39"/>
  <c r="Q68" i="39"/>
  <c r="Z96" i="46"/>
  <c r="W96" i="46"/>
  <c r="Y96" i="46"/>
  <c r="X96" i="46"/>
  <c r="B248" i="32"/>
  <c r="C247" i="32"/>
  <c r="D247" i="32"/>
  <c r="B254" i="30"/>
  <c r="C253" i="30"/>
  <c r="D253" i="30"/>
  <c r="K246" i="40"/>
  <c r="D247" i="37"/>
  <c r="B248" i="37"/>
  <c r="C247" i="37"/>
  <c r="C248" i="40"/>
  <c r="E247" i="40"/>
  <c r="Z247" i="40" s="1"/>
  <c r="D247" i="40"/>
  <c r="R267" i="39"/>
  <c r="B269" i="39"/>
  <c r="E268" i="39"/>
  <c r="B623" i="7"/>
  <c r="C622" i="7"/>
  <c r="K231" i="12"/>
  <c r="C238" i="13"/>
  <c r="C293" i="7"/>
  <c r="C233" i="46"/>
  <c r="C238" i="39"/>
  <c r="F118" i="7" l="1"/>
  <c r="R118" i="7" s="1"/>
  <c r="N63" i="13"/>
  <c r="V63" i="13"/>
  <c r="L63" i="13"/>
  <c r="K118" i="7" s="1"/>
  <c r="M63" i="13"/>
  <c r="L118" i="7" s="1"/>
  <c r="Y63" i="13"/>
  <c r="K63" i="13"/>
  <c r="J118" i="7" s="1"/>
  <c r="AB63" i="13"/>
  <c r="H63" i="13" s="1"/>
  <c r="H118" i="7" s="1"/>
  <c r="Q96" i="46"/>
  <c r="F97" i="46" s="1"/>
  <c r="P96" i="46"/>
  <c r="O296" i="7"/>
  <c r="E296" i="7"/>
  <c r="B297" i="7"/>
  <c r="B243" i="13"/>
  <c r="E242" i="13"/>
  <c r="R66" i="28"/>
  <c r="R434" i="7" s="1"/>
  <c r="H434" i="7"/>
  <c r="F67" i="28"/>
  <c r="Q66" i="28"/>
  <c r="Q434" i="7" s="1"/>
  <c r="G88" i="40"/>
  <c r="R87" i="40"/>
  <c r="I151" i="32"/>
  <c r="AA151" i="32"/>
  <c r="AB151" i="32"/>
  <c r="N152" i="32"/>
  <c r="Y152" i="32" s="1"/>
  <c r="AC152" i="32"/>
  <c r="K152" i="32"/>
  <c r="H152" i="32"/>
  <c r="Q152" i="32" s="1"/>
  <c r="L152" i="32"/>
  <c r="AF152" i="32"/>
  <c r="Q151" i="32"/>
  <c r="J152" i="32"/>
  <c r="Z152" i="32"/>
  <c r="P151" i="32"/>
  <c r="W149" i="32" s="1"/>
  <c r="F100" i="33"/>
  <c r="I100" i="33" s="1"/>
  <c r="M100" i="37"/>
  <c r="J100" i="37"/>
  <c r="L100" i="37"/>
  <c r="I100" i="37"/>
  <c r="I108" i="30"/>
  <c r="N108" i="30"/>
  <c r="J108" i="30" s="1"/>
  <c r="C254" i="28"/>
  <c r="D254" i="28"/>
  <c r="D622" i="7" s="1"/>
  <c r="B255" i="28"/>
  <c r="L108" i="30"/>
  <c r="K108" i="30"/>
  <c r="V96" i="46"/>
  <c r="U68" i="39"/>
  <c r="G68" i="39" s="1"/>
  <c r="D69" i="36" s="1"/>
  <c r="H68" i="39"/>
  <c r="B238" i="46"/>
  <c r="E237" i="46"/>
  <c r="D237" i="46"/>
  <c r="T237" i="46"/>
  <c r="AA237" i="46" s="1"/>
  <c r="C249" i="33"/>
  <c r="B250" i="33"/>
  <c r="D249" i="33"/>
  <c r="B249" i="32"/>
  <c r="D248" i="32"/>
  <c r="C248" i="32"/>
  <c r="B255" i="30"/>
  <c r="D254" i="30"/>
  <c r="C254" i="30"/>
  <c r="R268" i="39"/>
  <c r="K247" i="40"/>
  <c r="B270" i="39"/>
  <c r="E269" i="39"/>
  <c r="E248" i="40"/>
  <c r="Z248" i="40" s="1"/>
  <c r="D248" i="40"/>
  <c r="C249" i="40"/>
  <c r="D248" i="37"/>
  <c r="C248" i="37"/>
  <c r="B249" i="37"/>
  <c r="C623" i="7"/>
  <c r="B624" i="7"/>
  <c r="C239" i="13"/>
  <c r="K232" i="12"/>
  <c r="C294" i="7"/>
  <c r="C234" i="46"/>
  <c r="C239" i="39"/>
  <c r="E54" i="10" l="1"/>
  <c r="M118" i="7"/>
  <c r="U63" i="13"/>
  <c r="W63" i="13" s="1"/>
  <c r="AC63" i="13"/>
  <c r="Z63" i="13"/>
  <c r="X63" i="13" s="1"/>
  <c r="I97" i="46"/>
  <c r="L97" i="46"/>
  <c r="H97" i="46"/>
  <c r="K97" i="46"/>
  <c r="A97" i="46"/>
  <c r="M97" i="46" s="1"/>
  <c r="J97" i="46"/>
  <c r="E297" i="7"/>
  <c r="O297" i="7"/>
  <c r="B298" i="7"/>
  <c r="B244" i="13"/>
  <c r="E243" i="13"/>
  <c r="K67" i="28"/>
  <c r="K435" i="7" s="1"/>
  <c r="F435" i="7"/>
  <c r="S435" i="7" s="1"/>
  <c r="N67" i="28"/>
  <c r="N435" i="7" s="1"/>
  <c r="AA67" i="28"/>
  <c r="AG67" i="28"/>
  <c r="L67" i="28"/>
  <c r="L435" i="7" s="1"/>
  <c r="AD67" i="28"/>
  <c r="M67" i="28"/>
  <c r="M435" i="7" s="1"/>
  <c r="M88" i="40"/>
  <c r="N88" i="40"/>
  <c r="AG88" i="40"/>
  <c r="L88" i="40"/>
  <c r="AD88" i="40"/>
  <c r="AH88" i="40"/>
  <c r="AA88" i="40"/>
  <c r="AB88" i="40" s="1"/>
  <c r="I152" i="32"/>
  <c r="AA152" i="32"/>
  <c r="P152" i="32"/>
  <c r="W150" i="32" s="1"/>
  <c r="AD152" i="32"/>
  <c r="AB152" i="32" s="1"/>
  <c r="AG152" i="32"/>
  <c r="AE152" i="32" s="1"/>
  <c r="F153" i="32"/>
  <c r="K153" i="32" s="1"/>
  <c r="P100" i="33"/>
  <c r="W98" i="33" s="1"/>
  <c r="M100" i="33"/>
  <c r="K100" i="33"/>
  <c r="I68" i="39"/>
  <c r="AC68" i="39" s="1"/>
  <c r="N100" i="33"/>
  <c r="J100" i="33" s="1"/>
  <c r="H100" i="33" s="1"/>
  <c r="F101" i="33" s="1"/>
  <c r="N101" i="33" s="1"/>
  <c r="J101" i="33" s="1"/>
  <c r="L100" i="33"/>
  <c r="H100" i="37"/>
  <c r="F101" i="37" s="1"/>
  <c r="P100" i="37"/>
  <c r="W98" i="37" s="1"/>
  <c r="H108" i="30"/>
  <c r="Q108" i="30" s="1"/>
  <c r="B256" i="28"/>
  <c r="D255" i="28"/>
  <c r="D623" i="7" s="1"/>
  <c r="C255" i="28"/>
  <c r="AB96" i="46"/>
  <c r="U97" i="46"/>
  <c r="B239" i="46"/>
  <c r="E238" i="46"/>
  <c r="D238" i="46"/>
  <c r="T238" i="46"/>
  <c r="AA238" i="46" s="1"/>
  <c r="B251" i="33"/>
  <c r="C250" i="33"/>
  <c r="D250" i="33"/>
  <c r="O68" i="39"/>
  <c r="P68" i="39"/>
  <c r="D255" i="30"/>
  <c r="C255" i="30"/>
  <c r="B256" i="30"/>
  <c r="C249" i="32"/>
  <c r="B250" i="32"/>
  <c r="D249" i="32"/>
  <c r="K248" i="40"/>
  <c r="B250" i="37"/>
  <c r="D249" i="37"/>
  <c r="C249" i="37"/>
  <c r="R269" i="39"/>
  <c r="B271" i="39"/>
  <c r="E270" i="39"/>
  <c r="C250" i="40"/>
  <c r="E249" i="40"/>
  <c r="Z249" i="40" s="1"/>
  <c r="D249" i="40"/>
  <c r="C624" i="7"/>
  <c r="B625" i="7"/>
  <c r="K233" i="12"/>
  <c r="C240" i="13"/>
  <c r="C295" i="7"/>
  <c r="C240" i="39"/>
  <c r="C235" i="46"/>
  <c r="J63" i="13" l="1"/>
  <c r="AA63" i="13"/>
  <c r="G97" i="46"/>
  <c r="E298" i="7"/>
  <c r="O298" i="7"/>
  <c r="B299" i="7"/>
  <c r="E244" i="13"/>
  <c r="B245" i="13"/>
  <c r="AE67" i="28"/>
  <c r="I67" i="28"/>
  <c r="I435" i="7" s="1"/>
  <c r="Z67" i="28"/>
  <c r="AB67" i="28" s="1"/>
  <c r="AH67" i="28"/>
  <c r="AF67" i="28" s="1"/>
  <c r="X65" i="28"/>
  <c r="AF88" i="40"/>
  <c r="J88" i="40"/>
  <c r="AC88" i="40"/>
  <c r="I88" i="40" s="1"/>
  <c r="X86" i="40"/>
  <c r="Q88" i="40"/>
  <c r="L153" i="32"/>
  <c r="J153" i="32"/>
  <c r="H153" i="32"/>
  <c r="F154" i="32" s="1"/>
  <c r="K154" i="32" s="1"/>
  <c r="AC153" i="32"/>
  <c r="Z153" i="32"/>
  <c r="AF153" i="32"/>
  <c r="M153" i="32"/>
  <c r="N153" i="32"/>
  <c r="AG153" i="32" s="1"/>
  <c r="Q100" i="33"/>
  <c r="P101" i="33"/>
  <c r="W99" i="33" s="1"/>
  <c r="L101" i="33"/>
  <c r="K101" i="33"/>
  <c r="I101" i="33"/>
  <c r="H101" i="33" s="1"/>
  <c r="M101" i="33"/>
  <c r="Q100" i="37"/>
  <c r="J101" i="37"/>
  <c r="L101" i="37"/>
  <c r="I101" i="37"/>
  <c r="M101" i="37"/>
  <c r="K101" i="37"/>
  <c r="P108" i="30"/>
  <c r="W106" i="30" s="1"/>
  <c r="F109" i="30"/>
  <c r="N109" i="30" s="1"/>
  <c r="J109" i="30" s="1"/>
  <c r="C256" i="28"/>
  <c r="B257" i="28"/>
  <c r="D256" i="28"/>
  <c r="D624" i="7" s="1"/>
  <c r="X97" i="46"/>
  <c r="W97" i="46"/>
  <c r="Y97" i="46"/>
  <c r="Z97" i="46"/>
  <c r="C70" i="36"/>
  <c r="E69" i="36"/>
  <c r="T239" i="46"/>
  <c r="AA239" i="46" s="1"/>
  <c r="B240" i="46"/>
  <c r="E239" i="46"/>
  <c r="D239" i="46"/>
  <c r="F69" i="39"/>
  <c r="Z69" i="39"/>
  <c r="B252" i="33"/>
  <c r="C251" i="33"/>
  <c r="D251" i="33"/>
  <c r="C250" i="32"/>
  <c r="B251" i="32"/>
  <c r="D250" i="32"/>
  <c r="C256" i="30"/>
  <c r="D256" i="30"/>
  <c r="B257" i="30"/>
  <c r="K249" i="40"/>
  <c r="C251" i="40"/>
  <c r="E250" i="40"/>
  <c r="Z250" i="40" s="1"/>
  <c r="D250" i="40"/>
  <c r="R270" i="39"/>
  <c r="B272" i="39"/>
  <c r="E271" i="39"/>
  <c r="B251" i="37"/>
  <c r="D250" i="37"/>
  <c r="C250" i="37"/>
  <c r="B626" i="7"/>
  <c r="C625" i="7"/>
  <c r="C241" i="13"/>
  <c r="K234" i="12"/>
  <c r="C296" i="7"/>
  <c r="C236" i="46"/>
  <c r="C241" i="39"/>
  <c r="G63" i="13" l="1"/>
  <c r="Q97" i="46"/>
  <c r="F98" i="46" s="1"/>
  <c r="P97" i="46"/>
  <c r="O299" i="7"/>
  <c r="E299" i="7"/>
  <c r="B300" i="7"/>
  <c r="I68" i="13"/>
  <c r="B246" i="13"/>
  <c r="E245" i="13"/>
  <c r="J67" i="28"/>
  <c r="J435" i="7" s="1"/>
  <c r="AC67" i="28"/>
  <c r="R88" i="40"/>
  <c r="G89" i="40"/>
  <c r="I153" i="32"/>
  <c r="AF154" i="32"/>
  <c r="N154" i="32"/>
  <c r="AG154" i="32" s="1"/>
  <c r="AE153" i="32"/>
  <c r="L154" i="32"/>
  <c r="Q153" i="32"/>
  <c r="Z154" i="32"/>
  <c r="AC154" i="32"/>
  <c r="Y153" i="32"/>
  <c r="AA153" i="32" s="1"/>
  <c r="J154" i="32"/>
  <c r="M154" i="32"/>
  <c r="H154" i="32"/>
  <c r="F155" i="32" s="1"/>
  <c r="L155" i="32" s="1"/>
  <c r="P153" i="32"/>
  <c r="W151" i="32" s="1"/>
  <c r="AD153" i="32"/>
  <c r="AB153" i="32" s="1"/>
  <c r="Q101" i="33"/>
  <c r="F102" i="33"/>
  <c r="L102" i="33" s="1"/>
  <c r="P101" i="37"/>
  <c r="W99" i="37" s="1"/>
  <c r="H101" i="37"/>
  <c r="I109" i="30"/>
  <c r="H109" i="30" s="1"/>
  <c r="F110" i="30" s="1"/>
  <c r="L110" i="30" s="1"/>
  <c r="K109" i="30"/>
  <c r="M109" i="30"/>
  <c r="L109" i="30"/>
  <c r="C257" i="28"/>
  <c r="D257" i="28"/>
  <c r="D625" i="7" s="1"/>
  <c r="B258" i="28"/>
  <c r="V97" i="46"/>
  <c r="E240" i="46"/>
  <c r="B241" i="46"/>
  <c r="D240" i="46"/>
  <c r="T240" i="46"/>
  <c r="AA240" i="46" s="1"/>
  <c r="D252" i="33"/>
  <c r="B253" i="33"/>
  <c r="C252" i="33"/>
  <c r="Q69" i="39"/>
  <c r="J69" i="39"/>
  <c r="V69" i="39"/>
  <c r="K69" i="39"/>
  <c r="L69" i="39"/>
  <c r="Y69" i="39"/>
  <c r="X69" i="39" s="1"/>
  <c r="S69" i="39"/>
  <c r="T69" i="39" s="1"/>
  <c r="B252" i="32"/>
  <c r="D251" i="32"/>
  <c r="C251" i="32"/>
  <c r="B258" i="30"/>
  <c r="C257" i="30"/>
  <c r="D257" i="30"/>
  <c r="B273" i="39"/>
  <c r="E272" i="39"/>
  <c r="K250" i="40"/>
  <c r="C252" i="40"/>
  <c r="E251" i="40"/>
  <c r="Z251" i="40" s="1"/>
  <c r="D251" i="40"/>
  <c r="B252" i="37"/>
  <c r="D251" i="37"/>
  <c r="C251" i="37"/>
  <c r="R271" i="39"/>
  <c r="C626" i="7"/>
  <c r="B627" i="7"/>
  <c r="K235" i="12"/>
  <c r="C242" i="13"/>
  <c r="C297" i="7"/>
  <c r="C237" i="46"/>
  <c r="C242" i="39"/>
  <c r="G118" i="7" l="1"/>
  <c r="S63" i="13"/>
  <c r="F64" i="13"/>
  <c r="R63" i="13"/>
  <c r="J98" i="46"/>
  <c r="I98" i="46"/>
  <c r="A98" i="46"/>
  <c r="M98" i="46" s="1"/>
  <c r="H98" i="46"/>
  <c r="L98" i="46"/>
  <c r="K98" i="46"/>
  <c r="E300" i="7"/>
  <c r="O300" i="7"/>
  <c r="B301" i="7"/>
  <c r="I123" i="7"/>
  <c r="E246" i="13"/>
  <c r="B247" i="13"/>
  <c r="H67" i="28"/>
  <c r="R67" i="28" s="1"/>
  <c r="R435" i="7" s="1"/>
  <c r="N89" i="40"/>
  <c r="AA89" i="40"/>
  <c r="AB89" i="40" s="1"/>
  <c r="L89" i="40"/>
  <c r="M89" i="40"/>
  <c r="AG89" i="40"/>
  <c r="AH89" i="40"/>
  <c r="AD89" i="40"/>
  <c r="AC155" i="32"/>
  <c r="I154" i="32"/>
  <c r="AE154" i="32"/>
  <c r="Y154" i="32"/>
  <c r="AA154" i="32" s="1"/>
  <c r="AD154" i="32"/>
  <c r="AB154" i="32" s="1"/>
  <c r="AF155" i="32"/>
  <c r="N155" i="32"/>
  <c r="AD155" i="32" s="1"/>
  <c r="J155" i="32"/>
  <c r="P154" i="32"/>
  <c r="W152" i="32" s="1"/>
  <c r="Q154" i="32"/>
  <c r="H155" i="32"/>
  <c r="F156" i="32" s="1"/>
  <c r="M155" i="32"/>
  <c r="Z155" i="32"/>
  <c r="K155" i="32"/>
  <c r="P102" i="33"/>
  <c r="W100" i="33" s="1"/>
  <c r="I102" i="33"/>
  <c r="K102" i="33"/>
  <c r="M102" i="33"/>
  <c r="N102" i="33"/>
  <c r="J102" i="33" s="1"/>
  <c r="Q101" i="37"/>
  <c r="F102" i="37"/>
  <c r="M110" i="30"/>
  <c r="K110" i="30"/>
  <c r="N110" i="30"/>
  <c r="J110" i="30" s="1"/>
  <c r="I110" i="30"/>
  <c r="Q109" i="30"/>
  <c r="P109" i="30"/>
  <c r="W107" i="30" s="1"/>
  <c r="D258" i="28"/>
  <c r="D626" i="7" s="1"/>
  <c r="B259" i="28"/>
  <c r="C258" i="28"/>
  <c r="AB97" i="46"/>
  <c r="U98" i="46"/>
  <c r="C253" i="33"/>
  <c r="B254" i="33"/>
  <c r="D253" i="33"/>
  <c r="B242" i="46"/>
  <c r="T241" i="46"/>
  <c r="AA241" i="46" s="1"/>
  <c r="D241" i="46"/>
  <c r="E241" i="46"/>
  <c r="U69" i="39"/>
  <c r="G69" i="39" s="1"/>
  <c r="D70" i="36" s="1"/>
  <c r="H69" i="39"/>
  <c r="K251" i="40"/>
  <c r="C252" i="32"/>
  <c r="B253" i="32"/>
  <c r="D252" i="32"/>
  <c r="D258" i="30"/>
  <c r="B259" i="30"/>
  <c r="C258" i="30"/>
  <c r="R272" i="39"/>
  <c r="B253" i="37"/>
  <c r="D252" i="37"/>
  <c r="C252" i="37"/>
  <c r="C253" i="40"/>
  <c r="E252" i="40"/>
  <c r="Z252" i="40" s="1"/>
  <c r="D252" i="40"/>
  <c r="B274" i="39"/>
  <c r="E273" i="39"/>
  <c r="B628" i="7"/>
  <c r="C627" i="7"/>
  <c r="C243" i="13"/>
  <c r="K236" i="12"/>
  <c r="C298" i="7"/>
  <c r="C238" i="46"/>
  <c r="C243" i="39"/>
  <c r="Q118" i="7" l="1"/>
  <c r="P118" i="7"/>
  <c r="K64" i="13"/>
  <c r="J119" i="7" s="1"/>
  <c r="V64" i="13"/>
  <c r="F119" i="7"/>
  <c r="R119" i="7" s="1"/>
  <c r="AB64" i="13"/>
  <c r="N64" i="13"/>
  <c r="M64" i="13"/>
  <c r="L119" i="7" s="1"/>
  <c r="L64" i="13"/>
  <c r="K119" i="7" s="1"/>
  <c r="G98" i="46"/>
  <c r="Y64" i="13"/>
  <c r="E301" i="7"/>
  <c r="O301" i="7"/>
  <c r="B302" i="7"/>
  <c r="E247" i="13"/>
  <c r="B248" i="13"/>
  <c r="Q67" i="28"/>
  <c r="Q435" i="7" s="1"/>
  <c r="H435" i="7"/>
  <c r="F68" i="28"/>
  <c r="I155" i="32"/>
  <c r="J89" i="40"/>
  <c r="AC89" i="40"/>
  <c r="I89" i="40" s="1"/>
  <c r="AF89" i="40"/>
  <c r="X87" i="40"/>
  <c r="Q89" i="40"/>
  <c r="AB155" i="32"/>
  <c r="AG155" i="32"/>
  <c r="AE155" i="32" s="1"/>
  <c r="Y155" i="32"/>
  <c r="AA155" i="32" s="1"/>
  <c r="P155" i="32"/>
  <c r="W153" i="32" s="1"/>
  <c r="Q155" i="32"/>
  <c r="I69" i="39"/>
  <c r="AC69" i="39" s="1"/>
  <c r="H156" i="32"/>
  <c r="F157" i="32" s="1"/>
  <c r="L156" i="32"/>
  <c r="M156" i="32"/>
  <c r="J156" i="32"/>
  <c r="AF156" i="32"/>
  <c r="Z156" i="32"/>
  <c r="AC156" i="32"/>
  <c r="N156" i="32"/>
  <c r="K156" i="32"/>
  <c r="H102" i="33"/>
  <c r="Q102" i="33" s="1"/>
  <c r="J102" i="37"/>
  <c r="K102" i="37"/>
  <c r="L102" i="37"/>
  <c r="I102" i="37"/>
  <c r="M102" i="37"/>
  <c r="H110" i="30"/>
  <c r="F111" i="30" s="1"/>
  <c r="N111" i="30" s="1"/>
  <c r="J111" i="30" s="1"/>
  <c r="D259" i="28"/>
  <c r="D627" i="7" s="1"/>
  <c r="C259" i="28"/>
  <c r="B260" i="28"/>
  <c r="Y98" i="46"/>
  <c r="Z98" i="46"/>
  <c r="W98" i="46"/>
  <c r="X98" i="46"/>
  <c r="O69" i="39"/>
  <c r="P69" i="39"/>
  <c r="D254" i="33"/>
  <c r="B255" i="33"/>
  <c r="C254" i="33"/>
  <c r="B243" i="46"/>
  <c r="D242" i="46"/>
  <c r="E242" i="46"/>
  <c r="T242" i="46"/>
  <c r="AA242" i="46" s="1"/>
  <c r="D259" i="30"/>
  <c r="B260" i="30"/>
  <c r="C259" i="30"/>
  <c r="D253" i="32"/>
  <c r="C253" i="32"/>
  <c r="B254" i="32"/>
  <c r="D253" i="37"/>
  <c r="B254" i="37"/>
  <c r="C253" i="37"/>
  <c r="B275" i="39"/>
  <c r="E274" i="39"/>
  <c r="K252" i="40"/>
  <c r="R273" i="39"/>
  <c r="D253" i="40"/>
  <c r="C254" i="40"/>
  <c r="E253" i="40"/>
  <c r="Z253" i="40" s="1"/>
  <c r="C628" i="7"/>
  <c r="B629" i="7"/>
  <c r="K237" i="12"/>
  <c r="C244" i="13"/>
  <c r="C299" i="7"/>
  <c r="C244" i="39"/>
  <c r="C239" i="46"/>
  <c r="M119" i="7" l="1"/>
  <c r="H64" i="13"/>
  <c r="H119" i="7" s="1"/>
  <c r="Z64" i="13"/>
  <c r="U64" i="13"/>
  <c r="W64" i="13" s="1"/>
  <c r="Q98" i="46"/>
  <c r="F99" i="46" s="1"/>
  <c r="E55" i="10"/>
  <c r="AC64" i="13"/>
  <c r="P98" i="46"/>
  <c r="E302" i="7"/>
  <c r="O302" i="7"/>
  <c r="B303" i="7"/>
  <c r="I69" i="13"/>
  <c r="E248" i="13"/>
  <c r="B249" i="13"/>
  <c r="AG68" i="28"/>
  <c r="N68" i="28"/>
  <c r="AD68" i="28"/>
  <c r="K68" i="28"/>
  <c r="F436" i="7"/>
  <c r="S436" i="7" s="1"/>
  <c r="L68" i="28"/>
  <c r="L436" i="7" s="1"/>
  <c r="AA68" i="28"/>
  <c r="M68" i="28"/>
  <c r="M436" i="7" s="1"/>
  <c r="R89" i="40"/>
  <c r="G90" i="40"/>
  <c r="Q156" i="32"/>
  <c r="I156" i="32"/>
  <c r="P156" i="32"/>
  <c r="W154" i="32" s="1"/>
  <c r="AG156" i="32"/>
  <c r="AE156" i="32" s="1"/>
  <c r="AD156" i="32"/>
  <c r="AB156" i="32" s="1"/>
  <c r="Y156" i="32"/>
  <c r="AA156" i="32" s="1"/>
  <c r="J157" i="32"/>
  <c r="M157" i="32"/>
  <c r="AC157" i="32"/>
  <c r="N157" i="32"/>
  <c r="K157" i="32"/>
  <c r="L157" i="32"/>
  <c r="AF157" i="32"/>
  <c r="Z157" i="32"/>
  <c r="H157" i="32"/>
  <c r="F158" i="32" s="1"/>
  <c r="F103" i="33"/>
  <c r="I103" i="33" s="1"/>
  <c r="H102" i="37"/>
  <c r="Q102" i="37" s="1"/>
  <c r="P102" i="37"/>
  <c r="W100" i="37" s="1"/>
  <c r="Q110" i="30"/>
  <c r="I111" i="30"/>
  <c r="H111" i="30" s="1"/>
  <c r="Q111" i="30" s="1"/>
  <c r="L111" i="30"/>
  <c r="K111" i="30"/>
  <c r="P110" i="30"/>
  <c r="W108" i="30" s="1"/>
  <c r="M111" i="30"/>
  <c r="B261" i="28"/>
  <c r="C260" i="28"/>
  <c r="D260" i="28"/>
  <c r="D628" i="7" s="1"/>
  <c r="V98" i="46"/>
  <c r="B256" i="33"/>
  <c r="C255" i="33"/>
  <c r="D255" i="33"/>
  <c r="D243" i="46"/>
  <c r="E243" i="46"/>
  <c r="B244" i="46"/>
  <c r="T243" i="46"/>
  <c r="AA243" i="46" s="1"/>
  <c r="Z70" i="39"/>
  <c r="F70" i="39"/>
  <c r="E70" i="36"/>
  <c r="C71" i="36"/>
  <c r="K253" i="40"/>
  <c r="D254" i="32"/>
  <c r="C254" i="32"/>
  <c r="B255" i="32"/>
  <c r="B261" i="30"/>
  <c r="D260" i="30"/>
  <c r="C260" i="30"/>
  <c r="R274" i="39"/>
  <c r="C255" i="40"/>
  <c r="E254" i="40"/>
  <c r="Z254" i="40" s="1"/>
  <c r="D254" i="40"/>
  <c r="B276" i="39"/>
  <c r="E275" i="39"/>
  <c r="C254" i="37"/>
  <c r="B255" i="37"/>
  <c r="D254" i="37"/>
  <c r="B630" i="7"/>
  <c r="C629" i="7"/>
  <c r="C245" i="13"/>
  <c r="K238" i="12"/>
  <c r="C300" i="7"/>
  <c r="C240" i="46"/>
  <c r="C245" i="39"/>
  <c r="J64" i="13" l="1"/>
  <c r="X64" i="13"/>
  <c r="J99" i="46"/>
  <c r="H99" i="46"/>
  <c r="A99" i="46"/>
  <c r="M99" i="46" s="1"/>
  <c r="L99" i="46"/>
  <c r="I99" i="46"/>
  <c r="K99" i="46"/>
  <c r="AA64" i="13"/>
  <c r="U99" i="46"/>
  <c r="Z99" i="46" s="1"/>
  <c r="E303" i="7"/>
  <c r="O303" i="7"/>
  <c r="B304" i="7"/>
  <c r="I124" i="7"/>
  <c r="B250" i="13"/>
  <c r="E249" i="13"/>
  <c r="I68" i="28"/>
  <c r="I436" i="7" s="1"/>
  <c r="K436" i="7"/>
  <c r="X66" i="28"/>
  <c r="AE68" i="28"/>
  <c r="AC68" i="28" s="1"/>
  <c r="Z68" i="28"/>
  <c r="AB68" i="28" s="1"/>
  <c r="N436" i="7"/>
  <c r="AH68" i="28"/>
  <c r="M90" i="40"/>
  <c r="AA90" i="40"/>
  <c r="AB90" i="40" s="1"/>
  <c r="AD90" i="40"/>
  <c r="N90" i="40"/>
  <c r="L90" i="40"/>
  <c r="AH90" i="40"/>
  <c r="AG90" i="40"/>
  <c r="I157" i="32"/>
  <c r="P103" i="33"/>
  <c r="W101" i="33" s="1"/>
  <c r="L103" i="33"/>
  <c r="K103" i="33"/>
  <c r="M103" i="33"/>
  <c r="N103" i="33"/>
  <c r="J103" i="33" s="1"/>
  <c r="H103" i="33" s="1"/>
  <c r="F104" i="33" s="1"/>
  <c r="K104" i="33" s="1"/>
  <c r="P157" i="32"/>
  <c r="W155" i="32" s="1"/>
  <c r="AG157" i="32"/>
  <c r="AE157" i="32" s="1"/>
  <c r="Y157" i="32"/>
  <c r="AA157" i="32" s="1"/>
  <c r="AD157" i="32"/>
  <c r="AB157" i="32" s="1"/>
  <c r="Q157" i="32"/>
  <c r="N158" i="32"/>
  <c r="AG158" i="32" s="1"/>
  <c r="H158" i="32"/>
  <c r="Q158" i="32" s="1"/>
  <c r="AC158" i="32"/>
  <c r="K158" i="32"/>
  <c r="L158" i="32"/>
  <c r="J158" i="32"/>
  <c r="AF158" i="32"/>
  <c r="M158" i="32"/>
  <c r="Z158" i="32"/>
  <c r="F103" i="37"/>
  <c r="K103" i="37" s="1"/>
  <c r="F112" i="30"/>
  <c r="I112" i="30" s="1"/>
  <c r="P111" i="30"/>
  <c r="W109" i="30" s="1"/>
  <c r="D261" i="28"/>
  <c r="D629" i="7" s="1"/>
  <c r="B262" i="28"/>
  <c r="C261" i="28"/>
  <c r="AB98" i="46"/>
  <c r="T244" i="46"/>
  <c r="AA244" i="46" s="1"/>
  <c r="B245" i="46"/>
  <c r="E244" i="46"/>
  <c r="D244" i="46"/>
  <c r="J70" i="39"/>
  <c r="L70" i="39"/>
  <c r="Q70" i="39"/>
  <c r="S70" i="39"/>
  <c r="T70" i="39" s="1"/>
  <c r="Y70" i="39"/>
  <c r="X70" i="39" s="1"/>
  <c r="V70" i="39"/>
  <c r="K70" i="39"/>
  <c r="B257" i="33"/>
  <c r="C256" i="33"/>
  <c r="D256" i="33"/>
  <c r="C261" i="30"/>
  <c r="D261" i="30"/>
  <c r="B262" i="30"/>
  <c r="C255" i="32"/>
  <c r="B256" i="32"/>
  <c r="D255" i="32"/>
  <c r="B277" i="39"/>
  <c r="E276" i="39"/>
  <c r="K254" i="40"/>
  <c r="R275" i="39"/>
  <c r="B256" i="37"/>
  <c r="D255" i="37"/>
  <c r="C255" i="37"/>
  <c r="C256" i="40"/>
  <c r="E255" i="40"/>
  <c r="Z255" i="40" s="1"/>
  <c r="D255" i="40"/>
  <c r="B631" i="7"/>
  <c r="C631" i="7" s="1"/>
  <c r="C630" i="7"/>
  <c r="K239" i="12"/>
  <c r="C246" i="13"/>
  <c r="C241" i="46"/>
  <c r="C246" i="39"/>
  <c r="C301" i="7"/>
  <c r="G64" i="13" l="1"/>
  <c r="G119" i="7" s="1"/>
  <c r="G99" i="46"/>
  <c r="X99" i="46"/>
  <c r="W99" i="46"/>
  <c r="Y99" i="46"/>
  <c r="E304" i="7"/>
  <c r="O304" i="7"/>
  <c r="B305" i="7"/>
  <c r="E250" i="13"/>
  <c r="B251" i="13"/>
  <c r="AF68" i="28"/>
  <c r="J68" i="28"/>
  <c r="AF90" i="40"/>
  <c r="Q90" i="40"/>
  <c r="X88" i="40"/>
  <c r="J90" i="40"/>
  <c r="AC90" i="40"/>
  <c r="I90" i="40" s="1"/>
  <c r="F159" i="32"/>
  <c r="N159" i="32" s="1"/>
  <c r="L104" i="33"/>
  <c r="AE158" i="32"/>
  <c r="I158" i="32"/>
  <c r="M104" i="33"/>
  <c r="N104" i="33"/>
  <c r="J104" i="33" s="1"/>
  <c r="I104" i="33"/>
  <c r="P104" i="33"/>
  <c r="W102" i="33" s="1"/>
  <c r="Q103" i="33"/>
  <c r="P158" i="32"/>
  <c r="W156" i="32" s="1"/>
  <c r="Y158" i="32"/>
  <c r="AA158" i="32" s="1"/>
  <c r="AD158" i="32"/>
  <c r="AB158" i="32" s="1"/>
  <c r="J103" i="37"/>
  <c r="L103" i="37"/>
  <c r="I103" i="37"/>
  <c r="M103" i="37"/>
  <c r="K112" i="30"/>
  <c r="M112" i="30"/>
  <c r="N112" i="30"/>
  <c r="J112" i="30" s="1"/>
  <c r="H112" i="30" s="1"/>
  <c r="F113" i="30" s="1"/>
  <c r="N113" i="30" s="1"/>
  <c r="J113" i="30" s="1"/>
  <c r="L112" i="30"/>
  <c r="D262" i="28"/>
  <c r="D630" i="7" s="1"/>
  <c r="C262" i="28"/>
  <c r="B263" i="28"/>
  <c r="U70" i="39"/>
  <c r="G70" i="39" s="1"/>
  <c r="D71" i="36" s="1"/>
  <c r="H70" i="39"/>
  <c r="D245" i="46"/>
  <c r="B246" i="46"/>
  <c r="B247" i="46" s="1"/>
  <c r="T247" i="46" s="1"/>
  <c r="AA247" i="46" s="1"/>
  <c r="E245" i="46"/>
  <c r="T245" i="46"/>
  <c r="AA245" i="46" s="1"/>
  <c r="C257" i="33"/>
  <c r="D257" i="33"/>
  <c r="B263" i="30"/>
  <c r="C262" i="30"/>
  <c r="D262" i="30"/>
  <c r="B257" i="32"/>
  <c r="C256" i="32"/>
  <c r="D256" i="32"/>
  <c r="E256" i="40"/>
  <c r="Z256" i="40" s="1"/>
  <c r="D256" i="40"/>
  <c r="C257" i="40"/>
  <c r="D256" i="37"/>
  <c r="B257" i="37"/>
  <c r="C256" i="37"/>
  <c r="R276" i="39"/>
  <c r="K255" i="40"/>
  <c r="B278" i="39"/>
  <c r="E277" i="39"/>
  <c r="C247" i="13"/>
  <c r="K240" i="12"/>
  <c r="C302" i="7"/>
  <c r="C242" i="46"/>
  <c r="C247" i="39"/>
  <c r="Q119" i="7" l="1"/>
  <c r="R64" i="13"/>
  <c r="F65" i="13"/>
  <c r="P119" i="7"/>
  <c r="S64" i="13"/>
  <c r="P99" i="46"/>
  <c r="Q99" i="46"/>
  <c r="F100" i="46" s="1"/>
  <c r="V99" i="46"/>
  <c r="U100" i="46" s="1"/>
  <c r="W100" i="46" s="1"/>
  <c r="E305" i="7"/>
  <c r="O305" i="7"/>
  <c r="B306" i="7"/>
  <c r="B248" i="46"/>
  <c r="T248" i="46" s="1"/>
  <c r="AA248" i="46" s="1"/>
  <c r="E247" i="46"/>
  <c r="D247" i="46"/>
  <c r="E251" i="13"/>
  <c r="B252" i="13"/>
  <c r="J436" i="7"/>
  <c r="H68" i="28"/>
  <c r="R90" i="40"/>
  <c r="G91" i="40"/>
  <c r="I70" i="39"/>
  <c r="AC70" i="39" s="1"/>
  <c r="J159" i="32"/>
  <c r="M159" i="32"/>
  <c r="AF159" i="32"/>
  <c r="H159" i="32"/>
  <c r="F160" i="32" s="1"/>
  <c r="N160" i="32" s="1"/>
  <c r="AC159" i="32"/>
  <c r="Z159" i="32"/>
  <c r="K159" i="32"/>
  <c r="L159" i="32"/>
  <c r="H104" i="33"/>
  <c r="Q104" i="33" s="1"/>
  <c r="AD159" i="32"/>
  <c r="Y159" i="32"/>
  <c r="AG159" i="32"/>
  <c r="P103" i="37"/>
  <c r="W101" i="37" s="1"/>
  <c r="H103" i="37"/>
  <c r="F104" i="37" s="1"/>
  <c r="D263" i="28"/>
  <c r="D631" i="7" s="1"/>
  <c r="C263" i="28"/>
  <c r="P112" i="30"/>
  <c r="W110" i="30" s="1"/>
  <c r="Q112" i="30"/>
  <c r="L113" i="30"/>
  <c r="K113" i="30"/>
  <c r="I113" i="30"/>
  <c r="H113" i="30" s="1"/>
  <c r="M113" i="30"/>
  <c r="O70" i="39"/>
  <c r="P70" i="39"/>
  <c r="D246" i="46"/>
  <c r="T246" i="46"/>
  <c r="AA246" i="46" s="1"/>
  <c r="E246" i="46"/>
  <c r="D257" i="32"/>
  <c r="C257" i="32"/>
  <c r="C263" i="30"/>
  <c r="D263" i="30"/>
  <c r="K256" i="40"/>
  <c r="R277" i="39"/>
  <c r="D257" i="40"/>
  <c r="E257" i="40"/>
  <c r="Z257" i="40" s="1"/>
  <c r="B279" i="39"/>
  <c r="E278" i="39"/>
  <c r="D257" i="37"/>
  <c r="C257" i="37"/>
  <c r="K241" i="12"/>
  <c r="C248" i="13"/>
  <c r="C303" i="7"/>
  <c r="C243" i="46"/>
  <c r="C248" i="39"/>
  <c r="L100" i="46" l="1"/>
  <c r="J100" i="46"/>
  <c r="I100" i="46"/>
  <c r="A100" i="46"/>
  <c r="M100" i="46" s="1"/>
  <c r="H100" i="46"/>
  <c r="K100" i="46"/>
  <c r="V65" i="13"/>
  <c r="K65" i="13"/>
  <c r="J120" i="7" s="1"/>
  <c r="N65" i="13"/>
  <c r="F120" i="7"/>
  <c r="R120" i="7" s="1"/>
  <c r="Y65" i="13"/>
  <c r="M65" i="13"/>
  <c r="L120" i="7" s="1"/>
  <c r="L65" i="13"/>
  <c r="K120" i="7" s="1"/>
  <c r="AB65" i="13"/>
  <c r="AB99" i="46"/>
  <c r="Z100" i="46"/>
  <c r="Y100" i="46"/>
  <c r="X100" i="46"/>
  <c r="V100" i="46" s="1"/>
  <c r="U101" i="46" s="1"/>
  <c r="O306" i="7"/>
  <c r="E306" i="7"/>
  <c r="B307" i="7"/>
  <c r="D248" i="46"/>
  <c r="B249" i="46"/>
  <c r="T249" i="46" s="1"/>
  <c r="AA249" i="46" s="1"/>
  <c r="E248" i="46"/>
  <c r="E252" i="13"/>
  <c r="B253" i="13"/>
  <c r="R68" i="28"/>
  <c r="R436" i="7" s="1"/>
  <c r="F69" i="28"/>
  <c r="H436" i="7"/>
  <c r="Q68" i="28"/>
  <c r="Q436" i="7" s="1"/>
  <c r="AD91" i="40"/>
  <c r="M91" i="40"/>
  <c r="AH91" i="40"/>
  <c r="N91" i="40"/>
  <c r="AG91" i="40"/>
  <c r="AA91" i="40"/>
  <c r="AB91" i="40" s="1"/>
  <c r="L91" i="40"/>
  <c r="I159" i="32"/>
  <c r="L160" i="32"/>
  <c r="F105" i="33"/>
  <c r="K105" i="33" s="1"/>
  <c r="AC160" i="32"/>
  <c r="AF160" i="32"/>
  <c r="J160" i="32"/>
  <c r="M160" i="32"/>
  <c r="Z160" i="32"/>
  <c r="P159" i="32"/>
  <c r="W157" i="32" s="1"/>
  <c r="H160" i="32"/>
  <c r="F161" i="32" s="1"/>
  <c r="AB159" i="32"/>
  <c r="AA159" i="32"/>
  <c r="Q159" i="32"/>
  <c r="K160" i="32"/>
  <c r="AE159" i="32"/>
  <c r="AG160" i="32"/>
  <c r="Y160" i="32"/>
  <c r="AD160" i="32"/>
  <c r="Q103" i="37"/>
  <c r="K104" i="37"/>
  <c r="J104" i="37"/>
  <c r="L104" i="37"/>
  <c r="M104" i="37"/>
  <c r="I104" i="37"/>
  <c r="Q113" i="30"/>
  <c r="P113" i="30"/>
  <c r="W111" i="30" s="1"/>
  <c r="F114" i="30"/>
  <c r="F71" i="39"/>
  <c r="Z71" i="39"/>
  <c r="C72" i="36"/>
  <c r="E71" i="36"/>
  <c r="K257" i="40"/>
  <c r="K259" i="40" s="1"/>
  <c r="R278" i="39"/>
  <c r="E279" i="39"/>
  <c r="B280" i="39"/>
  <c r="C249" i="13"/>
  <c r="K242" i="12"/>
  <c r="C304" i="7"/>
  <c r="C244" i="46"/>
  <c r="C249" i="39"/>
  <c r="H65" i="13" l="1"/>
  <c r="H120" i="7" s="1"/>
  <c r="G100" i="46"/>
  <c r="Z65" i="13"/>
  <c r="U65" i="13"/>
  <c r="E56" i="10"/>
  <c r="AC65" i="13"/>
  <c r="AA65" i="13" s="1"/>
  <c r="M120" i="7"/>
  <c r="AB100" i="46"/>
  <c r="O307" i="7"/>
  <c r="E307" i="7"/>
  <c r="B308" i="7"/>
  <c r="E249" i="46"/>
  <c r="D249" i="46"/>
  <c r="B250" i="46"/>
  <c r="T250" i="46" s="1"/>
  <c r="AA250" i="46" s="1"/>
  <c r="I70" i="13"/>
  <c r="I125" i="7" s="1"/>
  <c r="B254" i="13"/>
  <c r="E253" i="13"/>
  <c r="L69" i="28"/>
  <c r="L437" i="7" s="1"/>
  <c r="N69" i="28"/>
  <c r="AD69" i="28"/>
  <c r="F437" i="7"/>
  <c r="S437" i="7" s="1"/>
  <c r="K69" i="28"/>
  <c r="M69" i="28"/>
  <c r="M437" i="7" s="1"/>
  <c r="AG69" i="28"/>
  <c r="AA69" i="28"/>
  <c r="AF91" i="40"/>
  <c r="X89" i="40"/>
  <c r="Q91" i="40"/>
  <c r="AC91" i="40"/>
  <c r="I91" i="40" s="1"/>
  <c r="J91" i="40"/>
  <c r="I160" i="32"/>
  <c r="L105" i="33"/>
  <c r="N105" i="33"/>
  <c r="J105" i="33" s="1"/>
  <c r="I105" i="33"/>
  <c r="P105" i="33"/>
  <c r="W103" i="33" s="1"/>
  <c r="M105" i="33"/>
  <c r="AB160" i="32"/>
  <c r="AE160" i="32"/>
  <c r="AA160" i="32"/>
  <c r="P160" i="32"/>
  <c r="W158" i="32" s="1"/>
  <c r="Q160" i="32"/>
  <c r="L161" i="32"/>
  <c r="N161" i="32"/>
  <c r="K161" i="32"/>
  <c r="AC161" i="32"/>
  <c r="M161" i="32"/>
  <c r="J161" i="32"/>
  <c r="Z161" i="32"/>
  <c r="H161" i="32"/>
  <c r="F162" i="32" s="1"/>
  <c r="AF161" i="32"/>
  <c r="P104" i="37"/>
  <c r="W102" i="37" s="1"/>
  <c r="H104" i="37"/>
  <c r="L114" i="30"/>
  <c r="M114" i="30"/>
  <c r="I114" i="30"/>
  <c r="N114" i="30"/>
  <c r="J114" i="30" s="1"/>
  <c r="K114" i="30"/>
  <c r="X101" i="46"/>
  <c r="W101" i="46"/>
  <c r="Z101" i="46"/>
  <c r="Y101" i="46"/>
  <c r="S71" i="39"/>
  <c r="T71" i="39" s="1"/>
  <c r="L71" i="39"/>
  <c r="Q71" i="39"/>
  <c r="J71" i="39"/>
  <c r="V71" i="39"/>
  <c r="Y71" i="39"/>
  <c r="X71" i="39" s="1"/>
  <c r="K71" i="39"/>
  <c r="R279" i="39"/>
  <c r="B281" i="39"/>
  <c r="E280" i="39"/>
  <c r="K243" i="12"/>
  <c r="K244" i="12" s="1"/>
  <c r="C247" i="46" s="1"/>
  <c r="C250" i="13"/>
  <c r="C305" i="7"/>
  <c r="C250" i="39"/>
  <c r="C245" i="46"/>
  <c r="J65" i="13" l="1"/>
  <c r="Q100" i="46"/>
  <c r="F101" i="46" s="1"/>
  <c r="P100" i="46"/>
  <c r="X65" i="13"/>
  <c r="W65" i="13"/>
  <c r="O308" i="7"/>
  <c r="E308" i="7"/>
  <c r="B309" i="7"/>
  <c r="B251" i="46"/>
  <c r="T251" i="46" s="1"/>
  <c r="AA251" i="46" s="1"/>
  <c r="E250" i="46"/>
  <c r="D250" i="46"/>
  <c r="B255" i="13"/>
  <c r="E254" i="13"/>
  <c r="I69" i="28"/>
  <c r="I437" i="7" s="1"/>
  <c r="K437" i="7"/>
  <c r="X67" i="28"/>
  <c r="AE69" i="28"/>
  <c r="AC69" i="28" s="1"/>
  <c r="Z69" i="28"/>
  <c r="AB69" i="28" s="1"/>
  <c r="AH69" i="28"/>
  <c r="N437" i="7"/>
  <c r="R91" i="40"/>
  <c r="G92" i="40"/>
  <c r="H105" i="33"/>
  <c r="Q105" i="33" s="1"/>
  <c r="I161" i="32"/>
  <c r="P161" i="32"/>
  <c r="W159" i="32" s="1"/>
  <c r="Q161" i="32"/>
  <c r="AG161" i="32"/>
  <c r="AE161" i="32" s="1"/>
  <c r="Y161" i="32"/>
  <c r="AA161" i="32" s="1"/>
  <c r="AD161" i="32"/>
  <c r="AB161" i="32" s="1"/>
  <c r="L162" i="32"/>
  <c r="K162" i="32"/>
  <c r="AC162" i="32"/>
  <c r="J162" i="32"/>
  <c r="H162" i="32"/>
  <c r="F163" i="32" s="1"/>
  <c r="Z162" i="32"/>
  <c r="AF162" i="32"/>
  <c r="N162" i="32"/>
  <c r="M162" i="32"/>
  <c r="F105" i="37"/>
  <c r="Q104" i="37"/>
  <c r="K245" i="12"/>
  <c r="C248" i="46" s="1"/>
  <c r="C252" i="39"/>
  <c r="C307" i="7"/>
  <c r="C252" i="13"/>
  <c r="H114" i="30"/>
  <c r="F115" i="30" s="1"/>
  <c r="K115" i="30" s="1"/>
  <c r="V101" i="46"/>
  <c r="U71" i="39"/>
  <c r="G71" i="39" s="1"/>
  <c r="D72" i="36" s="1"/>
  <c r="H71" i="39"/>
  <c r="R280" i="39"/>
  <c r="B282" i="39"/>
  <c r="E281" i="39"/>
  <c r="C251" i="13"/>
  <c r="C306" i="7"/>
  <c r="C246" i="46"/>
  <c r="C251" i="39"/>
  <c r="G65" i="13" l="1"/>
  <c r="G120" i="7" s="1"/>
  <c r="L101" i="46"/>
  <c r="A101" i="46"/>
  <c r="M101" i="46" s="1"/>
  <c r="H101" i="46"/>
  <c r="J101" i="46"/>
  <c r="K101" i="46"/>
  <c r="I101" i="46"/>
  <c r="S65" i="13"/>
  <c r="R65" i="13"/>
  <c r="Q120" i="7"/>
  <c r="U102" i="46"/>
  <c r="W102" i="46" s="1"/>
  <c r="O309" i="7"/>
  <c r="E309" i="7"/>
  <c r="B310" i="7"/>
  <c r="D251" i="46"/>
  <c r="B252" i="46"/>
  <c r="T252" i="46" s="1"/>
  <c r="AA252" i="46" s="1"/>
  <c r="E251" i="46"/>
  <c r="E255" i="13"/>
  <c r="B256" i="13"/>
  <c r="AF69" i="28"/>
  <c r="J69" i="28"/>
  <c r="M92" i="40"/>
  <c r="AA92" i="40"/>
  <c r="AB92" i="40" s="1"/>
  <c r="AG92" i="40"/>
  <c r="AH92" i="40"/>
  <c r="L92" i="40"/>
  <c r="N92" i="40"/>
  <c r="AD92" i="40"/>
  <c r="I71" i="39"/>
  <c r="AC71" i="39" s="1"/>
  <c r="F106" i="33"/>
  <c r="M106" i="33" s="1"/>
  <c r="I162" i="32"/>
  <c r="Q162" i="32"/>
  <c r="P162" i="32"/>
  <c r="W160" i="32" s="1"/>
  <c r="AG162" i="32"/>
  <c r="AE162" i="32" s="1"/>
  <c r="AD162" i="32"/>
  <c r="AB162" i="32" s="1"/>
  <c r="Y162" i="32"/>
  <c r="AA162" i="32" s="1"/>
  <c r="Z163" i="32"/>
  <c r="M163" i="32"/>
  <c r="N163" i="32"/>
  <c r="AF163" i="32"/>
  <c r="L163" i="32"/>
  <c r="K163" i="32"/>
  <c r="J163" i="32"/>
  <c r="H163" i="32"/>
  <c r="F164" i="32" s="1"/>
  <c r="AC163" i="32"/>
  <c r="I105" i="37"/>
  <c r="M105" i="37"/>
  <c r="L105" i="37"/>
  <c r="K105" i="37"/>
  <c r="J105" i="37"/>
  <c r="K246" i="12"/>
  <c r="C249" i="46" s="1"/>
  <c r="C253" i="39"/>
  <c r="C308" i="7"/>
  <c r="C253" i="13"/>
  <c r="I115" i="30"/>
  <c r="Q114" i="30"/>
  <c r="L115" i="30"/>
  <c r="N115" i="30"/>
  <c r="J115" i="30" s="1"/>
  <c r="P114" i="30"/>
  <c r="W112" i="30" s="1"/>
  <c r="M115" i="30"/>
  <c r="AB101" i="46"/>
  <c r="O71" i="39"/>
  <c r="P71" i="39"/>
  <c r="R281" i="39"/>
  <c r="B283" i="39"/>
  <c r="E282" i="39"/>
  <c r="F66" i="13" l="1"/>
  <c r="F121" i="7" s="1"/>
  <c r="R121" i="7" s="1"/>
  <c r="P120" i="7"/>
  <c r="G101" i="46"/>
  <c r="M66" i="13"/>
  <c r="L121" i="7" s="1"/>
  <c r="N66" i="13"/>
  <c r="V66" i="13"/>
  <c r="AB66" i="13"/>
  <c r="K66" i="13"/>
  <c r="J121" i="7" s="1"/>
  <c r="Y66" i="13"/>
  <c r="H66" i="13" s="1"/>
  <c r="H121" i="7" s="1"/>
  <c r="L66" i="13"/>
  <c r="K121" i="7" s="1"/>
  <c r="X102" i="46"/>
  <c r="V102" i="46" s="1"/>
  <c r="U103" i="46" s="1"/>
  <c r="Z103" i="46" s="1"/>
  <c r="Z102" i="46"/>
  <c r="Y102" i="46"/>
  <c r="O310" i="7"/>
  <c r="E310" i="7"/>
  <c r="B311" i="7"/>
  <c r="E252" i="46"/>
  <c r="D252" i="46"/>
  <c r="B253" i="46"/>
  <c r="T253" i="46" s="1"/>
  <c r="AA253" i="46" s="1"/>
  <c r="B257" i="13"/>
  <c r="E256" i="13"/>
  <c r="H69" i="28"/>
  <c r="J437" i="7"/>
  <c r="AF92" i="40"/>
  <c r="AC92" i="40"/>
  <c r="I92" i="40" s="1"/>
  <c r="J92" i="40"/>
  <c r="Q92" i="40"/>
  <c r="X90" i="40"/>
  <c r="P106" i="33"/>
  <c r="W104" i="33" s="1"/>
  <c r="N106" i="33"/>
  <c r="J106" i="33" s="1"/>
  <c r="L106" i="33"/>
  <c r="K106" i="33"/>
  <c r="I106" i="33"/>
  <c r="I163" i="32"/>
  <c r="Q163" i="32"/>
  <c r="P163" i="32"/>
  <c r="W161" i="32" s="1"/>
  <c r="AG163" i="32"/>
  <c r="AE163" i="32" s="1"/>
  <c r="Y163" i="32"/>
  <c r="AA163" i="32" s="1"/>
  <c r="AD163" i="32"/>
  <c r="AB163" i="32" s="1"/>
  <c r="H164" i="32"/>
  <c r="Q164" i="32" s="1"/>
  <c r="M164" i="32"/>
  <c r="K164" i="32"/>
  <c r="N164" i="32"/>
  <c r="AF164" i="32"/>
  <c r="Z164" i="32"/>
  <c r="AC164" i="32"/>
  <c r="L164" i="32"/>
  <c r="J164" i="32"/>
  <c r="P105" i="37"/>
  <c r="W103" i="37" s="1"/>
  <c r="H105" i="37"/>
  <c r="K247" i="12"/>
  <c r="C250" i="46" s="1"/>
  <c r="C254" i="39"/>
  <c r="C309" i="7"/>
  <c r="C254" i="13"/>
  <c r="H115" i="30"/>
  <c r="P115" i="30" s="1"/>
  <c r="W113" i="30" s="1"/>
  <c r="F72" i="39"/>
  <c r="Z72" i="39"/>
  <c r="E72" i="36"/>
  <c r="C73" i="36"/>
  <c r="B284" i="39"/>
  <c r="E283" i="39"/>
  <c r="R282" i="39"/>
  <c r="P101" i="46" l="1"/>
  <c r="Q101" i="46"/>
  <c r="F102" i="46" s="1"/>
  <c r="E57" i="10"/>
  <c r="AC66" i="13"/>
  <c r="U66" i="13"/>
  <c r="Z66" i="13"/>
  <c r="M121" i="7"/>
  <c r="L102" i="46"/>
  <c r="A102" i="46"/>
  <c r="M102" i="46" s="1"/>
  <c r="AB102" i="46"/>
  <c r="I71" i="13"/>
  <c r="I126" i="7" s="1"/>
  <c r="O311" i="7"/>
  <c r="E311" i="7"/>
  <c r="B312" i="7"/>
  <c r="B254" i="46"/>
  <c r="T254" i="46" s="1"/>
  <c r="AA254" i="46" s="1"/>
  <c r="E253" i="46"/>
  <c r="D253" i="46"/>
  <c r="B258" i="13"/>
  <c r="E257" i="13"/>
  <c r="F70" i="28"/>
  <c r="H437" i="7"/>
  <c r="Q69" i="28"/>
  <c r="Q437" i="7" s="1"/>
  <c r="R69" i="28"/>
  <c r="R437" i="7" s="1"/>
  <c r="G93" i="40"/>
  <c r="R92" i="40"/>
  <c r="H106" i="33"/>
  <c r="Q106" i="33" s="1"/>
  <c r="I164" i="32"/>
  <c r="P164" i="32"/>
  <c r="W162" i="32" s="1"/>
  <c r="AD164" i="32"/>
  <c r="AB164" i="32" s="1"/>
  <c r="Y164" i="32"/>
  <c r="AA164" i="32" s="1"/>
  <c r="AG164" i="32"/>
  <c r="AE164" i="32" s="1"/>
  <c r="F165" i="32"/>
  <c r="F106" i="37"/>
  <c r="Q105" i="37"/>
  <c r="K248" i="12"/>
  <c r="C251" i="46" s="1"/>
  <c r="C255" i="39"/>
  <c r="C310" i="7"/>
  <c r="C255" i="13"/>
  <c r="Q115" i="30"/>
  <c r="F116" i="30"/>
  <c r="L116" i="30" s="1"/>
  <c r="W103" i="46"/>
  <c r="Y103" i="46"/>
  <c r="X103" i="46"/>
  <c r="Y72" i="39"/>
  <c r="X72" i="39" s="1"/>
  <c r="S72" i="39"/>
  <c r="T72" i="39" s="1"/>
  <c r="V72" i="39"/>
  <c r="J72" i="39"/>
  <c r="K72" i="39"/>
  <c r="L72" i="39"/>
  <c r="Q72" i="39"/>
  <c r="R283" i="39"/>
  <c r="B285" i="39"/>
  <c r="E284" i="39"/>
  <c r="H102" i="46" l="1"/>
  <c r="J102" i="46"/>
  <c r="K102" i="46"/>
  <c r="I102" i="46"/>
  <c r="AA66" i="13"/>
  <c r="W66" i="13"/>
  <c r="X66" i="13"/>
  <c r="J66" i="13"/>
  <c r="G66" i="13" s="1"/>
  <c r="G121" i="7" s="1"/>
  <c r="G102" i="46"/>
  <c r="O312" i="7"/>
  <c r="E312" i="7"/>
  <c r="B313" i="7"/>
  <c r="D254" i="46"/>
  <c r="B255" i="46"/>
  <c r="T255" i="46" s="1"/>
  <c r="AA255" i="46" s="1"/>
  <c r="E254" i="46"/>
  <c r="B259" i="13"/>
  <c r="E258" i="13"/>
  <c r="F438" i="7"/>
  <c r="S438" i="7" s="1"/>
  <c r="K70" i="28"/>
  <c r="N70" i="28"/>
  <c r="Z70" i="28" s="1"/>
  <c r="AA70" i="28"/>
  <c r="L70" i="28"/>
  <c r="L438" i="7" s="1"/>
  <c r="AG70" i="28"/>
  <c r="M70" i="28"/>
  <c r="M438" i="7" s="1"/>
  <c r="AD70" i="28"/>
  <c r="L93" i="40"/>
  <c r="AH93" i="40"/>
  <c r="AG93" i="40"/>
  <c r="N93" i="40"/>
  <c r="AD93" i="40"/>
  <c r="AA93" i="40"/>
  <c r="AB93" i="40" s="1"/>
  <c r="M93" i="40"/>
  <c r="F107" i="33"/>
  <c r="I107" i="33" s="1"/>
  <c r="Z165" i="32"/>
  <c r="AF165" i="32"/>
  <c r="M165" i="32"/>
  <c r="N165" i="32"/>
  <c r="AC165" i="32"/>
  <c r="H165" i="32"/>
  <c r="Q165" i="32" s="1"/>
  <c r="L165" i="32"/>
  <c r="K165" i="32"/>
  <c r="J165" i="32"/>
  <c r="J106" i="37"/>
  <c r="K106" i="37"/>
  <c r="M106" i="37"/>
  <c r="L106" i="37"/>
  <c r="I106" i="37"/>
  <c r="K249" i="12"/>
  <c r="C252" i="46" s="1"/>
  <c r="C256" i="39"/>
  <c r="C311" i="7"/>
  <c r="C256" i="13"/>
  <c r="I116" i="30"/>
  <c r="M116" i="30"/>
  <c r="N116" i="30"/>
  <c r="J116" i="30" s="1"/>
  <c r="K116" i="30"/>
  <c r="V103" i="46"/>
  <c r="H72" i="39"/>
  <c r="U72" i="39"/>
  <c r="G72" i="39" s="1"/>
  <c r="D73" i="36" s="1"/>
  <c r="B286" i="39"/>
  <c r="E285" i="39"/>
  <c r="R284" i="39"/>
  <c r="Q121" i="7" l="1"/>
  <c r="P121" i="7"/>
  <c r="S66" i="13"/>
  <c r="F67" i="13"/>
  <c r="R66" i="13"/>
  <c r="P102" i="46"/>
  <c r="Q102" i="46"/>
  <c r="F103" i="46" s="1"/>
  <c r="U104" i="46"/>
  <c r="Y104" i="46" s="1"/>
  <c r="E313" i="7"/>
  <c r="O313" i="7"/>
  <c r="B314" i="7"/>
  <c r="E255" i="46"/>
  <c r="D255" i="46"/>
  <c r="B256" i="46"/>
  <c r="T256" i="46" s="1"/>
  <c r="AA256" i="46" s="1"/>
  <c r="B260" i="13"/>
  <c r="E259" i="13"/>
  <c r="I70" i="28"/>
  <c r="I438" i="7" s="1"/>
  <c r="AB70" i="28"/>
  <c r="N438" i="7"/>
  <c r="AE70" i="28"/>
  <c r="AC70" i="28" s="1"/>
  <c r="AH70" i="28"/>
  <c r="K438" i="7"/>
  <c r="X68" i="28"/>
  <c r="AF93" i="40"/>
  <c r="AC93" i="40"/>
  <c r="I93" i="40" s="1"/>
  <c r="J93" i="40"/>
  <c r="Q93" i="40"/>
  <c r="X91" i="40"/>
  <c r="M107" i="33"/>
  <c r="L107" i="33"/>
  <c r="N107" i="33"/>
  <c r="J107" i="33" s="1"/>
  <c r="H107" i="33" s="1"/>
  <c r="F108" i="33" s="1"/>
  <c r="I108" i="33" s="1"/>
  <c r="K107" i="33"/>
  <c r="P107" i="33"/>
  <c r="W105" i="33" s="1"/>
  <c r="I72" i="39"/>
  <c r="AC72" i="39" s="1"/>
  <c r="I165" i="32"/>
  <c r="F166" i="32"/>
  <c r="N166" i="32" s="1"/>
  <c r="P165" i="32"/>
  <c r="W163" i="32" s="1"/>
  <c r="Y165" i="32"/>
  <c r="AA165" i="32" s="1"/>
  <c r="AD165" i="32"/>
  <c r="AB165" i="32" s="1"/>
  <c r="AG165" i="32"/>
  <c r="AE165" i="32" s="1"/>
  <c r="P106" i="37"/>
  <c r="W104" i="37" s="1"/>
  <c r="H106" i="37"/>
  <c r="K250" i="12"/>
  <c r="C253" i="46" s="1"/>
  <c r="C257" i="39"/>
  <c r="C312" i="7"/>
  <c r="C257" i="13"/>
  <c r="H116" i="30"/>
  <c r="F117" i="30" s="1"/>
  <c r="N117" i="30" s="1"/>
  <c r="J117" i="30" s="1"/>
  <c r="AB103" i="46"/>
  <c r="O72" i="39"/>
  <c r="P72" i="39"/>
  <c r="R285" i="39"/>
  <c r="B287" i="39"/>
  <c r="E286" i="39"/>
  <c r="F122" i="7" l="1"/>
  <c r="R122" i="7" s="1"/>
  <c r="L67" i="13"/>
  <c r="K122" i="7" s="1"/>
  <c r="K67" i="13"/>
  <c r="J122" i="7" s="1"/>
  <c r="V67" i="13"/>
  <c r="Y67" i="13"/>
  <c r="H67" i="13" s="1"/>
  <c r="H122" i="7" s="1"/>
  <c r="M67" i="13"/>
  <c r="L122" i="7" s="1"/>
  <c r="AB67" i="13"/>
  <c r="N67" i="13"/>
  <c r="M122" i="7" s="1"/>
  <c r="L103" i="46"/>
  <c r="I103" i="46"/>
  <c r="A103" i="46"/>
  <c r="M103" i="46" s="1"/>
  <c r="H103" i="46"/>
  <c r="J103" i="46"/>
  <c r="K103" i="46"/>
  <c r="W104" i="46"/>
  <c r="Z104" i="46"/>
  <c r="X104" i="46"/>
  <c r="O314" i="7"/>
  <c r="E314" i="7"/>
  <c r="B315" i="7"/>
  <c r="B257" i="46"/>
  <c r="T257" i="46" s="1"/>
  <c r="AA257" i="46" s="1"/>
  <c r="D256" i="46"/>
  <c r="E256" i="46"/>
  <c r="B261" i="13"/>
  <c r="E260" i="13"/>
  <c r="AF70" i="28"/>
  <c r="J70" i="28"/>
  <c r="R93" i="40"/>
  <c r="G94" i="40"/>
  <c r="Q107" i="33"/>
  <c r="K108" i="33"/>
  <c r="P108" i="33"/>
  <c r="W106" i="33" s="1"/>
  <c r="M108" i="33"/>
  <c r="L108" i="33"/>
  <c r="N108" i="33"/>
  <c r="J108" i="33" s="1"/>
  <c r="H108" i="33" s="1"/>
  <c r="Q108" i="33" s="1"/>
  <c r="AF166" i="32"/>
  <c r="M166" i="32"/>
  <c r="J166" i="32"/>
  <c r="Z166" i="32"/>
  <c r="L166" i="32"/>
  <c r="AC166" i="32"/>
  <c r="K166" i="32"/>
  <c r="H166" i="32"/>
  <c r="Q166" i="32" s="1"/>
  <c r="AG166" i="32"/>
  <c r="Y166" i="32"/>
  <c r="AD166" i="32"/>
  <c r="Q106" i="37"/>
  <c r="F107" i="37"/>
  <c r="K251" i="12"/>
  <c r="C254" i="46" s="1"/>
  <c r="C258" i="39"/>
  <c r="C313" i="7"/>
  <c r="C258" i="13"/>
  <c r="P116" i="30"/>
  <c r="W114" i="30" s="1"/>
  <c r="M117" i="30"/>
  <c r="K117" i="30"/>
  <c r="I117" i="30"/>
  <c r="H117" i="30" s="1"/>
  <c r="Q117" i="30" s="1"/>
  <c r="Q116" i="30"/>
  <c r="L117" i="30"/>
  <c r="F73" i="39"/>
  <c r="Z73" i="39"/>
  <c r="E73" i="36"/>
  <c r="C74" i="36"/>
  <c r="E287" i="39"/>
  <c r="B288" i="39"/>
  <c r="R286" i="39"/>
  <c r="U67" i="13" l="1"/>
  <c r="W67" i="13" s="1"/>
  <c r="Z67" i="13"/>
  <c r="AC67" i="13"/>
  <c r="AA67" i="13" s="1"/>
  <c r="E58" i="10"/>
  <c r="G103" i="46"/>
  <c r="V104" i="46"/>
  <c r="AB104" i="46" s="1"/>
  <c r="O315" i="7"/>
  <c r="E315" i="7"/>
  <c r="B316" i="7"/>
  <c r="B258" i="46"/>
  <c r="T258" i="46" s="1"/>
  <c r="AA258" i="46" s="1"/>
  <c r="D257" i="46"/>
  <c r="E257" i="46"/>
  <c r="I72" i="13"/>
  <c r="E261" i="13"/>
  <c r="B262" i="13"/>
  <c r="H70" i="28"/>
  <c r="J438" i="7"/>
  <c r="L94" i="40"/>
  <c r="AA94" i="40"/>
  <c r="AB94" i="40" s="1"/>
  <c r="AH94" i="40"/>
  <c r="AG94" i="40"/>
  <c r="M94" i="40"/>
  <c r="AD94" i="40"/>
  <c r="N94" i="40"/>
  <c r="F109" i="33"/>
  <c r="K109" i="33" s="1"/>
  <c r="AE166" i="32"/>
  <c r="I166" i="32"/>
  <c r="AA166" i="32"/>
  <c r="P166" i="32"/>
  <c r="W164" i="32" s="1"/>
  <c r="AB166" i="32"/>
  <c r="F167" i="32"/>
  <c r="AF167" i="32" s="1"/>
  <c r="M107" i="37"/>
  <c r="I107" i="37"/>
  <c r="L107" i="37"/>
  <c r="J107" i="37"/>
  <c r="K107" i="37"/>
  <c r="K252" i="12"/>
  <c r="C255" i="46" s="1"/>
  <c r="C259" i="39"/>
  <c r="C314" i="7"/>
  <c r="C259" i="13"/>
  <c r="P117" i="30"/>
  <c r="W115" i="30" s="1"/>
  <c r="F118" i="30"/>
  <c r="M118" i="30" s="1"/>
  <c r="Y73" i="39"/>
  <c r="X73" i="39" s="1"/>
  <c r="V73" i="39"/>
  <c r="S73" i="39"/>
  <c r="T73" i="39" s="1"/>
  <c r="J73" i="39"/>
  <c r="K73" i="39"/>
  <c r="L73" i="39"/>
  <c r="Q73" i="39"/>
  <c r="B289" i="39"/>
  <c r="E288" i="39"/>
  <c r="R287" i="39"/>
  <c r="J67" i="13" l="1"/>
  <c r="X67" i="13"/>
  <c r="Q103" i="46"/>
  <c r="F104" i="46" s="1"/>
  <c r="P103" i="46"/>
  <c r="U105" i="46"/>
  <c r="Z105" i="46" s="1"/>
  <c r="E316" i="7"/>
  <c r="O316" i="7"/>
  <c r="B317" i="7"/>
  <c r="I127" i="7"/>
  <c r="B259" i="46"/>
  <c r="T259" i="46" s="1"/>
  <c r="AA259" i="46" s="1"/>
  <c r="D258" i="46"/>
  <c r="E258" i="46"/>
  <c r="B263" i="13"/>
  <c r="E262" i="13"/>
  <c r="F71" i="28"/>
  <c r="H438" i="7"/>
  <c r="Q70" i="28"/>
  <c r="Q438" i="7" s="1"/>
  <c r="R70" i="28"/>
  <c r="R438" i="7" s="1"/>
  <c r="AF94" i="40"/>
  <c r="AC94" i="40"/>
  <c r="I94" i="40" s="1"/>
  <c r="J94" i="40"/>
  <c r="Q94" i="40"/>
  <c r="X92" i="40"/>
  <c r="M109" i="33"/>
  <c r="P109" i="33"/>
  <c r="W107" i="33" s="1"/>
  <c r="I109" i="33"/>
  <c r="L109" i="33"/>
  <c r="N109" i="33"/>
  <c r="J109" i="33" s="1"/>
  <c r="J167" i="32"/>
  <c r="AC167" i="32"/>
  <c r="Z167" i="32"/>
  <c r="H167" i="32"/>
  <c r="F168" i="32" s="1"/>
  <c r="M167" i="32"/>
  <c r="K167" i="32"/>
  <c r="L167" i="32"/>
  <c r="N167" i="32"/>
  <c r="AG167" i="32" s="1"/>
  <c r="AE167" i="32" s="1"/>
  <c r="H107" i="37"/>
  <c r="Q107" i="37" s="1"/>
  <c r="P107" i="37"/>
  <c r="W105" i="37" s="1"/>
  <c r="K253" i="12"/>
  <c r="C256" i="46" s="1"/>
  <c r="C260" i="39"/>
  <c r="C315" i="7"/>
  <c r="C260" i="13"/>
  <c r="L118" i="30"/>
  <c r="N118" i="30"/>
  <c r="J118" i="30" s="1"/>
  <c r="I118" i="30"/>
  <c r="K118" i="30"/>
  <c r="U73" i="39"/>
  <c r="G73" i="39" s="1"/>
  <c r="D74" i="36" s="1"/>
  <c r="H73" i="39"/>
  <c r="B290" i="39"/>
  <c r="E289" i="39"/>
  <c r="R288" i="39"/>
  <c r="G67" i="13" l="1"/>
  <c r="G122" i="7" s="1"/>
  <c r="H104" i="46"/>
  <c r="I104" i="46"/>
  <c r="A104" i="46"/>
  <c r="M104" i="46" s="1"/>
  <c r="L104" i="46"/>
  <c r="K104" i="46"/>
  <c r="J104" i="46"/>
  <c r="X105" i="46"/>
  <c r="W105" i="46"/>
  <c r="Y105" i="46"/>
  <c r="E317" i="7"/>
  <c r="O317" i="7"/>
  <c r="B318" i="7"/>
  <c r="B260" i="46"/>
  <c r="T260" i="46" s="1"/>
  <c r="AA260" i="46" s="1"/>
  <c r="D259" i="46"/>
  <c r="E259" i="46"/>
  <c r="E263" i="13"/>
  <c r="B264" i="13"/>
  <c r="F439" i="7"/>
  <c r="S439" i="7" s="1"/>
  <c r="K71" i="28"/>
  <c r="K439" i="7" s="1"/>
  <c r="AA71" i="28"/>
  <c r="L71" i="28"/>
  <c r="L439" i="7" s="1"/>
  <c r="AD71" i="28"/>
  <c r="AG71" i="28"/>
  <c r="M71" i="28"/>
  <c r="M439" i="7" s="1"/>
  <c r="N71" i="28"/>
  <c r="N439" i="7" s="1"/>
  <c r="G95" i="40"/>
  <c r="R94" i="40"/>
  <c r="H109" i="33"/>
  <c r="F110" i="33" s="1"/>
  <c r="I110" i="33" s="1"/>
  <c r="I167" i="32"/>
  <c r="I73" i="39"/>
  <c r="AC73" i="39" s="1"/>
  <c r="P167" i="32"/>
  <c r="W165" i="32" s="1"/>
  <c r="AD167" i="32"/>
  <c r="AB167" i="32" s="1"/>
  <c r="Y167" i="32"/>
  <c r="AA167" i="32" s="1"/>
  <c r="Q167" i="32"/>
  <c r="M168" i="32"/>
  <c r="AF168" i="32"/>
  <c r="K168" i="32"/>
  <c r="H168" i="32"/>
  <c r="F169" i="32" s="1"/>
  <c r="Z168" i="32"/>
  <c r="L168" i="32"/>
  <c r="N168" i="32"/>
  <c r="AC168" i="32"/>
  <c r="J168" i="32"/>
  <c r="F108" i="37"/>
  <c r="K254" i="12"/>
  <c r="C257" i="46" s="1"/>
  <c r="C261" i="39"/>
  <c r="C316" i="7"/>
  <c r="C261" i="13"/>
  <c r="H118" i="30"/>
  <c r="Q118" i="30" s="1"/>
  <c r="O73" i="39"/>
  <c r="P73" i="39"/>
  <c r="R289" i="39"/>
  <c r="B291" i="39"/>
  <c r="E290" i="39"/>
  <c r="F68" i="13" l="1"/>
  <c r="F123" i="7" s="1"/>
  <c r="R123" i="7" s="1"/>
  <c r="S67" i="13"/>
  <c r="R67" i="13"/>
  <c r="P122" i="7"/>
  <c r="Q122" i="7"/>
  <c r="G104" i="46"/>
  <c r="V105" i="46"/>
  <c r="U106" i="46" s="1"/>
  <c r="O318" i="7"/>
  <c r="E318" i="7"/>
  <c r="B319" i="7"/>
  <c r="E260" i="46"/>
  <c r="D260" i="46"/>
  <c r="B261" i="46"/>
  <c r="T261" i="46" s="1"/>
  <c r="AA261" i="46" s="1"/>
  <c r="I73" i="13"/>
  <c r="I128" i="7" s="1"/>
  <c r="B265" i="13"/>
  <c r="E264" i="13"/>
  <c r="I71" i="28"/>
  <c r="I439" i="7" s="1"/>
  <c r="X69" i="28"/>
  <c r="AE71" i="28"/>
  <c r="AC71" i="28" s="1"/>
  <c r="Z71" i="28"/>
  <c r="AB71" i="28" s="1"/>
  <c r="AH71" i="28"/>
  <c r="AG95" i="40"/>
  <c r="AA95" i="40"/>
  <c r="AB95" i="40" s="1"/>
  <c r="N95" i="40"/>
  <c r="AD95" i="40"/>
  <c r="L95" i="40"/>
  <c r="M95" i="40"/>
  <c r="AH95" i="40"/>
  <c r="Q109" i="33"/>
  <c r="K110" i="33"/>
  <c r="N110" i="33"/>
  <c r="J110" i="33" s="1"/>
  <c r="H110" i="33" s="1"/>
  <c r="Q110" i="33" s="1"/>
  <c r="P110" i="33"/>
  <c r="W108" i="33" s="1"/>
  <c r="M110" i="33"/>
  <c r="L110" i="33"/>
  <c r="I168" i="32"/>
  <c r="P168" i="32"/>
  <c r="W166" i="32" s="1"/>
  <c r="AG168" i="32"/>
  <c r="AE168" i="32" s="1"/>
  <c r="AD168" i="32"/>
  <c r="AB168" i="32" s="1"/>
  <c r="Y168" i="32"/>
  <c r="AA168" i="32" s="1"/>
  <c r="Z169" i="32"/>
  <c r="AF169" i="32"/>
  <c r="J169" i="32"/>
  <c r="AC169" i="32"/>
  <c r="M169" i="32"/>
  <c r="K169" i="32"/>
  <c r="N169" i="32"/>
  <c r="AG169" i="32" s="1"/>
  <c r="H169" i="32"/>
  <c r="Q169" i="32" s="1"/>
  <c r="L169" i="32"/>
  <c r="Q168" i="32"/>
  <c r="L108" i="37"/>
  <c r="M108" i="37"/>
  <c r="J108" i="37"/>
  <c r="I108" i="37"/>
  <c r="K108" i="37"/>
  <c r="K255" i="12"/>
  <c r="C258" i="46" s="1"/>
  <c r="C262" i="39"/>
  <c r="C317" i="7"/>
  <c r="C262" i="13"/>
  <c r="F119" i="30"/>
  <c r="L119" i="30" s="1"/>
  <c r="P118" i="30"/>
  <c r="W116" i="30" s="1"/>
  <c r="Z74" i="39"/>
  <c r="F74" i="39"/>
  <c r="E74" i="36"/>
  <c r="C75" i="36"/>
  <c r="R290" i="39"/>
  <c r="B292" i="39"/>
  <c r="E291" i="39"/>
  <c r="K68" i="13" l="1"/>
  <c r="J123" i="7" s="1"/>
  <c r="L68" i="13"/>
  <c r="K123" i="7" s="1"/>
  <c r="M68" i="13"/>
  <c r="L123" i="7" s="1"/>
  <c r="AB68" i="13"/>
  <c r="V68" i="13"/>
  <c r="N68" i="13"/>
  <c r="Y68" i="13"/>
  <c r="H68" i="13" s="1"/>
  <c r="H123" i="7" s="1"/>
  <c r="P104" i="46"/>
  <c r="Q104" i="46"/>
  <c r="F105" i="46" s="1"/>
  <c r="AB105" i="46"/>
  <c r="E319" i="7"/>
  <c r="O319" i="7"/>
  <c r="B320" i="7"/>
  <c r="B262" i="46"/>
  <c r="T262" i="46" s="1"/>
  <c r="AA262" i="46" s="1"/>
  <c r="D261" i="46"/>
  <c r="E261" i="46"/>
  <c r="E265" i="13"/>
  <c r="B266" i="13"/>
  <c r="AF71" i="28"/>
  <c r="J71" i="28"/>
  <c r="AF95" i="40"/>
  <c r="Q95" i="40"/>
  <c r="X93" i="40"/>
  <c r="J95" i="40"/>
  <c r="AC95" i="40"/>
  <c r="I95" i="40" s="1"/>
  <c r="F111" i="33"/>
  <c r="N111" i="33" s="1"/>
  <c r="J111" i="33" s="1"/>
  <c r="I169" i="32"/>
  <c r="P169" i="32"/>
  <c r="W167" i="32" s="1"/>
  <c r="AE169" i="32"/>
  <c r="F170" i="32"/>
  <c r="H170" i="32" s="1"/>
  <c r="Y169" i="32"/>
  <c r="AA169" i="32" s="1"/>
  <c r="AD169" i="32"/>
  <c r="AB169" i="32" s="1"/>
  <c r="P108" i="37"/>
  <c r="W106" i="37" s="1"/>
  <c r="H108" i="37"/>
  <c r="K256" i="12"/>
  <c r="C259" i="46" s="1"/>
  <c r="C263" i="39"/>
  <c r="C318" i="7"/>
  <c r="C263" i="13"/>
  <c r="M119" i="30"/>
  <c r="K119" i="30"/>
  <c r="I119" i="30"/>
  <c r="N119" i="30"/>
  <c r="J119" i="30" s="1"/>
  <c r="K74" i="39"/>
  <c r="Y74" i="39"/>
  <c r="X74" i="39" s="1"/>
  <c r="Q74" i="39"/>
  <c r="S74" i="39"/>
  <c r="T74" i="39" s="1"/>
  <c r="J74" i="39"/>
  <c r="L74" i="39"/>
  <c r="V74" i="39"/>
  <c r="X106" i="46"/>
  <c r="Y106" i="46"/>
  <c r="W106" i="46"/>
  <c r="Z106" i="46"/>
  <c r="R291" i="39"/>
  <c r="B293" i="39"/>
  <c r="E292" i="39"/>
  <c r="E59" i="10" l="1"/>
  <c r="AC68" i="13"/>
  <c r="AA68" i="13" s="1"/>
  <c r="U68" i="13"/>
  <c r="W68" i="13" s="1"/>
  <c r="Z68" i="13"/>
  <c r="M123" i="7"/>
  <c r="A105" i="46"/>
  <c r="M105" i="46" s="1"/>
  <c r="H105" i="46"/>
  <c r="K105" i="46"/>
  <c r="L105" i="46"/>
  <c r="I105" i="46"/>
  <c r="J105" i="46"/>
  <c r="O320" i="7"/>
  <c r="E320" i="7"/>
  <c r="B321" i="7"/>
  <c r="E262" i="46"/>
  <c r="B263" i="46"/>
  <c r="T263" i="46" s="1"/>
  <c r="AA263" i="46" s="1"/>
  <c r="D262" i="46"/>
  <c r="B267" i="13"/>
  <c r="E266" i="13"/>
  <c r="H71" i="28"/>
  <c r="J439" i="7"/>
  <c r="R95" i="40"/>
  <c r="G96" i="40"/>
  <c r="I111" i="33"/>
  <c r="H111" i="33" s="1"/>
  <c r="K111" i="33"/>
  <c r="P111" i="33"/>
  <c r="W109" i="33" s="1"/>
  <c r="M111" i="33"/>
  <c r="L111" i="33"/>
  <c r="M170" i="32"/>
  <c r="K170" i="32"/>
  <c r="J170" i="32"/>
  <c r="Z170" i="32"/>
  <c r="AF170" i="32"/>
  <c r="N170" i="32"/>
  <c r="AG170" i="32" s="1"/>
  <c r="AC170" i="32"/>
  <c r="L170" i="32"/>
  <c r="F171" i="32"/>
  <c r="Q170" i="32"/>
  <c r="Q108" i="37"/>
  <c r="F109" i="37"/>
  <c r="K257" i="12"/>
  <c r="C260" i="46" s="1"/>
  <c r="C264" i="39"/>
  <c r="C319" i="7"/>
  <c r="C264" i="13"/>
  <c r="H119" i="30"/>
  <c r="Q119" i="30" s="1"/>
  <c r="V106" i="46"/>
  <c r="H74" i="39"/>
  <c r="U74" i="39"/>
  <c r="G74" i="39" s="1"/>
  <c r="D75" i="36" s="1"/>
  <c r="R292" i="39"/>
  <c r="B294" i="39"/>
  <c r="E293" i="39"/>
  <c r="J68" i="13" l="1"/>
  <c r="X68" i="13"/>
  <c r="G105" i="46"/>
  <c r="U107" i="46"/>
  <c r="W107" i="46" s="1"/>
  <c r="O321" i="7"/>
  <c r="E321" i="7"/>
  <c r="B322" i="7"/>
  <c r="D263" i="46"/>
  <c r="B264" i="46"/>
  <c r="T264" i="46" s="1"/>
  <c r="AA264" i="46" s="1"/>
  <c r="E263" i="46"/>
  <c r="B268" i="13"/>
  <c r="E267" i="13"/>
  <c r="R71" i="28"/>
  <c r="R439" i="7" s="1"/>
  <c r="H439" i="7"/>
  <c r="F72" i="28"/>
  <c r="Q71" i="28"/>
  <c r="Q439" i="7" s="1"/>
  <c r="L96" i="40"/>
  <c r="M96" i="40"/>
  <c r="AG96" i="40"/>
  <c r="AH96" i="40"/>
  <c r="AA96" i="40"/>
  <c r="AB96" i="40" s="1"/>
  <c r="AD96" i="40"/>
  <c r="N96" i="40"/>
  <c r="I74" i="39"/>
  <c r="AC74" i="39" s="1"/>
  <c r="AE170" i="32"/>
  <c r="I170" i="32"/>
  <c r="P170" i="32"/>
  <c r="W168" i="32" s="1"/>
  <c r="Y170" i="32"/>
  <c r="AA170" i="32" s="1"/>
  <c r="AD170" i="32"/>
  <c r="AB170" i="32" s="1"/>
  <c r="J171" i="32"/>
  <c r="H171" i="32"/>
  <c r="Q171" i="32" s="1"/>
  <c r="AF171" i="32"/>
  <c r="M171" i="32"/>
  <c r="K171" i="32"/>
  <c r="L171" i="32"/>
  <c r="Z171" i="32"/>
  <c r="N171" i="32"/>
  <c r="AC171" i="32"/>
  <c r="K109" i="37"/>
  <c r="M109" i="37"/>
  <c r="L109" i="37"/>
  <c r="J109" i="37"/>
  <c r="I109" i="37"/>
  <c r="K258" i="12"/>
  <c r="C261" i="46" s="1"/>
  <c r="C265" i="39"/>
  <c r="C320" i="7"/>
  <c r="C265" i="13"/>
  <c r="Q111" i="33"/>
  <c r="F112" i="33"/>
  <c r="F120" i="30"/>
  <c r="P119" i="30"/>
  <c r="W117" i="30" s="1"/>
  <c r="AB106" i="46"/>
  <c r="O74" i="39"/>
  <c r="P74" i="39"/>
  <c r="B295" i="39"/>
  <c r="E294" i="39"/>
  <c r="R293" i="39"/>
  <c r="G68" i="13" l="1"/>
  <c r="G123" i="7" s="1"/>
  <c r="Q105" i="46"/>
  <c r="F106" i="46" s="1"/>
  <c r="P105" i="46"/>
  <c r="X107" i="46"/>
  <c r="V107" i="46" s="1"/>
  <c r="U108" i="46" s="1"/>
  <c r="Z107" i="46"/>
  <c r="Y107" i="46"/>
  <c r="I74" i="13"/>
  <c r="I129" i="7" s="1"/>
  <c r="O322" i="7"/>
  <c r="E322" i="7"/>
  <c r="B323" i="7"/>
  <c r="E264" i="46"/>
  <c r="D264" i="46"/>
  <c r="B265" i="46"/>
  <c r="T265" i="46" s="1"/>
  <c r="AA265" i="46" s="1"/>
  <c r="B269" i="13"/>
  <c r="E268" i="13"/>
  <c r="K72" i="28"/>
  <c r="K440" i="7" s="1"/>
  <c r="L72" i="28"/>
  <c r="L440" i="7" s="1"/>
  <c r="AG72" i="28"/>
  <c r="N72" i="28"/>
  <c r="N440" i="7" s="1"/>
  <c r="AD72" i="28"/>
  <c r="F440" i="7"/>
  <c r="S440" i="7" s="1"/>
  <c r="AA72" i="28"/>
  <c r="M72" i="28"/>
  <c r="M440" i="7" s="1"/>
  <c r="AF96" i="40"/>
  <c r="J96" i="40"/>
  <c r="AC96" i="40"/>
  <c r="I96" i="40" s="1"/>
  <c r="Q96" i="40"/>
  <c r="X94" i="40"/>
  <c r="I171" i="32"/>
  <c r="F172" i="32"/>
  <c r="J172" i="32" s="1"/>
  <c r="P171" i="32"/>
  <c r="W169" i="32" s="1"/>
  <c r="AG171" i="32"/>
  <c r="AE171" i="32" s="1"/>
  <c r="Y171" i="32"/>
  <c r="AA171" i="32" s="1"/>
  <c r="AD171" i="32"/>
  <c r="AB171" i="32" s="1"/>
  <c r="P109" i="37"/>
  <c r="W107" i="37" s="1"/>
  <c r="H109" i="37"/>
  <c r="K259" i="12"/>
  <c r="C262" i="46" s="1"/>
  <c r="C266" i="39"/>
  <c r="C321" i="7"/>
  <c r="C266" i="13"/>
  <c r="L112" i="33"/>
  <c r="N112" i="33"/>
  <c r="J112" i="33" s="1"/>
  <c r="P112" i="33"/>
  <c r="W110" i="33" s="1"/>
  <c r="K112" i="33"/>
  <c r="M112" i="33"/>
  <c r="I112" i="33"/>
  <c r="L120" i="30"/>
  <c r="M120" i="30"/>
  <c r="K120" i="30"/>
  <c r="N120" i="30"/>
  <c r="J120" i="30" s="1"/>
  <c r="I120" i="30"/>
  <c r="F75" i="39"/>
  <c r="Z75" i="39"/>
  <c r="E75" i="36"/>
  <c r="C76" i="36"/>
  <c r="R294" i="39"/>
  <c r="E295" i="39"/>
  <c r="B296" i="39"/>
  <c r="P123" i="7" l="1"/>
  <c r="Q123" i="7"/>
  <c r="R68" i="13"/>
  <c r="F69" i="13"/>
  <c r="F124" i="7" s="1"/>
  <c r="R124" i="7" s="1"/>
  <c r="S68" i="13"/>
  <c r="L106" i="46"/>
  <c r="I106" i="46"/>
  <c r="A106" i="46"/>
  <c r="M106" i="46" s="1"/>
  <c r="H106" i="46"/>
  <c r="K106" i="46"/>
  <c r="J106" i="46"/>
  <c r="AB107" i="46"/>
  <c r="O323" i="7"/>
  <c r="E323" i="7"/>
  <c r="B324" i="7"/>
  <c r="E265" i="46"/>
  <c r="B266" i="46"/>
  <c r="T266" i="46" s="1"/>
  <c r="AA266" i="46" s="1"/>
  <c r="D265" i="46"/>
  <c r="E269" i="13"/>
  <c r="B270" i="13"/>
  <c r="I72" i="28"/>
  <c r="I440" i="7" s="1"/>
  <c r="Z72" i="28"/>
  <c r="AB72" i="28" s="1"/>
  <c r="AH72" i="28"/>
  <c r="AF72" i="28" s="1"/>
  <c r="AE72" i="28"/>
  <c r="AC72" i="28" s="1"/>
  <c r="X70" i="28"/>
  <c r="G97" i="40"/>
  <c r="R96" i="40"/>
  <c r="L172" i="32"/>
  <c r="M172" i="32"/>
  <c r="Z172" i="32"/>
  <c r="N172" i="32"/>
  <c r="AG172" i="32" s="1"/>
  <c r="K172" i="32"/>
  <c r="AF172" i="32"/>
  <c r="AC172" i="32"/>
  <c r="H172" i="32"/>
  <c r="F173" i="32" s="1"/>
  <c r="M173" i="32" s="1"/>
  <c r="F110" i="37"/>
  <c r="Q109" i="37"/>
  <c r="K260" i="12"/>
  <c r="C263" i="46" s="1"/>
  <c r="C267" i="39"/>
  <c r="C322" i="7"/>
  <c r="C267" i="13"/>
  <c r="H112" i="33"/>
  <c r="H120" i="30"/>
  <c r="F121" i="30" s="1"/>
  <c r="M121" i="30" s="1"/>
  <c r="Q75" i="39"/>
  <c r="Y75" i="39"/>
  <c r="X75" i="39" s="1"/>
  <c r="S75" i="39"/>
  <c r="T75" i="39" s="1"/>
  <c r="L75" i="39"/>
  <c r="J75" i="39"/>
  <c r="K75" i="39"/>
  <c r="V75" i="39"/>
  <c r="W108" i="46"/>
  <c r="Y108" i="46"/>
  <c r="X108" i="46"/>
  <c r="Z108" i="46"/>
  <c r="B297" i="39"/>
  <c r="E296" i="39"/>
  <c r="R295" i="39"/>
  <c r="AB69" i="13" l="1"/>
  <c r="Y69" i="13"/>
  <c r="V69" i="13"/>
  <c r="M69" i="13"/>
  <c r="L124" i="7" s="1"/>
  <c r="N69" i="13"/>
  <c r="K69" i="13"/>
  <c r="J124" i="7" s="1"/>
  <c r="L69" i="13"/>
  <c r="K124" i="7" s="1"/>
  <c r="G106" i="46"/>
  <c r="O324" i="7"/>
  <c r="E324" i="7"/>
  <c r="B325" i="7"/>
  <c r="D266" i="46"/>
  <c r="B267" i="46"/>
  <c r="T267" i="46" s="1"/>
  <c r="AA267" i="46" s="1"/>
  <c r="E266" i="46"/>
  <c r="B271" i="13"/>
  <c r="E270" i="13"/>
  <c r="J72" i="28"/>
  <c r="H72" i="28" s="1"/>
  <c r="AH97" i="40"/>
  <c r="L97" i="40"/>
  <c r="N97" i="40"/>
  <c r="AD97" i="40"/>
  <c r="M97" i="40"/>
  <c r="AG97" i="40"/>
  <c r="AA97" i="40"/>
  <c r="AB97" i="40" s="1"/>
  <c r="Y172" i="32"/>
  <c r="AA172" i="32" s="1"/>
  <c r="P172" i="32"/>
  <c r="W170" i="32" s="1"/>
  <c r="I172" i="32"/>
  <c r="AE172" i="32"/>
  <c r="AD172" i="32"/>
  <c r="AB172" i="32" s="1"/>
  <c r="J173" i="32"/>
  <c r="N173" i="32"/>
  <c r="Y173" i="32" s="1"/>
  <c r="Z173" i="32"/>
  <c r="AC173" i="32"/>
  <c r="L173" i="32"/>
  <c r="AF173" i="32"/>
  <c r="K173" i="32"/>
  <c r="H173" i="32"/>
  <c r="F174" i="32" s="1"/>
  <c r="K174" i="32" s="1"/>
  <c r="Q172" i="32"/>
  <c r="K110" i="37"/>
  <c r="J110" i="37"/>
  <c r="L110" i="37"/>
  <c r="I110" i="37"/>
  <c r="M110" i="37"/>
  <c r="K261" i="12"/>
  <c r="C264" i="46" s="1"/>
  <c r="C268" i="39"/>
  <c r="C323" i="7"/>
  <c r="C268" i="13"/>
  <c r="F113" i="33"/>
  <c r="Q112" i="33"/>
  <c r="I121" i="30"/>
  <c r="N121" i="30"/>
  <c r="J121" i="30" s="1"/>
  <c r="Q120" i="30"/>
  <c r="P120" i="30"/>
  <c r="W118" i="30" s="1"/>
  <c r="L121" i="30"/>
  <c r="K121" i="30"/>
  <c r="V108" i="46"/>
  <c r="U75" i="39"/>
  <c r="G75" i="39" s="1"/>
  <c r="D76" i="36" s="1"/>
  <c r="H75" i="39"/>
  <c r="R296" i="39"/>
  <c r="B298" i="39"/>
  <c r="E297" i="39"/>
  <c r="E60" i="10" l="1"/>
  <c r="Z69" i="13"/>
  <c r="U69" i="13"/>
  <c r="W69" i="13" s="1"/>
  <c r="H69" i="13"/>
  <c r="H124" i="7" s="1"/>
  <c r="AC69" i="13"/>
  <c r="AA69" i="13" s="1"/>
  <c r="M124" i="7"/>
  <c r="Q106" i="46"/>
  <c r="F107" i="46" s="1"/>
  <c r="P106" i="46"/>
  <c r="U109" i="46"/>
  <c r="X109" i="46" s="1"/>
  <c r="O325" i="7"/>
  <c r="E325" i="7"/>
  <c r="B326" i="7"/>
  <c r="D267" i="46"/>
  <c r="B268" i="46"/>
  <c r="E267" i="46"/>
  <c r="B272" i="13"/>
  <c r="E271" i="13"/>
  <c r="J440" i="7"/>
  <c r="H440" i="7"/>
  <c r="Q72" i="28"/>
  <c r="Q440" i="7" s="1"/>
  <c r="F73" i="28"/>
  <c r="R72" i="28"/>
  <c r="R440" i="7" s="1"/>
  <c r="J97" i="40"/>
  <c r="AC97" i="40"/>
  <c r="I97" i="40" s="1"/>
  <c r="X95" i="40"/>
  <c r="Q97" i="40"/>
  <c r="AF97" i="40"/>
  <c r="I75" i="39"/>
  <c r="AC75" i="39" s="1"/>
  <c r="I173" i="32"/>
  <c r="AD173" i="32"/>
  <c r="AB173" i="32" s="1"/>
  <c r="AA173" i="32"/>
  <c r="AG173" i="32"/>
  <c r="AE173" i="32" s="1"/>
  <c r="P173" i="32"/>
  <c r="W171" i="32" s="1"/>
  <c r="M174" i="32"/>
  <c r="N174" i="32"/>
  <c r="AG174" i="32" s="1"/>
  <c r="Z174" i="32"/>
  <c r="J174" i="32"/>
  <c r="L174" i="32"/>
  <c r="H174" i="32"/>
  <c r="Q174" i="32" s="1"/>
  <c r="AC174" i="32"/>
  <c r="AF174" i="32"/>
  <c r="Q173" i="32"/>
  <c r="P110" i="37"/>
  <c r="W108" i="37" s="1"/>
  <c r="H110" i="37"/>
  <c r="K262" i="12"/>
  <c r="C265" i="46" s="1"/>
  <c r="C269" i="39"/>
  <c r="C324" i="7"/>
  <c r="C269" i="13"/>
  <c r="P113" i="33"/>
  <c r="W111" i="33" s="1"/>
  <c r="M113" i="33"/>
  <c r="K113" i="33"/>
  <c r="I113" i="33"/>
  <c r="N113" i="33"/>
  <c r="J113" i="33" s="1"/>
  <c r="L113" i="33"/>
  <c r="H121" i="30"/>
  <c r="Q121" i="30" s="1"/>
  <c r="AB108" i="46"/>
  <c r="O75" i="39"/>
  <c r="P75" i="39"/>
  <c r="R297" i="39"/>
  <c r="B299" i="39"/>
  <c r="E298" i="39"/>
  <c r="J69" i="13" l="1"/>
  <c r="X69" i="13"/>
  <c r="K107" i="46"/>
  <c r="I107" i="46"/>
  <c r="H107" i="46"/>
  <c r="A107" i="46"/>
  <c r="M107" i="46" s="1"/>
  <c r="L107" i="46"/>
  <c r="J107" i="46"/>
  <c r="Z109" i="46"/>
  <c r="W109" i="46"/>
  <c r="V109" i="46" s="1"/>
  <c r="Y109" i="46"/>
  <c r="E326" i="7"/>
  <c r="O326" i="7"/>
  <c r="B327" i="7"/>
  <c r="B269" i="46"/>
  <c r="T269" i="46" s="1"/>
  <c r="AA269" i="46" s="1"/>
  <c r="T268" i="46"/>
  <c r="AA268" i="46" s="1"/>
  <c r="D268" i="46"/>
  <c r="E268" i="46"/>
  <c r="I75" i="13"/>
  <c r="B273" i="13"/>
  <c r="E272" i="13"/>
  <c r="AG73" i="28"/>
  <c r="L73" i="28"/>
  <c r="L441" i="7" s="1"/>
  <c r="M73" i="28"/>
  <c r="M441" i="7" s="1"/>
  <c r="K73" i="28"/>
  <c r="K441" i="7" s="1"/>
  <c r="AD73" i="28"/>
  <c r="AA73" i="28"/>
  <c r="N73" i="28"/>
  <c r="N441" i="7" s="1"/>
  <c r="F441" i="7"/>
  <c r="S441" i="7" s="1"/>
  <c r="G98" i="40"/>
  <c r="R97" i="40"/>
  <c r="I174" i="32"/>
  <c r="AD174" i="32"/>
  <c r="AB174" i="32" s="1"/>
  <c r="Y174" i="32"/>
  <c r="AA174" i="32" s="1"/>
  <c r="P174" i="32"/>
  <c r="W172" i="32" s="1"/>
  <c r="AE174" i="32"/>
  <c r="F175" i="32"/>
  <c r="H175" i="32" s="1"/>
  <c r="F176" i="32" s="1"/>
  <c r="F111" i="37"/>
  <c r="Q110" i="37"/>
  <c r="K263" i="12"/>
  <c r="C266" i="46" s="1"/>
  <c r="C270" i="39"/>
  <c r="C325" i="7"/>
  <c r="C270" i="13"/>
  <c r="H113" i="33"/>
  <c r="Q113" i="33" s="1"/>
  <c r="F122" i="30"/>
  <c r="M122" i="30" s="1"/>
  <c r="P121" i="30"/>
  <c r="W119" i="30" s="1"/>
  <c r="F76" i="39"/>
  <c r="Z76" i="39"/>
  <c r="C77" i="36"/>
  <c r="E76" i="36"/>
  <c r="R298" i="39"/>
  <c r="B300" i="39"/>
  <c r="E299" i="39"/>
  <c r="G69" i="13" l="1"/>
  <c r="G107" i="46"/>
  <c r="E327" i="7"/>
  <c r="O327" i="7"/>
  <c r="B328" i="7"/>
  <c r="E269" i="46"/>
  <c r="I130" i="7"/>
  <c r="D269" i="46"/>
  <c r="B270" i="46"/>
  <c r="T270" i="46" s="1"/>
  <c r="AA270" i="46" s="1"/>
  <c r="B274" i="13"/>
  <c r="E273" i="13"/>
  <c r="I73" i="28"/>
  <c r="I441" i="7" s="1"/>
  <c r="X71" i="28"/>
  <c r="AE73" i="28"/>
  <c r="AC73" i="28" s="1"/>
  <c r="Z73" i="28"/>
  <c r="AB73" i="28" s="1"/>
  <c r="AH73" i="28"/>
  <c r="AF73" i="28" s="1"/>
  <c r="L98" i="40"/>
  <c r="AG98" i="40"/>
  <c r="AD98" i="40"/>
  <c r="AA98" i="40"/>
  <c r="AB98" i="40" s="1"/>
  <c r="N98" i="40"/>
  <c r="AH98" i="40"/>
  <c r="M98" i="40"/>
  <c r="Z175" i="32"/>
  <c r="M175" i="32"/>
  <c r="AF175" i="32"/>
  <c r="N175" i="32"/>
  <c r="Y175" i="32" s="1"/>
  <c r="L175" i="32"/>
  <c r="K175" i="32"/>
  <c r="AC175" i="32"/>
  <c r="J175" i="32"/>
  <c r="Q175" i="32"/>
  <c r="AC176" i="32"/>
  <c r="L176" i="32"/>
  <c r="M176" i="32"/>
  <c r="Z176" i="32"/>
  <c r="N176" i="32"/>
  <c r="AF176" i="32"/>
  <c r="H176" i="32"/>
  <c r="F177" i="32" s="1"/>
  <c r="K176" i="32"/>
  <c r="J176" i="32"/>
  <c r="L111" i="37"/>
  <c r="K111" i="37"/>
  <c r="M111" i="37"/>
  <c r="I111" i="37"/>
  <c r="J111" i="37"/>
  <c r="K264" i="12"/>
  <c r="C267" i="46" s="1"/>
  <c r="C271" i="39"/>
  <c r="C326" i="7"/>
  <c r="C271" i="13"/>
  <c r="K122" i="30"/>
  <c r="L122" i="30"/>
  <c r="N122" i="30"/>
  <c r="J122" i="30" s="1"/>
  <c r="I122" i="30"/>
  <c r="F114" i="33"/>
  <c r="S76" i="39"/>
  <c r="T76" i="39" s="1"/>
  <c r="Q76" i="39"/>
  <c r="Y76" i="39"/>
  <c r="X76" i="39" s="1"/>
  <c r="V76" i="39"/>
  <c r="K76" i="39"/>
  <c r="L76" i="39"/>
  <c r="J76" i="39"/>
  <c r="AB109" i="46"/>
  <c r="U110" i="46"/>
  <c r="B301" i="39"/>
  <c r="E300" i="39"/>
  <c r="R299" i="39"/>
  <c r="G124" i="7" l="1"/>
  <c r="S69" i="13"/>
  <c r="F70" i="13"/>
  <c r="R69" i="13"/>
  <c r="Q107" i="46"/>
  <c r="F108" i="46" s="1"/>
  <c r="P107" i="46"/>
  <c r="E328" i="7"/>
  <c r="O328" i="7"/>
  <c r="B329" i="7"/>
  <c r="B271" i="46"/>
  <c r="T271" i="46" s="1"/>
  <c r="AA271" i="46" s="1"/>
  <c r="E270" i="46"/>
  <c r="D270" i="46"/>
  <c r="E274" i="13"/>
  <c r="B275" i="13"/>
  <c r="J73" i="28"/>
  <c r="J441" i="7" s="1"/>
  <c r="AF98" i="40"/>
  <c r="J98" i="40"/>
  <c r="AC98" i="40"/>
  <c r="I98" i="40" s="1"/>
  <c r="Q98" i="40"/>
  <c r="X96" i="40"/>
  <c r="AA175" i="32"/>
  <c r="I175" i="32"/>
  <c r="AG175" i="32"/>
  <c r="AE175" i="32" s="1"/>
  <c r="AD175" i="32"/>
  <c r="AB175" i="32" s="1"/>
  <c r="P175" i="32"/>
  <c r="W173" i="32" s="1"/>
  <c r="I176" i="32"/>
  <c r="P176" i="32"/>
  <c r="W174" i="32" s="1"/>
  <c r="N177" i="32"/>
  <c r="H177" i="32"/>
  <c r="F178" i="32" s="1"/>
  <c r="L177" i="32"/>
  <c r="AF177" i="32"/>
  <c r="J177" i="32"/>
  <c r="AC177" i="32"/>
  <c r="K177" i="32"/>
  <c r="M177" i="32"/>
  <c r="Z177" i="32"/>
  <c r="AG176" i="32"/>
  <c r="AE176" i="32" s="1"/>
  <c r="AD176" i="32"/>
  <c r="AB176" i="32" s="1"/>
  <c r="Y176" i="32"/>
  <c r="AA176" i="32" s="1"/>
  <c r="Q176" i="32"/>
  <c r="H111" i="37"/>
  <c r="P111" i="37"/>
  <c r="W109" i="37" s="1"/>
  <c r="K265" i="12"/>
  <c r="C268" i="46" s="1"/>
  <c r="C272" i="39"/>
  <c r="C327" i="7"/>
  <c r="C272" i="13"/>
  <c r="H122" i="30"/>
  <c r="F123" i="30" s="1"/>
  <c r="M123" i="30" s="1"/>
  <c r="N114" i="33"/>
  <c r="J114" i="33" s="1"/>
  <c r="L114" i="33"/>
  <c r="I114" i="33"/>
  <c r="P114" i="33"/>
  <c r="W112" i="33" s="1"/>
  <c r="K114" i="33"/>
  <c r="M114" i="33"/>
  <c r="U76" i="39"/>
  <c r="G76" i="39" s="1"/>
  <c r="D77" i="36" s="1"/>
  <c r="H76" i="39"/>
  <c r="Y110" i="46"/>
  <c r="X110" i="46"/>
  <c r="W110" i="46"/>
  <c r="Z110" i="46"/>
  <c r="R300" i="39"/>
  <c r="B302" i="39"/>
  <c r="E301" i="39"/>
  <c r="Q124" i="7" l="1"/>
  <c r="P124" i="7"/>
  <c r="K70" i="13"/>
  <c r="J125" i="7" s="1"/>
  <c r="V70" i="13"/>
  <c r="M70" i="13"/>
  <c r="L125" i="7" s="1"/>
  <c r="Y70" i="13"/>
  <c r="L70" i="13"/>
  <c r="K125" i="7" s="1"/>
  <c r="AB70" i="13"/>
  <c r="N70" i="13"/>
  <c r="M125" i="7" s="1"/>
  <c r="F125" i="7"/>
  <c r="R125" i="7" s="1"/>
  <c r="H108" i="46"/>
  <c r="K108" i="46"/>
  <c r="I108" i="46"/>
  <c r="L108" i="46"/>
  <c r="J108" i="46"/>
  <c r="A108" i="46"/>
  <c r="M108" i="46" s="1"/>
  <c r="I76" i="13"/>
  <c r="I131" i="7" s="1"/>
  <c r="E329" i="7"/>
  <c r="O329" i="7"/>
  <c r="B330" i="7"/>
  <c r="B272" i="46"/>
  <c r="T272" i="46" s="1"/>
  <c r="AA272" i="46" s="1"/>
  <c r="D271" i="46"/>
  <c r="E271" i="46"/>
  <c r="B276" i="13"/>
  <c r="E275" i="13"/>
  <c r="H73" i="28"/>
  <c r="F74" i="28" s="1"/>
  <c r="R98" i="40"/>
  <c r="G99" i="40"/>
  <c r="I76" i="39"/>
  <c r="AC76" i="39" s="1"/>
  <c r="Q177" i="32"/>
  <c r="I177" i="32"/>
  <c r="P177" i="32"/>
  <c r="W175" i="32" s="1"/>
  <c r="H178" i="32"/>
  <c r="F179" i="32" s="1"/>
  <c r="AF178" i="32"/>
  <c r="AC178" i="32"/>
  <c r="J178" i="32"/>
  <c r="N178" i="32"/>
  <c r="AG178" i="32" s="1"/>
  <c r="K178" i="32"/>
  <c r="L178" i="32"/>
  <c r="M178" i="32"/>
  <c r="Z178" i="32"/>
  <c r="AG177" i="32"/>
  <c r="AE177" i="32" s="1"/>
  <c r="AD177" i="32"/>
  <c r="AB177" i="32" s="1"/>
  <c r="Y177" i="32"/>
  <c r="AA177" i="32" s="1"/>
  <c r="F112" i="37"/>
  <c r="Q111" i="37"/>
  <c r="K266" i="12"/>
  <c r="C269" i="46" s="1"/>
  <c r="C273" i="39"/>
  <c r="C328" i="7"/>
  <c r="C273" i="13"/>
  <c r="Q122" i="30"/>
  <c r="P122" i="30"/>
  <c r="W120" i="30" s="1"/>
  <c r="I123" i="30"/>
  <c r="K123" i="30"/>
  <c r="L123" i="30"/>
  <c r="N123" i="30"/>
  <c r="J123" i="30" s="1"/>
  <c r="H114" i="33"/>
  <c r="V110" i="46"/>
  <c r="O76" i="39"/>
  <c r="P76" i="39"/>
  <c r="B303" i="39"/>
  <c r="E302" i="39"/>
  <c r="R301" i="39"/>
  <c r="H70" i="13" l="1"/>
  <c r="H125" i="7" s="1"/>
  <c r="U70" i="13"/>
  <c r="W70" i="13" s="1"/>
  <c r="Z70" i="13"/>
  <c r="AC70" i="13"/>
  <c r="AA70" i="13" s="1"/>
  <c r="G108" i="46"/>
  <c r="D272" i="46"/>
  <c r="E330" i="7"/>
  <c r="O330" i="7"/>
  <c r="B331" i="7"/>
  <c r="E272" i="46"/>
  <c r="B273" i="46"/>
  <c r="T273" i="46" s="1"/>
  <c r="AA273" i="46" s="1"/>
  <c r="E276" i="13"/>
  <c r="B277" i="13"/>
  <c r="H441" i="7"/>
  <c r="R73" i="28"/>
  <c r="R441" i="7" s="1"/>
  <c r="Q73" i="28"/>
  <c r="Q441" i="7" s="1"/>
  <c r="L74" i="28"/>
  <c r="L442" i="7" s="1"/>
  <c r="AD74" i="28"/>
  <c r="AG74" i="28"/>
  <c r="AA74" i="28"/>
  <c r="F442" i="7"/>
  <c r="S442" i="7" s="1"/>
  <c r="K74" i="28"/>
  <c r="N74" i="28"/>
  <c r="M74" i="28"/>
  <c r="M442" i="7" s="1"/>
  <c r="L99" i="40"/>
  <c r="M99" i="40"/>
  <c r="AH99" i="40"/>
  <c r="N99" i="40"/>
  <c r="AD99" i="40"/>
  <c r="AA99" i="40"/>
  <c r="AB99" i="40" s="1"/>
  <c r="AG99" i="40"/>
  <c r="AE178" i="32"/>
  <c r="I178" i="32"/>
  <c r="Q178" i="32"/>
  <c r="P178" i="32"/>
  <c r="W176" i="32" s="1"/>
  <c r="Y178" i="32"/>
  <c r="AA178" i="32" s="1"/>
  <c r="AD178" i="32"/>
  <c r="AB178" i="32" s="1"/>
  <c r="Z179" i="32"/>
  <c r="K179" i="32"/>
  <c r="J179" i="32"/>
  <c r="AF179" i="32"/>
  <c r="L179" i="32"/>
  <c r="N179" i="32"/>
  <c r="AG179" i="32" s="1"/>
  <c r="AC179" i="32"/>
  <c r="M179" i="32"/>
  <c r="H179" i="32"/>
  <c r="Q179" i="32" s="1"/>
  <c r="J112" i="37"/>
  <c r="M112" i="37"/>
  <c r="K112" i="37"/>
  <c r="I112" i="37"/>
  <c r="L112" i="37"/>
  <c r="K267" i="12"/>
  <c r="C270" i="46" s="1"/>
  <c r="C274" i="39"/>
  <c r="C329" i="7"/>
  <c r="C274" i="13"/>
  <c r="H123" i="30"/>
  <c r="Q123" i="30" s="1"/>
  <c r="F115" i="33"/>
  <c r="Q114" i="33"/>
  <c r="AB110" i="46"/>
  <c r="U111" i="46"/>
  <c r="E77" i="36"/>
  <c r="C78" i="36"/>
  <c r="F77" i="39"/>
  <c r="Z77" i="39"/>
  <c r="R302" i="39"/>
  <c r="B304" i="39"/>
  <c r="E303" i="39"/>
  <c r="X70" i="13" l="1"/>
  <c r="J70" i="13"/>
  <c r="G70" i="13" s="1"/>
  <c r="Q108" i="46"/>
  <c r="F109" i="46" s="1"/>
  <c r="P108" i="46"/>
  <c r="E331" i="7"/>
  <c r="O331" i="7"/>
  <c r="B332" i="7"/>
  <c r="D273" i="46"/>
  <c r="E273" i="46"/>
  <c r="B274" i="46"/>
  <c r="T274" i="46" s="1"/>
  <c r="AA274" i="46" s="1"/>
  <c r="E277" i="13"/>
  <c r="B278" i="13"/>
  <c r="I74" i="28"/>
  <c r="I442" i="7" s="1"/>
  <c r="Z74" i="28"/>
  <c r="AB74" i="28" s="1"/>
  <c r="AH74" i="28"/>
  <c r="AE74" i="28"/>
  <c r="AC74" i="28" s="1"/>
  <c r="N442" i="7"/>
  <c r="K442" i="7"/>
  <c r="X72" i="28"/>
  <c r="AC99" i="40"/>
  <c r="I99" i="40" s="1"/>
  <c r="J99" i="40"/>
  <c r="AF99" i="40"/>
  <c r="X97" i="40"/>
  <c r="Q99" i="40"/>
  <c r="I179" i="32"/>
  <c r="P179" i="32"/>
  <c r="W177" i="32" s="1"/>
  <c r="F180" i="32"/>
  <c r="L180" i="32" s="1"/>
  <c r="AD179" i="32"/>
  <c r="AB179" i="32" s="1"/>
  <c r="Y179" i="32"/>
  <c r="AA179" i="32" s="1"/>
  <c r="AE179" i="32"/>
  <c r="P112" i="37"/>
  <c r="W110" i="37" s="1"/>
  <c r="H112" i="37"/>
  <c r="F124" i="30"/>
  <c r="I124" i="30" s="1"/>
  <c r="K268" i="12"/>
  <c r="C271" i="46" s="1"/>
  <c r="C275" i="39"/>
  <c r="C330" i="7"/>
  <c r="C275" i="13"/>
  <c r="P123" i="30"/>
  <c r="W121" i="30" s="1"/>
  <c r="N115" i="33"/>
  <c r="J115" i="33" s="1"/>
  <c r="L115" i="33"/>
  <c r="P115" i="33"/>
  <c r="W113" i="33" s="1"/>
  <c r="M115" i="33"/>
  <c r="K115" i="33"/>
  <c r="I115" i="33"/>
  <c r="X111" i="46"/>
  <c r="W111" i="46"/>
  <c r="Z111" i="46"/>
  <c r="Y111" i="46"/>
  <c r="Q77" i="39"/>
  <c r="S77" i="39"/>
  <c r="T77" i="39" s="1"/>
  <c r="Y77" i="39"/>
  <c r="X77" i="39" s="1"/>
  <c r="L77" i="39"/>
  <c r="K77" i="39"/>
  <c r="V77" i="39"/>
  <c r="J77" i="39"/>
  <c r="B305" i="39"/>
  <c r="E304" i="39"/>
  <c r="R303" i="39"/>
  <c r="S70" i="13" l="1"/>
  <c r="G125" i="7"/>
  <c r="Q125" i="7" s="1"/>
  <c r="F71" i="13"/>
  <c r="R70" i="13"/>
  <c r="K109" i="46"/>
  <c r="J109" i="46"/>
  <c r="A109" i="46"/>
  <c r="M109" i="46" s="1"/>
  <c r="H109" i="46"/>
  <c r="I109" i="46"/>
  <c r="L109" i="46"/>
  <c r="O332" i="7"/>
  <c r="E332" i="7"/>
  <c r="B333" i="7"/>
  <c r="E274" i="46"/>
  <c r="B275" i="46"/>
  <c r="T275" i="46" s="1"/>
  <c r="AA275" i="46" s="1"/>
  <c r="D274" i="46"/>
  <c r="B279" i="13"/>
  <c r="E278" i="13"/>
  <c r="AF74" i="28"/>
  <c r="J74" i="28"/>
  <c r="R99" i="40"/>
  <c r="G100" i="40"/>
  <c r="N180" i="32"/>
  <c r="AD180" i="32" s="1"/>
  <c r="M180" i="32"/>
  <c r="H180" i="32"/>
  <c r="Q180" i="32" s="1"/>
  <c r="J180" i="32"/>
  <c r="AF180" i="32"/>
  <c r="K180" i="32"/>
  <c r="AC180" i="32"/>
  <c r="Z180" i="32"/>
  <c r="F113" i="37"/>
  <c r="Q112" i="37"/>
  <c r="L124" i="30"/>
  <c r="M124" i="30"/>
  <c r="K124" i="30"/>
  <c r="N124" i="30"/>
  <c r="J124" i="30" s="1"/>
  <c r="H124" i="30" s="1"/>
  <c r="Q124" i="30" s="1"/>
  <c r="K269" i="12"/>
  <c r="C272" i="46" s="1"/>
  <c r="C276" i="39"/>
  <c r="C331" i="7"/>
  <c r="C276" i="13"/>
  <c r="H115" i="33"/>
  <c r="V111" i="46"/>
  <c r="H77" i="39"/>
  <c r="U77" i="39"/>
  <c r="G77" i="39" s="1"/>
  <c r="D78" i="36" s="1"/>
  <c r="R304" i="39"/>
  <c r="B306" i="39"/>
  <c r="E305" i="39"/>
  <c r="V71" i="13" l="1"/>
  <c r="M71" i="13"/>
  <c r="L126" i="7" s="1"/>
  <c r="L71" i="13"/>
  <c r="K126" i="7" s="1"/>
  <c r="N71" i="13"/>
  <c r="K71" i="13"/>
  <c r="J126" i="7" s="1"/>
  <c r="Y71" i="13"/>
  <c r="AB71" i="13"/>
  <c r="F126" i="7"/>
  <c r="R126" i="7" s="1"/>
  <c r="G109" i="46"/>
  <c r="I77" i="13"/>
  <c r="I132" i="7" s="1"/>
  <c r="D275" i="46"/>
  <c r="E333" i="7"/>
  <c r="O333" i="7"/>
  <c r="B334" i="7"/>
  <c r="E275" i="46"/>
  <c r="B276" i="46"/>
  <c r="T276" i="46" s="1"/>
  <c r="AA276" i="46" s="1"/>
  <c r="B280" i="13"/>
  <c r="E279" i="13"/>
  <c r="H74" i="28"/>
  <c r="J442" i="7"/>
  <c r="AA100" i="40"/>
  <c r="AB100" i="40" s="1"/>
  <c r="L100" i="40"/>
  <c r="AD100" i="40"/>
  <c r="AG100" i="40"/>
  <c r="M100" i="40"/>
  <c r="N100" i="40"/>
  <c r="AH100" i="40"/>
  <c r="I77" i="39"/>
  <c r="AC77" i="39" s="1"/>
  <c r="AG180" i="32"/>
  <c r="AE180" i="32" s="1"/>
  <c r="F181" i="32"/>
  <c r="Z181" i="32" s="1"/>
  <c r="P180" i="32"/>
  <c r="W178" i="32" s="1"/>
  <c r="Y180" i="32"/>
  <c r="AA180" i="32" s="1"/>
  <c r="AB180" i="32"/>
  <c r="I180" i="32"/>
  <c r="M113" i="37"/>
  <c r="I113" i="37"/>
  <c r="K113" i="37"/>
  <c r="J113" i="37"/>
  <c r="L113" i="37"/>
  <c r="P124" i="30"/>
  <c r="W122" i="30" s="1"/>
  <c r="F125" i="30"/>
  <c r="M125" i="30" s="1"/>
  <c r="K270" i="12"/>
  <c r="C273" i="46" s="1"/>
  <c r="C277" i="39"/>
  <c r="C332" i="7"/>
  <c r="C277" i="13"/>
  <c r="F116" i="33"/>
  <c r="Q115" i="33"/>
  <c r="AB111" i="46"/>
  <c r="U112" i="46"/>
  <c r="O77" i="39"/>
  <c r="P77" i="39"/>
  <c r="B307" i="39"/>
  <c r="E306" i="39"/>
  <c r="R305" i="39"/>
  <c r="H71" i="13" l="1"/>
  <c r="H126" i="7" s="1"/>
  <c r="AC71" i="13"/>
  <c r="AA71" i="13" s="1"/>
  <c r="Z71" i="13"/>
  <c r="U71" i="13"/>
  <c r="W71" i="13" s="1"/>
  <c r="M126" i="7"/>
  <c r="Q109" i="46"/>
  <c r="F110" i="46" s="1"/>
  <c r="P109" i="46"/>
  <c r="B277" i="46"/>
  <c r="T277" i="46" s="1"/>
  <c r="AA277" i="46" s="1"/>
  <c r="E276" i="46"/>
  <c r="O334" i="7"/>
  <c r="E334" i="7"/>
  <c r="B335" i="7"/>
  <c r="D276" i="46"/>
  <c r="B281" i="13"/>
  <c r="E280" i="13"/>
  <c r="Q74" i="28"/>
  <c r="Q442" i="7" s="1"/>
  <c r="R74" i="28"/>
  <c r="R442" i="7" s="1"/>
  <c r="H442" i="7"/>
  <c r="F75" i="28"/>
  <c r="AF100" i="40"/>
  <c r="AC100" i="40"/>
  <c r="I100" i="40" s="1"/>
  <c r="J100" i="40"/>
  <c r="Q100" i="40"/>
  <c r="X98" i="40"/>
  <c r="AF181" i="32"/>
  <c r="N181" i="32"/>
  <c r="AD181" i="32" s="1"/>
  <c r="M181" i="32"/>
  <c r="H181" i="32"/>
  <c r="Q181" i="32" s="1"/>
  <c r="L181" i="32"/>
  <c r="K181" i="32"/>
  <c r="AC181" i="32"/>
  <c r="J181" i="32"/>
  <c r="H113" i="37"/>
  <c r="Q113" i="37" s="1"/>
  <c r="I125" i="30"/>
  <c r="P113" i="37"/>
  <c r="W111" i="37" s="1"/>
  <c r="K125" i="30"/>
  <c r="L125" i="30"/>
  <c r="N125" i="30"/>
  <c r="J125" i="30" s="1"/>
  <c r="K271" i="12"/>
  <c r="C274" i="46" s="1"/>
  <c r="C278" i="39"/>
  <c r="C333" i="7"/>
  <c r="C278" i="13"/>
  <c r="P116" i="33"/>
  <c r="W114" i="33" s="1"/>
  <c r="N116" i="33"/>
  <c r="J116" i="33" s="1"/>
  <c r="K116" i="33"/>
  <c r="L116" i="33"/>
  <c r="M116" i="33"/>
  <c r="I116" i="33"/>
  <c r="Z112" i="46"/>
  <c r="Y112" i="46"/>
  <c r="W112" i="46"/>
  <c r="X112" i="46"/>
  <c r="F78" i="39"/>
  <c r="Z78" i="39"/>
  <c r="C79" i="36"/>
  <c r="E78" i="36"/>
  <c r="R306" i="39"/>
  <c r="B308" i="39"/>
  <c r="E307" i="39"/>
  <c r="X71" i="13" l="1"/>
  <c r="J71" i="13"/>
  <c r="G71" i="13" s="1"/>
  <c r="I110" i="46"/>
  <c r="H110" i="46"/>
  <c r="L110" i="46"/>
  <c r="A110" i="46"/>
  <c r="M110" i="46" s="1"/>
  <c r="K110" i="46"/>
  <c r="J110" i="46"/>
  <c r="O335" i="7"/>
  <c r="E335" i="7"/>
  <c r="B336" i="7"/>
  <c r="E277" i="46"/>
  <c r="D277" i="46"/>
  <c r="B278" i="46"/>
  <c r="T278" i="46" s="1"/>
  <c r="AA278" i="46" s="1"/>
  <c r="E281" i="13"/>
  <c r="B282" i="13"/>
  <c r="AA75" i="28"/>
  <c r="AD75" i="28"/>
  <c r="F443" i="7"/>
  <c r="S443" i="7" s="1"/>
  <c r="AG75" i="28"/>
  <c r="N75" i="28"/>
  <c r="N443" i="7" s="1"/>
  <c r="L75" i="28"/>
  <c r="L443" i="7" s="1"/>
  <c r="M75" i="28"/>
  <c r="M443" i="7" s="1"/>
  <c r="K75" i="28"/>
  <c r="K443" i="7" s="1"/>
  <c r="G101" i="40"/>
  <c r="R100" i="40"/>
  <c r="I181" i="32"/>
  <c r="Y181" i="32"/>
  <c r="AA181" i="32" s="1"/>
  <c r="P181" i="32"/>
  <c r="W179" i="32" s="1"/>
  <c r="AB181" i="32"/>
  <c r="AG181" i="32"/>
  <c r="AE181" i="32" s="1"/>
  <c r="F182" i="32"/>
  <c r="K182" i="32" s="1"/>
  <c r="H125" i="30"/>
  <c r="F126" i="30" s="1"/>
  <c r="M126" i="30" s="1"/>
  <c r="F114" i="37"/>
  <c r="J114" i="37" s="1"/>
  <c r="K272" i="12"/>
  <c r="C275" i="46" s="1"/>
  <c r="C279" i="39"/>
  <c r="C334" i="7"/>
  <c r="C279" i="13"/>
  <c r="H116" i="33"/>
  <c r="V112" i="46"/>
  <c r="Y78" i="39"/>
  <c r="X78" i="39" s="1"/>
  <c r="Q78" i="39"/>
  <c r="J78" i="39"/>
  <c r="V78" i="39"/>
  <c r="L78" i="39"/>
  <c r="K78" i="39"/>
  <c r="S78" i="39"/>
  <c r="T78" i="39" s="1"/>
  <c r="R307" i="39"/>
  <c r="B309" i="39"/>
  <c r="E308" i="39"/>
  <c r="R71" i="13" l="1"/>
  <c r="F72" i="13"/>
  <c r="S71" i="13"/>
  <c r="G126" i="7"/>
  <c r="Q126" i="7" s="1"/>
  <c r="G110" i="46"/>
  <c r="AB112" i="46"/>
  <c r="B279" i="46"/>
  <c r="T279" i="46" s="1"/>
  <c r="AA279" i="46" s="1"/>
  <c r="E278" i="46"/>
  <c r="D278" i="46"/>
  <c r="O336" i="7"/>
  <c r="E336" i="7"/>
  <c r="B337" i="7"/>
  <c r="B283" i="13"/>
  <c r="E282" i="13"/>
  <c r="I75" i="28"/>
  <c r="I443" i="7" s="1"/>
  <c r="AH75" i="28"/>
  <c r="Z75" i="28"/>
  <c r="AB75" i="28" s="1"/>
  <c r="AE75" i="28"/>
  <c r="AC75" i="28" s="1"/>
  <c r="X73" i="28"/>
  <c r="AD101" i="40"/>
  <c r="AH101" i="40"/>
  <c r="AA101" i="40"/>
  <c r="AB101" i="40" s="1"/>
  <c r="L101" i="40"/>
  <c r="N101" i="40"/>
  <c r="AG101" i="40"/>
  <c r="M101" i="40"/>
  <c r="AC182" i="32"/>
  <c r="H182" i="32"/>
  <c r="Q182" i="32" s="1"/>
  <c r="M182" i="32"/>
  <c r="L182" i="32"/>
  <c r="J182" i="32"/>
  <c r="Z182" i="32"/>
  <c r="AF182" i="32"/>
  <c r="N182" i="32"/>
  <c r="AG182" i="32" s="1"/>
  <c r="P125" i="30"/>
  <c r="W123" i="30" s="1"/>
  <c r="Q125" i="30"/>
  <c r="K126" i="30"/>
  <c r="N126" i="30"/>
  <c r="J126" i="30" s="1"/>
  <c r="I126" i="30"/>
  <c r="L126" i="30"/>
  <c r="K114" i="37"/>
  <c r="M114" i="37"/>
  <c r="L114" i="37"/>
  <c r="I114" i="37"/>
  <c r="H114" i="37" s="1"/>
  <c r="Q114" i="37" s="1"/>
  <c r="K273" i="12"/>
  <c r="C276" i="46" s="1"/>
  <c r="C280" i="39"/>
  <c r="C335" i="7"/>
  <c r="C280" i="13"/>
  <c r="F117" i="33"/>
  <c r="Q116" i="33"/>
  <c r="U113" i="46"/>
  <c r="X113" i="46" s="1"/>
  <c r="U78" i="39"/>
  <c r="G78" i="39" s="1"/>
  <c r="D79" i="36" s="1"/>
  <c r="H78" i="39"/>
  <c r="R308" i="39"/>
  <c r="B310" i="39"/>
  <c r="E309" i="39"/>
  <c r="Y72" i="13" l="1"/>
  <c r="H72" i="13" s="1"/>
  <c r="H127" i="7" s="1"/>
  <c r="AB72" i="13"/>
  <c r="N72" i="13"/>
  <c r="V72" i="13"/>
  <c r="L72" i="13"/>
  <c r="K127" i="7" s="1"/>
  <c r="M72" i="13"/>
  <c r="L127" i="7" s="1"/>
  <c r="K72" i="13"/>
  <c r="J127" i="7" s="1"/>
  <c r="F127" i="7"/>
  <c r="R127" i="7" s="1"/>
  <c r="Q110" i="46"/>
  <c r="F111" i="46" s="1"/>
  <c r="P110" i="46"/>
  <c r="D279" i="46"/>
  <c r="E279" i="46"/>
  <c r="B280" i="46"/>
  <c r="T280" i="46" s="1"/>
  <c r="AA280" i="46" s="1"/>
  <c r="O337" i="7"/>
  <c r="E337" i="7"/>
  <c r="B338" i="7"/>
  <c r="I78" i="13"/>
  <c r="E283" i="13"/>
  <c r="B284" i="13"/>
  <c r="AF75" i="28"/>
  <c r="J75" i="28"/>
  <c r="P114" i="37"/>
  <c r="W112" i="37" s="1"/>
  <c r="Q101" i="40"/>
  <c r="X99" i="40"/>
  <c r="AF101" i="40"/>
  <c r="AC101" i="40"/>
  <c r="I101" i="40" s="1"/>
  <c r="J101" i="40"/>
  <c r="I78" i="39"/>
  <c r="AC78" i="39" s="1"/>
  <c r="I182" i="32"/>
  <c r="P182" i="32"/>
  <c r="W180" i="32" s="1"/>
  <c r="F183" i="32"/>
  <c r="H183" i="32" s="1"/>
  <c r="AD182" i="32"/>
  <c r="AB182" i="32" s="1"/>
  <c r="Y182" i="32"/>
  <c r="AA182" i="32" s="1"/>
  <c r="AE182" i="32"/>
  <c r="H126" i="30"/>
  <c r="P126" i="30" s="1"/>
  <c r="W124" i="30" s="1"/>
  <c r="F115" i="37"/>
  <c r="I115" i="37" s="1"/>
  <c r="K274" i="12"/>
  <c r="C277" i="46" s="1"/>
  <c r="C281" i="39"/>
  <c r="C336" i="7"/>
  <c r="C281" i="13"/>
  <c r="K117" i="33"/>
  <c r="M117" i="33"/>
  <c r="I117" i="33"/>
  <c r="P117" i="33"/>
  <c r="W115" i="33" s="1"/>
  <c r="N117" i="33"/>
  <c r="J117" i="33" s="1"/>
  <c r="L117" i="33"/>
  <c r="W113" i="46"/>
  <c r="V113" i="46" s="1"/>
  <c r="Y113" i="46"/>
  <c r="Z113" i="46"/>
  <c r="O78" i="39"/>
  <c r="P78" i="39"/>
  <c r="R309" i="39"/>
  <c r="B311" i="39"/>
  <c r="E310" i="39"/>
  <c r="E63" i="10" l="1"/>
  <c r="Z72" i="13"/>
  <c r="AC72" i="13"/>
  <c r="AA72" i="13" s="1"/>
  <c r="U72" i="13"/>
  <c r="W72" i="13" s="1"/>
  <c r="M127" i="7"/>
  <c r="H111" i="46"/>
  <c r="A111" i="46"/>
  <c r="M111" i="46" s="1"/>
  <c r="I111" i="46"/>
  <c r="L111" i="46"/>
  <c r="K111" i="46"/>
  <c r="J111" i="46"/>
  <c r="E280" i="46"/>
  <c r="D280" i="46"/>
  <c r="B281" i="46"/>
  <c r="T281" i="46" s="1"/>
  <c r="AA281" i="46" s="1"/>
  <c r="O338" i="7"/>
  <c r="E338" i="7"/>
  <c r="B339" i="7"/>
  <c r="I133" i="7"/>
  <c r="B285" i="13"/>
  <c r="E284" i="13"/>
  <c r="H75" i="28"/>
  <c r="J443" i="7"/>
  <c r="R101" i="40"/>
  <c r="G102" i="40"/>
  <c r="Z183" i="32"/>
  <c r="N183" i="32"/>
  <c r="AD183" i="32" s="1"/>
  <c r="L183" i="32"/>
  <c r="J183" i="32"/>
  <c r="M183" i="32"/>
  <c r="K183" i="32"/>
  <c r="AF183" i="32"/>
  <c r="AC183" i="32"/>
  <c r="F184" i="32"/>
  <c r="Q183" i="32"/>
  <c r="Q126" i="30"/>
  <c r="F127" i="30"/>
  <c r="M127" i="30" s="1"/>
  <c r="M115" i="37"/>
  <c r="J115" i="37"/>
  <c r="H115" i="37" s="1"/>
  <c r="Q115" i="37" s="1"/>
  <c r="L115" i="37"/>
  <c r="K115" i="37"/>
  <c r="K275" i="12"/>
  <c r="C278" i="46" s="1"/>
  <c r="C282" i="39"/>
  <c r="C337" i="7"/>
  <c r="C282" i="13"/>
  <c r="H117" i="33"/>
  <c r="Q117" i="33" s="1"/>
  <c r="AB113" i="46"/>
  <c r="U114" i="46"/>
  <c r="Z79" i="39"/>
  <c r="F79" i="39"/>
  <c r="C80" i="36"/>
  <c r="E79" i="36"/>
  <c r="R310" i="39"/>
  <c r="E311" i="39"/>
  <c r="X72" i="13" l="1"/>
  <c r="J72" i="13"/>
  <c r="G72" i="13" s="1"/>
  <c r="G127" i="7" s="1"/>
  <c r="G111" i="46"/>
  <c r="B282" i="46"/>
  <c r="T282" i="46" s="1"/>
  <c r="AA282" i="46" s="1"/>
  <c r="D281" i="46"/>
  <c r="E281" i="46"/>
  <c r="O339" i="7"/>
  <c r="E339" i="7"/>
  <c r="B340" i="7"/>
  <c r="E285" i="13"/>
  <c r="B286" i="13"/>
  <c r="F76" i="28"/>
  <c r="Q75" i="28"/>
  <c r="Q443" i="7" s="1"/>
  <c r="R75" i="28"/>
  <c r="R443" i="7" s="1"/>
  <c r="H443" i="7"/>
  <c r="AG102" i="40"/>
  <c r="AA102" i="40"/>
  <c r="AB102" i="40" s="1"/>
  <c r="N102" i="40"/>
  <c r="M102" i="40"/>
  <c r="AD102" i="40"/>
  <c r="AH102" i="40"/>
  <c r="L102" i="40"/>
  <c r="I183" i="32"/>
  <c r="AG183" i="32"/>
  <c r="AE183" i="32" s="1"/>
  <c r="Y183" i="32"/>
  <c r="AA183" i="32" s="1"/>
  <c r="P183" i="32"/>
  <c r="W181" i="32" s="1"/>
  <c r="AB183" i="32"/>
  <c r="AF184" i="32"/>
  <c r="M184" i="32"/>
  <c r="H184" i="32"/>
  <c r="F185" i="32" s="1"/>
  <c r="K184" i="32"/>
  <c r="AC184" i="32"/>
  <c r="Z184" i="32"/>
  <c r="L184" i="32"/>
  <c r="N184" i="32"/>
  <c r="J184" i="32"/>
  <c r="N127" i="30"/>
  <c r="J127" i="30" s="1"/>
  <c r="I127" i="30"/>
  <c r="L127" i="30"/>
  <c r="K127" i="30"/>
  <c r="P115" i="37"/>
  <c r="W113" i="37" s="1"/>
  <c r="F116" i="37"/>
  <c r="I116" i="37" s="1"/>
  <c r="K276" i="12"/>
  <c r="C279" i="46" s="1"/>
  <c r="C283" i="39"/>
  <c r="C338" i="7"/>
  <c r="C283" i="13"/>
  <c r="F118" i="33"/>
  <c r="I118" i="33" s="1"/>
  <c r="Z114" i="46"/>
  <c r="Y114" i="46"/>
  <c r="W114" i="46"/>
  <c r="X114" i="46"/>
  <c r="K79" i="39"/>
  <c r="J79" i="39"/>
  <c r="Q79" i="39"/>
  <c r="L79" i="39"/>
  <c r="Y79" i="39"/>
  <c r="X79" i="39" s="1"/>
  <c r="S79" i="39"/>
  <c r="T79" i="39" s="1"/>
  <c r="V79" i="39"/>
  <c r="R311" i="39"/>
  <c r="F73" i="13" l="1"/>
  <c r="R72" i="13"/>
  <c r="S72" i="13"/>
  <c r="Q127" i="7"/>
  <c r="P127" i="7"/>
  <c r="F128" i="7"/>
  <c r="R128" i="7" s="1"/>
  <c r="Q111" i="46"/>
  <c r="F112" i="46" s="1"/>
  <c r="P111" i="46"/>
  <c r="B283" i="46"/>
  <c r="T283" i="46" s="1"/>
  <c r="AA283" i="46" s="1"/>
  <c r="D282" i="46"/>
  <c r="E282" i="46"/>
  <c r="O340" i="7"/>
  <c r="E340" i="7"/>
  <c r="B341" i="7"/>
  <c r="B287" i="13"/>
  <c r="E286" i="13"/>
  <c r="M76" i="28"/>
  <c r="M444" i="7" s="1"/>
  <c r="K76" i="28"/>
  <c r="AD76" i="28"/>
  <c r="N76" i="28"/>
  <c r="F444" i="7"/>
  <c r="S444" i="7" s="1"/>
  <c r="AA76" i="28"/>
  <c r="AG76" i="28"/>
  <c r="L76" i="28"/>
  <c r="L444" i="7" s="1"/>
  <c r="AF102" i="40"/>
  <c r="X100" i="40"/>
  <c r="Q102" i="40"/>
  <c r="J102" i="40"/>
  <c r="AC102" i="40"/>
  <c r="I102" i="40" s="1"/>
  <c r="I184" i="32"/>
  <c r="P184" i="32"/>
  <c r="W182" i="32" s="1"/>
  <c r="AG184" i="32"/>
  <c r="AE184" i="32" s="1"/>
  <c r="AD184" i="32"/>
  <c r="AB184" i="32" s="1"/>
  <c r="Y184" i="32"/>
  <c r="AA184" i="32" s="1"/>
  <c r="L185" i="32"/>
  <c r="J185" i="32"/>
  <c r="M185" i="32"/>
  <c r="Z185" i="32"/>
  <c r="N185" i="32"/>
  <c r="AC185" i="32"/>
  <c r="H185" i="32"/>
  <c r="Q185" i="32" s="1"/>
  <c r="AF185" i="32"/>
  <c r="K185" i="32"/>
  <c r="Q184" i="32"/>
  <c r="H127" i="30"/>
  <c r="Q127" i="30" s="1"/>
  <c r="L116" i="37"/>
  <c r="J116" i="37"/>
  <c r="H116" i="37" s="1"/>
  <c r="F117" i="37" s="1"/>
  <c r="K117" i="37" s="1"/>
  <c r="K116" i="37"/>
  <c r="M116" i="37"/>
  <c r="P118" i="33"/>
  <c r="W116" i="33" s="1"/>
  <c r="N118" i="33"/>
  <c r="J118" i="33" s="1"/>
  <c r="H118" i="33" s="1"/>
  <c r="Q118" i="33" s="1"/>
  <c r="L118" i="33"/>
  <c r="M118" i="33"/>
  <c r="K118" i="33"/>
  <c r="K277" i="12"/>
  <c r="C280" i="46" s="1"/>
  <c r="C284" i="39"/>
  <c r="C339" i="7"/>
  <c r="C284" i="13"/>
  <c r="V114" i="46"/>
  <c r="H79" i="39"/>
  <c r="U79" i="39"/>
  <c r="G79" i="39" s="1"/>
  <c r="D80" i="36" s="1"/>
  <c r="L73" i="13" l="1"/>
  <c r="K128" i="7" s="1"/>
  <c r="V73" i="13"/>
  <c r="Y73" i="13"/>
  <c r="K73" i="13"/>
  <c r="J128" i="7" s="1"/>
  <c r="M73" i="13"/>
  <c r="L128" i="7" s="1"/>
  <c r="N73" i="13"/>
  <c r="AB73" i="13"/>
  <c r="H73" i="13" s="1"/>
  <c r="H128" i="7" s="1"/>
  <c r="A112" i="46"/>
  <c r="M112" i="46" s="1"/>
  <c r="L112" i="46"/>
  <c r="J112" i="46"/>
  <c r="I112" i="46"/>
  <c r="K112" i="46"/>
  <c r="H112" i="46"/>
  <c r="D283" i="46"/>
  <c r="B284" i="46"/>
  <c r="T284" i="46" s="1"/>
  <c r="AA284" i="46" s="1"/>
  <c r="E283" i="46"/>
  <c r="E341" i="7"/>
  <c r="O341" i="7"/>
  <c r="B342" i="7"/>
  <c r="I79" i="13"/>
  <c r="I134" i="7" s="1"/>
  <c r="B288" i="13"/>
  <c r="E287" i="13"/>
  <c r="I76" i="28"/>
  <c r="I444" i="7" s="1"/>
  <c r="AH76" i="28"/>
  <c r="AE76" i="28"/>
  <c r="AC76" i="28" s="1"/>
  <c r="Z76" i="28"/>
  <c r="AB76" i="28" s="1"/>
  <c r="N444" i="7"/>
  <c r="K444" i="7"/>
  <c r="X74" i="28"/>
  <c r="P116" i="37"/>
  <c r="W114" i="37" s="1"/>
  <c r="G103" i="40"/>
  <c r="R102" i="40"/>
  <c r="I79" i="39"/>
  <c r="AC79" i="39" s="1"/>
  <c r="I185" i="32"/>
  <c r="P185" i="32"/>
  <c r="W183" i="32" s="1"/>
  <c r="F186" i="32"/>
  <c r="AD185" i="32"/>
  <c r="AB185" i="32" s="1"/>
  <c r="Y185" i="32"/>
  <c r="AA185" i="32" s="1"/>
  <c r="AG185" i="32"/>
  <c r="AE185" i="32" s="1"/>
  <c r="F128" i="30"/>
  <c r="M128" i="30" s="1"/>
  <c r="P127" i="30"/>
  <c r="W125" i="30" s="1"/>
  <c r="M117" i="37"/>
  <c r="L117" i="37"/>
  <c r="J117" i="37"/>
  <c r="I117" i="37"/>
  <c r="Q116" i="37"/>
  <c r="K278" i="12"/>
  <c r="C281" i="46" s="1"/>
  <c r="C285" i="39"/>
  <c r="C340" i="7"/>
  <c r="C285" i="13"/>
  <c r="F119" i="33"/>
  <c r="K119" i="33" s="1"/>
  <c r="AB114" i="46"/>
  <c r="U115" i="46"/>
  <c r="O79" i="39"/>
  <c r="P79" i="39"/>
  <c r="U73" i="13" l="1"/>
  <c r="W73" i="13" s="1"/>
  <c r="Z73" i="13"/>
  <c r="AC73" i="13"/>
  <c r="AA73" i="13" s="1"/>
  <c r="M128" i="7"/>
  <c r="G112" i="46"/>
  <c r="E284" i="46"/>
  <c r="D284" i="46"/>
  <c r="B285" i="46"/>
  <c r="T285" i="46" s="1"/>
  <c r="AA285" i="46" s="1"/>
  <c r="O342" i="7"/>
  <c r="E342" i="7"/>
  <c r="B343" i="7"/>
  <c r="B289" i="13"/>
  <c r="E288" i="13"/>
  <c r="AF76" i="28"/>
  <c r="J76" i="28"/>
  <c r="AD103" i="40"/>
  <c r="AG103" i="40"/>
  <c r="N103" i="40"/>
  <c r="AA103" i="40"/>
  <c r="AB103" i="40" s="1"/>
  <c r="AH103" i="40"/>
  <c r="L103" i="40"/>
  <c r="M103" i="40"/>
  <c r="Z186" i="32"/>
  <c r="AF186" i="32"/>
  <c r="L186" i="32"/>
  <c r="M186" i="32"/>
  <c r="H186" i="32"/>
  <c r="F187" i="32" s="1"/>
  <c r="K186" i="32"/>
  <c r="J186" i="32"/>
  <c r="N186" i="32"/>
  <c r="AC186" i="32"/>
  <c r="L128" i="30"/>
  <c r="N128" i="30"/>
  <c r="J128" i="30" s="1"/>
  <c r="I128" i="30"/>
  <c r="K128" i="30"/>
  <c r="H117" i="37"/>
  <c r="Q117" i="37" s="1"/>
  <c r="P117" i="37"/>
  <c r="W115" i="37" s="1"/>
  <c r="L119" i="33"/>
  <c r="I119" i="33"/>
  <c r="M119" i="33"/>
  <c r="N119" i="33"/>
  <c r="J119" i="33" s="1"/>
  <c r="P119" i="33"/>
  <c r="W117" i="33" s="1"/>
  <c r="K279" i="12"/>
  <c r="C282" i="46" s="1"/>
  <c r="C286" i="39"/>
  <c r="C341" i="7"/>
  <c r="C286" i="13"/>
  <c r="Y115" i="46"/>
  <c r="Z115" i="46"/>
  <c r="X115" i="46"/>
  <c r="W115" i="46"/>
  <c r="Z80" i="39"/>
  <c r="F80" i="39"/>
  <c r="C81" i="36"/>
  <c r="E80" i="36"/>
  <c r="J73" i="13" l="1"/>
  <c r="G73" i="13" s="1"/>
  <c r="X73" i="13"/>
  <c r="P112" i="46"/>
  <c r="Q112" i="46"/>
  <c r="F113" i="46" s="1"/>
  <c r="D285" i="46"/>
  <c r="B286" i="46"/>
  <c r="T286" i="46" s="1"/>
  <c r="AA286" i="46" s="1"/>
  <c r="E285" i="46"/>
  <c r="E343" i="7"/>
  <c r="O343" i="7"/>
  <c r="B344" i="7"/>
  <c r="E289" i="13"/>
  <c r="B290" i="13"/>
  <c r="H76" i="28"/>
  <c r="J444" i="7"/>
  <c r="AF103" i="40"/>
  <c r="X101" i="40"/>
  <c r="Q103" i="40"/>
  <c r="J103" i="40"/>
  <c r="AC103" i="40"/>
  <c r="I103" i="40" s="1"/>
  <c r="I186" i="32"/>
  <c r="P186" i="32"/>
  <c r="W184" i="32" s="1"/>
  <c r="Q186" i="32"/>
  <c r="Y186" i="32"/>
  <c r="AA186" i="32" s="1"/>
  <c r="AD186" i="32"/>
  <c r="AB186" i="32" s="1"/>
  <c r="K187" i="32"/>
  <c r="Z187" i="32"/>
  <c r="M187" i="32"/>
  <c r="AC187" i="32"/>
  <c r="H187" i="32"/>
  <c r="F188" i="32" s="1"/>
  <c r="J187" i="32"/>
  <c r="N187" i="32"/>
  <c r="AF187" i="32"/>
  <c r="L187" i="32"/>
  <c r="AG186" i="32"/>
  <c r="AE186" i="32" s="1"/>
  <c r="H128" i="30"/>
  <c r="P128" i="30" s="1"/>
  <c r="W126" i="30" s="1"/>
  <c r="F118" i="37"/>
  <c r="M118" i="37" s="1"/>
  <c r="H119" i="33"/>
  <c r="Q119" i="33" s="1"/>
  <c r="K280" i="12"/>
  <c r="C283" i="46" s="1"/>
  <c r="C287" i="39"/>
  <c r="C342" i="7"/>
  <c r="C287" i="13"/>
  <c r="V115" i="46"/>
  <c r="S80" i="39"/>
  <c r="T80" i="39" s="1"/>
  <c r="J80" i="39"/>
  <c r="Q80" i="39"/>
  <c r="L80" i="39"/>
  <c r="V80" i="39"/>
  <c r="K80" i="39"/>
  <c r="Y80" i="39"/>
  <c r="X80" i="39" s="1"/>
  <c r="F74" i="13" l="1"/>
  <c r="R73" i="13"/>
  <c r="S73" i="13"/>
  <c r="G128" i="7"/>
  <c r="Q128" i="7" s="1"/>
  <c r="L113" i="46"/>
  <c r="K113" i="46"/>
  <c r="A113" i="46"/>
  <c r="M113" i="46" s="1"/>
  <c r="J113" i="46"/>
  <c r="H113" i="46"/>
  <c r="I113" i="46"/>
  <c r="B287" i="46"/>
  <c r="T287" i="46" s="1"/>
  <c r="AA287" i="46" s="1"/>
  <c r="E286" i="46"/>
  <c r="D286" i="46"/>
  <c r="U116" i="46"/>
  <c r="X116" i="46" s="1"/>
  <c r="E344" i="7"/>
  <c r="O344" i="7"/>
  <c r="B345" i="7"/>
  <c r="E290" i="13"/>
  <c r="B291" i="13"/>
  <c r="Q76" i="28"/>
  <c r="Q444" i="7" s="1"/>
  <c r="R76" i="28"/>
  <c r="R444" i="7" s="1"/>
  <c r="H444" i="7"/>
  <c r="F77" i="28"/>
  <c r="R103" i="40"/>
  <c r="G104" i="40"/>
  <c r="I187" i="32"/>
  <c r="P187" i="32"/>
  <c r="W185" i="32" s="1"/>
  <c r="J188" i="32"/>
  <c r="H188" i="32"/>
  <c r="F189" i="32" s="1"/>
  <c r="AF188" i="32"/>
  <c r="K188" i="32"/>
  <c r="Z188" i="32"/>
  <c r="N188" i="32"/>
  <c r="AC188" i="32"/>
  <c r="L188" i="32"/>
  <c r="M188" i="32"/>
  <c r="Q187" i="32"/>
  <c r="AG187" i="32"/>
  <c r="AE187" i="32" s="1"/>
  <c r="Y187" i="32"/>
  <c r="AA187" i="32" s="1"/>
  <c r="AD187" i="32"/>
  <c r="AB187" i="32" s="1"/>
  <c r="F129" i="30"/>
  <c r="I129" i="30" s="1"/>
  <c r="Q128" i="30"/>
  <c r="J118" i="37"/>
  <c r="I118" i="37"/>
  <c r="L118" i="37"/>
  <c r="K118" i="37"/>
  <c r="F120" i="33"/>
  <c r="I120" i="33" s="1"/>
  <c r="K281" i="12"/>
  <c r="C284" i="46" s="1"/>
  <c r="C288" i="39"/>
  <c r="C343" i="7"/>
  <c r="C288" i="13"/>
  <c r="AB115" i="46"/>
  <c r="H80" i="39"/>
  <c r="U80" i="39"/>
  <c r="G80" i="39" s="1"/>
  <c r="D81" i="36" s="1"/>
  <c r="AB74" i="13" l="1"/>
  <c r="Y74" i="13"/>
  <c r="H74" i="13" s="1"/>
  <c r="H129" i="7" s="1"/>
  <c r="N74" i="13"/>
  <c r="M74" i="13"/>
  <c r="L129" i="7" s="1"/>
  <c r="K74" i="13"/>
  <c r="J129" i="7" s="1"/>
  <c r="L74" i="13"/>
  <c r="K129" i="7" s="1"/>
  <c r="V74" i="13"/>
  <c r="F129" i="7"/>
  <c r="R129" i="7" s="1"/>
  <c r="G113" i="46"/>
  <c r="B288" i="46"/>
  <c r="T288" i="46" s="1"/>
  <c r="AA288" i="46" s="1"/>
  <c r="D287" i="46"/>
  <c r="E287" i="46"/>
  <c r="Z116" i="46"/>
  <c r="W116" i="46"/>
  <c r="V116" i="46" s="1"/>
  <c r="U117" i="46" s="1"/>
  <c r="Y116" i="46"/>
  <c r="O345" i="7"/>
  <c r="E345" i="7"/>
  <c r="B346" i="7"/>
  <c r="I80" i="13"/>
  <c r="I135" i="7" s="1"/>
  <c r="E291" i="13"/>
  <c r="B292" i="13"/>
  <c r="N77" i="28"/>
  <c r="AE77" i="28" s="1"/>
  <c r="F445" i="7"/>
  <c r="S445" i="7" s="1"/>
  <c r="AA77" i="28"/>
  <c r="K77" i="28"/>
  <c r="AD77" i="28"/>
  <c r="L77" i="28"/>
  <c r="L445" i="7" s="1"/>
  <c r="M77" i="28"/>
  <c r="M445" i="7" s="1"/>
  <c r="AG77" i="28"/>
  <c r="AD104" i="40"/>
  <c r="AG104" i="40"/>
  <c r="AH104" i="40"/>
  <c r="AA104" i="40"/>
  <c r="AB104" i="40" s="1"/>
  <c r="M104" i="40"/>
  <c r="L104" i="40"/>
  <c r="N104" i="40"/>
  <c r="I80" i="39"/>
  <c r="AC80" i="39" s="1"/>
  <c r="Q188" i="32"/>
  <c r="I188" i="32"/>
  <c r="P188" i="32"/>
  <c r="W186" i="32" s="1"/>
  <c r="AG188" i="32"/>
  <c r="AE188" i="32" s="1"/>
  <c r="AD188" i="32"/>
  <c r="AB188" i="32" s="1"/>
  <c r="Y188" i="32"/>
  <c r="AA188" i="32" s="1"/>
  <c r="H189" i="32"/>
  <c r="F190" i="32" s="1"/>
  <c r="L189" i="32"/>
  <c r="AC189" i="32"/>
  <c r="K189" i="32"/>
  <c r="J189" i="32"/>
  <c r="N189" i="32"/>
  <c r="AG189" i="32" s="1"/>
  <c r="Z189" i="32"/>
  <c r="M189" i="32"/>
  <c r="AF189" i="32"/>
  <c r="N129" i="30"/>
  <c r="J129" i="30" s="1"/>
  <c r="H129" i="30" s="1"/>
  <c r="Q129" i="30" s="1"/>
  <c r="L129" i="30"/>
  <c r="K129" i="30"/>
  <c r="M129" i="30"/>
  <c r="H118" i="37"/>
  <c r="F119" i="37" s="1"/>
  <c r="I119" i="37" s="1"/>
  <c r="P118" i="37"/>
  <c r="W116" i="37" s="1"/>
  <c r="N120" i="33"/>
  <c r="J120" i="33" s="1"/>
  <c r="H120" i="33" s="1"/>
  <c r="Q120" i="33" s="1"/>
  <c r="M120" i="33"/>
  <c r="K120" i="33"/>
  <c r="L120" i="33"/>
  <c r="P120" i="33"/>
  <c r="W118" i="33" s="1"/>
  <c r="K282" i="12"/>
  <c r="C285" i="46" s="1"/>
  <c r="C289" i="39"/>
  <c r="C344" i="7"/>
  <c r="C289" i="13"/>
  <c r="O80" i="39"/>
  <c r="P80" i="39"/>
  <c r="Z74" i="13" l="1"/>
  <c r="M129" i="7"/>
  <c r="E65" i="10"/>
  <c r="U74" i="13"/>
  <c r="W74" i="13" s="1"/>
  <c r="AC74" i="13"/>
  <c r="AA74" i="13" s="1"/>
  <c r="Q113" i="46"/>
  <c r="F114" i="46" s="1"/>
  <c r="P113" i="46"/>
  <c r="E288" i="46"/>
  <c r="B289" i="46"/>
  <c r="T289" i="46" s="1"/>
  <c r="AA289" i="46" s="1"/>
  <c r="D288" i="46"/>
  <c r="AB116" i="46"/>
  <c r="E346" i="7"/>
  <c r="O346" i="7"/>
  <c r="B347" i="7"/>
  <c r="E292" i="13"/>
  <c r="B293" i="13"/>
  <c r="I77" i="28"/>
  <c r="I445" i="7" s="1"/>
  <c r="K445" i="7"/>
  <c r="X75" i="28"/>
  <c r="Z77" i="28"/>
  <c r="AB77" i="28" s="1"/>
  <c r="N445" i="7"/>
  <c r="AC77" i="28"/>
  <c r="AH77" i="28"/>
  <c r="AF104" i="40"/>
  <c r="Q104" i="40"/>
  <c r="X102" i="40"/>
  <c r="AC104" i="40"/>
  <c r="I104" i="40" s="1"/>
  <c r="J104" i="40"/>
  <c r="I189" i="32"/>
  <c r="AE189" i="32"/>
  <c r="P189" i="32"/>
  <c r="W187" i="32" s="1"/>
  <c r="Q189" i="32"/>
  <c r="Z190" i="32"/>
  <c r="K190" i="32"/>
  <c r="M190" i="32"/>
  <c r="H190" i="32"/>
  <c r="Q190" i="32" s="1"/>
  <c r="N190" i="32"/>
  <c r="J190" i="32"/>
  <c r="AF190" i="32"/>
  <c r="L190" i="32"/>
  <c r="AC190" i="32"/>
  <c r="AD189" i="32"/>
  <c r="AB189" i="32" s="1"/>
  <c r="Y189" i="32"/>
  <c r="AA189" i="32" s="1"/>
  <c r="P129" i="30"/>
  <c r="W127" i="30" s="1"/>
  <c r="F130" i="30"/>
  <c r="I130" i="30" s="1"/>
  <c r="L119" i="37"/>
  <c r="K119" i="37"/>
  <c r="J119" i="37"/>
  <c r="H119" i="37" s="1"/>
  <c r="F120" i="37" s="1"/>
  <c r="K120" i="37" s="1"/>
  <c r="Q118" i="37"/>
  <c r="M119" i="37"/>
  <c r="F121" i="33"/>
  <c r="I121" i="33" s="1"/>
  <c r="K283" i="12"/>
  <c r="C286" i="46" s="1"/>
  <c r="C290" i="39"/>
  <c r="C345" i="7"/>
  <c r="C290" i="13"/>
  <c r="F81" i="39"/>
  <c r="Z81" i="39"/>
  <c r="C82" i="36"/>
  <c r="E81" i="36"/>
  <c r="Z117" i="46"/>
  <c r="X117" i="46"/>
  <c r="Y117" i="46"/>
  <c r="W117" i="46"/>
  <c r="X74" i="13" l="1"/>
  <c r="J74" i="13"/>
  <c r="G74" i="13" s="1"/>
  <c r="G129" i="7" s="1"/>
  <c r="I114" i="46"/>
  <c r="H114" i="46"/>
  <c r="K114" i="46"/>
  <c r="L114" i="46"/>
  <c r="A114" i="46"/>
  <c r="M114" i="46" s="1"/>
  <c r="J114" i="46"/>
  <c r="E289" i="46"/>
  <c r="D289" i="46"/>
  <c r="B290" i="46"/>
  <c r="T290" i="46" s="1"/>
  <c r="AA290" i="46" s="1"/>
  <c r="E347" i="7"/>
  <c r="O347" i="7"/>
  <c r="B348" i="7"/>
  <c r="B294" i="13"/>
  <c r="E293" i="13"/>
  <c r="AF77" i="28"/>
  <c r="J77" i="28"/>
  <c r="P119" i="37"/>
  <c r="W117" i="37" s="1"/>
  <c r="R104" i="40"/>
  <c r="G105" i="40"/>
  <c r="I190" i="32"/>
  <c r="N130" i="30"/>
  <c r="J130" i="30" s="1"/>
  <c r="H130" i="30" s="1"/>
  <c r="F131" i="30" s="1"/>
  <c r="M131" i="30" s="1"/>
  <c r="M130" i="30"/>
  <c r="P190" i="32"/>
  <c r="W188" i="32" s="1"/>
  <c r="AG190" i="32"/>
  <c r="AE190" i="32" s="1"/>
  <c r="AD190" i="32"/>
  <c r="AB190" i="32" s="1"/>
  <c r="Y190" i="32"/>
  <c r="AA190" i="32" s="1"/>
  <c r="F191" i="32"/>
  <c r="K130" i="30"/>
  <c r="L130" i="30"/>
  <c r="P121" i="33"/>
  <c r="W119" i="33" s="1"/>
  <c r="N121" i="33"/>
  <c r="J121" i="33" s="1"/>
  <c r="H121" i="33" s="1"/>
  <c r="Q121" i="33" s="1"/>
  <c r="L121" i="33"/>
  <c r="M121" i="33"/>
  <c r="K121" i="33"/>
  <c r="Q119" i="37"/>
  <c r="I120" i="37"/>
  <c r="M120" i="37"/>
  <c r="L120" i="37"/>
  <c r="J120" i="37"/>
  <c r="K284" i="12"/>
  <c r="C287" i="46" s="1"/>
  <c r="C291" i="39"/>
  <c r="C346" i="7"/>
  <c r="C291" i="13"/>
  <c r="V117" i="46"/>
  <c r="K81" i="39"/>
  <c r="J81" i="39"/>
  <c r="S81" i="39"/>
  <c r="T81" i="39" s="1"/>
  <c r="V81" i="39"/>
  <c r="Y81" i="39"/>
  <c r="X81" i="39" s="1"/>
  <c r="Q81" i="39"/>
  <c r="L81" i="39"/>
  <c r="P129" i="7" l="1"/>
  <c r="S74" i="13"/>
  <c r="R74" i="13"/>
  <c r="F75" i="13"/>
  <c r="F130" i="7" s="1"/>
  <c r="R130" i="7" s="1"/>
  <c r="Q129" i="7"/>
  <c r="G114" i="46"/>
  <c r="D290" i="46"/>
  <c r="B291" i="46"/>
  <c r="T291" i="46" s="1"/>
  <c r="AA291" i="46" s="1"/>
  <c r="E290" i="46"/>
  <c r="AB117" i="46"/>
  <c r="I81" i="13"/>
  <c r="I136" i="7" s="1"/>
  <c r="O348" i="7"/>
  <c r="E348" i="7"/>
  <c r="B349" i="7"/>
  <c r="B295" i="13"/>
  <c r="E294" i="13"/>
  <c r="J445" i="7"/>
  <c r="H77" i="28"/>
  <c r="AG105" i="40"/>
  <c r="AA105" i="40"/>
  <c r="AB105" i="40" s="1"/>
  <c r="N105" i="40"/>
  <c r="L105" i="40"/>
  <c r="M105" i="40"/>
  <c r="AD105" i="40"/>
  <c r="AH105" i="40"/>
  <c r="I131" i="30"/>
  <c r="K131" i="30"/>
  <c r="L131" i="30"/>
  <c r="N131" i="30"/>
  <c r="J131" i="30" s="1"/>
  <c r="Q130" i="30"/>
  <c r="P130" i="30"/>
  <c r="W128" i="30" s="1"/>
  <c r="AC191" i="32"/>
  <c r="Z191" i="32"/>
  <c r="K191" i="32"/>
  <c r="AF191" i="32"/>
  <c r="H191" i="32"/>
  <c r="Q191" i="32" s="1"/>
  <c r="L191" i="32"/>
  <c r="J191" i="32"/>
  <c r="N191" i="32"/>
  <c r="M191" i="32"/>
  <c r="F122" i="33"/>
  <c r="I122" i="33" s="1"/>
  <c r="H120" i="37"/>
  <c r="Q120" i="37" s="1"/>
  <c r="P120" i="37"/>
  <c r="W118" i="37" s="1"/>
  <c r="K285" i="12"/>
  <c r="C288" i="46" s="1"/>
  <c r="C292" i="39"/>
  <c r="C347" i="7"/>
  <c r="C292" i="13"/>
  <c r="U118" i="46"/>
  <c r="Y118" i="46" s="1"/>
  <c r="U81" i="39"/>
  <c r="G81" i="39" s="1"/>
  <c r="D82" i="36" s="1"/>
  <c r="H81" i="39"/>
  <c r="Y75" i="13" l="1"/>
  <c r="N75" i="13"/>
  <c r="U75" i="13" s="1"/>
  <c r="AB75" i="13"/>
  <c r="K75" i="13"/>
  <c r="J130" i="7" s="1"/>
  <c r="L75" i="13"/>
  <c r="K130" i="7" s="1"/>
  <c r="M75" i="13"/>
  <c r="L130" i="7" s="1"/>
  <c r="V75" i="13"/>
  <c r="Q114" i="46"/>
  <c r="F115" i="46" s="1"/>
  <c r="P114" i="46"/>
  <c r="B292" i="46"/>
  <c r="T292" i="46" s="1"/>
  <c r="AA292" i="46" s="1"/>
  <c r="E291" i="46"/>
  <c r="D291" i="46"/>
  <c r="O349" i="7"/>
  <c r="E349" i="7"/>
  <c r="B350" i="7"/>
  <c r="B296" i="13"/>
  <c r="E295" i="13"/>
  <c r="F78" i="28"/>
  <c r="R77" i="28"/>
  <c r="R445" i="7" s="1"/>
  <c r="H445" i="7"/>
  <c r="Q77" i="28"/>
  <c r="Q445" i="7" s="1"/>
  <c r="AF105" i="40"/>
  <c r="J105" i="40"/>
  <c r="AC105" i="40"/>
  <c r="I105" i="40" s="1"/>
  <c r="X103" i="40"/>
  <c r="Q105" i="40"/>
  <c r="I81" i="39"/>
  <c r="AC81" i="39" s="1"/>
  <c r="H131" i="30"/>
  <c r="Q131" i="30" s="1"/>
  <c r="I191" i="32"/>
  <c r="P191" i="32"/>
  <c r="W189" i="32" s="1"/>
  <c r="F192" i="32"/>
  <c r="H192" i="32" s="1"/>
  <c r="Q192" i="32" s="1"/>
  <c r="AG191" i="32"/>
  <c r="AE191" i="32" s="1"/>
  <c r="AD191" i="32"/>
  <c r="AB191" i="32" s="1"/>
  <c r="Y191" i="32"/>
  <c r="AA191" i="32" s="1"/>
  <c r="F121" i="37"/>
  <c r="K121" i="37" s="1"/>
  <c r="P122" i="33"/>
  <c r="W120" i="33" s="1"/>
  <c r="M122" i="33"/>
  <c r="L122" i="33"/>
  <c r="K122" i="33"/>
  <c r="N122" i="33"/>
  <c r="J122" i="33" s="1"/>
  <c r="H122" i="33" s="1"/>
  <c r="F123" i="33" s="1"/>
  <c r="K286" i="12"/>
  <c r="C289" i="46" s="1"/>
  <c r="C293" i="39"/>
  <c r="C348" i="7"/>
  <c r="C293" i="13"/>
  <c r="W118" i="46"/>
  <c r="X118" i="46"/>
  <c r="Z118" i="46"/>
  <c r="O81" i="39"/>
  <c r="P81" i="39"/>
  <c r="H75" i="13" l="1"/>
  <c r="H130" i="7" s="1"/>
  <c r="M130" i="7"/>
  <c r="AC75" i="13"/>
  <c r="Z75" i="13"/>
  <c r="W75" i="13"/>
  <c r="E66" i="10"/>
  <c r="J115" i="46"/>
  <c r="A115" i="46"/>
  <c r="M115" i="46" s="1"/>
  <c r="H115" i="46"/>
  <c r="I115" i="46"/>
  <c r="K115" i="46"/>
  <c r="L115" i="46"/>
  <c r="E292" i="46"/>
  <c r="B293" i="46"/>
  <c r="T293" i="46" s="1"/>
  <c r="AA293" i="46" s="1"/>
  <c r="D292" i="46"/>
  <c r="O350" i="7"/>
  <c r="E350" i="7"/>
  <c r="B351" i="7"/>
  <c r="B297" i="13"/>
  <c r="E296" i="13"/>
  <c r="L78" i="28"/>
  <c r="L446" i="7" s="1"/>
  <c r="AA78" i="28"/>
  <c r="N78" i="28"/>
  <c r="M78" i="28"/>
  <c r="M446" i="7" s="1"/>
  <c r="AG78" i="28"/>
  <c r="F446" i="7"/>
  <c r="S446" i="7" s="1"/>
  <c r="K78" i="28"/>
  <c r="AD78" i="28"/>
  <c r="G106" i="40"/>
  <c r="R105" i="40"/>
  <c r="F132" i="30"/>
  <c r="L132" i="30" s="1"/>
  <c r="P131" i="30"/>
  <c r="W129" i="30" s="1"/>
  <c r="AF192" i="32"/>
  <c r="AC192" i="32"/>
  <c r="L192" i="32"/>
  <c r="M192" i="32"/>
  <c r="J192" i="32"/>
  <c r="Z192" i="32"/>
  <c r="N192" i="32"/>
  <c r="AG192" i="32" s="1"/>
  <c r="K192" i="32"/>
  <c r="F193" i="32"/>
  <c r="I121" i="37"/>
  <c r="J121" i="37"/>
  <c r="L121" i="37"/>
  <c r="M121" i="37"/>
  <c r="Q122" i="33"/>
  <c r="K287" i="12"/>
  <c r="C290" i="46" s="1"/>
  <c r="C294" i="39"/>
  <c r="C349" i="7"/>
  <c r="C294" i="13"/>
  <c r="L123" i="33"/>
  <c r="I123" i="33"/>
  <c r="K123" i="33"/>
  <c r="M123" i="33"/>
  <c r="N123" i="33"/>
  <c r="J123" i="33" s="1"/>
  <c r="P123" i="33"/>
  <c r="W121" i="33" s="1"/>
  <c r="V118" i="46"/>
  <c r="F82" i="39"/>
  <c r="Z82" i="39"/>
  <c r="C83" i="36"/>
  <c r="E82" i="36"/>
  <c r="J75" i="13" l="1"/>
  <c r="AA75" i="13"/>
  <c r="X75" i="13"/>
  <c r="G75" i="13"/>
  <c r="G130" i="7" s="1"/>
  <c r="G115" i="46"/>
  <c r="E293" i="46"/>
  <c r="D293" i="46"/>
  <c r="B294" i="46"/>
  <c r="T294" i="46" s="1"/>
  <c r="AA294" i="46" s="1"/>
  <c r="AB118" i="46"/>
  <c r="O351" i="7"/>
  <c r="E351" i="7"/>
  <c r="B352" i="7"/>
  <c r="B298" i="13"/>
  <c r="E297" i="13"/>
  <c r="I78" i="28"/>
  <c r="I446" i="7" s="1"/>
  <c r="K446" i="7"/>
  <c r="X76" i="28"/>
  <c r="AH78" i="28"/>
  <c r="N446" i="7"/>
  <c r="Z78" i="28"/>
  <c r="AB78" i="28" s="1"/>
  <c r="AE78" i="28"/>
  <c r="AC78" i="28" s="1"/>
  <c r="P121" i="37"/>
  <c r="W119" i="37" s="1"/>
  <c r="AH106" i="40"/>
  <c r="N106" i="40"/>
  <c r="AG106" i="40"/>
  <c r="AD106" i="40"/>
  <c r="AA106" i="40"/>
  <c r="AB106" i="40" s="1"/>
  <c r="M106" i="40"/>
  <c r="L106" i="40"/>
  <c r="I132" i="30"/>
  <c r="N132" i="30"/>
  <c r="J132" i="30" s="1"/>
  <c r="K132" i="30"/>
  <c r="M132" i="30"/>
  <c r="AE192" i="32"/>
  <c r="I192" i="32"/>
  <c r="AD192" i="32"/>
  <c r="AB192" i="32" s="1"/>
  <c r="P192" i="32"/>
  <c r="W190" i="32" s="1"/>
  <c r="Y192" i="32"/>
  <c r="AA192" i="32" s="1"/>
  <c r="Z193" i="32"/>
  <c r="AF193" i="32"/>
  <c r="H193" i="32"/>
  <c r="Q193" i="32" s="1"/>
  <c r="L193" i="32"/>
  <c r="AC193" i="32"/>
  <c r="K193" i="32"/>
  <c r="J193" i="32"/>
  <c r="M193" i="32"/>
  <c r="N193" i="32"/>
  <c r="H121" i="37"/>
  <c r="Q121" i="37" s="1"/>
  <c r="K288" i="12"/>
  <c r="C291" i="46" s="1"/>
  <c r="C295" i="39"/>
  <c r="C350" i="7"/>
  <c r="C295" i="13"/>
  <c r="H123" i="33"/>
  <c r="Q123" i="33" s="1"/>
  <c r="U119" i="46"/>
  <c r="Y119" i="46" s="1"/>
  <c r="K82" i="39"/>
  <c r="Y82" i="39"/>
  <c r="X82" i="39" s="1"/>
  <c r="V82" i="39"/>
  <c r="L82" i="39"/>
  <c r="Q82" i="39"/>
  <c r="J82" i="39"/>
  <c r="S82" i="39"/>
  <c r="T82" i="39" s="1"/>
  <c r="S75" i="13" l="1"/>
  <c r="Q130" i="7"/>
  <c r="F76" i="13"/>
  <c r="F131" i="7" s="1"/>
  <c r="R131" i="7" s="1"/>
  <c r="P130" i="7"/>
  <c r="R75" i="13"/>
  <c r="P115" i="46"/>
  <c r="Q115" i="46"/>
  <c r="F116" i="46" s="1"/>
  <c r="B295" i="46"/>
  <c r="T295" i="46" s="1"/>
  <c r="AA295" i="46" s="1"/>
  <c r="D294" i="46"/>
  <c r="E294" i="46"/>
  <c r="O352" i="7"/>
  <c r="E352" i="7"/>
  <c r="B353" i="7"/>
  <c r="I82" i="13"/>
  <c r="E298" i="13"/>
  <c r="B299" i="13"/>
  <c r="AF78" i="28"/>
  <c r="J78" i="28"/>
  <c r="AF106" i="40"/>
  <c r="X104" i="40"/>
  <c r="Q106" i="40"/>
  <c r="J106" i="40"/>
  <c r="AC106" i="40"/>
  <c r="I106" i="40" s="1"/>
  <c r="H132" i="30"/>
  <c r="F133" i="30" s="1"/>
  <c r="I193" i="32"/>
  <c r="P193" i="32"/>
  <c r="W191" i="32" s="1"/>
  <c r="F194" i="32"/>
  <c r="AG193" i="32"/>
  <c r="AE193" i="32" s="1"/>
  <c r="Y193" i="32"/>
  <c r="AA193" i="32" s="1"/>
  <c r="AD193" i="32"/>
  <c r="AB193" i="32" s="1"/>
  <c r="F122" i="37"/>
  <c r="K289" i="12"/>
  <c r="C292" i="46" s="1"/>
  <c r="C296" i="39"/>
  <c r="C351" i="7"/>
  <c r="C296" i="13"/>
  <c r="F124" i="33"/>
  <c r="I124" i="33" s="1"/>
  <c r="W119" i="46"/>
  <c r="X119" i="46"/>
  <c r="Z119" i="46"/>
  <c r="U82" i="39"/>
  <c r="G82" i="39" s="1"/>
  <c r="D83" i="36" s="1"/>
  <c r="H82" i="39"/>
  <c r="L76" i="13" l="1"/>
  <c r="K131" i="7" s="1"/>
  <c r="M76" i="13"/>
  <c r="L131" i="7" s="1"/>
  <c r="AB76" i="13"/>
  <c r="V76" i="13"/>
  <c r="Y76" i="13"/>
  <c r="K76" i="13"/>
  <c r="J131" i="7" s="1"/>
  <c r="N76" i="13"/>
  <c r="M131" i="7" s="1"/>
  <c r="J116" i="46"/>
  <c r="A116" i="46"/>
  <c r="M116" i="46" s="1"/>
  <c r="L116" i="46"/>
  <c r="K116" i="46"/>
  <c r="H116" i="46"/>
  <c r="I116" i="46"/>
  <c r="E295" i="46"/>
  <c r="B296" i="46"/>
  <c r="T296" i="46" s="1"/>
  <c r="AA296" i="46" s="1"/>
  <c r="D295" i="46"/>
  <c r="O353" i="7"/>
  <c r="E353" i="7"/>
  <c r="B354" i="7"/>
  <c r="I137" i="7"/>
  <c r="B300" i="13"/>
  <c r="E299" i="13"/>
  <c r="J446" i="7"/>
  <c r="H78" i="28"/>
  <c r="R106" i="40"/>
  <c r="G107" i="40"/>
  <c r="Q132" i="30"/>
  <c r="P132" i="30"/>
  <c r="W130" i="30" s="1"/>
  <c r="I82" i="39"/>
  <c r="AC82" i="39" s="1"/>
  <c r="AC194" i="32"/>
  <c r="K194" i="32"/>
  <c r="H194" i="32"/>
  <c r="F195" i="32" s="1"/>
  <c r="M194" i="32"/>
  <c r="N194" i="32"/>
  <c r="AG194" i="32" s="1"/>
  <c r="Z194" i="32"/>
  <c r="L194" i="32"/>
  <c r="J194" i="32"/>
  <c r="AF194" i="32"/>
  <c r="K122" i="37"/>
  <c r="M122" i="37"/>
  <c r="L122" i="37"/>
  <c r="J122" i="37"/>
  <c r="I122" i="37"/>
  <c r="K290" i="12"/>
  <c r="C293" i="46" s="1"/>
  <c r="C297" i="39"/>
  <c r="C352" i="7"/>
  <c r="C297" i="13"/>
  <c r="K124" i="33"/>
  <c r="N124" i="33"/>
  <c r="J124" i="33" s="1"/>
  <c r="H124" i="33" s="1"/>
  <c r="F125" i="33" s="1"/>
  <c r="K125" i="33" s="1"/>
  <c r="M124" i="33"/>
  <c r="P124" i="33"/>
  <c r="W122" i="33" s="1"/>
  <c r="L124" i="33"/>
  <c r="M133" i="30"/>
  <c r="I133" i="30"/>
  <c r="L133" i="30"/>
  <c r="K133" i="30"/>
  <c r="N133" i="30"/>
  <c r="J133" i="30" s="1"/>
  <c r="V119" i="46"/>
  <c r="O82" i="39"/>
  <c r="P82" i="39"/>
  <c r="H76" i="13" l="1"/>
  <c r="H131" i="7" s="1"/>
  <c r="Z76" i="13"/>
  <c r="U76" i="13"/>
  <c r="W76" i="13" s="1"/>
  <c r="AC76" i="13"/>
  <c r="AA76" i="13" s="1"/>
  <c r="E67" i="10"/>
  <c r="G116" i="46"/>
  <c r="B297" i="46"/>
  <c r="T297" i="46" s="1"/>
  <c r="AA297" i="46" s="1"/>
  <c r="E296" i="46"/>
  <c r="D296" i="46"/>
  <c r="U120" i="46"/>
  <c r="X120" i="46" s="1"/>
  <c r="O354" i="7"/>
  <c r="E354" i="7"/>
  <c r="B355" i="7"/>
  <c r="E300" i="13"/>
  <c r="B301" i="13"/>
  <c r="R78" i="28"/>
  <c r="R446" i="7" s="1"/>
  <c r="Q78" i="28"/>
  <c r="Q446" i="7" s="1"/>
  <c r="H446" i="7"/>
  <c r="F79" i="28"/>
  <c r="P122" i="37"/>
  <c r="W120" i="37" s="1"/>
  <c r="N107" i="40"/>
  <c r="M107" i="40"/>
  <c r="L107" i="40"/>
  <c r="AH107" i="40"/>
  <c r="AA107" i="40"/>
  <c r="AB107" i="40" s="1"/>
  <c r="AG107" i="40"/>
  <c r="AD107" i="40"/>
  <c r="I194" i="32"/>
  <c r="AE194" i="32"/>
  <c r="P194" i="32"/>
  <c r="W192" i="32" s="1"/>
  <c r="Y194" i="32"/>
  <c r="AA194" i="32" s="1"/>
  <c r="AD194" i="32"/>
  <c r="AB194" i="32" s="1"/>
  <c r="J195" i="32"/>
  <c r="AF195" i="32"/>
  <c r="AC195" i="32"/>
  <c r="K195" i="32"/>
  <c r="L195" i="32"/>
  <c r="M195" i="32"/>
  <c r="H195" i="32"/>
  <c r="Q195" i="32" s="1"/>
  <c r="Z195" i="32"/>
  <c r="N195" i="32"/>
  <c r="AG195" i="32" s="1"/>
  <c r="Q194" i="32"/>
  <c r="H122" i="37"/>
  <c r="K291" i="12"/>
  <c r="C294" i="46" s="1"/>
  <c r="C298" i="39"/>
  <c r="C353" i="7"/>
  <c r="C298" i="13"/>
  <c r="P125" i="33"/>
  <c r="W123" i="33" s="1"/>
  <c r="L125" i="33"/>
  <c r="M125" i="33"/>
  <c r="Q124" i="33"/>
  <c r="N125" i="33"/>
  <c r="J125" i="33" s="1"/>
  <c r="I125" i="33"/>
  <c r="H133" i="30"/>
  <c r="AB119" i="46"/>
  <c r="F83" i="39"/>
  <c r="Z83" i="39"/>
  <c r="C84" i="36"/>
  <c r="E83" i="36"/>
  <c r="J76" i="13" l="1"/>
  <c r="X76" i="13"/>
  <c r="Q116" i="46"/>
  <c r="F117" i="46" s="1"/>
  <c r="P116" i="46"/>
  <c r="D297" i="46"/>
  <c r="B298" i="46"/>
  <c r="T298" i="46" s="1"/>
  <c r="AA298" i="46" s="1"/>
  <c r="E297" i="46"/>
  <c r="W120" i="46"/>
  <c r="V120" i="46" s="1"/>
  <c r="U121" i="46" s="1"/>
  <c r="Z120" i="46"/>
  <c r="Y120" i="46"/>
  <c r="E355" i="7"/>
  <c r="O355" i="7"/>
  <c r="B356" i="7"/>
  <c r="B302" i="13"/>
  <c r="E301" i="13"/>
  <c r="AG79" i="28"/>
  <c r="L79" i="28"/>
  <c r="L447" i="7" s="1"/>
  <c r="AD79" i="28"/>
  <c r="K79" i="28"/>
  <c r="AA79" i="28"/>
  <c r="F447" i="7"/>
  <c r="S447" i="7" s="1"/>
  <c r="M79" i="28"/>
  <c r="M447" i="7" s="1"/>
  <c r="N79" i="28"/>
  <c r="AF107" i="40"/>
  <c r="X105" i="40"/>
  <c r="Q107" i="40"/>
  <c r="J107" i="40"/>
  <c r="AC107" i="40"/>
  <c r="I107" i="40" s="1"/>
  <c r="AE195" i="32"/>
  <c r="I195" i="32"/>
  <c r="P195" i="32"/>
  <c r="W193" i="32" s="1"/>
  <c r="F196" i="32"/>
  <c r="AD195" i="32"/>
  <c r="AB195" i="32" s="1"/>
  <c r="Y195" i="32"/>
  <c r="AA195" i="32" s="1"/>
  <c r="F123" i="37"/>
  <c r="Q122" i="37"/>
  <c r="K292" i="12"/>
  <c r="C295" i="46" s="1"/>
  <c r="C299" i="39"/>
  <c r="C354" i="7"/>
  <c r="C299" i="13"/>
  <c r="H125" i="33"/>
  <c r="Q125" i="33" s="1"/>
  <c r="P133" i="30"/>
  <c r="W131" i="30" s="1"/>
  <c r="Q133" i="30"/>
  <c r="F134" i="30"/>
  <c r="Q83" i="39"/>
  <c r="S83" i="39"/>
  <c r="T83" i="39" s="1"/>
  <c r="V83" i="39"/>
  <c r="K83" i="39"/>
  <c r="J83" i="39"/>
  <c r="Y83" i="39"/>
  <c r="X83" i="39" s="1"/>
  <c r="L83" i="39"/>
  <c r="G76" i="13" l="1"/>
  <c r="E298" i="46"/>
  <c r="B299" i="46"/>
  <c r="T299" i="46" s="1"/>
  <c r="AA299" i="46" s="1"/>
  <c r="A117" i="46"/>
  <c r="M117" i="46" s="1"/>
  <c r="H117" i="46"/>
  <c r="L117" i="46"/>
  <c r="K117" i="46"/>
  <c r="J117" i="46"/>
  <c r="I117" i="46"/>
  <c r="D298" i="46"/>
  <c r="AB120" i="46"/>
  <c r="O356" i="7"/>
  <c r="E356" i="7"/>
  <c r="B357" i="7"/>
  <c r="B303" i="13"/>
  <c r="E302" i="13"/>
  <c r="I79" i="28"/>
  <c r="I447" i="7" s="1"/>
  <c r="AH79" i="28"/>
  <c r="Z79" i="28"/>
  <c r="AB79" i="28" s="1"/>
  <c r="N447" i="7"/>
  <c r="K447" i="7"/>
  <c r="X77" i="28"/>
  <c r="AE79" i="28"/>
  <c r="AC79" i="28" s="1"/>
  <c r="R107" i="40"/>
  <c r="G108" i="40"/>
  <c r="L196" i="32"/>
  <c r="AC196" i="32"/>
  <c r="Z196" i="32"/>
  <c r="AF196" i="32"/>
  <c r="H196" i="32"/>
  <c r="Q196" i="32" s="1"/>
  <c r="N196" i="32"/>
  <c r="AG196" i="32" s="1"/>
  <c r="K196" i="32"/>
  <c r="M196" i="32"/>
  <c r="J196" i="32"/>
  <c r="J123" i="37"/>
  <c r="M123" i="37"/>
  <c r="K123" i="37"/>
  <c r="I123" i="37"/>
  <c r="L123" i="37"/>
  <c r="K293" i="12"/>
  <c r="C296" i="46" s="1"/>
  <c r="C300" i="39"/>
  <c r="C355" i="7"/>
  <c r="C300" i="13"/>
  <c r="F126" i="33"/>
  <c r="L126" i="33" s="1"/>
  <c r="N134" i="30"/>
  <c r="J134" i="30" s="1"/>
  <c r="M134" i="30"/>
  <c r="K134" i="30"/>
  <c r="L134" i="30"/>
  <c r="I134" i="30"/>
  <c r="Y121" i="46"/>
  <c r="W121" i="46"/>
  <c r="Z121" i="46"/>
  <c r="X121" i="46"/>
  <c r="U83" i="39"/>
  <c r="G83" i="39" s="1"/>
  <c r="D84" i="36" s="1"/>
  <c r="H83" i="39"/>
  <c r="G131" i="7" l="1"/>
  <c r="R76" i="13"/>
  <c r="S76" i="13"/>
  <c r="F77" i="13"/>
  <c r="B300" i="46"/>
  <c r="T300" i="46" s="1"/>
  <c r="AA300" i="46" s="1"/>
  <c r="D299" i="46"/>
  <c r="E299" i="46"/>
  <c r="G117" i="46"/>
  <c r="O357" i="7"/>
  <c r="E357" i="7"/>
  <c r="B358" i="7"/>
  <c r="I83" i="13"/>
  <c r="E303" i="13"/>
  <c r="B304" i="13"/>
  <c r="AF79" i="28"/>
  <c r="J79" i="28"/>
  <c r="P123" i="37"/>
  <c r="W121" i="37" s="1"/>
  <c r="L108" i="40"/>
  <c r="N108" i="40"/>
  <c r="AH108" i="40"/>
  <c r="AD108" i="40"/>
  <c r="M108" i="40"/>
  <c r="AA108" i="40"/>
  <c r="AB108" i="40" s="1"/>
  <c r="AG108" i="40"/>
  <c r="I83" i="39"/>
  <c r="AC83" i="39" s="1"/>
  <c r="I196" i="32"/>
  <c r="P196" i="32"/>
  <c r="W194" i="32" s="1"/>
  <c r="AD196" i="32"/>
  <c r="AB196" i="32" s="1"/>
  <c r="Y196" i="32"/>
  <c r="AA196" i="32" s="1"/>
  <c r="F197" i="32"/>
  <c r="AE196" i="32"/>
  <c r="H123" i="37"/>
  <c r="I126" i="33"/>
  <c r="N126" i="33"/>
  <c r="J126" i="33" s="1"/>
  <c r="K294" i="12"/>
  <c r="C297" i="46" s="1"/>
  <c r="C301" i="39"/>
  <c r="C356" i="7"/>
  <c r="C301" i="13"/>
  <c r="M126" i="33"/>
  <c r="K126" i="33"/>
  <c r="P126" i="33"/>
  <c r="W124" i="33" s="1"/>
  <c r="H134" i="30"/>
  <c r="V121" i="46"/>
  <c r="O83" i="39"/>
  <c r="P83" i="39"/>
  <c r="D300" i="46" l="1"/>
  <c r="E300" i="46"/>
  <c r="B301" i="46"/>
  <c r="T301" i="46" s="1"/>
  <c r="AA301" i="46" s="1"/>
  <c r="P131" i="7"/>
  <c r="Q131" i="7"/>
  <c r="Y77" i="13"/>
  <c r="L77" i="13"/>
  <c r="K132" i="7" s="1"/>
  <c r="K77" i="13"/>
  <c r="J132" i="7" s="1"/>
  <c r="V77" i="13"/>
  <c r="M77" i="13"/>
  <c r="L132" i="7" s="1"/>
  <c r="F132" i="7"/>
  <c r="R132" i="7" s="1"/>
  <c r="N77" i="13"/>
  <c r="AB77" i="13"/>
  <c r="P117" i="46"/>
  <c r="Q117" i="46"/>
  <c r="F118" i="46" s="1"/>
  <c r="U122" i="46"/>
  <c r="W122" i="46" s="1"/>
  <c r="E358" i="7"/>
  <c r="O358" i="7"/>
  <c r="B359" i="7"/>
  <c r="I138" i="7"/>
  <c r="D301" i="46"/>
  <c r="B302" i="46"/>
  <c r="T302" i="46" s="1"/>
  <c r="AA302" i="46" s="1"/>
  <c r="E301" i="46"/>
  <c r="E304" i="13"/>
  <c r="B305" i="13"/>
  <c r="J447" i="7"/>
  <c r="H79" i="28"/>
  <c r="J108" i="40"/>
  <c r="AC108" i="40"/>
  <c r="I108" i="40" s="1"/>
  <c r="AF108" i="40"/>
  <c r="Q108" i="40"/>
  <c r="X106" i="40"/>
  <c r="AC197" i="32"/>
  <c r="H197" i="32"/>
  <c r="Q197" i="32" s="1"/>
  <c r="L197" i="32"/>
  <c r="AF197" i="32"/>
  <c r="N197" i="32"/>
  <c r="K197" i="32"/>
  <c r="Z197" i="32"/>
  <c r="M197" i="32"/>
  <c r="J197" i="32"/>
  <c r="Q123" i="37"/>
  <c r="F124" i="37"/>
  <c r="H126" i="33"/>
  <c r="F127" i="33" s="1"/>
  <c r="M127" i="33" s="1"/>
  <c r="K295" i="12"/>
  <c r="C298" i="46" s="1"/>
  <c r="C302" i="39"/>
  <c r="C357" i="7"/>
  <c r="C302" i="13"/>
  <c r="Q134" i="30"/>
  <c r="P134" i="30"/>
  <c r="W132" i="30" s="1"/>
  <c r="F135" i="30"/>
  <c r="AB121" i="46"/>
  <c r="F84" i="39"/>
  <c r="Z84" i="39"/>
  <c r="C85" i="36"/>
  <c r="E84" i="36"/>
  <c r="H77" i="13" l="1"/>
  <c r="H132" i="7" s="1"/>
  <c r="M132" i="7"/>
  <c r="AC77" i="13"/>
  <c r="AA77" i="13" s="1"/>
  <c r="Z77" i="13"/>
  <c r="U77" i="13"/>
  <c r="W77" i="13" s="1"/>
  <c r="E68" i="10"/>
  <c r="J118" i="46"/>
  <c r="I118" i="46"/>
  <c r="L118" i="46"/>
  <c r="K118" i="46"/>
  <c r="H118" i="46"/>
  <c r="A118" i="46"/>
  <c r="M118" i="46" s="1"/>
  <c r="X122" i="46"/>
  <c r="Z122" i="46"/>
  <c r="Y122" i="46"/>
  <c r="O359" i="7"/>
  <c r="E359" i="7"/>
  <c r="B360" i="7"/>
  <c r="E302" i="46"/>
  <c r="B303" i="46"/>
  <c r="T303" i="46" s="1"/>
  <c r="AA303" i="46" s="1"/>
  <c r="D302" i="46"/>
  <c r="B306" i="13"/>
  <c r="E305" i="13"/>
  <c r="Q79" i="28"/>
  <c r="Q447" i="7" s="1"/>
  <c r="H447" i="7"/>
  <c r="F80" i="28"/>
  <c r="R79" i="28"/>
  <c r="R447" i="7" s="1"/>
  <c r="G109" i="40"/>
  <c r="R108" i="40"/>
  <c r="I197" i="32"/>
  <c r="F198" i="32"/>
  <c r="N198" i="32" s="1"/>
  <c r="P197" i="32"/>
  <c r="W195" i="32" s="1"/>
  <c r="AD197" i="32"/>
  <c r="AB197" i="32" s="1"/>
  <c r="Y197" i="32"/>
  <c r="AA197" i="32" s="1"/>
  <c r="AG197" i="32"/>
  <c r="AE197" i="32" s="1"/>
  <c r="M124" i="37"/>
  <c r="I124" i="37"/>
  <c r="K124" i="37"/>
  <c r="J124" i="37"/>
  <c r="L124" i="37"/>
  <c r="Q126" i="33"/>
  <c r="L127" i="33"/>
  <c r="P127" i="33"/>
  <c r="W125" i="33" s="1"/>
  <c r="K127" i="33"/>
  <c r="I127" i="33"/>
  <c r="N127" i="33"/>
  <c r="J127" i="33" s="1"/>
  <c r="K296" i="12"/>
  <c r="C299" i="46" s="1"/>
  <c r="C303" i="39"/>
  <c r="C358" i="7"/>
  <c r="C303" i="13"/>
  <c r="N135" i="30"/>
  <c r="J135" i="30" s="1"/>
  <c r="M135" i="30"/>
  <c r="K135" i="30"/>
  <c r="I135" i="30"/>
  <c r="L135" i="30"/>
  <c r="K84" i="39"/>
  <c r="Q84" i="39"/>
  <c r="L84" i="39"/>
  <c r="J84" i="39"/>
  <c r="Y84" i="39"/>
  <c r="X84" i="39" s="1"/>
  <c r="S84" i="39"/>
  <c r="T84" i="39" s="1"/>
  <c r="V84" i="39"/>
  <c r="J77" i="13" l="1"/>
  <c r="X77" i="13"/>
  <c r="G118" i="46"/>
  <c r="V122" i="46"/>
  <c r="O360" i="7"/>
  <c r="E360" i="7"/>
  <c r="B361" i="7"/>
  <c r="B304" i="46"/>
  <c r="T304" i="46" s="1"/>
  <c r="AA304" i="46" s="1"/>
  <c r="E303" i="46"/>
  <c r="D303" i="46"/>
  <c r="B307" i="13"/>
  <c r="E306" i="13"/>
  <c r="AD80" i="28"/>
  <c r="M80" i="28"/>
  <c r="M448" i="7" s="1"/>
  <c r="F448" i="7"/>
  <c r="S448" i="7" s="1"/>
  <c r="N80" i="28"/>
  <c r="K80" i="28"/>
  <c r="AG80" i="28"/>
  <c r="L80" i="28"/>
  <c r="L448" i="7" s="1"/>
  <c r="AA80" i="28"/>
  <c r="P124" i="37"/>
  <c r="W122" i="37" s="1"/>
  <c r="L109" i="40"/>
  <c r="M109" i="40"/>
  <c r="AD109" i="40"/>
  <c r="AH109" i="40"/>
  <c r="AG109" i="40"/>
  <c r="AA109" i="40"/>
  <c r="AB109" i="40" s="1"/>
  <c r="N109" i="40"/>
  <c r="Z198" i="32"/>
  <c r="AF198" i="32"/>
  <c r="AC198" i="32"/>
  <c r="L198" i="32"/>
  <c r="H198" i="32"/>
  <c r="F199" i="32" s="1"/>
  <c r="M198" i="32"/>
  <c r="K198" i="32"/>
  <c r="J198" i="32"/>
  <c r="AG198" i="32"/>
  <c r="Y198" i="32"/>
  <c r="AD198" i="32"/>
  <c r="H124" i="37"/>
  <c r="F125" i="37" s="1"/>
  <c r="K125" i="37" s="1"/>
  <c r="H127" i="33"/>
  <c r="F128" i="33" s="1"/>
  <c r="K128" i="33" s="1"/>
  <c r="K297" i="12"/>
  <c r="C300" i="46" s="1"/>
  <c r="C304" i="39"/>
  <c r="C359" i="7"/>
  <c r="C304" i="13"/>
  <c r="H135" i="30"/>
  <c r="F136" i="30" s="1"/>
  <c r="U84" i="39"/>
  <c r="G84" i="39" s="1"/>
  <c r="D85" i="36" s="1"/>
  <c r="H84" i="39"/>
  <c r="G77" i="13" l="1"/>
  <c r="G132" i="7" s="1"/>
  <c r="Q118" i="46"/>
  <c r="F119" i="46" s="1"/>
  <c r="P118" i="46"/>
  <c r="AB122" i="46"/>
  <c r="U123" i="46"/>
  <c r="E361" i="7"/>
  <c r="O361" i="7"/>
  <c r="B362" i="7"/>
  <c r="D304" i="46"/>
  <c r="B305" i="46"/>
  <c r="T305" i="46" s="1"/>
  <c r="AA305" i="46" s="1"/>
  <c r="E304" i="46"/>
  <c r="I84" i="13"/>
  <c r="B308" i="13"/>
  <c r="E307" i="13"/>
  <c r="I80" i="28"/>
  <c r="I448" i="7" s="1"/>
  <c r="K448" i="7"/>
  <c r="X78" i="28"/>
  <c r="Z80" i="28"/>
  <c r="AB80" i="28" s="1"/>
  <c r="AH80" i="28"/>
  <c r="AE80" i="28"/>
  <c r="AC80" i="28" s="1"/>
  <c r="N448" i="7"/>
  <c r="AF109" i="40"/>
  <c r="AC109" i="40"/>
  <c r="I109" i="40" s="1"/>
  <c r="J109" i="40"/>
  <c r="I198" i="32"/>
  <c r="Q109" i="40"/>
  <c r="X107" i="40"/>
  <c r="AE198" i="32"/>
  <c r="I84" i="39"/>
  <c r="AC84" i="39" s="1"/>
  <c r="AA198" i="32"/>
  <c r="P198" i="32"/>
  <c r="W196" i="32" s="1"/>
  <c r="Q198" i="32"/>
  <c r="AB198" i="32"/>
  <c r="N199" i="32"/>
  <c r="AF199" i="32"/>
  <c r="K199" i="32"/>
  <c r="M199" i="32"/>
  <c r="Z199" i="32"/>
  <c r="J199" i="32"/>
  <c r="L199" i="32"/>
  <c r="AC199" i="32"/>
  <c r="H199" i="32"/>
  <c r="F200" i="32" s="1"/>
  <c r="L125" i="37"/>
  <c r="M125" i="37"/>
  <c r="I125" i="37"/>
  <c r="J125" i="37"/>
  <c r="Q124" i="37"/>
  <c r="M128" i="33"/>
  <c r="L128" i="33"/>
  <c r="N128" i="33"/>
  <c r="J128" i="33" s="1"/>
  <c r="I128" i="33"/>
  <c r="P128" i="33"/>
  <c r="W126" i="33" s="1"/>
  <c r="Q127" i="33"/>
  <c r="K298" i="12"/>
  <c r="C301" i="46" s="1"/>
  <c r="C305" i="39"/>
  <c r="C360" i="7"/>
  <c r="C305" i="13"/>
  <c r="Q135" i="30"/>
  <c r="P135" i="30"/>
  <c r="W133" i="30" s="1"/>
  <c r="L136" i="30"/>
  <c r="K136" i="30"/>
  <c r="M136" i="30"/>
  <c r="I136" i="30"/>
  <c r="N136" i="30"/>
  <c r="J136" i="30" s="1"/>
  <c r="O84" i="39"/>
  <c r="P84" i="39"/>
  <c r="P132" i="7" l="1"/>
  <c r="Q132" i="7"/>
  <c r="R77" i="13"/>
  <c r="S77" i="13"/>
  <c r="F78" i="13"/>
  <c r="K119" i="46"/>
  <c r="L119" i="46"/>
  <c r="I119" i="46"/>
  <c r="H119" i="46"/>
  <c r="J119" i="46"/>
  <c r="A119" i="46"/>
  <c r="M119" i="46" s="1"/>
  <c r="Y123" i="46"/>
  <c r="Z123" i="46"/>
  <c r="X123" i="46"/>
  <c r="W123" i="46"/>
  <c r="O362" i="7"/>
  <c r="E362" i="7"/>
  <c r="B363" i="7"/>
  <c r="I139" i="7"/>
  <c r="E305" i="46"/>
  <c r="B306" i="46"/>
  <c r="T306" i="46" s="1"/>
  <c r="AA306" i="46" s="1"/>
  <c r="D305" i="46"/>
  <c r="E308" i="13"/>
  <c r="B309" i="13"/>
  <c r="AF80" i="28"/>
  <c r="J80" i="28"/>
  <c r="P125" i="37"/>
  <c r="W123" i="37" s="1"/>
  <c r="R109" i="40"/>
  <c r="G110" i="40"/>
  <c r="P199" i="32"/>
  <c r="W197" i="32" s="1"/>
  <c r="Q199" i="32"/>
  <c r="I199" i="32"/>
  <c r="AF200" i="32"/>
  <c r="N200" i="32"/>
  <c r="Z200" i="32"/>
  <c r="AC200" i="32"/>
  <c r="J200" i="32"/>
  <c r="L200" i="32"/>
  <c r="K200" i="32"/>
  <c r="H200" i="32"/>
  <c r="F201" i="32" s="1"/>
  <c r="M200" i="32"/>
  <c r="AG199" i="32"/>
  <c r="AE199" i="32" s="1"/>
  <c r="AD199" i="32"/>
  <c r="AB199" i="32" s="1"/>
  <c r="Y199" i="32"/>
  <c r="AA199" i="32" s="1"/>
  <c r="H125" i="37"/>
  <c r="Q125" i="37" s="1"/>
  <c r="H128" i="33"/>
  <c r="F129" i="33" s="1"/>
  <c r="I129" i="33" s="1"/>
  <c r="K299" i="12"/>
  <c r="C302" i="46" s="1"/>
  <c r="C306" i="39"/>
  <c r="C361" i="7"/>
  <c r="C306" i="13"/>
  <c r="H136" i="30"/>
  <c r="P136" i="30" s="1"/>
  <c r="W134" i="30" s="1"/>
  <c r="F85" i="39"/>
  <c r="Z85" i="39"/>
  <c r="E85" i="36"/>
  <c r="C86" i="36"/>
  <c r="V78" i="13" l="1"/>
  <c r="N78" i="13"/>
  <c r="K78" i="13"/>
  <c r="J133" i="7" s="1"/>
  <c r="L78" i="13"/>
  <c r="K133" i="7" s="1"/>
  <c r="AB78" i="13"/>
  <c r="M78" i="13"/>
  <c r="L133" i="7" s="1"/>
  <c r="Y78" i="13"/>
  <c r="H78" i="13" s="1"/>
  <c r="H133" i="7" s="1"/>
  <c r="F133" i="7"/>
  <c r="R133" i="7" s="1"/>
  <c r="G119" i="46"/>
  <c r="P119" i="46" s="1"/>
  <c r="V123" i="46"/>
  <c r="O363" i="7"/>
  <c r="E363" i="7"/>
  <c r="B364" i="7"/>
  <c r="E306" i="46"/>
  <c r="D306" i="46"/>
  <c r="B310" i="13"/>
  <c r="E309" i="13"/>
  <c r="J448" i="7"/>
  <c r="H80" i="28"/>
  <c r="N110" i="40"/>
  <c r="AD110" i="40"/>
  <c r="AH110" i="40"/>
  <c r="L110" i="40"/>
  <c r="AG110" i="40"/>
  <c r="AA110" i="40"/>
  <c r="AB110" i="40" s="1"/>
  <c r="M110" i="40"/>
  <c r="I200" i="32"/>
  <c r="P200" i="32"/>
  <c r="W198" i="32" s="1"/>
  <c r="Q200" i="32"/>
  <c r="AG200" i="32"/>
  <c r="AE200" i="32" s="1"/>
  <c r="Y200" i="32"/>
  <c r="AA200" i="32" s="1"/>
  <c r="AD200" i="32"/>
  <c r="AB200" i="32" s="1"/>
  <c r="K201" i="32"/>
  <c r="Z201" i="32"/>
  <c r="AF201" i="32"/>
  <c r="H201" i="32"/>
  <c r="Q201" i="32" s="1"/>
  <c r="N201" i="32"/>
  <c r="L201" i="32"/>
  <c r="M201" i="32"/>
  <c r="J201" i="32"/>
  <c r="AC201" i="32"/>
  <c r="F126" i="37"/>
  <c r="J126" i="37" s="1"/>
  <c r="L129" i="33"/>
  <c r="K129" i="33"/>
  <c r="N129" i="33"/>
  <c r="J129" i="33" s="1"/>
  <c r="H129" i="33" s="1"/>
  <c r="Q129" i="33" s="1"/>
  <c r="M129" i="33"/>
  <c r="P129" i="33"/>
  <c r="W127" i="33" s="1"/>
  <c r="Q128" i="33"/>
  <c r="K300" i="12"/>
  <c r="C303" i="46" s="1"/>
  <c r="C307" i="39"/>
  <c r="C362" i="7"/>
  <c r="C307" i="13"/>
  <c r="Q136" i="30"/>
  <c r="F137" i="30"/>
  <c r="K137" i="30" s="1"/>
  <c r="S85" i="39"/>
  <c r="T85" i="39" s="1"/>
  <c r="Q85" i="39"/>
  <c r="L85" i="39"/>
  <c r="Y85" i="39"/>
  <c r="X85" i="39" s="1"/>
  <c r="J85" i="39"/>
  <c r="V85" i="39"/>
  <c r="K85" i="39"/>
  <c r="E69" i="10" l="1"/>
  <c r="U78" i="13"/>
  <c r="W78" i="13" s="1"/>
  <c r="M133" i="7"/>
  <c r="Z78" i="13"/>
  <c r="AC78" i="13"/>
  <c r="AA78" i="13" s="1"/>
  <c r="Q119" i="46"/>
  <c r="F120" i="46" s="1"/>
  <c r="U124" i="46"/>
  <c r="AB123" i="46"/>
  <c r="O364" i="7"/>
  <c r="E364" i="7"/>
  <c r="B365" i="7"/>
  <c r="E310" i="13"/>
  <c r="B311" i="13"/>
  <c r="R80" i="28"/>
  <c r="R448" i="7" s="1"/>
  <c r="Q80" i="28"/>
  <c r="Q448" i="7" s="1"/>
  <c r="H448" i="7"/>
  <c r="F81" i="28"/>
  <c r="Q110" i="40"/>
  <c r="X108" i="40"/>
  <c r="AF110" i="40"/>
  <c r="AC110" i="40"/>
  <c r="I110" i="40" s="1"/>
  <c r="J110" i="40"/>
  <c r="I201" i="32"/>
  <c r="M126" i="37"/>
  <c r="P201" i="32"/>
  <c r="W199" i="32" s="1"/>
  <c r="F202" i="32"/>
  <c r="AG201" i="32"/>
  <c r="AE201" i="32" s="1"/>
  <c r="AD201" i="32"/>
  <c r="AB201" i="32" s="1"/>
  <c r="Y201" i="32"/>
  <c r="AA201" i="32" s="1"/>
  <c r="L126" i="37"/>
  <c r="I126" i="37"/>
  <c r="H126" i="37" s="1"/>
  <c r="K126" i="37"/>
  <c r="K301" i="12"/>
  <c r="C304" i="46" s="1"/>
  <c r="C308" i="39"/>
  <c r="C363" i="7"/>
  <c r="C308" i="13"/>
  <c r="F130" i="33"/>
  <c r="N137" i="30"/>
  <c r="J137" i="30" s="1"/>
  <c r="L137" i="30"/>
  <c r="M137" i="30"/>
  <c r="I137" i="30"/>
  <c r="U85" i="39"/>
  <c r="G85" i="39" s="1"/>
  <c r="D86" i="36" s="1"/>
  <c r="H85" i="39"/>
  <c r="X78" i="13" l="1"/>
  <c r="J78" i="13"/>
  <c r="G78" i="13" s="1"/>
  <c r="G133" i="7" s="1"/>
  <c r="K120" i="46"/>
  <c r="L120" i="46"/>
  <c r="I120" i="46"/>
  <c r="H120" i="46"/>
  <c r="J120" i="46"/>
  <c r="A120" i="46"/>
  <c r="M120" i="46" s="1"/>
  <c r="Y124" i="46"/>
  <c r="W124" i="46"/>
  <c r="Z124" i="46"/>
  <c r="X124" i="46"/>
  <c r="O365" i="7"/>
  <c r="E365" i="7"/>
  <c r="B366" i="7"/>
  <c r="I85" i="13"/>
  <c r="E311" i="13"/>
  <c r="F449" i="7"/>
  <c r="S449" i="7" s="1"/>
  <c r="L81" i="28"/>
  <c r="L449" i="7" s="1"/>
  <c r="K81" i="28"/>
  <c r="AA81" i="28"/>
  <c r="M81" i="28"/>
  <c r="M449" i="7" s="1"/>
  <c r="AD81" i="28"/>
  <c r="AG81" i="28"/>
  <c r="N81" i="28"/>
  <c r="P126" i="37"/>
  <c r="W124" i="37" s="1"/>
  <c r="R110" i="40"/>
  <c r="G111" i="40"/>
  <c r="I85" i="39"/>
  <c r="AC85" i="39" s="1"/>
  <c r="K202" i="32"/>
  <c r="Z202" i="32"/>
  <c r="L202" i="32"/>
  <c r="AC202" i="32"/>
  <c r="M202" i="32"/>
  <c r="N202" i="32"/>
  <c r="H202" i="32"/>
  <c r="Q202" i="32" s="1"/>
  <c r="AF202" i="32"/>
  <c r="J202" i="32"/>
  <c r="Q126" i="37"/>
  <c r="F127" i="37"/>
  <c r="K302" i="12"/>
  <c r="C305" i="46" s="1"/>
  <c r="C309" i="39"/>
  <c r="C364" i="7"/>
  <c r="C309" i="13"/>
  <c r="M130" i="33"/>
  <c r="P130" i="33"/>
  <c r="W128" i="33" s="1"/>
  <c r="N130" i="33"/>
  <c r="J130" i="33" s="1"/>
  <c r="L130" i="33"/>
  <c r="I130" i="33"/>
  <c r="K130" i="33"/>
  <c r="H137" i="30"/>
  <c r="Q137" i="30" s="1"/>
  <c r="O85" i="39"/>
  <c r="P85" i="39"/>
  <c r="F79" i="13" l="1"/>
  <c r="F134" i="7" s="1"/>
  <c r="R134" i="7" s="1"/>
  <c r="R78" i="13"/>
  <c r="S78" i="13"/>
  <c r="Q133" i="7"/>
  <c r="P133" i="7"/>
  <c r="G120" i="46"/>
  <c r="V124" i="46"/>
  <c r="O366" i="7"/>
  <c r="E366" i="7"/>
  <c r="I140" i="7"/>
  <c r="I81" i="28"/>
  <c r="I449" i="7" s="1"/>
  <c r="K449" i="7"/>
  <c r="X79" i="28"/>
  <c r="Z81" i="28"/>
  <c r="AB81" i="28" s="1"/>
  <c r="N449" i="7"/>
  <c r="AE81" i="28"/>
  <c r="AC81" i="28" s="1"/>
  <c r="AH81" i="28"/>
  <c r="N111" i="40"/>
  <c r="M111" i="40"/>
  <c r="L111" i="40"/>
  <c r="AA111" i="40"/>
  <c r="AB111" i="40" s="1"/>
  <c r="AH111" i="40"/>
  <c r="AG111" i="40"/>
  <c r="AD111" i="40"/>
  <c r="I202" i="32"/>
  <c r="P202" i="32"/>
  <c r="W200" i="32" s="1"/>
  <c r="AG202" i="32"/>
  <c r="AE202" i="32" s="1"/>
  <c r="AD202" i="32"/>
  <c r="AB202" i="32" s="1"/>
  <c r="Y202" i="32"/>
  <c r="AA202" i="32" s="1"/>
  <c r="F203" i="32"/>
  <c r="J127" i="37"/>
  <c r="K127" i="37"/>
  <c r="I127" i="37"/>
  <c r="L127" i="37"/>
  <c r="M127" i="37"/>
  <c r="K303" i="12"/>
  <c r="C306" i="46" s="1"/>
  <c r="C310" i="39"/>
  <c r="C365" i="7"/>
  <c r="C310" i="13"/>
  <c r="H130" i="33"/>
  <c r="F131" i="33" s="1"/>
  <c r="M131" i="33" s="1"/>
  <c r="F138" i="30"/>
  <c r="L138" i="30" s="1"/>
  <c r="P137" i="30"/>
  <c r="W135" i="30" s="1"/>
  <c r="Z86" i="39"/>
  <c r="F86" i="39"/>
  <c r="E86" i="36"/>
  <c r="C87" i="36"/>
  <c r="Q120" i="46" l="1"/>
  <c r="F121" i="46" s="1"/>
  <c r="P120" i="46"/>
  <c r="M79" i="13"/>
  <c r="L134" i="7" s="1"/>
  <c r="V79" i="13"/>
  <c r="L79" i="13"/>
  <c r="K134" i="7" s="1"/>
  <c r="Y79" i="13"/>
  <c r="AB79" i="13"/>
  <c r="K79" i="13"/>
  <c r="J134" i="7" s="1"/>
  <c r="N79" i="13"/>
  <c r="U125" i="46"/>
  <c r="X125" i="46" s="1"/>
  <c r="AB124" i="46"/>
  <c r="AF81" i="28"/>
  <c r="J81" i="28"/>
  <c r="AC111" i="40"/>
  <c r="I111" i="40" s="1"/>
  <c r="J111" i="40"/>
  <c r="AF111" i="40"/>
  <c r="Q111" i="40"/>
  <c r="X109" i="40"/>
  <c r="K203" i="32"/>
  <c r="M203" i="32"/>
  <c r="H203" i="32"/>
  <c r="F204" i="32" s="1"/>
  <c r="AF203" i="32"/>
  <c r="AC203" i="32"/>
  <c r="Z203" i="32"/>
  <c r="N203" i="32"/>
  <c r="J203" i="32"/>
  <c r="L203" i="32"/>
  <c r="H127" i="37"/>
  <c r="Q127" i="37" s="1"/>
  <c r="P127" i="37"/>
  <c r="W125" i="37" s="1"/>
  <c r="C311" i="39"/>
  <c r="C366" i="7"/>
  <c r="C311" i="13"/>
  <c r="L131" i="33"/>
  <c r="P131" i="33"/>
  <c r="W129" i="33" s="1"/>
  <c r="K131" i="33"/>
  <c r="N131" i="33"/>
  <c r="J131" i="33" s="1"/>
  <c r="I131" i="33"/>
  <c r="Q130" i="33"/>
  <c r="I138" i="30"/>
  <c r="M138" i="30"/>
  <c r="N138" i="30"/>
  <c r="J138" i="30" s="1"/>
  <c r="K138" i="30"/>
  <c r="S86" i="39"/>
  <c r="T86" i="39" s="1"/>
  <c r="J86" i="39"/>
  <c r="Q86" i="39"/>
  <c r="V86" i="39"/>
  <c r="L86" i="39"/>
  <c r="K86" i="39"/>
  <c r="Y86" i="39"/>
  <c r="X86" i="39" s="1"/>
  <c r="I121" i="46" l="1"/>
  <c r="J121" i="46"/>
  <c r="L121" i="46"/>
  <c r="A121" i="46"/>
  <c r="M121" i="46" s="1"/>
  <c r="K121" i="46"/>
  <c r="H121" i="46"/>
  <c r="H79" i="13"/>
  <c r="H134" i="7" s="1"/>
  <c r="Z79" i="13"/>
  <c r="U79" i="13"/>
  <c r="W79" i="13" s="1"/>
  <c r="AC79" i="13"/>
  <c r="AA79" i="13" s="1"/>
  <c r="M134" i="7"/>
  <c r="Z125" i="46"/>
  <c r="Y125" i="46"/>
  <c r="W125" i="46"/>
  <c r="V125" i="46" s="1"/>
  <c r="H81" i="28"/>
  <c r="J449" i="7"/>
  <c r="G112" i="40"/>
  <c r="R111" i="40"/>
  <c r="I203" i="32"/>
  <c r="Q203" i="32"/>
  <c r="P203" i="32"/>
  <c r="W201" i="32" s="1"/>
  <c r="AG203" i="32"/>
  <c r="AE203" i="32" s="1"/>
  <c r="AD203" i="32"/>
  <c r="AB203" i="32" s="1"/>
  <c r="Y203" i="32"/>
  <c r="AA203" i="32" s="1"/>
  <c r="M204" i="32"/>
  <c r="L204" i="32"/>
  <c r="J204" i="32"/>
  <c r="H204" i="32"/>
  <c r="Q204" i="32" s="1"/>
  <c r="AC204" i="32"/>
  <c r="N204" i="32"/>
  <c r="AF204" i="32"/>
  <c r="Z204" i="32"/>
  <c r="K204" i="32"/>
  <c r="F128" i="37"/>
  <c r="M128" i="37" s="1"/>
  <c r="H131" i="33"/>
  <c r="F132" i="33" s="1"/>
  <c r="L132" i="33" s="1"/>
  <c r="H138" i="30"/>
  <c r="Q138" i="30" s="1"/>
  <c r="H86" i="39"/>
  <c r="U86" i="39"/>
  <c r="G86" i="39" s="1"/>
  <c r="D87" i="36" s="1"/>
  <c r="G121" i="46" l="1"/>
  <c r="X79" i="13"/>
  <c r="J79" i="13"/>
  <c r="G79" i="13" s="1"/>
  <c r="G134" i="7" s="1"/>
  <c r="Q134" i="7" s="1"/>
  <c r="AB125" i="46"/>
  <c r="U126" i="46"/>
  <c r="I86" i="13"/>
  <c r="H449" i="7"/>
  <c r="F82" i="28"/>
  <c r="R81" i="28"/>
  <c r="R449" i="7" s="1"/>
  <c r="Q81" i="28"/>
  <c r="Q449" i="7" s="1"/>
  <c r="L112" i="40"/>
  <c r="AG112" i="40"/>
  <c r="N112" i="40"/>
  <c r="M112" i="40"/>
  <c r="AA112" i="40"/>
  <c r="AB112" i="40" s="1"/>
  <c r="AH112" i="40"/>
  <c r="AD112" i="40"/>
  <c r="I86" i="39"/>
  <c r="AC86" i="39" s="1"/>
  <c r="I204" i="32"/>
  <c r="P204" i="32"/>
  <c r="W202" i="32" s="1"/>
  <c r="F205" i="32"/>
  <c r="AG204" i="32"/>
  <c r="AE204" i="32" s="1"/>
  <c r="AD204" i="32"/>
  <c r="AB204" i="32" s="1"/>
  <c r="Y204" i="32"/>
  <c r="AA204" i="32" s="1"/>
  <c r="J128" i="37"/>
  <c r="K128" i="37"/>
  <c r="I128" i="37"/>
  <c r="L128" i="37"/>
  <c r="I132" i="33"/>
  <c r="M132" i="33"/>
  <c r="P132" i="33"/>
  <c r="W130" i="33" s="1"/>
  <c r="K132" i="33"/>
  <c r="Q131" i="33"/>
  <c r="N132" i="33"/>
  <c r="J132" i="33" s="1"/>
  <c r="P138" i="30"/>
  <c r="W136" i="30" s="1"/>
  <c r="F139" i="30"/>
  <c r="I139" i="30" s="1"/>
  <c r="O86" i="39"/>
  <c r="P86" i="39"/>
  <c r="Q121" i="46" l="1"/>
  <c r="F122" i="46" s="1"/>
  <c r="P121" i="46"/>
  <c r="R79" i="13"/>
  <c r="S79" i="13"/>
  <c r="F80" i="13"/>
  <c r="F135" i="7" s="1"/>
  <c r="R135" i="7" s="1"/>
  <c r="W126" i="46"/>
  <c r="Y126" i="46"/>
  <c r="X126" i="46"/>
  <c r="Z126" i="46"/>
  <c r="I141" i="7"/>
  <c r="N82" i="28"/>
  <c r="F450" i="7"/>
  <c r="S450" i="7" s="1"/>
  <c r="K82" i="28"/>
  <c r="L82" i="28"/>
  <c r="L450" i="7" s="1"/>
  <c r="AA82" i="28"/>
  <c r="M82" i="28"/>
  <c r="M450" i="7" s="1"/>
  <c r="AD82" i="28"/>
  <c r="AG82" i="28"/>
  <c r="AF112" i="40"/>
  <c r="P128" i="37"/>
  <c r="W126" i="37" s="1"/>
  <c r="AC112" i="40"/>
  <c r="I112" i="40" s="1"/>
  <c r="J112" i="40"/>
  <c r="X110" i="40"/>
  <c r="Q112" i="40"/>
  <c r="H205" i="32"/>
  <c r="Q205" i="32" s="1"/>
  <c r="AC205" i="32"/>
  <c r="N205" i="32"/>
  <c r="Z205" i="32"/>
  <c r="AF205" i="32"/>
  <c r="M205" i="32"/>
  <c r="L205" i="32"/>
  <c r="J205" i="32"/>
  <c r="K205" i="32"/>
  <c r="H128" i="37"/>
  <c r="F129" i="37" s="1"/>
  <c r="H132" i="33"/>
  <c r="Q132" i="33" s="1"/>
  <c r="N139" i="30"/>
  <c r="J139" i="30" s="1"/>
  <c r="H139" i="30" s="1"/>
  <c r="Q139" i="30" s="1"/>
  <c r="M139" i="30"/>
  <c r="L139" i="30"/>
  <c r="K139" i="30"/>
  <c r="Z87" i="39"/>
  <c r="F87" i="39"/>
  <c r="E87" i="36"/>
  <c r="C88" i="36"/>
  <c r="L122" i="46" l="1"/>
  <c r="H122" i="46"/>
  <c r="A122" i="46"/>
  <c r="M122" i="46" s="1"/>
  <c r="I122" i="46"/>
  <c r="J122" i="46"/>
  <c r="K122" i="46"/>
  <c r="Y80" i="13"/>
  <c r="H80" i="13" s="1"/>
  <c r="H135" i="7" s="1"/>
  <c r="AB80" i="13"/>
  <c r="K80" i="13"/>
  <c r="J135" i="7" s="1"/>
  <c r="L80" i="13"/>
  <c r="K135" i="7" s="1"/>
  <c r="N80" i="13"/>
  <c r="M135" i="7" s="1"/>
  <c r="V80" i="13"/>
  <c r="M80" i="13"/>
  <c r="L135" i="7" s="1"/>
  <c r="V126" i="46"/>
  <c r="I82" i="28"/>
  <c r="I450" i="7" s="1"/>
  <c r="K450" i="7"/>
  <c r="X80" i="28"/>
  <c r="Z82" i="28"/>
  <c r="AB82" i="28" s="1"/>
  <c r="N450" i="7"/>
  <c r="AE82" i="28"/>
  <c r="AC82" i="28" s="1"/>
  <c r="AH82" i="28"/>
  <c r="R112" i="40"/>
  <c r="G113" i="40"/>
  <c r="I205" i="32"/>
  <c r="F206" i="32"/>
  <c r="H206" i="32" s="1"/>
  <c r="F207" i="32" s="1"/>
  <c r="P205" i="32"/>
  <c r="W203" i="32" s="1"/>
  <c r="AG205" i="32"/>
  <c r="AE205" i="32" s="1"/>
  <c r="Y205" i="32"/>
  <c r="AA205" i="32" s="1"/>
  <c r="AD205" i="32"/>
  <c r="AB205" i="32" s="1"/>
  <c r="Q128" i="37"/>
  <c r="L129" i="37"/>
  <c r="M129" i="37"/>
  <c r="J129" i="37"/>
  <c r="I129" i="37"/>
  <c r="K129" i="37"/>
  <c r="F133" i="33"/>
  <c r="L133" i="33" s="1"/>
  <c r="F140" i="30"/>
  <c r="N140" i="30" s="1"/>
  <c r="J140" i="30" s="1"/>
  <c r="P139" i="30"/>
  <c r="W137" i="30" s="1"/>
  <c r="S87" i="39"/>
  <c r="T87" i="39" s="1"/>
  <c r="Q87" i="39"/>
  <c r="V87" i="39"/>
  <c r="K87" i="39"/>
  <c r="L87" i="39"/>
  <c r="Y87" i="39"/>
  <c r="X87" i="39" s="1"/>
  <c r="J87" i="39"/>
  <c r="Z80" i="13" l="1"/>
  <c r="G122" i="46"/>
  <c r="U80" i="13"/>
  <c r="AC80" i="13"/>
  <c r="AB126" i="46"/>
  <c r="U127" i="46"/>
  <c r="X127" i="46" s="1"/>
  <c r="I87" i="13"/>
  <c r="AF82" i="28"/>
  <c r="J82" i="28"/>
  <c r="AG113" i="40"/>
  <c r="N113" i="40"/>
  <c r="AH113" i="40"/>
  <c r="M113" i="40"/>
  <c r="AA113" i="40"/>
  <c r="AB113" i="40" s="1"/>
  <c r="L113" i="40"/>
  <c r="AD113" i="40"/>
  <c r="N206" i="32"/>
  <c r="AD206" i="32" s="1"/>
  <c r="J206" i="32"/>
  <c r="M206" i="32"/>
  <c r="Z206" i="32"/>
  <c r="AF206" i="32"/>
  <c r="K206" i="32"/>
  <c r="L206" i="32"/>
  <c r="AC206" i="32"/>
  <c r="Q206" i="32"/>
  <c r="K207" i="32"/>
  <c r="AC207" i="32"/>
  <c r="L207" i="32"/>
  <c r="J207" i="32"/>
  <c r="Z207" i="32"/>
  <c r="M207" i="32"/>
  <c r="N207" i="32"/>
  <c r="AG207" i="32" s="1"/>
  <c r="AF207" i="32"/>
  <c r="H207" i="32"/>
  <c r="F208" i="32" s="1"/>
  <c r="M133" i="33"/>
  <c r="P129" i="37"/>
  <c r="W127" i="37" s="1"/>
  <c r="H129" i="37"/>
  <c r="I133" i="33"/>
  <c r="N133" i="33"/>
  <c r="J133" i="33" s="1"/>
  <c r="K133" i="33"/>
  <c r="P133" i="33"/>
  <c r="W131" i="33" s="1"/>
  <c r="L140" i="30"/>
  <c r="K140" i="30"/>
  <c r="I140" i="30"/>
  <c r="H140" i="30" s="1"/>
  <c r="F141" i="30" s="1"/>
  <c r="M140" i="30"/>
  <c r="H87" i="39"/>
  <c r="U87" i="39"/>
  <c r="G87" i="39" s="1"/>
  <c r="D88" i="36" s="1"/>
  <c r="J80" i="13" l="1"/>
  <c r="X80" i="13"/>
  <c r="Q122" i="46"/>
  <c r="F123" i="46" s="1"/>
  <c r="P122" i="46"/>
  <c r="AA80" i="13"/>
  <c r="W80" i="13"/>
  <c r="Z127" i="46"/>
  <c r="W127" i="46"/>
  <c r="V127" i="46" s="1"/>
  <c r="Y127" i="46"/>
  <c r="I142" i="7"/>
  <c r="J450" i="7"/>
  <c r="H82" i="28"/>
  <c r="AF113" i="40"/>
  <c r="AC113" i="40"/>
  <c r="I113" i="40" s="1"/>
  <c r="J113" i="40"/>
  <c r="X111" i="40"/>
  <c r="Q113" i="40"/>
  <c r="Y206" i="32"/>
  <c r="AA206" i="32" s="1"/>
  <c r="AG206" i="32"/>
  <c r="AE206" i="32" s="1"/>
  <c r="I206" i="32"/>
  <c r="I87" i="39"/>
  <c r="AC87" i="39" s="1"/>
  <c r="P206" i="32"/>
  <c r="W204" i="32" s="1"/>
  <c r="AB206" i="32"/>
  <c r="I207" i="32"/>
  <c r="P207" i="32"/>
  <c r="W205" i="32" s="1"/>
  <c r="AE207" i="32"/>
  <c r="Q207" i="32"/>
  <c r="Y207" i="32"/>
  <c r="AA207" i="32" s="1"/>
  <c r="AD207" i="32"/>
  <c r="AB207" i="32" s="1"/>
  <c r="M208" i="32"/>
  <c r="L208" i="32"/>
  <c r="J208" i="32"/>
  <c r="Z208" i="32"/>
  <c r="AC208" i="32"/>
  <c r="AF208" i="32"/>
  <c r="H208" i="32"/>
  <c r="F209" i="32" s="1"/>
  <c r="K208" i="32"/>
  <c r="N208" i="32"/>
  <c r="H133" i="33"/>
  <c r="F134" i="33" s="1"/>
  <c r="N134" i="33" s="1"/>
  <c r="J134" i="33" s="1"/>
  <c r="Q129" i="37"/>
  <c r="F130" i="37"/>
  <c r="Q140" i="30"/>
  <c r="P140" i="30"/>
  <c r="W138" i="30" s="1"/>
  <c r="N141" i="30"/>
  <c r="J141" i="30" s="1"/>
  <c r="K141" i="30"/>
  <c r="L141" i="30"/>
  <c r="I141" i="30"/>
  <c r="M141" i="30"/>
  <c r="O87" i="39"/>
  <c r="P87" i="39"/>
  <c r="G80" i="13" l="1"/>
  <c r="G135" i="7" s="1"/>
  <c r="Q135" i="7" s="1"/>
  <c r="J123" i="46"/>
  <c r="H123" i="46"/>
  <c r="K123" i="46"/>
  <c r="A123" i="46"/>
  <c r="M123" i="46" s="1"/>
  <c r="L123" i="46"/>
  <c r="I123" i="46"/>
  <c r="U128" i="46"/>
  <c r="Y128" i="46" s="1"/>
  <c r="AB127" i="46"/>
  <c r="R82" i="28"/>
  <c r="R450" i="7" s="1"/>
  <c r="H450" i="7"/>
  <c r="Q82" i="28"/>
  <c r="Q450" i="7" s="1"/>
  <c r="F83" i="28"/>
  <c r="G114" i="40"/>
  <c r="R113" i="40"/>
  <c r="I208" i="32"/>
  <c r="P208" i="32"/>
  <c r="W206" i="32" s="1"/>
  <c r="Q208" i="32"/>
  <c r="AG208" i="32"/>
  <c r="AE208" i="32" s="1"/>
  <c r="AD208" i="32"/>
  <c r="AB208" i="32" s="1"/>
  <c r="Y208" i="32"/>
  <c r="AA208" i="32" s="1"/>
  <c r="K209" i="32"/>
  <c r="AC209" i="32"/>
  <c r="Z209" i="32"/>
  <c r="L209" i="32"/>
  <c r="N209" i="32"/>
  <c r="AF209" i="32"/>
  <c r="J209" i="32"/>
  <c r="H209" i="32"/>
  <c r="F210" i="32" s="1"/>
  <c r="M209" i="32"/>
  <c r="P134" i="33"/>
  <c r="W132" i="33" s="1"/>
  <c r="I134" i="33"/>
  <c r="H134" i="33" s="1"/>
  <c r="Q134" i="33" s="1"/>
  <c r="L134" i="33"/>
  <c r="Q133" i="33"/>
  <c r="K134" i="33"/>
  <c r="M134" i="33"/>
  <c r="L130" i="37"/>
  <c r="K130" i="37"/>
  <c r="J130" i="37"/>
  <c r="M130" i="37"/>
  <c r="I130" i="37"/>
  <c r="H141" i="30"/>
  <c r="F88" i="39"/>
  <c r="Z88" i="39"/>
  <c r="E88" i="36"/>
  <c r="C89" i="36"/>
  <c r="S80" i="13" l="1"/>
  <c r="F81" i="13"/>
  <c r="F136" i="7" s="1"/>
  <c r="R136" i="7" s="1"/>
  <c r="R80" i="13"/>
  <c r="G123" i="46"/>
  <c r="K81" i="13"/>
  <c r="J136" i="7" s="1"/>
  <c r="L81" i="13"/>
  <c r="K136" i="7" s="1"/>
  <c r="M81" i="13"/>
  <c r="L136" i="7" s="1"/>
  <c r="V81" i="13"/>
  <c r="Y81" i="13"/>
  <c r="N81" i="13"/>
  <c r="AB81" i="13"/>
  <c r="H81" i="13"/>
  <c r="H136" i="7" s="1"/>
  <c r="X128" i="46"/>
  <c r="W128" i="46"/>
  <c r="Z128" i="46"/>
  <c r="AD83" i="28"/>
  <c r="K83" i="28"/>
  <c r="F451" i="7"/>
  <c r="S451" i="7" s="1"/>
  <c r="M83" i="28"/>
  <c r="M451" i="7" s="1"/>
  <c r="L83" i="28"/>
  <c r="L451" i="7" s="1"/>
  <c r="N83" i="28"/>
  <c r="AA83" i="28"/>
  <c r="AG83" i="28"/>
  <c r="AG114" i="40"/>
  <c r="AD114" i="40"/>
  <c r="M114" i="40"/>
  <c r="L114" i="40"/>
  <c r="AA114" i="40"/>
  <c r="AB114" i="40" s="1"/>
  <c r="N114" i="40"/>
  <c r="AH114" i="40"/>
  <c r="I209" i="32"/>
  <c r="P209" i="32"/>
  <c r="W207" i="32" s="1"/>
  <c r="Q209" i="32"/>
  <c r="N210" i="32"/>
  <c r="AG210" i="32" s="1"/>
  <c r="J210" i="32"/>
  <c r="Z210" i="32"/>
  <c r="AC210" i="32"/>
  <c r="AF210" i="32"/>
  <c r="L210" i="32"/>
  <c r="H210" i="32"/>
  <c r="Q210" i="32" s="1"/>
  <c r="M210" i="32"/>
  <c r="K210" i="32"/>
  <c r="AG209" i="32"/>
  <c r="AE209" i="32" s="1"/>
  <c r="AD209" i="32"/>
  <c r="AB209" i="32" s="1"/>
  <c r="Y209" i="32"/>
  <c r="AA209" i="32" s="1"/>
  <c r="F135" i="33"/>
  <c r="M135" i="33" s="1"/>
  <c r="H130" i="37"/>
  <c r="P130" i="37"/>
  <c r="W128" i="37" s="1"/>
  <c r="P141" i="30"/>
  <c r="W139" i="30" s="1"/>
  <c r="Q141" i="30"/>
  <c r="F142" i="30"/>
  <c r="Y88" i="39"/>
  <c r="X88" i="39" s="1"/>
  <c r="V88" i="39"/>
  <c r="L88" i="39"/>
  <c r="K88" i="39"/>
  <c r="S88" i="39"/>
  <c r="T88" i="39" s="1"/>
  <c r="Q88" i="39"/>
  <c r="J88" i="39"/>
  <c r="Q123" i="46" l="1"/>
  <c r="F124" i="46" s="1"/>
  <c r="P123" i="46"/>
  <c r="E72" i="10"/>
  <c r="M136" i="7"/>
  <c r="AC81" i="13"/>
  <c r="AA81" i="13" s="1"/>
  <c r="Z81" i="13"/>
  <c r="U81" i="13"/>
  <c r="W81" i="13" s="1"/>
  <c r="J81" i="13"/>
  <c r="V128" i="46"/>
  <c r="AB128" i="46" s="1"/>
  <c r="I88" i="13"/>
  <c r="I83" i="28"/>
  <c r="I451" i="7" s="1"/>
  <c r="N451" i="7"/>
  <c r="AE83" i="28"/>
  <c r="AC83" i="28" s="1"/>
  <c r="Z83" i="28"/>
  <c r="AB83" i="28" s="1"/>
  <c r="AH83" i="28"/>
  <c r="K451" i="7"/>
  <c r="X81" i="28"/>
  <c r="AF114" i="40"/>
  <c r="X112" i="40"/>
  <c r="Q114" i="40"/>
  <c r="J114" i="40"/>
  <c r="AC114" i="40"/>
  <c r="I114" i="40" s="1"/>
  <c r="I210" i="32"/>
  <c r="P210" i="32"/>
  <c r="W208" i="32" s="1"/>
  <c r="AE210" i="32"/>
  <c r="F211" i="32"/>
  <c r="Y210" i="32"/>
  <c r="AA210" i="32" s="1"/>
  <c r="AD210" i="32"/>
  <c r="AB210" i="32" s="1"/>
  <c r="N135" i="33"/>
  <c r="J135" i="33" s="1"/>
  <c r="L135" i="33"/>
  <c r="I135" i="33"/>
  <c r="P135" i="33"/>
  <c r="W133" i="33" s="1"/>
  <c r="K135" i="33"/>
  <c r="F131" i="37"/>
  <c r="Q130" i="37"/>
  <c r="L142" i="30"/>
  <c r="I142" i="30"/>
  <c r="K142" i="30"/>
  <c r="N142" i="30"/>
  <c r="J142" i="30" s="1"/>
  <c r="M142" i="30"/>
  <c r="H88" i="39"/>
  <c r="U88" i="39"/>
  <c r="G88" i="39" s="1"/>
  <c r="D89" i="36" s="1"/>
  <c r="K124" i="46" l="1"/>
  <c r="A124" i="46"/>
  <c r="M124" i="46" s="1"/>
  <c r="L124" i="46"/>
  <c r="J124" i="46"/>
  <c r="H124" i="46"/>
  <c r="I124" i="46"/>
  <c r="X81" i="13"/>
  <c r="G81" i="13"/>
  <c r="G136" i="7" s="1"/>
  <c r="U129" i="46"/>
  <c r="X129" i="46" s="1"/>
  <c r="I143" i="7"/>
  <c r="AF83" i="28"/>
  <c r="J83" i="28"/>
  <c r="G115" i="40"/>
  <c r="R114" i="40"/>
  <c r="I88" i="39"/>
  <c r="AC88" i="39" s="1"/>
  <c r="L211" i="32"/>
  <c r="K211" i="32"/>
  <c r="AF211" i="32"/>
  <c r="Z211" i="32"/>
  <c r="N211" i="32"/>
  <c r="AC211" i="32"/>
  <c r="M211" i="32"/>
  <c r="H211" i="32"/>
  <c r="F212" i="32" s="1"/>
  <c r="J211" i="32"/>
  <c r="H135" i="33"/>
  <c r="Q135" i="33" s="1"/>
  <c r="J131" i="37"/>
  <c r="L131" i="37"/>
  <c r="I131" i="37"/>
  <c r="K131" i="37"/>
  <c r="M131" i="37"/>
  <c r="H142" i="30"/>
  <c r="Q142" i="30" s="1"/>
  <c r="O88" i="39"/>
  <c r="P88" i="39"/>
  <c r="G124" i="46" l="1"/>
  <c r="S81" i="13"/>
  <c r="Q136" i="7"/>
  <c r="P136" i="7"/>
  <c r="R81" i="13"/>
  <c r="F82" i="13"/>
  <c r="F137" i="7" s="1"/>
  <c r="R137" i="7" s="1"/>
  <c r="Z129" i="46"/>
  <c r="Y129" i="46"/>
  <c r="W129" i="46"/>
  <c r="V129" i="46" s="1"/>
  <c r="U130" i="46" s="1"/>
  <c r="H83" i="28"/>
  <c r="J451" i="7"/>
  <c r="M115" i="40"/>
  <c r="L115" i="40"/>
  <c r="N115" i="40"/>
  <c r="AA115" i="40"/>
  <c r="AB115" i="40" s="1"/>
  <c r="AG115" i="40"/>
  <c r="AH115" i="40"/>
  <c r="AD115" i="40"/>
  <c r="I211" i="32"/>
  <c r="P211" i="32"/>
  <c r="W209" i="32" s="1"/>
  <c r="Z212" i="32"/>
  <c r="N212" i="32"/>
  <c r="AG212" i="32" s="1"/>
  <c r="M212" i="32"/>
  <c r="L212" i="32"/>
  <c r="AF212" i="32"/>
  <c r="K212" i="32"/>
  <c r="AC212" i="32"/>
  <c r="J212" i="32"/>
  <c r="H212" i="32"/>
  <c r="F213" i="32" s="1"/>
  <c r="AD211" i="32"/>
  <c r="AB211" i="32" s="1"/>
  <c r="Y211" i="32"/>
  <c r="AA211" i="32" s="1"/>
  <c r="Q211" i="32"/>
  <c r="AG211" i="32"/>
  <c r="AE211" i="32" s="1"/>
  <c r="F136" i="33"/>
  <c r="N136" i="33" s="1"/>
  <c r="J136" i="33" s="1"/>
  <c r="P131" i="37"/>
  <c r="W129" i="37" s="1"/>
  <c r="H131" i="37"/>
  <c r="F143" i="30"/>
  <c r="N143" i="30" s="1"/>
  <c r="J143" i="30" s="1"/>
  <c r="P142" i="30"/>
  <c r="W140" i="30" s="1"/>
  <c r="F89" i="39"/>
  <c r="Z89" i="39"/>
  <c r="E89" i="36"/>
  <c r="C90" i="36"/>
  <c r="Q124" i="46" l="1"/>
  <c r="F125" i="46" s="1"/>
  <c r="P124" i="46"/>
  <c r="K82" i="13"/>
  <c r="J137" i="7" s="1"/>
  <c r="L82" i="13"/>
  <c r="K137" i="7" s="1"/>
  <c r="N82" i="13"/>
  <c r="M137" i="7" s="1"/>
  <c r="Y82" i="13"/>
  <c r="H82" i="13" s="1"/>
  <c r="H137" i="7" s="1"/>
  <c r="V82" i="13"/>
  <c r="AB82" i="13"/>
  <c r="M82" i="13"/>
  <c r="L137" i="7" s="1"/>
  <c r="A125" i="46"/>
  <c r="M125" i="46" s="1"/>
  <c r="AB129" i="46"/>
  <c r="Y130" i="46"/>
  <c r="X130" i="46"/>
  <c r="Z130" i="46"/>
  <c r="W130" i="46"/>
  <c r="I89" i="13"/>
  <c r="I144" i="7" s="1"/>
  <c r="Q83" i="28"/>
  <c r="Q451" i="7" s="1"/>
  <c r="R83" i="28"/>
  <c r="R451" i="7" s="1"/>
  <c r="H451" i="7"/>
  <c r="F84" i="28"/>
  <c r="J115" i="40"/>
  <c r="AC115" i="40"/>
  <c r="I115" i="40" s="1"/>
  <c r="AF115" i="40"/>
  <c r="Q115" i="40"/>
  <c r="X113" i="40"/>
  <c r="I212" i="32"/>
  <c r="Q212" i="32"/>
  <c r="AE212" i="32"/>
  <c r="P212" i="32"/>
  <c r="W210" i="32" s="1"/>
  <c r="Y212" i="32"/>
  <c r="AA212" i="32" s="1"/>
  <c r="AD212" i="32"/>
  <c r="AB212" i="32" s="1"/>
  <c r="Z213" i="32"/>
  <c r="L213" i="32"/>
  <c r="J213" i="32"/>
  <c r="H213" i="32"/>
  <c r="Q213" i="32" s="1"/>
  <c r="N213" i="32"/>
  <c r="K213" i="32"/>
  <c r="AF213" i="32"/>
  <c r="M213" i="32"/>
  <c r="AC213" i="32"/>
  <c r="L136" i="33"/>
  <c r="K136" i="33"/>
  <c r="P136" i="33"/>
  <c r="W134" i="33" s="1"/>
  <c r="M136" i="33"/>
  <c r="I136" i="33"/>
  <c r="H136" i="33" s="1"/>
  <c r="Q136" i="33" s="1"/>
  <c r="Q131" i="37"/>
  <c r="F132" i="37"/>
  <c r="K143" i="30"/>
  <c r="L143" i="30"/>
  <c r="M143" i="30"/>
  <c r="I143" i="30"/>
  <c r="H143" i="30" s="1"/>
  <c r="F144" i="30" s="1"/>
  <c r="Q89" i="39"/>
  <c r="Y89" i="39"/>
  <c r="X89" i="39" s="1"/>
  <c r="V89" i="39"/>
  <c r="L89" i="39"/>
  <c r="K89" i="39"/>
  <c r="J89" i="39"/>
  <c r="S89" i="39"/>
  <c r="T89" i="39" s="1"/>
  <c r="L125" i="46" l="1"/>
  <c r="H125" i="46"/>
  <c r="I125" i="46"/>
  <c r="J125" i="46"/>
  <c r="K125" i="46"/>
  <c r="Z82" i="13"/>
  <c r="AC82" i="13"/>
  <c r="AA82" i="13" s="1"/>
  <c r="U82" i="13"/>
  <c r="W82" i="13" s="1"/>
  <c r="E73" i="10"/>
  <c r="G125" i="46"/>
  <c r="V130" i="46"/>
  <c r="L84" i="28"/>
  <c r="L452" i="7" s="1"/>
  <c r="N84" i="28"/>
  <c r="N452" i="7" s="1"/>
  <c r="AG84" i="28"/>
  <c r="M84" i="28"/>
  <c r="M452" i="7" s="1"/>
  <c r="AD84" i="28"/>
  <c r="F452" i="7"/>
  <c r="S452" i="7" s="1"/>
  <c r="K84" i="28"/>
  <c r="K452" i="7" s="1"/>
  <c r="AA84" i="28"/>
  <c r="R115" i="40"/>
  <c r="G116" i="40"/>
  <c r="I213" i="32"/>
  <c r="F214" i="32"/>
  <c r="M214" i="32" s="1"/>
  <c r="P213" i="32"/>
  <c r="W211" i="32" s="1"/>
  <c r="AG213" i="32"/>
  <c r="AE213" i="32" s="1"/>
  <c r="Y213" i="32"/>
  <c r="AA213" i="32" s="1"/>
  <c r="AD213" i="32"/>
  <c r="AB213" i="32" s="1"/>
  <c r="F137" i="33"/>
  <c r="M137" i="33" s="1"/>
  <c r="L132" i="37"/>
  <c r="I132" i="37"/>
  <c r="K132" i="37"/>
  <c r="M132" i="37"/>
  <c r="J132" i="37"/>
  <c r="Q143" i="30"/>
  <c r="P143" i="30"/>
  <c r="W141" i="30" s="1"/>
  <c r="L144" i="30"/>
  <c r="N144" i="30"/>
  <c r="J144" i="30" s="1"/>
  <c r="K144" i="30"/>
  <c r="M144" i="30"/>
  <c r="I144" i="30"/>
  <c r="H89" i="39"/>
  <c r="U89" i="39"/>
  <c r="G89" i="39" s="1"/>
  <c r="D90" i="36" s="1"/>
  <c r="X82" i="13" l="1"/>
  <c r="J82" i="13"/>
  <c r="Q125" i="46"/>
  <c r="F126" i="46" s="1"/>
  <c r="P125" i="46"/>
  <c r="AB130" i="46"/>
  <c r="U131" i="46"/>
  <c r="W131" i="46" s="1"/>
  <c r="AE84" i="28"/>
  <c r="AC84" i="28" s="1"/>
  <c r="AH84" i="28"/>
  <c r="AF84" i="28" s="1"/>
  <c r="I84" i="28"/>
  <c r="I452" i="7" s="1"/>
  <c r="Z84" i="28"/>
  <c r="AB84" i="28" s="1"/>
  <c r="X82" i="28"/>
  <c r="AG116" i="40"/>
  <c r="AA116" i="40"/>
  <c r="AB116" i="40" s="1"/>
  <c r="N116" i="40"/>
  <c r="M116" i="40"/>
  <c r="AD116" i="40"/>
  <c r="AH116" i="40"/>
  <c r="L116" i="40"/>
  <c r="I89" i="39"/>
  <c r="AC89" i="39" s="1"/>
  <c r="H214" i="32"/>
  <c r="F215" i="32" s="1"/>
  <c r="L215" i="32" s="1"/>
  <c r="K214" i="32"/>
  <c r="AC214" i="32"/>
  <c r="Z214" i="32"/>
  <c r="J214" i="32"/>
  <c r="L214" i="32"/>
  <c r="N214" i="32"/>
  <c r="Y214" i="32" s="1"/>
  <c r="AF214" i="32"/>
  <c r="I137" i="33"/>
  <c r="P137" i="33"/>
  <c r="W135" i="33" s="1"/>
  <c r="K137" i="33"/>
  <c r="N137" i="33"/>
  <c r="J137" i="33" s="1"/>
  <c r="L137" i="33"/>
  <c r="P132" i="37"/>
  <c r="W130" i="37" s="1"/>
  <c r="H132" i="37"/>
  <c r="H144" i="30"/>
  <c r="P144" i="30" s="1"/>
  <c r="W142" i="30" s="1"/>
  <c r="O89" i="39"/>
  <c r="P89" i="39"/>
  <c r="G82" i="13" l="1"/>
  <c r="G137" i="7" s="1"/>
  <c r="H126" i="46"/>
  <c r="I126" i="46"/>
  <c r="A126" i="46"/>
  <c r="M126" i="46" s="1"/>
  <c r="J126" i="46"/>
  <c r="K126" i="46"/>
  <c r="L126" i="46"/>
  <c r="Y131" i="46"/>
  <c r="Z131" i="46"/>
  <c r="X131" i="46"/>
  <c r="V131" i="46" s="1"/>
  <c r="J84" i="28"/>
  <c r="H84" i="28" s="1"/>
  <c r="AF116" i="40"/>
  <c r="Q116" i="40"/>
  <c r="X114" i="40"/>
  <c r="J116" i="40"/>
  <c r="AC116" i="40"/>
  <c r="I116" i="40" s="1"/>
  <c r="I214" i="32"/>
  <c r="AF215" i="32"/>
  <c r="Q214" i="32"/>
  <c r="J215" i="32"/>
  <c r="K215" i="32"/>
  <c r="N215" i="32"/>
  <c r="Y215" i="32" s="1"/>
  <c r="M215" i="32"/>
  <c r="Z215" i="32"/>
  <c r="AC215" i="32"/>
  <c r="AA214" i="32"/>
  <c r="H215" i="32"/>
  <c r="F216" i="32" s="1"/>
  <c r="AC216" i="32" s="1"/>
  <c r="AG214" i="32"/>
  <c r="AE214" i="32" s="1"/>
  <c r="AD214" i="32"/>
  <c r="AB214" i="32" s="1"/>
  <c r="P214" i="32"/>
  <c r="W212" i="32" s="1"/>
  <c r="H137" i="33"/>
  <c r="Q137" i="33" s="1"/>
  <c r="F133" i="37"/>
  <c r="Q132" i="37"/>
  <c r="Q144" i="30"/>
  <c r="F145" i="30"/>
  <c r="F90" i="39"/>
  <c r="Z90" i="39"/>
  <c r="C91" i="36"/>
  <c r="E90" i="36"/>
  <c r="R82" i="13" l="1"/>
  <c r="S82" i="13"/>
  <c r="F83" i="13"/>
  <c r="F138" i="7" s="1"/>
  <c r="R138" i="7" s="1"/>
  <c r="P137" i="7"/>
  <c r="Q137" i="7"/>
  <c r="G126" i="46"/>
  <c r="U132" i="46"/>
  <c r="Z132" i="46" s="1"/>
  <c r="AB131" i="46"/>
  <c r="J452" i="7"/>
  <c r="F85" i="28"/>
  <c r="R84" i="28"/>
  <c r="R452" i="7" s="1"/>
  <c r="H452" i="7"/>
  <c r="Q84" i="28"/>
  <c r="Q452" i="7" s="1"/>
  <c r="R116" i="40"/>
  <c r="G117" i="40"/>
  <c r="I215" i="32"/>
  <c r="AG215" i="32"/>
  <c r="AE215" i="32" s="1"/>
  <c r="P215" i="32"/>
  <c r="W213" i="32" s="1"/>
  <c r="AD215" i="32"/>
  <c r="AB215" i="32" s="1"/>
  <c r="AA215" i="32"/>
  <c r="J216" i="32"/>
  <c r="AF216" i="32"/>
  <c r="L216" i="32"/>
  <c r="M216" i="32"/>
  <c r="N216" i="32"/>
  <c r="Y216" i="32" s="1"/>
  <c r="Z216" i="32"/>
  <c r="K216" i="32"/>
  <c r="H216" i="32"/>
  <c r="Q216" i="32" s="1"/>
  <c r="Q215" i="32"/>
  <c r="F138" i="33"/>
  <c r="K138" i="33" s="1"/>
  <c r="M133" i="37"/>
  <c r="J133" i="37"/>
  <c r="L133" i="37"/>
  <c r="K133" i="37"/>
  <c r="I133" i="37"/>
  <c r="N145" i="30"/>
  <c r="J145" i="30" s="1"/>
  <c r="M145" i="30"/>
  <c r="L145" i="30"/>
  <c r="K145" i="30"/>
  <c r="I145" i="30"/>
  <c r="K90" i="39"/>
  <c r="J90" i="39"/>
  <c r="Y90" i="39"/>
  <c r="X90" i="39" s="1"/>
  <c r="S90" i="39"/>
  <c r="T90" i="39" s="1"/>
  <c r="V90" i="39"/>
  <c r="L90" i="39"/>
  <c r="Q90" i="39"/>
  <c r="L83" i="13" l="1"/>
  <c r="K138" i="7" s="1"/>
  <c r="AB83" i="13"/>
  <c r="K83" i="13"/>
  <c r="J138" i="7" s="1"/>
  <c r="Y83" i="13"/>
  <c r="N83" i="13"/>
  <c r="M138" i="7" s="1"/>
  <c r="V83" i="13"/>
  <c r="M83" i="13"/>
  <c r="L138" i="7" s="1"/>
  <c r="H83" i="13"/>
  <c r="H138" i="7" s="1"/>
  <c r="Q126" i="46"/>
  <c r="F127" i="46" s="1"/>
  <c r="P126" i="46"/>
  <c r="Y132" i="46"/>
  <c r="W132" i="46"/>
  <c r="X132" i="46"/>
  <c r="I90" i="13"/>
  <c r="AA85" i="28"/>
  <c r="AG85" i="28"/>
  <c r="K85" i="28"/>
  <c r="AD85" i="28"/>
  <c r="L85" i="28"/>
  <c r="L453" i="7" s="1"/>
  <c r="F453" i="7"/>
  <c r="S453" i="7" s="1"/>
  <c r="N85" i="28"/>
  <c r="M85" i="28"/>
  <c r="M453" i="7" s="1"/>
  <c r="AD117" i="40"/>
  <c r="N117" i="40"/>
  <c r="AH117" i="40"/>
  <c r="AG117" i="40"/>
  <c r="AA117" i="40"/>
  <c r="AB117" i="40" s="1"/>
  <c r="L117" i="40"/>
  <c r="M117" i="40"/>
  <c r="I216" i="32"/>
  <c r="P216" i="32"/>
  <c r="W214" i="32" s="1"/>
  <c r="AA216" i="32"/>
  <c r="F217" i="32"/>
  <c r="J217" i="32" s="1"/>
  <c r="AG216" i="32"/>
  <c r="AE216" i="32" s="1"/>
  <c r="AD216" i="32"/>
  <c r="AB216" i="32" s="1"/>
  <c r="N138" i="33"/>
  <c r="J138" i="33" s="1"/>
  <c r="L138" i="33"/>
  <c r="I138" i="33"/>
  <c r="M138" i="33"/>
  <c r="P138" i="33"/>
  <c r="W136" i="33" s="1"/>
  <c r="P133" i="37"/>
  <c r="W131" i="37" s="1"/>
  <c r="H133" i="37"/>
  <c r="H145" i="30"/>
  <c r="F146" i="30" s="1"/>
  <c r="H90" i="39"/>
  <c r="U90" i="39"/>
  <c r="G90" i="39" s="1"/>
  <c r="D91" i="36" s="1"/>
  <c r="U83" i="13" l="1"/>
  <c r="Z83" i="13"/>
  <c r="AC83" i="13"/>
  <c r="AA83" i="13" s="1"/>
  <c r="E74" i="10"/>
  <c r="L127" i="46"/>
  <c r="A127" i="46"/>
  <c r="M127" i="46" s="1"/>
  <c r="J127" i="46"/>
  <c r="I127" i="46"/>
  <c r="K127" i="46"/>
  <c r="H127" i="46"/>
  <c r="V132" i="46"/>
  <c r="U133" i="46" s="1"/>
  <c r="I145" i="7"/>
  <c r="I85" i="28"/>
  <c r="I453" i="7" s="1"/>
  <c r="Z85" i="28"/>
  <c r="AB85" i="28" s="1"/>
  <c r="AH85" i="28"/>
  <c r="AE85" i="28"/>
  <c r="AC85" i="28" s="1"/>
  <c r="N453" i="7"/>
  <c r="X83" i="28"/>
  <c r="K453" i="7"/>
  <c r="AF117" i="40"/>
  <c r="X115" i="40"/>
  <c r="Q117" i="40"/>
  <c r="J117" i="40"/>
  <c r="AC117" i="40"/>
  <c r="I117" i="40" s="1"/>
  <c r="I90" i="39"/>
  <c r="AC90" i="39" s="1"/>
  <c r="H217" i="32"/>
  <c r="F218" i="32" s="1"/>
  <c r="AF217" i="32"/>
  <c r="AC217" i="32"/>
  <c r="L217" i="32"/>
  <c r="K217" i="32"/>
  <c r="M217" i="32"/>
  <c r="Z217" i="32"/>
  <c r="N217" i="32"/>
  <c r="Y217" i="32" s="1"/>
  <c r="H138" i="33"/>
  <c r="Q138" i="33" s="1"/>
  <c r="Q133" i="37"/>
  <c r="F134" i="37"/>
  <c r="P145" i="30"/>
  <c r="W143" i="30" s="1"/>
  <c r="Q145" i="30"/>
  <c r="N146" i="30"/>
  <c r="J146" i="30" s="1"/>
  <c r="L146" i="30"/>
  <c r="M146" i="30"/>
  <c r="I146" i="30"/>
  <c r="K146" i="30"/>
  <c r="O90" i="39"/>
  <c r="P90" i="39"/>
  <c r="J83" i="13" l="1"/>
  <c r="W83" i="13"/>
  <c r="X83" i="13"/>
  <c r="G127" i="46"/>
  <c r="AB132" i="46"/>
  <c r="W133" i="46"/>
  <c r="Y133" i="46"/>
  <c r="X133" i="46"/>
  <c r="Z133" i="46"/>
  <c r="AF85" i="28"/>
  <c r="J85" i="28"/>
  <c r="G118" i="40"/>
  <c r="R117" i="40"/>
  <c r="I217" i="32"/>
  <c r="AG217" i="32"/>
  <c r="AE217" i="32" s="1"/>
  <c r="P217" i="32"/>
  <c r="W215" i="32" s="1"/>
  <c r="Q217" i="32"/>
  <c r="F139" i="33"/>
  <c r="M139" i="33" s="1"/>
  <c r="AD217" i="32"/>
  <c r="AB217" i="32" s="1"/>
  <c r="AA217" i="32"/>
  <c r="AC218" i="32"/>
  <c r="N218" i="32"/>
  <c r="AG218" i="32" s="1"/>
  <c r="AF218" i="32"/>
  <c r="H218" i="32"/>
  <c r="F219" i="32" s="1"/>
  <c r="K218" i="32"/>
  <c r="Z218" i="32"/>
  <c r="M218" i="32"/>
  <c r="L218" i="32"/>
  <c r="J218" i="32"/>
  <c r="L134" i="37"/>
  <c r="M134" i="37"/>
  <c r="I134" i="37"/>
  <c r="J134" i="37"/>
  <c r="K134" i="37"/>
  <c r="H146" i="30"/>
  <c r="F91" i="39"/>
  <c r="Z91" i="39"/>
  <c r="E91" i="36"/>
  <c r="C92" i="36"/>
  <c r="G83" i="13" l="1"/>
  <c r="Q127" i="46"/>
  <c r="F128" i="46" s="1"/>
  <c r="P127" i="46"/>
  <c r="V133" i="46"/>
  <c r="J453" i="7"/>
  <c r="H85" i="28"/>
  <c r="AH118" i="40"/>
  <c r="AD118" i="40"/>
  <c r="AA118" i="40"/>
  <c r="AB118" i="40" s="1"/>
  <c r="L118" i="40"/>
  <c r="N118" i="40"/>
  <c r="M118" i="40"/>
  <c r="AG118" i="40"/>
  <c r="I218" i="32"/>
  <c r="P139" i="33"/>
  <c r="W137" i="33" s="1"/>
  <c r="N139" i="33"/>
  <c r="J139" i="33" s="1"/>
  <c r="I139" i="33"/>
  <c r="L139" i="33"/>
  <c r="K139" i="33"/>
  <c r="AE218" i="32"/>
  <c r="P218" i="32"/>
  <c r="W216" i="32" s="1"/>
  <c r="AF219" i="32"/>
  <c r="J219" i="32"/>
  <c r="M219" i="32"/>
  <c r="L219" i="32"/>
  <c r="H219" i="32"/>
  <c r="F220" i="32" s="1"/>
  <c r="AC219" i="32"/>
  <c r="K219" i="32"/>
  <c r="N219" i="32"/>
  <c r="Z219" i="32"/>
  <c r="Q218" i="32"/>
  <c r="AD218" i="32"/>
  <c r="AB218" i="32" s="1"/>
  <c r="Y218" i="32"/>
  <c r="AA218" i="32" s="1"/>
  <c r="H134" i="37"/>
  <c r="Q134" i="37" s="1"/>
  <c r="P134" i="37"/>
  <c r="W132" i="37" s="1"/>
  <c r="P146" i="30"/>
  <c r="W144" i="30" s="1"/>
  <c r="F147" i="30"/>
  <c r="Q146" i="30"/>
  <c r="Q91" i="39"/>
  <c r="Y91" i="39"/>
  <c r="X91" i="39" s="1"/>
  <c r="J91" i="39"/>
  <c r="K91" i="39"/>
  <c r="S91" i="39"/>
  <c r="T91" i="39" s="1"/>
  <c r="L91" i="39"/>
  <c r="V91" i="39"/>
  <c r="R83" i="13" l="1"/>
  <c r="S83" i="13"/>
  <c r="F84" i="13"/>
  <c r="F139" i="7" s="1"/>
  <c r="R139" i="7" s="1"/>
  <c r="G138" i="7"/>
  <c r="K128" i="46"/>
  <c r="J128" i="46"/>
  <c r="H128" i="46"/>
  <c r="A128" i="46"/>
  <c r="M128" i="46" s="1"/>
  <c r="I128" i="46"/>
  <c r="L128" i="46"/>
  <c r="P138" i="7"/>
  <c r="Q138" i="7"/>
  <c r="AB84" i="13"/>
  <c r="L84" i="13"/>
  <c r="K139" i="7" s="1"/>
  <c r="N84" i="13"/>
  <c r="M139" i="7" s="1"/>
  <c r="K84" i="13"/>
  <c r="J139" i="7" s="1"/>
  <c r="Y84" i="13"/>
  <c r="H84" i="13" s="1"/>
  <c r="H139" i="7" s="1"/>
  <c r="M84" i="13"/>
  <c r="L139" i="7" s="1"/>
  <c r="U134" i="46"/>
  <c r="X134" i="46" s="1"/>
  <c r="AB133" i="46"/>
  <c r="I91" i="13"/>
  <c r="I146" i="7" s="1"/>
  <c r="R85" i="28"/>
  <c r="R453" i="7" s="1"/>
  <c r="F86" i="28"/>
  <c r="H453" i="7"/>
  <c r="Q85" i="28"/>
  <c r="Q453" i="7" s="1"/>
  <c r="X116" i="40"/>
  <c r="Q118" i="40"/>
  <c r="J118" i="40"/>
  <c r="AC118" i="40"/>
  <c r="I118" i="40" s="1"/>
  <c r="AF118" i="40"/>
  <c r="H139" i="33"/>
  <c r="F140" i="33" s="1"/>
  <c r="M140" i="33" s="1"/>
  <c r="I219" i="32"/>
  <c r="Q219" i="32"/>
  <c r="P219" i="32"/>
  <c r="W217" i="32" s="1"/>
  <c r="M220" i="32"/>
  <c r="K220" i="32"/>
  <c r="Z220" i="32"/>
  <c r="J220" i="32"/>
  <c r="L220" i="32"/>
  <c r="AF220" i="32"/>
  <c r="H220" i="32"/>
  <c r="Q220" i="32" s="1"/>
  <c r="AC220" i="32"/>
  <c r="N220" i="32"/>
  <c r="AG220" i="32" s="1"/>
  <c r="AG219" i="32"/>
  <c r="AE219" i="32" s="1"/>
  <c r="Y219" i="32"/>
  <c r="AA219" i="32" s="1"/>
  <c r="AD219" i="32"/>
  <c r="AB219" i="32" s="1"/>
  <c r="F135" i="37"/>
  <c r="K135" i="37" s="1"/>
  <c r="L147" i="30"/>
  <c r="K147" i="30"/>
  <c r="N147" i="30"/>
  <c r="J147" i="30" s="1"/>
  <c r="I147" i="30"/>
  <c r="M147" i="30"/>
  <c r="U91" i="39"/>
  <c r="G91" i="39" s="1"/>
  <c r="D92" i="36" s="1"/>
  <c r="H91" i="39"/>
  <c r="V84" i="13" l="1"/>
  <c r="G128" i="46"/>
  <c r="E75" i="10"/>
  <c r="U84" i="13"/>
  <c r="W84" i="13" s="1"/>
  <c r="AC84" i="13"/>
  <c r="AA84" i="13" s="1"/>
  <c r="Z84" i="13"/>
  <c r="W134" i="46"/>
  <c r="V134" i="46" s="1"/>
  <c r="U135" i="46" s="1"/>
  <c r="Z134" i="46"/>
  <c r="Y134" i="46"/>
  <c r="K86" i="28"/>
  <c r="L86" i="28"/>
  <c r="L454" i="7" s="1"/>
  <c r="AD86" i="28"/>
  <c r="F454" i="7"/>
  <c r="S454" i="7" s="1"/>
  <c r="N86" i="28"/>
  <c r="AA86" i="28"/>
  <c r="AG86" i="28"/>
  <c r="M86" i="28"/>
  <c r="M454" i="7" s="1"/>
  <c r="R118" i="40"/>
  <c r="G119" i="40"/>
  <c r="P140" i="33"/>
  <c r="W138" i="33" s="1"/>
  <c r="I140" i="33"/>
  <c r="K140" i="33"/>
  <c r="L140" i="33"/>
  <c r="N140" i="33"/>
  <c r="J140" i="33" s="1"/>
  <c r="Q139" i="33"/>
  <c r="I91" i="39"/>
  <c r="AC91" i="39" s="1"/>
  <c r="AE220" i="32"/>
  <c r="I220" i="32"/>
  <c r="P220" i="32"/>
  <c r="W218" i="32" s="1"/>
  <c r="F221" i="32"/>
  <c r="AD220" i="32"/>
  <c r="AB220" i="32" s="1"/>
  <c r="Y220" i="32"/>
  <c r="AA220" i="32" s="1"/>
  <c r="J135" i="37"/>
  <c r="L135" i="37"/>
  <c r="M135" i="37"/>
  <c r="I135" i="37"/>
  <c r="H147" i="30"/>
  <c r="F148" i="30" s="1"/>
  <c r="O91" i="39"/>
  <c r="P91" i="39"/>
  <c r="Q128" i="46" l="1"/>
  <c r="F129" i="46" s="1"/>
  <c r="P128" i="46"/>
  <c r="J84" i="13"/>
  <c r="X84" i="13"/>
  <c r="J129" i="46"/>
  <c r="K129" i="46"/>
  <c r="L129" i="46"/>
  <c r="A129" i="46"/>
  <c r="M129" i="46" s="1"/>
  <c r="H129" i="46"/>
  <c r="AB134" i="46"/>
  <c r="W135" i="46"/>
  <c r="Y135" i="46"/>
  <c r="Z135" i="46"/>
  <c r="X135" i="46"/>
  <c r="I86" i="28"/>
  <c r="I454" i="7" s="1"/>
  <c r="Z86" i="28"/>
  <c r="AB86" i="28" s="1"/>
  <c r="AH86" i="28"/>
  <c r="N454" i="7"/>
  <c r="AE86" i="28"/>
  <c r="AC86" i="28" s="1"/>
  <c r="K454" i="7"/>
  <c r="X84" i="28"/>
  <c r="P135" i="37"/>
  <c r="W133" i="37" s="1"/>
  <c r="AA119" i="40"/>
  <c r="AB119" i="40" s="1"/>
  <c r="L119" i="40"/>
  <c r="AG119" i="40"/>
  <c r="AD119" i="40"/>
  <c r="M119" i="40"/>
  <c r="N119" i="40"/>
  <c r="AH119" i="40"/>
  <c r="H140" i="33"/>
  <c r="Q140" i="33" s="1"/>
  <c r="J221" i="32"/>
  <c r="N221" i="32"/>
  <c r="H221" i="32"/>
  <c r="Q221" i="32" s="1"/>
  <c r="AC221" i="32"/>
  <c r="AF221" i="32"/>
  <c r="M221" i="32"/>
  <c r="L221" i="32"/>
  <c r="K221" i="32"/>
  <c r="Z221" i="32"/>
  <c r="H135" i="37"/>
  <c r="F136" i="37" s="1"/>
  <c r="Q147" i="30"/>
  <c r="P147" i="30"/>
  <c r="W145" i="30" s="1"/>
  <c r="L148" i="30"/>
  <c r="M148" i="30"/>
  <c r="N148" i="30"/>
  <c r="J148" i="30" s="1"/>
  <c r="I148" i="30"/>
  <c r="K148" i="30"/>
  <c r="F92" i="39"/>
  <c r="Z92" i="39"/>
  <c r="E92" i="36"/>
  <c r="C93" i="36"/>
  <c r="I129" i="46" l="1"/>
  <c r="G84" i="13"/>
  <c r="V135" i="46"/>
  <c r="AF86" i="28"/>
  <c r="J86" i="28"/>
  <c r="AF119" i="40"/>
  <c r="Q119" i="40"/>
  <c r="X117" i="40"/>
  <c r="J119" i="40"/>
  <c r="AC119" i="40"/>
  <c r="I119" i="40" s="1"/>
  <c r="F141" i="33"/>
  <c r="L141" i="33" s="1"/>
  <c r="I221" i="32"/>
  <c r="P221" i="32"/>
  <c r="W219" i="32" s="1"/>
  <c r="F222" i="32"/>
  <c r="AG221" i="32"/>
  <c r="AE221" i="32" s="1"/>
  <c r="AD221" i="32"/>
  <c r="AB221" i="32" s="1"/>
  <c r="Y221" i="32"/>
  <c r="AA221" i="32" s="1"/>
  <c r="Q135" i="37"/>
  <c r="L136" i="37"/>
  <c r="M136" i="37"/>
  <c r="J136" i="37"/>
  <c r="I136" i="37"/>
  <c r="K136" i="37"/>
  <c r="H148" i="30"/>
  <c r="Q92" i="39"/>
  <c r="L92" i="39"/>
  <c r="Y92" i="39"/>
  <c r="X92" i="39" s="1"/>
  <c r="K92" i="39"/>
  <c r="S92" i="39"/>
  <c r="T92" i="39" s="1"/>
  <c r="V92" i="39"/>
  <c r="J92" i="39"/>
  <c r="G129" i="46" l="1"/>
  <c r="R84" i="13"/>
  <c r="F85" i="13"/>
  <c r="F140" i="7" s="1"/>
  <c r="R140" i="7" s="1"/>
  <c r="S84" i="13"/>
  <c r="G139" i="7"/>
  <c r="Q129" i="46"/>
  <c r="F130" i="46" s="1"/>
  <c r="P129" i="46"/>
  <c r="AB135" i="46"/>
  <c r="U136" i="46"/>
  <c r="I92" i="13"/>
  <c r="I147" i="7" s="1"/>
  <c r="J454" i="7"/>
  <c r="H86" i="28"/>
  <c r="R119" i="40"/>
  <c r="G120" i="40"/>
  <c r="N141" i="33"/>
  <c r="J141" i="33" s="1"/>
  <c r="I141" i="33"/>
  <c r="K141" i="33"/>
  <c r="M141" i="33"/>
  <c r="P141" i="33"/>
  <c r="W139" i="33" s="1"/>
  <c r="AC222" i="32"/>
  <c r="H222" i="32"/>
  <c r="Q222" i="32" s="1"/>
  <c r="Z222" i="32"/>
  <c r="M222" i="32"/>
  <c r="AF222" i="32"/>
  <c r="L222" i="32"/>
  <c r="N222" i="32"/>
  <c r="K222" i="32"/>
  <c r="J222" i="32"/>
  <c r="P136" i="37"/>
  <c r="W134" i="37" s="1"/>
  <c r="H136" i="37"/>
  <c r="Q136" i="37" s="1"/>
  <c r="P148" i="30"/>
  <c r="W146" i="30" s="1"/>
  <c r="F149" i="30"/>
  <c r="Q148" i="30"/>
  <c r="H92" i="39"/>
  <c r="U92" i="39"/>
  <c r="G92" i="39" s="1"/>
  <c r="D93" i="36" s="1"/>
  <c r="Q139" i="7" l="1"/>
  <c r="P139" i="7"/>
  <c r="M85" i="13"/>
  <c r="L140" i="7" s="1"/>
  <c r="Y85" i="13"/>
  <c r="L85" i="13"/>
  <c r="K140" i="7" s="1"/>
  <c r="V85" i="13"/>
  <c r="K85" i="13"/>
  <c r="J140" i="7" s="1"/>
  <c r="AB85" i="13"/>
  <c r="N85" i="13"/>
  <c r="M140" i="7" s="1"/>
  <c r="H130" i="46"/>
  <c r="L130" i="46"/>
  <c r="J130" i="46"/>
  <c r="K130" i="46"/>
  <c r="I130" i="46"/>
  <c r="A130" i="46"/>
  <c r="M130" i="46" s="1"/>
  <c r="W136" i="46"/>
  <c r="Y136" i="46"/>
  <c r="X136" i="46"/>
  <c r="Z136" i="46"/>
  <c r="H454" i="7"/>
  <c r="F87" i="28"/>
  <c r="Q86" i="28"/>
  <c r="Q454" i="7" s="1"/>
  <c r="R86" i="28"/>
  <c r="R454" i="7" s="1"/>
  <c r="AH120" i="40"/>
  <c r="L120" i="40"/>
  <c r="N120" i="40"/>
  <c r="AD120" i="40"/>
  <c r="M120" i="40"/>
  <c r="AA120" i="40"/>
  <c r="AB120" i="40" s="1"/>
  <c r="AG120" i="40"/>
  <c r="H141" i="33"/>
  <c r="Q141" i="33" s="1"/>
  <c r="I92" i="39"/>
  <c r="AC92" i="39" s="1"/>
  <c r="I222" i="32"/>
  <c r="F223" i="32"/>
  <c r="M223" i="32" s="1"/>
  <c r="P222" i="32"/>
  <c r="W220" i="32" s="1"/>
  <c r="AG222" i="32"/>
  <c r="AE222" i="32" s="1"/>
  <c r="Y222" i="32"/>
  <c r="AA222" i="32" s="1"/>
  <c r="AD222" i="32"/>
  <c r="AB222" i="32" s="1"/>
  <c r="F137" i="37"/>
  <c r="J137" i="37" s="1"/>
  <c r="K149" i="30"/>
  <c r="L149" i="30"/>
  <c r="N149" i="30"/>
  <c r="J149" i="30" s="1"/>
  <c r="M149" i="30"/>
  <c r="I149" i="30"/>
  <c r="O92" i="39"/>
  <c r="P92" i="39"/>
  <c r="H85" i="13" l="1"/>
  <c r="H140" i="7" s="1"/>
  <c r="Z85" i="13"/>
  <c r="X85" i="13" s="1"/>
  <c r="E76" i="10"/>
  <c r="U85" i="13"/>
  <c r="AC85" i="13"/>
  <c r="G130" i="46"/>
  <c r="V136" i="46"/>
  <c r="I93" i="13"/>
  <c r="AG87" i="28"/>
  <c r="AA87" i="28"/>
  <c r="F455" i="7"/>
  <c r="S455" i="7" s="1"/>
  <c r="N87" i="28"/>
  <c r="L87" i="28"/>
  <c r="L455" i="7" s="1"/>
  <c r="K87" i="28"/>
  <c r="M87" i="28"/>
  <c r="M455" i="7" s="1"/>
  <c r="AD87" i="28"/>
  <c r="AC120" i="40"/>
  <c r="I120" i="40" s="1"/>
  <c r="J120" i="40"/>
  <c r="Q120" i="40"/>
  <c r="X118" i="40"/>
  <c r="AF120" i="40"/>
  <c r="F142" i="33"/>
  <c r="M142" i="33" s="1"/>
  <c r="AC223" i="32"/>
  <c r="K223" i="32"/>
  <c r="AF223" i="32"/>
  <c r="L223" i="32"/>
  <c r="Z223" i="32"/>
  <c r="N223" i="32"/>
  <c r="AG223" i="32" s="1"/>
  <c r="H223" i="32"/>
  <c r="F224" i="32" s="1"/>
  <c r="J223" i="32"/>
  <c r="L137" i="37"/>
  <c r="M137" i="37"/>
  <c r="K137" i="37"/>
  <c r="I137" i="37"/>
  <c r="H137" i="37" s="1"/>
  <c r="H149" i="30"/>
  <c r="Z93" i="39"/>
  <c r="F93" i="39"/>
  <c r="C94" i="36"/>
  <c r="E93" i="36"/>
  <c r="J85" i="13" l="1"/>
  <c r="W85" i="13"/>
  <c r="AA85" i="13"/>
  <c r="Q130" i="46"/>
  <c r="F131" i="46" s="1"/>
  <c r="P130" i="46"/>
  <c r="U137" i="46"/>
  <c r="W137" i="46" s="1"/>
  <c r="AB136" i="46"/>
  <c r="I148" i="7"/>
  <c r="I87" i="28"/>
  <c r="I455" i="7" s="1"/>
  <c r="K455" i="7"/>
  <c r="X85" i="28"/>
  <c r="AH87" i="28"/>
  <c r="Z87" i="28"/>
  <c r="AB87" i="28" s="1"/>
  <c r="AE87" i="28"/>
  <c r="AC87" i="28" s="1"/>
  <c r="N455" i="7"/>
  <c r="G121" i="40"/>
  <c r="R120" i="40"/>
  <c r="I223" i="32"/>
  <c r="P142" i="33"/>
  <c r="W140" i="33" s="1"/>
  <c r="K142" i="33"/>
  <c r="I142" i="33"/>
  <c r="N142" i="33"/>
  <c r="J142" i="33" s="1"/>
  <c r="L142" i="33"/>
  <c r="AE223" i="32"/>
  <c r="AD223" i="32"/>
  <c r="AB223" i="32" s="1"/>
  <c r="P223" i="32"/>
  <c r="W221" i="32" s="1"/>
  <c r="Y223" i="32"/>
  <c r="AA223" i="32" s="1"/>
  <c r="Q223" i="32"/>
  <c r="N224" i="32"/>
  <c r="AF224" i="32"/>
  <c r="J224" i="32"/>
  <c r="L224" i="32"/>
  <c r="AC224" i="32"/>
  <c r="K224" i="32"/>
  <c r="Z224" i="32"/>
  <c r="H224" i="32"/>
  <c r="Q224" i="32" s="1"/>
  <c r="M224" i="32"/>
  <c r="P137" i="37"/>
  <c r="W135" i="37" s="1"/>
  <c r="Q137" i="37"/>
  <c r="F138" i="37"/>
  <c r="Q149" i="30"/>
  <c r="P149" i="30"/>
  <c r="W147" i="30" s="1"/>
  <c r="F150" i="30"/>
  <c r="K93" i="39"/>
  <c r="Y93" i="39"/>
  <c r="X93" i="39" s="1"/>
  <c r="J93" i="39"/>
  <c r="V93" i="39"/>
  <c r="L93" i="39"/>
  <c r="S93" i="39"/>
  <c r="T93" i="39" s="1"/>
  <c r="Q93" i="39"/>
  <c r="G85" i="13" l="1"/>
  <c r="G140" i="7" s="1"/>
  <c r="Q140" i="7"/>
  <c r="P140" i="7"/>
  <c r="S85" i="13"/>
  <c r="R85" i="13"/>
  <c r="F86" i="13"/>
  <c r="F141" i="7" s="1"/>
  <c r="R141" i="7" s="1"/>
  <c r="A131" i="46"/>
  <c r="M131" i="46" s="1"/>
  <c r="I131" i="46"/>
  <c r="L131" i="46"/>
  <c r="K131" i="46"/>
  <c r="H131" i="46"/>
  <c r="J131" i="46"/>
  <c r="Y137" i="46"/>
  <c r="Z137" i="46"/>
  <c r="X137" i="46"/>
  <c r="V137" i="46" s="1"/>
  <c r="AF87" i="28"/>
  <c r="J87" i="28"/>
  <c r="L121" i="40"/>
  <c r="AA121" i="40"/>
  <c r="AB121" i="40" s="1"/>
  <c r="AH121" i="40"/>
  <c r="AD121" i="40"/>
  <c r="AG121" i="40"/>
  <c r="N121" i="40"/>
  <c r="M121" i="40"/>
  <c r="H142" i="33"/>
  <c r="F143" i="33" s="1"/>
  <c r="M143" i="33" s="1"/>
  <c r="P224" i="32"/>
  <c r="W222" i="32" s="1"/>
  <c r="F225" i="32"/>
  <c r="I224" i="32"/>
  <c r="AG224" i="32"/>
  <c r="AE224" i="32" s="1"/>
  <c r="AD224" i="32"/>
  <c r="AB224" i="32" s="1"/>
  <c r="Y224" i="32"/>
  <c r="AA224" i="32" s="1"/>
  <c r="K138" i="37"/>
  <c r="J138" i="37"/>
  <c r="I138" i="37"/>
  <c r="M138" i="37"/>
  <c r="L138" i="37"/>
  <c r="K150" i="30"/>
  <c r="L150" i="30"/>
  <c r="I150" i="30"/>
  <c r="M150" i="30"/>
  <c r="N150" i="30"/>
  <c r="J150" i="30" s="1"/>
  <c r="H93" i="39"/>
  <c r="U93" i="39"/>
  <c r="G93" i="39" s="1"/>
  <c r="D94" i="36" s="1"/>
  <c r="N86" i="13" l="1"/>
  <c r="M141" i="7" s="1"/>
  <c r="L86" i="13"/>
  <c r="K141" i="7" s="1"/>
  <c r="V86" i="13"/>
  <c r="M86" i="13"/>
  <c r="L141" i="7" s="1"/>
  <c r="K86" i="13"/>
  <c r="J141" i="7" s="1"/>
  <c r="Y86" i="13"/>
  <c r="AB86" i="13"/>
  <c r="G131" i="46"/>
  <c r="AB137" i="46"/>
  <c r="U138" i="46"/>
  <c r="X138" i="46" s="1"/>
  <c r="J455" i="7"/>
  <c r="H87" i="28"/>
  <c r="J121" i="40"/>
  <c r="AC121" i="40"/>
  <c r="I121" i="40" s="1"/>
  <c r="AF121" i="40"/>
  <c r="Q121" i="40"/>
  <c r="X119" i="40"/>
  <c r="P143" i="33"/>
  <c r="W141" i="33" s="1"/>
  <c r="N143" i="33"/>
  <c r="J143" i="33" s="1"/>
  <c r="K143" i="33"/>
  <c r="I143" i="33"/>
  <c r="L143" i="33"/>
  <c r="Q142" i="33"/>
  <c r="I93" i="39"/>
  <c r="AC93" i="39" s="1"/>
  <c r="H225" i="32"/>
  <c r="F226" i="32" s="1"/>
  <c r="AF225" i="32"/>
  <c r="Z225" i="32"/>
  <c r="L225" i="32"/>
  <c r="AC225" i="32"/>
  <c r="M225" i="32"/>
  <c r="K225" i="32"/>
  <c r="J225" i="32"/>
  <c r="N225" i="32"/>
  <c r="P138" i="37"/>
  <c r="W136" i="37" s="1"/>
  <c r="H138" i="37"/>
  <c r="Q138" i="37" s="1"/>
  <c r="H150" i="30"/>
  <c r="F151" i="30" s="1"/>
  <c r="N151" i="30" s="1"/>
  <c r="J151" i="30" s="1"/>
  <c r="O93" i="39"/>
  <c r="P93" i="39"/>
  <c r="E77" i="10" l="1"/>
  <c r="H86" i="13"/>
  <c r="H141" i="7" s="1"/>
  <c r="Z86" i="13"/>
  <c r="U86" i="13"/>
  <c r="W86" i="13" s="1"/>
  <c r="AC86" i="13"/>
  <c r="AA86" i="13" s="1"/>
  <c r="Q131" i="46"/>
  <c r="F132" i="46" s="1"/>
  <c r="P131" i="46"/>
  <c r="Y138" i="46"/>
  <c r="Z138" i="46"/>
  <c r="W138" i="46"/>
  <c r="V138" i="46" s="1"/>
  <c r="U139" i="46" s="1"/>
  <c r="Q87" i="28"/>
  <c r="Q455" i="7" s="1"/>
  <c r="R87" i="28"/>
  <c r="R455" i="7" s="1"/>
  <c r="F88" i="28"/>
  <c r="H455" i="7"/>
  <c r="R121" i="40"/>
  <c r="G122" i="40"/>
  <c r="H143" i="33"/>
  <c r="F144" i="33" s="1"/>
  <c r="N144" i="33" s="1"/>
  <c r="J144" i="33" s="1"/>
  <c r="Q225" i="32"/>
  <c r="I225" i="32"/>
  <c r="P225" i="32"/>
  <c r="W223" i="32" s="1"/>
  <c r="AG225" i="32"/>
  <c r="AE225" i="32" s="1"/>
  <c r="AD225" i="32"/>
  <c r="AB225" i="32" s="1"/>
  <c r="Y225" i="32"/>
  <c r="AA225" i="32" s="1"/>
  <c r="H226" i="32"/>
  <c r="F227" i="32" s="1"/>
  <c r="J226" i="32"/>
  <c r="Z226" i="32"/>
  <c r="M226" i="32"/>
  <c r="K226" i="32"/>
  <c r="N226" i="32"/>
  <c r="AF226" i="32"/>
  <c r="AC226" i="32"/>
  <c r="L226" i="32"/>
  <c r="F139" i="37"/>
  <c r="J139" i="37" s="1"/>
  <c r="M151" i="30"/>
  <c r="P150" i="30"/>
  <c r="W148" i="30" s="1"/>
  <c r="Q150" i="30"/>
  <c r="L151" i="30"/>
  <c r="I151" i="30"/>
  <c r="H151" i="30" s="1"/>
  <c r="Q151" i="30" s="1"/>
  <c r="K151" i="30"/>
  <c r="E94" i="36"/>
  <c r="C95" i="36"/>
  <c r="Z94" i="39"/>
  <c r="F94" i="39"/>
  <c r="X86" i="13" l="1"/>
  <c r="J86" i="13"/>
  <c r="G86" i="13" s="1"/>
  <c r="G141" i="7" s="1"/>
  <c r="L132" i="46"/>
  <c r="K132" i="46"/>
  <c r="I132" i="46"/>
  <c r="A132" i="46"/>
  <c r="M132" i="46" s="1"/>
  <c r="J132" i="46"/>
  <c r="H132" i="46"/>
  <c r="X139" i="46"/>
  <c r="W139" i="46"/>
  <c r="AB138" i="46"/>
  <c r="Y139" i="46"/>
  <c r="Z139" i="46"/>
  <c r="I94" i="13"/>
  <c r="L88" i="28"/>
  <c r="L456" i="7" s="1"/>
  <c r="AD88" i="28"/>
  <c r="AG88" i="28"/>
  <c r="N88" i="28"/>
  <c r="M88" i="28"/>
  <c r="M456" i="7" s="1"/>
  <c r="K88" i="28"/>
  <c r="AA88" i="28"/>
  <c r="F456" i="7"/>
  <c r="S456" i="7" s="1"/>
  <c r="AH122" i="40"/>
  <c r="AA122" i="40"/>
  <c r="AB122" i="40" s="1"/>
  <c r="AD122" i="40"/>
  <c r="AG122" i="40"/>
  <c r="M122" i="40"/>
  <c r="N122" i="40"/>
  <c r="L122" i="40"/>
  <c r="M144" i="33"/>
  <c r="K144" i="33"/>
  <c r="I144" i="33"/>
  <c r="H144" i="33" s="1"/>
  <c r="Q144" i="33" s="1"/>
  <c r="P144" i="33"/>
  <c r="W142" i="33" s="1"/>
  <c r="Q143" i="33"/>
  <c r="L144" i="33"/>
  <c r="I226" i="32"/>
  <c r="Q226" i="32"/>
  <c r="P226" i="32"/>
  <c r="W224" i="32" s="1"/>
  <c r="Z227" i="32"/>
  <c r="H227" i="32"/>
  <c r="F228" i="32" s="1"/>
  <c r="J227" i="32"/>
  <c r="AF227" i="32"/>
  <c r="N227" i="32"/>
  <c r="M227" i="32"/>
  <c r="AC227" i="32"/>
  <c r="K227" i="32"/>
  <c r="L227" i="32"/>
  <c r="AG226" i="32"/>
  <c r="AE226" i="32" s="1"/>
  <c r="AD226" i="32"/>
  <c r="AB226" i="32" s="1"/>
  <c r="Y226" i="32"/>
  <c r="AA226" i="32" s="1"/>
  <c r="I139" i="37"/>
  <c r="H139" i="37" s="1"/>
  <c r="M139" i="37"/>
  <c r="L139" i="37"/>
  <c r="K139" i="37"/>
  <c r="P151" i="30"/>
  <c r="W149" i="30" s="1"/>
  <c r="F152" i="30"/>
  <c r="K152" i="30" s="1"/>
  <c r="S94" i="39"/>
  <c r="T94" i="39" s="1"/>
  <c r="V94" i="39"/>
  <c r="L94" i="39"/>
  <c r="K94" i="39"/>
  <c r="Y94" i="39"/>
  <c r="X94" i="39" s="1"/>
  <c r="J94" i="39"/>
  <c r="Q94" i="39"/>
  <c r="F87" i="13" l="1"/>
  <c r="F142" i="7" s="1"/>
  <c r="R142" i="7" s="1"/>
  <c r="R86" i="13"/>
  <c r="S86" i="13"/>
  <c r="P141" i="7"/>
  <c r="Q141" i="7"/>
  <c r="G132" i="46"/>
  <c r="V139" i="46"/>
  <c r="AB139" i="46" s="1"/>
  <c r="I149" i="7"/>
  <c r="I88" i="28"/>
  <c r="I456" i="7" s="1"/>
  <c r="K456" i="7"/>
  <c r="X86" i="28"/>
  <c r="AH88" i="28"/>
  <c r="N456" i="7"/>
  <c r="Z88" i="28"/>
  <c r="AB88" i="28" s="1"/>
  <c r="AE88" i="28"/>
  <c r="AC88" i="28" s="1"/>
  <c r="X120" i="40"/>
  <c r="Q122" i="40"/>
  <c r="J122" i="40"/>
  <c r="AC122" i="40"/>
  <c r="I122" i="40" s="1"/>
  <c r="AF122" i="40"/>
  <c r="F145" i="33"/>
  <c r="K145" i="33" s="1"/>
  <c r="I227" i="32"/>
  <c r="Q227" i="32"/>
  <c r="P227" i="32"/>
  <c r="W225" i="32" s="1"/>
  <c r="AG227" i="32"/>
  <c r="AE227" i="32" s="1"/>
  <c r="AD227" i="32"/>
  <c r="AB227" i="32" s="1"/>
  <c r="Y227" i="32"/>
  <c r="AA227" i="32" s="1"/>
  <c r="K228" i="32"/>
  <c r="J228" i="32"/>
  <c r="N228" i="32"/>
  <c r="AF228" i="32"/>
  <c r="L228" i="32"/>
  <c r="AC228" i="32"/>
  <c r="H228" i="32"/>
  <c r="Q228" i="32" s="1"/>
  <c r="M228" i="32"/>
  <c r="Z228" i="32"/>
  <c r="P139" i="37"/>
  <c r="W137" i="37" s="1"/>
  <c r="Q139" i="37"/>
  <c r="F140" i="37"/>
  <c r="N152" i="30"/>
  <c r="J152" i="30" s="1"/>
  <c r="I152" i="30"/>
  <c r="M152" i="30"/>
  <c r="L152" i="30"/>
  <c r="U94" i="39"/>
  <c r="G94" i="39" s="1"/>
  <c r="D95" i="36" s="1"/>
  <c r="H94" i="39"/>
  <c r="L87" i="13" l="1"/>
  <c r="K142" i="7" s="1"/>
  <c r="K87" i="13"/>
  <c r="J142" i="7" s="1"/>
  <c r="N87" i="13"/>
  <c r="M142" i="7" s="1"/>
  <c r="AB87" i="13"/>
  <c r="M87" i="13"/>
  <c r="L142" i="7" s="1"/>
  <c r="V87" i="13"/>
  <c r="Y87" i="13"/>
  <c r="Q132" i="46"/>
  <c r="F133" i="46" s="1"/>
  <c r="P132" i="46"/>
  <c r="U140" i="46"/>
  <c r="W140" i="46" s="1"/>
  <c r="AF88" i="28"/>
  <c r="J88" i="28"/>
  <c r="G123" i="40"/>
  <c r="R122" i="40"/>
  <c r="M145" i="33"/>
  <c r="P145" i="33"/>
  <c r="W143" i="33" s="1"/>
  <c r="I145" i="33"/>
  <c r="N145" i="33"/>
  <c r="J145" i="33" s="1"/>
  <c r="L145" i="33"/>
  <c r="I94" i="39"/>
  <c r="AC94" i="39" s="1"/>
  <c r="I228" i="32"/>
  <c r="P228" i="32"/>
  <c r="W226" i="32" s="1"/>
  <c r="AG228" i="32"/>
  <c r="AE228" i="32" s="1"/>
  <c r="AD228" i="32"/>
  <c r="AB228" i="32" s="1"/>
  <c r="Y228" i="32"/>
  <c r="AA228" i="32" s="1"/>
  <c r="F229" i="32"/>
  <c r="K140" i="37"/>
  <c r="I140" i="37"/>
  <c r="L140" i="37"/>
  <c r="J140" i="37"/>
  <c r="M140" i="37"/>
  <c r="H152" i="30"/>
  <c r="P152" i="30" s="1"/>
  <c r="W150" i="30" s="1"/>
  <c r="O94" i="39"/>
  <c r="P94" i="39"/>
  <c r="H87" i="13" l="1"/>
  <c r="H142" i="7" s="1"/>
  <c r="Z87" i="13"/>
  <c r="U87" i="13"/>
  <c r="E78" i="10"/>
  <c r="AC87" i="13"/>
  <c r="K133" i="46"/>
  <c r="J133" i="46"/>
  <c r="A133" i="46"/>
  <c r="M133" i="46" s="1"/>
  <c r="H133" i="46"/>
  <c r="I133" i="46"/>
  <c r="L133" i="46"/>
  <c r="Y140" i="46"/>
  <c r="Z140" i="46"/>
  <c r="X140" i="46"/>
  <c r="V140" i="46" s="1"/>
  <c r="U141" i="46" s="1"/>
  <c r="Y141" i="46" s="1"/>
  <c r="I95" i="13"/>
  <c r="J456" i="7"/>
  <c r="H88" i="28"/>
  <c r="N123" i="40"/>
  <c r="L123" i="40"/>
  <c r="AA123" i="40"/>
  <c r="AB123" i="40" s="1"/>
  <c r="AG123" i="40"/>
  <c r="AH123" i="40"/>
  <c r="AD123" i="40"/>
  <c r="M123" i="40"/>
  <c r="H145" i="33"/>
  <c r="Q145" i="33" s="1"/>
  <c r="J229" i="32"/>
  <c r="AC229" i="32"/>
  <c r="H229" i="32"/>
  <c r="Q229" i="32" s="1"/>
  <c r="K229" i="32"/>
  <c r="N229" i="32"/>
  <c r="AF229" i="32"/>
  <c r="L229" i="32"/>
  <c r="Z229" i="32"/>
  <c r="M229" i="32"/>
  <c r="H140" i="37"/>
  <c r="Q140" i="37" s="1"/>
  <c r="P140" i="37"/>
  <c r="W138" i="37" s="1"/>
  <c r="Q152" i="30"/>
  <c r="F153" i="30"/>
  <c r="I153" i="30" s="1"/>
  <c r="Z95" i="39"/>
  <c r="F95" i="39"/>
  <c r="C96" i="36"/>
  <c r="E95" i="36"/>
  <c r="J87" i="13" l="1"/>
  <c r="X87" i="13"/>
  <c r="W87" i="13"/>
  <c r="AA87" i="13"/>
  <c r="G133" i="46"/>
  <c r="X141" i="46"/>
  <c r="AB140" i="46"/>
  <c r="Z141" i="46"/>
  <c r="W141" i="46"/>
  <c r="I150" i="7"/>
  <c r="R88" i="28"/>
  <c r="R456" i="7" s="1"/>
  <c r="H456" i="7"/>
  <c r="Q88" i="28"/>
  <c r="Q456" i="7" s="1"/>
  <c r="F89" i="28"/>
  <c r="J123" i="40"/>
  <c r="AC123" i="40"/>
  <c r="I123" i="40" s="1"/>
  <c r="AF123" i="40"/>
  <c r="Q123" i="40"/>
  <c r="X121" i="40"/>
  <c r="F146" i="33"/>
  <c r="P146" i="33" s="1"/>
  <c r="W144" i="33" s="1"/>
  <c r="I229" i="32"/>
  <c r="F230" i="32"/>
  <c r="J230" i="32" s="1"/>
  <c r="P229" i="32"/>
  <c r="W227" i="32" s="1"/>
  <c r="AG229" i="32"/>
  <c r="AE229" i="32" s="1"/>
  <c r="Y229" i="32"/>
  <c r="AA229" i="32" s="1"/>
  <c r="AD229" i="32"/>
  <c r="AB229" i="32" s="1"/>
  <c r="F141" i="37"/>
  <c r="J141" i="37" s="1"/>
  <c r="M153" i="30"/>
  <c r="L153" i="30"/>
  <c r="N153" i="30"/>
  <c r="J153" i="30" s="1"/>
  <c r="H153" i="30" s="1"/>
  <c r="K153" i="30"/>
  <c r="L95" i="39"/>
  <c r="J95" i="39"/>
  <c r="Q95" i="39"/>
  <c r="V95" i="39"/>
  <c r="Y95" i="39"/>
  <c r="X95" i="39" s="1"/>
  <c r="K95" i="39"/>
  <c r="S95" i="39"/>
  <c r="T95" i="39" s="1"/>
  <c r="G87" i="13" l="1"/>
  <c r="G142" i="7" s="1"/>
  <c r="Q133" i="46"/>
  <c r="F134" i="46" s="1"/>
  <c r="P133" i="46"/>
  <c r="V141" i="46"/>
  <c r="AB141" i="46" s="1"/>
  <c r="N89" i="28"/>
  <c r="N457" i="7" s="1"/>
  <c r="K89" i="28"/>
  <c r="K457" i="7" s="1"/>
  <c r="AA89" i="28"/>
  <c r="F457" i="7"/>
  <c r="S457" i="7" s="1"/>
  <c r="L89" i="28"/>
  <c r="L457" i="7" s="1"/>
  <c r="AD89" i="28"/>
  <c r="AG89" i="28"/>
  <c r="M89" i="28"/>
  <c r="M457" i="7" s="1"/>
  <c r="G124" i="40"/>
  <c r="R123" i="40"/>
  <c r="L146" i="33"/>
  <c r="M146" i="33"/>
  <c r="N146" i="33"/>
  <c r="J146" i="33" s="1"/>
  <c r="I146" i="33"/>
  <c r="K146" i="33"/>
  <c r="M230" i="32"/>
  <c r="L230" i="32"/>
  <c r="AF230" i="32"/>
  <c r="H230" i="32"/>
  <c r="Q230" i="32" s="1"/>
  <c r="K230" i="32"/>
  <c r="AC230" i="32"/>
  <c r="N230" i="32"/>
  <c r="AG230" i="32" s="1"/>
  <c r="Z230" i="32"/>
  <c r="K141" i="37"/>
  <c r="I141" i="37"/>
  <c r="H141" i="37" s="1"/>
  <c r="F142" i="37" s="1"/>
  <c r="L142" i="37" s="1"/>
  <c r="M141" i="37"/>
  <c r="L141" i="37"/>
  <c r="Q153" i="30"/>
  <c r="F154" i="30"/>
  <c r="P153" i="30"/>
  <c r="W151" i="30" s="1"/>
  <c r="U95" i="39"/>
  <c r="G95" i="39" s="1"/>
  <c r="D96" i="36" s="1"/>
  <c r="H95" i="39"/>
  <c r="R87" i="13" l="1"/>
  <c r="S87" i="13"/>
  <c r="Q142" i="7"/>
  <c r="P142" i="7"/>
  <c r="F88" i="13"/>
  <c r="F143" i="7" s="1"/>
  <c r="R143" i="7" s="1"/>
  <c r="A134" i="46"/>
  <c r="M134" i="46" s="1"/>
  <c r="K134" i="46"/>
  <c r="I134" i="46"/>
  <c r="H134" i="46"/>
  <c r="L134" i="46"/>
  <c r="J134" i="46"/>
  <c r="U142" i="46"/>
  <c r="Y142" i="46" s="1"/>
  <c r="I89" i="28"/>
  <c r="I457" i="7" s="1"/>
  <c r="AH89" i="28"/>
  <c r="AF89" i="28" s="1"/>
  <c r="Z89" i="28"/>
  <c r="AB89" i="28" s="1"/>
  <c r="AE89" i="28"/>
  <c r="AC89" i="28" s="1"/>
  <c r="X87" i="28"/>
  <c r="M124" i="40"/>
  <c r="AA124" i="40"/>
  <c r="AB124" i="40" s="1"/>
  <c r="AD124" i="40"/>
  <c r="L124" i="40"/>
  <c r="N124" i="40"/>
  <c r="AH124" i="40"/>
  <c r="AG124" i="40"/>
  <c r="H146" i="33"/>
  <c r="I95" i="39"/>
  <c r="AC95" i="39" s="1"/>
  <c r="AE230" i="32"/>
  <c r="I230" i="32"/>
  <c r="P230" i="32"/>
  <c r="W228" i="32" s="1"/>
  <c r="Y230" i="32"/>
  <c r="AA230" i="32" s="1"/>
  <c r="AD230" i="32"/>
  <c r="AB230" i="32" s="1"/>
  <c r="F231" i="32"/>
  <c r="M142" i="37"/>
  <c r="J142" i="37"/>
  <c r="K142" i="37"/>
  <c r="I142" i="37"/>
  <c r="P141" i="37"/>
  <c r="W139" i="37" s="1"/>
  <c r="Q141" i="37"/>
  <c r="L154" i="30"/>
  <c r="N154" i="30"/>
  <c r="J154" i="30" s="1"/>
  <c r="M154" i="30"/>
  <c r="I154" i="30"/>
  <c r="K154" i="30"/>
  <c r="O95" i="39"/>
  <c r="P95" i="39"/>
  <c r="L88" i="13" l="1"/>
  <c r="K143" i="7" s="1"/>
  <c r="K88" i="13"/>
  <c r="J143" i="7" s="1"/>
  <c r="N88" i="13"/>
  <c r="M143" i="7" s="1"/>
  <c r="Y88" i="13"/>
  <c r="AB88" i="13"/>
  <c r="H88" i="13" s="1"/>
  <c r="H143" i="7" s="1"/>
  <c r="M88" i="13"/>
  <c r="L143" i="7" s="1"/>
  <c r="V88" i="13"/>
  <c r="G134" i="46"/>
  <c r="X142" i="46"/>
  <c r="W142" i="46"/>
  <c r="Z142" i="46"/>
  <c r="I96" i="13"/>
  <c r="J89" i="28"/>
  <c r="H89" i="28" s="1"/>
  <c r="P142" i="37"/>
  <c r="W140" i="37" s="1"/>
  <c r="AF124" i="40"/>
  <c r="Q124" i="40"/>
  <c r="X122" i="40"/>
  <c r="AC124" i="40"/>
  <c r="I124" i="40" s="1"/>
  <c r="J124" i="40"/>
  <c r="F147" i="33"/>
  <c r="Q146" i="33"/>
  <c r="H231" i="32"/>
  <c r="Z231" i="32"/>
  <c r="J231" i="32"/>
  <c r="N231" i="32"/>
  <c r="AC231" i="32"/>
  <c r="K231" i="32"/>
  <c r="M231" i="32"/>
  <c r="L231" i="32"/>
  <c r="AF231" i="32"/>
  <c r="H142" i="37"/>
  <c r="F143" i="37" s="1"/>
  <c r="H154" i="30"/>
  <c r="Z96" i="39"/>
  <c r="F96" i="39"/>
  <c r="E96" i="36"/>
  <c r="C97" i="36"/>
  <c r="AC88" i="13" l="1"/>
  <c r="U88" i="13"/>
  <c r="Z88" i="13"/>
  <c r="J88" i="13" s="1"/>
  <c r="E79" i="10"/>
  <c r="W88" i="13"/>
  <c r="AA88" i="13"/>
  <c r="Q134" i="46"/>
  <c r="F135" i="46" s="1"/>
  <c r="P134" i="46"/>
  <c r="V142" i="46"/>
  <c r="U143" i="46" s="1"/>
  <c r="Y143" i="46" s="1"/>
  <c r="I151" i="7"/>
  <c r="J457" i="7"/>
  <c r="R89" i="28"/>
  <c r="R457" i="7" s="1"/>
  <c r="Q89" i="28"/>
  <c r="Q457" i="7" s="1"/>
  <c r="H457" i="7"/>
  <c r="F90" i="28"/>
  <c r="R124" i="40"/>
  <c r="G125" i="40"/>
  <c r="K147" i="33"/>
  <c r="L147" i="33"/>
  <c r="P147" i="33"/>
  <c r="W145" i="33" s="1"/>
  <c r="M147" i="33"/>
  <c r="I147" i="33"/>
  <c r="N147" i="33"/>
  <c r="J147" i="33" s="1"/>
  <c r="I231" i="32"/>
  <c r="Q231" i="32"/>
  <c r="F232" i="32"/>
  <c r="AG231" i="32"/>
  <c r="AE231" i="32" s="1"/>
  <c r="Y231" i="32"/>
  <c r="AA231" i="32" s="1"/>
  <c r="AD231" i="32"/>
  <c r="AB231" i="32" s="1"/>
  <c r="P231" i="32"/>
  <c r="W229" i="32" s="1"/>
  <c r="Q142" i="37"/>
  <c r="M143" i="37"/>
  <c r="L143" i="37"/>
  <c r="K143" i="37"/>
  <c r="J143" i="37"/>
  <c r="I143" i="37"/>
  <c r="Q154" i="30"/>
  <c r="F155" i="30"/>
  <c r="P154" i="30"/>
  <c r="W152" i="30" s="1"/>
  <c r="L96" i="39"/>
  <c r="S96" i="39"/>
  <c r="T96" i="39" s="1"/>
  <c r="Q96" i="39"/>
  <c r="J96" i="39"/>
  <c r="V96" i="39"/>
  <c r="K96" i="39"/>
  <c r="Y96" i="39"/>
  <c r="X96" i="39" s="1"/>
  <c r="X88" i="13" l="1"/>
  <c r="G88" i="13"/>
  <c r="G143" i="7" s="1"/>
  <c r="A135" i="46"/>
  <c r="M135" i="46" s="1"/>
  <c r="I135" i="46"/>
  <c r="J135" i="46"/>
  <c r="K135" i="46"/>
  <c r="L135" i="46"/>
  <c r="H135" i="46"/>
  <c r="AB142" i="46"/>
  <c r="Z143" i="46"/>
  <c r="W143" i="46"/>
  <c r="X143" i="46"/>
  <c r="F458" i="7"/>
  <c r="S458" i="7" s="1"/>
  <c r="AA90" i="28"/>
  <c r="L90" i="28"/>
  <c r="L458" i="7" s="1"/>
  <c r="K90" i="28"/>
  <c r="AG90" i="28"/>
  <c r="AD90" i="28"/>
  <c r="M90" i="28"/>
  <c r="M458" i="7" s="1"/>
  <c r="N90" i="28"/>
  <c r="N125" i="40"/>
  <c r="AD125" i="40"/>
  <c r="AG125" i="40"/>
  <c r="L125" i="40"/>
  <c r="AA125" i="40"/>
  <c r="AB125" i="40" s="1"/>
  <c r="M125" i="40"/>
  <c r="AH125" i="40"/>
  <c r="H147" i="33"/>
  <c r="Q147" i="33" s="1"/>
  <c r="AF232" i="32"/>
  <c r="J232" i="32"/>
  <c r="H232" i="32"/>
  <c r="N232" i="32"/>
  <c r="AG232" i="32" s="1"/>
  <c r="M232" i="32"/>
  <c r="Z232" i="32"/>
  <c r="AC232" i="32"/>
  <c r="K232" i="32"/>
  <c r="L232" i="32"/>
  <c r="P143" i="37"/>
  <c r="W141" i="37" s="1"/>
  <c r="H143" i="37"/>
  <c r="I155" i="30"/>
  <c r="L155" i="30"/>
  <c r="N155" i="30"/>
  <c r="J155" i="30" s="1"/>
  <c r="M155" i="30"/>
  <c r="K155" i="30"/>
  <c r="H96" i="39"/>
  <c r="U96" i="39"/>
  <c r="G96" i="39" s="1"/>
  <c r="D97" i="36" s="1"/>
  <c r="Q143" i="7" l="1"/>
  <c r="S88" i="13"/>
  <c r="R88" i="13"/>
  <c r="F89" i="13"/>
  <c r="F144" i="7" s="1"/>
  <c r="R144" i="7" s="1"/>
  <c r="P143" i="7"/>
  <c r="G135" i="46"/>
  <c r="V143" i="46"/>
  <c r="U144" i="46" s="1"/>
  <c r="Y144" i="46" s="1"/>
  <c r="I90" i="28"/>
  <c r="I458" i="7" s="1"/>
  <c r="K458" i="7"/>
  <c r="X88" i="28"/>
  <c r="AH90" i="28"/>
  <c r="N458" i="7"/>
  <c r="Z90" i="28"/>
  <c r="AB90" i="28" s="1"/>
  <c r="AE90" i="28"/>
  <c r="AC90" i="28" s="1"/>
  <c r="AF125" i="40"/>
  <c r="X123" i="40"/>
  <c r="Q125" i="40"/>
  <c r="AC125" i="40"/>
  <c r="I125" i="40" s="1"/>
  <c r="J125" i="40"/>
  <c r="F148" i="33"/>
  <c r="M148" i="33" s="1"/>
  <c r="I96" i="39"/>
  <c r="AC96" i="39" s="1"/>
  <c r="I232" i="32"/>
  <c r="AE232" i="32"/>
  <c r="Y232" i="32"/>
  <c r="AA232" i="32" s="1"/>
  <c r="AD232" i="32"/>
  <c r="AB232" i="32" s="1"/>
  <c r="Q232" i="32"/>
  <c r="F233" i="32"/>
  <c r="P232" i="32"/>
  <c r="W230" i="32" s="1"/>
  <c r="F144" i="37"/>
  <c r="Q143" i="37"/>
  <c r="H155" i="30"/>
  <c r="Q155" i="30" s="1"/>
  <c r="O96" i="39"/>
  <c r="P96" i="39"/>
  <c r="AB89" i="13" l="1"/>
  <c r="Y89" i="13"/>
  <c r="H89" i="13" s="1"/>
  <c r="H144" i="7" s="1"/>
  <c r="K89" i="13"/>
  <c r="J144" i="7" s="1"/>
  <c r="N89" i="13"/>
  <c r="M144" i="7" s="1"/>
  <c r="M89" i="13"/>
  <c r="L144" i="7" s="1"/>
  <c r="L89" i="13"/>
  <c r="K144" i="7" s="1"/>
  <c r="V89" i="13"/>
  <c r="AC89" i="13"/>
  <c r="AA89" i="13" s="1"/>
  <c r="U89" i="13"/>
  <c r="W89" i="13" s="1"/>
  <c r="Q135" i="46"/>
  <c r="F136" i="46" s="1"/>
  <c r="P135" i="46"/>
  <c r="AB143" i="46"/>
  <c r="X144" i="46"/>
  <c r="Z144" i="46"/>
  <c r="W144" i="46"/>
  <c r="AF90" i="28"/>
  <c r="J90" i="28"/>
  <c r="G126" i="40"/>
  <c r="R125" i="40"/>
  <c r="I148" i="33"/>
  <c r="N148" i="33"/>
  <c r="J148" i="33" s="1"/>
  <c r="L148" i="33"/>
  <c r="P148" i="33"/>
  <c r="W146" i="33" s="1"/>
  <c r="K148" i="33"/>
  <c r="N233" i="32"/>
  <c r="AG233" i="32" s="1"/>
  <c r="M233" i="32"/>
  <c r="AF233" i="32"/>
  <c r="J233" i="32"/>
  <c r="Z233" i="32"/>
  <c r="H233" i="32"/>
  <c r="F234" i="32" s="1"/>
  <c r="AC233" i="32"/>
  <c r="K233" i="32"/>
  <c r="L233" i="32"/>
  <c r="F156" i="30"/>
  <c r="I156" i="30" s="1"/>
  <c r="P155" i="30"/>
  <c r="W153" i="30" s="1"/>
  <c r="K144" i="37"/>
  <c r="I144" i="37"/>
  <c r="M144" i="37"/>
  <c r="J144" i="37"/>
  <c r="L144" i="37"/>
  <c r="Z97" i="39"/>
  <c r="F97" i="39"/>
  <c r="E97" i="36"/>
  <c r="C98" i="36"/>
  <c r="Z89" i="13" l="1"/>
  <c r="J89" i="13" s="1"/>
  <c r="E80" i="10"/>
  <c r="X89" i="13"/>
  <c r="A136" i="46"/>
  <c r="M136" i="46" s="1"/>
  <c r="H136" i="46"/>
  <c r="I136" i="46"/>
  <c r="J136" i="46"/>
  <c r="K136" i="46"/>
  <c r="L136" i="46"/>
  <c r="V144" i="46"/>
  <c r="I97" i="13"/>
  <c r="H90" i="28"/>
  <c r="J458" i="7"/>
  <c r="AD126" i="40"/>
  <c r="AG126" i="40"/>
  <c r="N126" i="40"/>
  <c r="L126" i="40"/>
  <c r="M126" i="40"/>
  <c r="AH126" i="40"/>
  <c r="AA126" i="40"/>
  <c r="AB126" i="40" s="1"/>
  <c r="H148" i="33"/>
  <c r="Q148" i="33" s="1"/>
  <c r="I233" i="32"/>
  <c r="Q233" i="32"/>
  <c r="J234" i="32"/>
  <c r="L234" i="32"/>
  <c r="K234" i="32"/>
  <c r="H234" i="32"/>
  <c r="F235" i="32" s="1"/>
  <c r="Z234" i="32"/>
  <c r="M234" i="32"/>
  <c r="AC234" i="32"/>
  <c r="AF234" i="32"/>
  <c r="N234" i="32"/>
  <c r="AE233" i="32"/>
  <c r="P233" i="32"/>
  <c r="W231" i="32" s="1"/>
  <c r="AD233" i="32"/>
  <c r="AB233" i="32" s="1"/>
  <c r="Y233" i="32"/>
  <c r="AA233" i="32" s="1"/>
  <c r="P144" i="37"/>
  <c r="W142" i="37" s="1"/>
  <c r="N156" i="30"/>
  <c r="J156" i="30" s="1"/>
  <c r="H156" i="30" s="1"/>
  <c r="F157" i="30" s="1"/>
  <c r="I157" i="30" s="1"/>
  <c r="H144" i="37"/>
  <c r="Q144" i="37" s="1"/>
  <c r="K156" i="30"/>
  <c r="M156" i="30"/>
  <c r="L156" i="30"/>
  <c r="V97" i="39"/>
  <c r="S97" i="39"/>
  <c r="T97" i="39" s="1"/>
  <c r="K97" i="39"/>
  <c r="Y97" i="39"/>
  <c r="X97" i="39" s="1"/>
  <c r="Q97" i="39"/>
  <c r="L97" i="39"/>
  <c r="J97" i="39"/>
  <c r="G89" i="13" l="1"/>
  <c r="G144" i="7" s="1"/>
  <c r="R89" i="13"/>
  <c r="F90" i="13"/>
  <c r="Q144" i="7"/>
  <c r="P144" i="7"/>
  <c r="G136" i="46"/>
  <c r="M90" i="13"/>
  <c r="L145" i="7" s="1"/>
  <c r="V90" i="13"/>
  <c r="AB90" i="13"/>
  <c r="K90" i="13"/>
  <c r="J145" i="7" s="1"/>
  <c r="L90" i="13"/>
  <c r="K145" i="7" s="1"/>
  <c r="Y90" i="13"/>
  <c r="H90" i="13" s="1"/>
  <c r="H145" i="7" s="1"/>
  <c r="N90" i="13"/>
  <c r="M145" i="7" s="1"/>
  <c r="F145" i="7"/>
  <c r="R145" i="7" s="1"/>
  <c r="AB144" i="46"/>
  <c r="U145" i="46"/>
  <c r="Z145" i="46" s="1"/>
  <c r="I152" i="7"/>
  <c r="H458" i="7"/>
  <c r="F91" i="28"/>
  <c r="Q90" i="28"/>
  <c r="Q458" i="7" s="1"/>
  <c r="R90" i="28"/>
  <c r="R458" i="7" s="1"/>
  <c r="AF126" i="40"/>
  <c r="X124" i="40"/>
  <c r="Q126" i="40"/>
  <c r="AC126" i="40"/>
  <c r="I126" i="40" s="1"/>
  <c r="J126" i="40"/>
  <c r="F149" i="33"/>
  <c r="I149" i="33" s="1"/>
  <c r="I234" i="32"/>
  <c r="P234" i="32"/>
  <c r="W232" i="32" s="1"/>
  <c r="Q234" i="32"/>
  <c r="AF235" i="32"/>
  <c r="H235" i="32"/>
  <c r="Q235" i="32" s="1"/>
  <c r="N235" i="32"/>
  <c r="AG235" i="32" s="1"/>
  <c r="J235" i="32"/>
  <c r="K235" i="32"/>
  <c r="Z235" i="32"/>
  <c r="M235" i="32"/>
  <c r="AC235" i="32"/>
  <c r="L235" i="32"/>
  <c r="AD234" i="32"/>
  <c r="AB234" i="32" s="1"/>
  <c r="Y234" i="32"/>
  <c r="AA234" i="32" s="1"/>
  <c r="AG234" i="32"/>
  <c r="AE234" i="32" s="1"/>
  <c r="F145" i="37"/>
  <c r="K145" i="37" s="1"/>
  <c r="N157" i="30"/>
  <c r="J157" i="30" s="1"/>
  <c r="H157" i="30" s="1"/>
  <c r="F158" i="30" s="1"/>
  <c r="M158" i="30" s="1"/>
  <c r="L157" i="30"/>
  <c r="K157" i="30"/>
  <c r="M157" i="30"/>
  <c r="Q156" i="30"/>
  <c r="P156" i="30"/>
  <c r="W154" i="30" s="1"/>
  <c r="U97" i="39"/>
  <c r="G97" i="39" s="1"/>
  <c r="D98" i="36" s="1"/>
  <c r="H97" i="39"/>
  <c r="S89" i="13" l="1"/>
  <c r="P136" i="46"/>
  <c r="Q136" i="46"/>
  <c r="F137" i="46" s="1"/>
  <c r="U90" i="13"/>
  <c r="W90" i="13" s="1"/>
  <c r="Z90" i="13"/>
  <c r="AC90" i="13"/>
  <c r="AA90" i="13" s="1"/>
  <c r="E81" i="10"/>
  <c r="L137" i="46"/>
  <c r="I137" i="46"/>
  <c r="K137" i="46"/>
  <c r="J137" i="46"/>
  <c r="H137" i="46"/>
  <c r="A137" i="46"/>
  <c r="M137" i="46" s="1"/>
  <c r="X145" i="46"/>
  <c r="W145" i="46"/>
  <c r="Y145" i="46"/>
  <c r="F459" i="7"/>
  <c r="S459" i="7" s="1"/>
  <c r="N91" i="28"/>
  <c r="N459" i="7" s="1"/>
  <c r="L91" i="28"/>
  <c r="L459" i="7" s="1"/>
  <c r="M91" i="28"/>
  <c r="M459" i="7" s="1"/>
  <c r="K91" i="28"/>
  <c r="K459" i="7" s="1"/>
  <c r="AA91" i="28"/>
  <c r="AD91" i="28"/>
  <c r="AG91" i="28"/>
  <c r="G127" i="40"/>
  <c r="R126" i="40"/>
  <c r="L149" i="33"/>
  <c r="P149" i="33"/>
  <c r="W147" i="33" s="1"/>
  <c r="M149" i="33"/>
  <c r="N149" i="33"/>
  <c r="J149" i="33" s="1"/>
  <c r="H149" i="33" s="1"/>
  <c r="F150" i="33" s="1"/>
  <c r="K149" i="33"/>
  <c r="I97" i="39"/>
  <c r="AC97" i="39" s="1"/>
  <c r="AE235" i="32"/>
  <c r="I235" i="32"/>
  <c r="F236" i="32"/>
  <c r="Z236" i="32" s="1"/>
  <c r="P235" i="32"/>
  <c r="W233" i="32" s="1"/>
  <c r="AD235" i="32"/>
  <c r="AB235" i="32" s="1"/>
  <c r="Y235" i="32"/>
  <c r="AA235" i="32" s="1"/>
  <c r="M145" i="37"/>
  <c r="I145" i="37"/>
  <c r="L145" i="37"/>
  <c r="J145" i="37"/>
  <c r="Q157" i="30"/>
  <c r="L158" i="30"/>
  <c r="N158" i="30"/>
  <c r="J158" i="30" s="1"/>
  <c r="K158" i="30"/>
  <c r="I158" i="30"/>
  <c r="P157" i="30"/>
  <c r="W155" i="30" s="1"/>
  <c r="O97" i="39"/>
  <c r="P97" i="39"/>
  <c r="X90" i="13" l="1"/>
  <c r="J90" i="13"/>
  <c r="G90" i="13" s="1"/>
  <c r="G137" i="46"/>
  <c r="P137" i="46" s="1"/>
  <c r="V145" i="46"/>
  <c r="I91" i="28"/>
  <c r="I459" i="7" s="1"/>
  <c r="AE91" i="28"/>
  <c r="AC91" i="28" s="1"/>
  <c r="AH91" i="28"/>
  <c r="AF91" i="28" s="1"/>
  <c r="Z91" i="28"/>
  <c r="AB91" i="28" s="1"/>
  <c r="X89" i="28"/>
  <c r="AA127" i="40"/>
  <c r="AB127" i="40" s="1"/>
  <c r="AG127" i="40"/>
  <c r="AD127" i="40"/>
  <c r="M127" i="40"/>
  <c r="N127" i="40"/>
  <c r="L127" i="40"/>
  <c r="AH127" i="40"/>
  <c r="Q149" i="33"/>
  <c r="K150" i="33"/>
  <c r="L150" i="33"/>
  <c r="P150" i="33"/>
  <c r="W148" i="33" s="1"/>
  <c r="M150" i="33"/>
  <c r="I150" i="33"/>
  <c r="N150" i="33"/>
  <c r="J150" i="33" s="1"/>
  <c r="H236" i="32"/>
  <c r="Q236" i="32" s="1"/>
  <c r="AF236" i="32"/>
  <c r="K236" i="32"/>
  <c r="M236" i="32"/>
  <c r="N236" i="32"/>
  <c r="AD236" i="32" s="1"/>
  <c r="L236" i="32"/>
  <c r="J236" i="32"/>
  <c r="AC236" i="32"/>
  <c r="P145" i="37"/>
  <c r="W143" i="37" s="1"/>
  <c r="H145" i="37"/>
  <c r="Q145" i="37" s="1"/>
  <c r="H158" i="30"/>
  <c r="F159" i="30" s="1"/>
  <c r="K159" i="30" s="1"/>
  <c r="Z98" i="39"/>
  <c r="F98" i="39"/>
  <c r="E98" i="36"/>
  <c r="C99" i="36"/>
  <c r="S90" i="13" l="1"/>
  <c r="F91" i="13"/>
  <c r="R90" i="13"/>
  <c r="G145" i="7"/>
  <c r="Q137" i="46"/>
  <c r="F138" i="46" s="1"/>
  <c r="AB145" i="46"/>
  <c r="U146" i="46"/>
  <c r="X146" i="46" s="1"/>
  <c r="J91" i="28"/>
  <c r="J459" i="7" s="1"/>
  <c r="AF127" i="40"/>
  <c r="Q127" i="40"/>
  <c r="X125" i="40"/>
  <c r="AC127" i="40"/>
  <c r="I127" i="40" s="1"/>
  <c r="J127" i="40"/>
  <c r="H150" i="33"/>
  <c r="Q150" i="33" s="1"/>
  <c r="I236" i="32"/>
  <c r="P236" i="32"/>
  <c r="W234" i="32" s="1"/>
  <c r="F237" i="32"/>
  <c r="AC237" i="32" s="1"/>
  <c r="AB236" i="32"/>
  <c r="AG236" i="32"/>
  <c r="AE236" i="32" s="1"/>
  <c r="Y236" i="32"/>
  <c r="AA236" i="32" s="1"/>
  <c r="F146" i="37"/>
  <c r="K146" i="37" s="1"/>
  <c r="Q158" i="30"/>
  <c r="N159" i="30"/>
  <c r="J159" i="30" s="1"/>
  <c r="M159" i="30"/>
  <c r="P158" i="30"/>
  <c r="W156" i="30" s="1"/>
  <c r="I159" i="30"/>
  <c r="L159" i="30"/>
  <c r="S98" i="39"/>
  <c r="T98" i="39" s="1"/>
  <c r="V98" i="39"/>
  <c r="K98" i="39"/>
  <c r="Y98" i="39"/>
  <c r="X98" i="39" s="1"/>
  <c r="Q98" i="39"/>
  <c r="L98" i="39"/>
  <c r="J98" i="39"/>
  <c r="J138" i="46" l="1"/>
  <c r="K138" i="46"/>
  <c r="L138" i="46"/>
  <c r="H138" i="46"/>
  <c r="M91" i="13"/>
  <c r="L146" i="7" s="1"/>
  <c r="Y91" i="13"/>
  <c r="L91" i="13"/>
  <c r="K146" i="7" s="1"/>
  <c r="V91" i="13"/>
  <c r="K91" i="13"/>
  <c r="J146" i="7" s="1"/>
  <c r="N91" i="13"/>
  <c r="AB91" i="13"/>
  <c r="F146" i="7"/>
  <c r="R146" i="7" s="1"/>
  <c r="P145" i="7"/>
  <c r="Q145" i="7"/>
  <c r="I138" i="46"/>
  <c r="A138" i="46"/>
  <c r="M138" i="46" s="1"/>
  <c r="Z146" i="46"/>
  <c r="W146" i="46"/>
  <c r="V146" i="46" s="1"/>
  <c r="Y146" i="46"/>
  <c r="I98" i="13"/>
  <c r="I153" i="7" s="1"/>
  <c r="H91" i="28"/>
  <c r="R91" i="28" s="1"/>
  <c r="R459" i="7" s="1"/>
  <c r="R127" i="40"/>
  <c r="G128" i="40"/>
  <c r="F151" i="33"/>
  <c r="I151" i="33" s="1"/>
  <c r="Z237" i="32"/>
  <c r="M237" i="32"/>
  <c r="L237" i="32"/>
  <c r="N237" i="32"/>
  <c r="AG237" i="32" s="1"/>
  <c r="AF237" i="32"/>
  <c r="H237" i="32"/>
  <c r="F238" i="32" s="1"/>
  <c r="N238" i="32" s="1"/>
  <c r="K237" i="32"/>
  <c r="J237" i="32"/>
  <c r="I146" i="37"/>
  <c r="L146" i="37"/>
  <c r="M146" i="37"/>
  <c r="J146" i="37"/>
  <c r="H159" i="30"/>
  <c r="Q159" i="30" s="1"/>
  <c r="U98" i="39"/>
  <c r="G98" i="39" s="1"/>
  <c r="D99" i="36" s="1"/>
  <c r="H98" i="39"/>
  <c r="H91" i="13" l="1"/>
  <c r="H146" i="7" s="1"/>
  <c r="AC91" i="13"/>
  <c r="M146" i="7"/>
  <c r="E82" i="10"/>
  <c r="U91" i="13"/>
  <c r="W91" i="13" s="1"/>
  <c r="Z91" i="13"/>
  <c r="G138" i="46"/>
  <c r="P138" i="46" s="1"/>
  <c r="AB146" i="46"/>
  <c r="U147" i="46"/>
  <c r="Y147" i="46" s="1"/>
  <c r="H459" i="7"/>
  <c r="Q91" i="28"/>
  <c r="Q459" i="7" s="1"/>
  <c r="F92" i="28"/>
  <c r="L92" i="28" s="1"/>
  <c r="L460" i="7" s="1"/>
  <c r="AH128" i="40"/>
  <c r="AG128" i="40"/>
  <c r="M128" i="40"/>
  <c r="AA128" i="40"/>
  <c r="AB128" i="40" s="1"/>
  <c r="L128" i="40"/>
  <c r="AD128" i="40"/>
  <c r="N128" i="40"/>
  <c r="K151" i="33"/>
  <c r="L151" i="33"/>
  <c r="N151" i="33"/>
  <c r="J151" i="33" s="1"/>
  <c r="H151" i="33" s="1"/>
  <c r="F152" i="33" s="1"/>
  <c r="P151" i="33"/>
  <c r="W149" i="33" s="1"/>
  <c r="M151" i="33"/>
  <c r="I237" i="32"/>
  <c r="I98" i="39"/>
  <c r="AC98" i="39" s="1"/>
  <c r="P237" i="32"/>
  <c r="W235" i="32" s="1"/>
  <c r="Y237" i="32"/>
  <c r="AA237" i="32" s="1"/>
  <c r="L238" i="32"/>
  <c r="AE237" i="32"/>
  <c r="AD237" i="32"/>
  <c r="AB237" i="32" s="1"/>
  <c r="AF238" i="32"/>
  <c r="Q237" i="32"/>
  <c r="J238" i="32"/>
  <c r="K238" i="32"/>
  <c r="M238" i="32"/>
  <c r="AC238" i="32"/>
  <c r="H238" i="32"/>
  <c r="Q238" i="32" s="1"/>
  <c r="Z238" i="32"/>
  <c r="Y238" i="32"/>
  <c r="AD238" i="32"/>
  <c r="AG238" i="32"/>
  <c r="H146" i="37"/>
  <c r="F147" i="37" s="1"/>
  <c r="I147" i="37" s="1"/>
  <c r="P146" i="37"/>
  <c r="W144" i="37" s="1"/>
  <c r="F160" i="30"/>
  <c r="N160" i="30" s="1"/>
  <c r="J160" i="30" s="1"/>
  <c r="P159" i="30"/>
  <c r="W157" i="30" s="1"/>
  <c r="O98" i="39"/>
  <c r="P98" i="39"/>
  <c r="AA91" i="13" l="1"/>
  <c r="X91" i="13"/>
  <c r="J91" i="13"/>
  <c r="G91" i="13" s="1"/>
  <c r="Q138" i="46"/>
  <c r="F139" i="46" s="1"/>
  <c r="Z147" i="46"/>
  <c r="X147" i="46"/>
  <c r="W147" i="46"/>
  <c r="AG92" i="28"/>
  <c r="F460" i="7"/>
  <c r="S460" i="7" s="1"/>
  <c r="K92" i="28"/>
  <c r="K460" i="7" s="1"/>
  <c r="AA92" i="28"/>
  <c r="AD92" i="28"/>
  <c r="N92" i="28"/>
  <c r="N460" i="7" s="1"/>
  <c r="M92" i="28"/>
  <c r="M460" i="7" s="1"/>
  <c r="AF128" i="40"/>
  <c r="J128" i="40"/>
  <c r="AC128" i="40"/>
  <c r="I128" i="40" s="1"/>
  <c r="Q128" i="40"/>
  <c r="X126" i="40"/>
  <c r="Q151" i="33"/>
  <c r="P152" i="33"/>
  <c r="W150" i="33" s="1"/>
  <c r="N152" i="33"/>
  <c r="J152" i="33" s="1"/>
  <c r="K152" i="33"/>
  <c r="I152" i="33"/>
  <c r="M152" i="33"/>
  <c r="L152" i="33"/>
  <c r="I238" i="32"/>
  <c r="P238" i="32"/>
  <c r="W236" i="32" s="1"/>
  <c r="AE238" i="32"/>
  <c r="F239" i="32"/>
  <c r="AF239" i="32" s="1"/>
  <c r="AB238" i="32"/>
  <c r="AA238" i="32"/>
  <c r="Q146" i="37"/>
  <c r="M147" i="37"/>
  <c r="L147" i="37"/>
  <c r="J147" i="37"/>
  <c r="H147" i="37" s="1"/>
  <c r="Q147" i="37" s="1"/>
  <c r="K147" i="37"/>
  <c r="L160" i="30"/>
  <c r="K160" i="30"/>
  <c r="M160" i="30"/>
  <c r="I160" i="30"/>
  <c r="H160" i="30" s="1"/>
  <c r="Q160" i="30" s="1"/>
  <c r="E99" i="36"/>
  <c r="C100" i="36"/>
  <c r="F99" i="39"/>
  <c r="Z99" i="39"/>
  <c r="I139" i="46" l="1"/>
  <c r="A139" i="46"/>
  <c r="M139" i="46" s="1"/>
  <c r="J139" i="46"/>
  <c r="H139" i="46"/>
  <c r="K139" i="46"/>
  <c r="L139" i="46"/>
  <c r="S91" i="13"/>
  <c r="F92" i="13"/>
  <c r="R91" i="13"/>
  <c r="G146" i="7"/>
  <c r="V147" i="46"/>
  <c r="I92" i="28"/>
  <c r="I460" i="7" s="1"/>
  <c r="AE92" i="28"/>
  <c r="AC92" i="28" s="1"/>
  <c r="Z92" i="28"/>
  <c r="AB92" i="28" s="1"/>
  <c r="AH92" i="28"/>
  <c r="AF92" i="28" s="1"/>
  <c r="X90" i="28"/>
  <c r="G129" i="40"/>
  <c r="R128" i="40"/>
  <c r="H152" i="33"/>
  <c r="L239" i="32"/>
  <c r="AC239" i="32"/>
  <c r="J239" i="32"/>
  <c r="N239" i="32"/>
  <c r="AG239" i="32" s="1"/>
  <c r="AE239" i="32" s="1"/>
  <c r="K239" i="32"/>
  <c r="Z239" i="32"/>
  <c r="H239" i="32"/>
  <c r="F240" i="32" s="1"/>
  <c r="Z240" i="32" s="1"/>
  <c r="M239" i="32"/>
  <c r="F148" i="37"/>
  <c r="K148" i="37" s="1"/>
  <c r="P147" i="37"/>
  <c r="W145" i="37" s="1"/>
  <c r="F161" i="30"/>
  <c r="I161" i="30" s="1"/>
  <c r="P160" i="30"/>
  <c r="W158" i="30" s="1"/>
  <c r="Y99" i="39"/>
  <c r="X99" i="39" s="1"/>
  <c r="K99" i="39"/>
  <c r="V99" i="39"/>
  <c r="Q99" i="39"/>
  <c r="L99" i="39"/>
  <c r="S99" i="39"/>
  <c r="T99" i="39" s="1"/>
  <c r="J99" i="39"/>
  <c r="G139" i="46" l="1"/>
  <c r="V92" i="13"/>
  <c r="AB92" i="13"/>
  <c r="L92" i="13"/>
  <c r="K147" i="7" s="1"/>
  <c r="M92" i="13"/>
  <c r="L147" i="7" s="1"/>
  <c r="Y92" i="13"/>
  <c r="H92" i="13" s="1"/>
  <c r="H147" i="7" s="1"/>
  <c r="N92" i="13"/>
  <c r="K92" i="13"/>
  <c r="J147" i="7" s="1"/>
  <c r="F147" i="7"/>
  <c r="R147" i="7" s="1"/>
  <c r="Q146" i="7"/>
  <c r="P146" i="7"/>
  <c r="AB147" i="46"/>
  <c r="U148" i="46"/>
  <c r="Z148" i="46" s="1"/>
  <c r="I99" i="13"/>
  <c r="J92" i="28"/>
  <c r="H92" i="28" s="1"/>
  <c r="AD129" i="40"/>
  <c r="AG129" i="40"/>
  <c r="AA129" i="40"/>
  <c r="AB129" i="40" s="1"/>
  <c r="M129" i="40"/>
  <c r="AH129" i="40"/>
  <c r="L129" i="40"/>
  <c r="N129" i="40"/>
  <c r="Q152" i="33"/>
  <c r="F153" i="33"/>
  <c r="I239" i="32"/>
  <c r="P239" i="32"/>
  <c r="W237" i="32" s="1"/>
  <c r="Y239" i="32"/>
  <c r="AA239" i="32" s="1"/>
  <c r="AD239" i="32"/>
  <c r="AB239" i="32" s="1"/>
  <c r="M240" i="32"/>
  <c r="J240" i="32"/>
  <c r="AC240" i="32"/>
  <c r="N240" i="32"/>
  <c r="AG240" i="32" s="1"/>
  <c r="AF240" i="32"/>
  <c r="Q239" i="32"/>
  <c r="K240" i="32"/>
  <c r="L240" i="32"/>
  <c r="H240" i="32"/>
  <c r="F241" i="32" s="1"/>
  <c r="J241" i="32" s="1"/>
  <c r="I148" i="37"/>
  <c r="L148" i="37"/>
  <c r="J148" i="37"/>
  <c r="M148" i="37"/>
  <c r="N161" i="30"/>
  <c r="J161" i="30" s="1"/>
  <c r="H161" i="30" s="1"/>
  <c r="Q161" i="30" s="1"/>
  <c r="M161" i="30"/>
  <c r="L161" i="30"/>
  <c r="K161" i="30"/>
  <c r="U99" i="39"/>
  <c r="G99" i="39" s="1"/>
  <c r="D100" i="36" s="1"/>
  <c r="H99" i="39"/>
  <c r="Q139" i="46" l="1"/>
  <c r="F140" i="46" s="1"/>
  <c r="P139" i="46"/>
  <c r="AC92" i="13"/>
  <c r="AA92" i="13" s="1"/>
  <c r="Z92" i="13"/>
  <c r="M147" i="7"/>
  <c r="U92" i="13"/>
  <c r="W92" i="13" s="1"/>
  <c r="X148" i="46"/>
  <c r="Y148" i="46"/>
  <c r="W148" i="46"/>
  <c r="I154" i="7"/>
  <c r="J460" i="7"/>
  <c r="H460" i="7"/>
  <c r="Q92" i="28"/>
  <c r="Q460" i="7" s="1"/>
  <c r="F93" i="28"/>
  <c r="R92" i="28"/>
  <c r="R460" i="7" s="1"/>
  <c r="AF129" i="40"/>
  <c r="X127" i="40"/>
  <c r="Q129" i="40"/>
  <c r="J129" i="40"/>
  <c r="AC129" i="40"/>
  <c r="I129" i="40" s="1"/>
  <c r="M153" i="33"/>
  <c r="I153" i="33"/>
  <c r="N153" i="33"/>
  <c r="J153" i="33" s="1"/>
  <c r="L153" i="33"/>
  <c r="P153" i="33"/>
  <c r="W151" i="33" s="1"/>
  <c r="K153" i="33"/>
  <c r="I240" i="32"/>
  <c r="I99" i="39"/>
  <c r="AC99" i="39" s="1"/>
  <c r="P240" i="32"/>
  <c r="W238" i="32" s="1"/>
  <c r="Y240" i="32"/>
  <c r="AA240" i="32" s="1"/>
  <c r="AD240" i="32"/>
  <c r="AB240" i="32" s="1"/>
  <c r="AE240" i="32"/>
  <c r="H241" i="32"/>
  <c r="F242" i="32" s="1"/>
  <c r="N242" i="32" s="1"/>
  <c r="AG242" i="32" s="1"/>
  <c r="AF241" i="32"/>
  <c r="M241" i="32"/>
  <c r="K241" i="32"/>
  <c r="Q240" i="32"/>
  <c r="AC241" i="32"/>
  <c r="Z241" i="32"/>
  <c r="N241" i="32"/>
  <c r="AG241" i="32" s="1"/>
  <c r="L241" i="32"/>
  <c r="P148" i="37"/>
  <c r="W146" i="37" s="1"/>
  <c r="H148" i="37"/>
  <c r="F149" i="37" s="1"/>
  <c r="J149" i="37" s="1"/>
  <c r="F162" i="30"/>
  <c r="L162" i="30" s="1"/>
  <c r="P161" i="30"/>
  <c r="W159" i="30" s="1"/>
  <c r="O99" i="39"/>
  <c r="P99" i="39"/>
  <c r="A140" i="46" l="1"/>
  <c r="M140" i="46" s="1"/>
  <c r="J140" i="46"/>
  <c r="K140" i="46"/>
  <c r="L140" i="46"/>
  <c r="I140" i="46"/>
  <c r="H140" i="46"/>
  <c r="X92" i="13"/>
  <c r="J92" i="13"/>
  <c r="V148" i="46"/>
  <c r="I100" i="13"/>
  <c r="I155" i="7" s="1"/>
  <c r="K93" i="28"/>
  <c r="K461" i="7" s="1"/>
  <c r="AD93" i="28"/>
  <c r="N93" i="28"/>
  <c r="N461" i="7" s="1"/>
  <c r="F461" i="7"/>
  <c r="S461" i="7" s="1"/>
  <c r="AG93" i="28"/>
  <c r="M93" i="28"/>
  <c r="M461" i="7" s="1"/>
  <c r="L93" i="28"/>
  <c r="L461" i="7" s="1"/>
  <c r="AA93" i="28"/>
  <c r="R129" i="40"/>
  <c r="G130" i="40"/>
  <c r="H153" i="33"/>
  <c r="F154" i="33" s="1"/>
  <c r="I241" i="32"/>
  <c r="P241" i="32"/>
  <c r="W239" i="32" s="1"/>
  <c r="Z242" i="32"/>
  <c r="M242" i="32"/>
  <c r="Q241" i="32"/>
  <c r="K242" i="32"/>
  <c r="AF242" i="32"/>
  <c r="AE242" i="32" s="1"/>
  <c r="AC242" i="32"/>
  <c r="L242" i="32"/>
  <c r="AE241" i="32"/>
  <c r="J242" i="32"/>
  <c r="H242" i="32"/>
  <c r="Q242" i="32" s="1"/>
  <c r="Y241" i="32"/>
  <c r="AA241" i="32" s="1"/>
  <c r="AD241" i="32"/>
  <c r="AB241" i="32" s="1"/>
  <c r="Y242" i="32"/>
  <c r="AD242" i="32"/>
  <c r="L149" i="37"/>
  <c r="M149" i="37"/>
  <c r="Q148" i="37"/>
  <c r="K149" i="37"/>
  <c r="I149" i="37"/>
  <c r="H149" i="37" s="1"/>
  <c r="K162" i="30"/>
  <c r="M162" i="30"/>
  <c r="N162" i="30"/>
  <c r="J162" i="30" s="1"/>
  <c r="I162" i="30"/>
  <c r="Z100" i="39"/>
  <c r="F100" i="39"/>
  <c r="E100" i="36"/>
  <c r="C101" i="36"/>
  <c r="G92" i="13" l="1"/>
  <c r="G147" i="7" s="1"/>
  <c r="Q147" i="7" s="1"/>
  <c r="G140" i="46"/>
  <c r="U149" i="46"/>
  <c r="W149" i="46" s="1"/>
  <c r="AB148" i="46"/>
  <c r="I93" i="28"/>
  <c r="I461" i="7" s="1"/>
  <c r="Z93" i="28"/>
  <c r="AB93" i="28" s="1"/>
  <c r="AH93" i="28"/>
  <c r="AF93" i="28" s="1"/>
  <c r="X91" i="28"/>
  <c r="AE93" i="28"/>
  <c r="AC93" i="28" s="1"/>
  <c r="M130" i="40"/>
  <c r="AH130" i="40"/>
  <c r="N130" i="40"/>
  <c r="AA130" i="40"/>
  <c r="AB130" i="40" s="1"/>
  <c r="AD130" i="40"/>
  <c r="AG130" i="40"/>
  <c r="L130" i="40"/>
  <c r="Q153" i="33"/>
  <c r="N154" i="33"/>
  <c r="J154" i="33" s="1"/>
  <c r="K154" i="33"/>
  <c r="I154" i="33"/>
  <c r="M154" i="33"/>
  <c r="P154" i="33"/>
  <c r="W152" i="33" s="1"/>
  <c r="L154" i="33"/>
  <c r="I242" i="32"/>
  <c r="AA242" i="32"/>
  <c r="AB242" i="32"/>
  <c r="P242" i="32"/>
  <c r="W240" i="32" s="1"/>
  <c r="F243" i="32"/>
  <c r="AC243" i="32" s="1"/>
  <c r="P149" i="37"/>
  <c r="W147" i="37" s="1"/>
  <c r="H162" i="30"/>
  <c r="F163" i="30" s="1"/>
  <c r="N163" i="30" s="1"/>
  <c r="J163" i="30" s="1"/>
  <c r="F150" i="37"/>
  <c r="Q149" i="37"/>
  <c r="Q100" i="39"/>
  <c r="K100" i="39"/>
  <c r="J100" i="39"/>
  <c r="V100" i="39"/>
  <c r="Y100" i="39"/>
  <c r="X100" i="39" s="1"/>
  <c r="L100" i="39"/>
  <c r="S100" i="39"/>
  <c r="T100" i="39" s="1"/>
  <c r="Q140" i="46" l="1"/>
  <c r="F141" i="46" s="1"/>
  <c r="P140" i="46"/>
  <c r="F93" i="13"/>
  <c r="F148" i="7" s="1"/>
  <c r="R148" i="7" s="1"/>
  <c r="S92" i="13"/>
  <c r="R92" i="13"/>
  <c r="Z149" i="46"/>
  <c r="X149" i="46"/>
  <c r="V149" i="46" s="1"/>
  <c r="U150" i="46" s="1"/>
  <c r="Y150" i="46" s="1"/>
  <c r="Y149" i="46"/>
  <c r="J93" i="28"/>
  <c r="H93" i="28" s="1"/>
  <c r="Q130" i="40"/>
  <c r="X128" i="40"/>
  <c r="J130" i="40"/>
  <c r="AC130" i="40"/>
  <c r="I130" i="40" s="1"/>
  <c r="AF130" i="40"/>
  <c r="H154" i="33"/>
  <c r="H243" i="32"/>
  <c r="F244" i="32" s="1"/>
  <c r="Z244" i="32" s="1"/>
  <c r="AF243" i="32"/>
  <c r="L243" i="32"/>
  <c r="N243" i="32"/>
  <c r="AG243" i="32" s="1"/>
  <c r="K243" i="32"/>
  <c r="J243" i="32"/>
  <c r="Z243" i="32"/>
  <c r="M243" i="32"/>
  <c r="K163" i="30"/>
  <c r="L163" i="30"/>
  <c r="Q162" i="30"/>
  <c r="I163" i="30"/>
  <c r="H163" i="30" s="1"/>
  <c r="M163" i="30"/>
  <c r="P162" i="30"/>
  <c r="W160" i="30" s="1"/>
  <c r="K150" i="37"/>
  <c r="M150" i="37"/>
  <c r="I150" i="37"/>
  <c r="J150" i="37"/>
  <c r="L150" i="37"/>
  <c r="H100" i="39"/>
  <c r="U100" i="39"/>
  <c r="G100" i="39" s="1"/>
  <c r="D101" i="36" s="1"/>
  <c r="K141" i="46" l="1"/>
  <c r="L141" i="46"/>
  <c r="K93" i="13"/>
  <c r="J148" i="7" s="1"/>
  <c r="J141" i="46"/>
  <c r="A141" i="46"/>
  <c r="M141" i="46" s="1"/>
  <c r="I141" i="46"/>
  <c r="H141" i="46"/>
  <c r="AB93" i="13"/>
  <c r="L93" i="13"/>
  <c r="K148" i="7" s="1"/>
  <c r="M93" i="13"/>
  <c r="L148" i="7" s="1"/>
  <c r="Y93" i="13"/>
  <c r="H93" i="13" s="1"/>
  <c r="H148" i="7" s="1"/>
  <c r="N93" i="13"/>
  <c r="M148" i="7" s="1"/>
  <c r="V93" i="13"/>
  <c r="W150" i="46"/>
  <c r="X150" i="46"/>
  <c r="Z150" i="46"/>
  <c r="AB149" i="46"/>
  <c r="J461" i="7"/>
  <c r="Q93" i="28"/>
  <c r="Q461" i="7" s="1"/>
  <c r="F94" i="28"/>
  <c r="R93" i="28"/>
  <c r="R461" i="7" s="1"/>
  <c r="H461" i="7"/>
  <c r="G131" i="40"/>
  <c r="R130" i="40"/>
  <c r="Q243" i="32"/>
  <c r="Q154" i="33"/>
  <c r="F155" i="33"/>
  <c r="I243" i="32"/>
  <c r="N244" i="32"/>
  <c r="Y244" i="32" s="1"/>
  <c r="AA244" i="32" s="1"/>
  <c r="H244" i="32"/>
  <c r="Q244" i="32" s="1"/>
  <c r="J244" i="32"/>
  <c r="L244" i="32"/>
  <c r="K244" i="32"/>
  <c r="M244" i="32"/>
  <c r="I100" i="39"/>
  <c r="AC100" i="39" s="1"/>
  <c r="AF244" i="32"/>
  <c r="AC244" i="32"/>
  <c r="AE243" i="32"/>
  <c r="Y243" i="32"/>
  <c r="AA243" i="32" s="1"/>
  <c r="AD243" i="32"/>
  <c r="AB243" i="32" s="1"/>
  <c r="P243" i="32"/>
  <c r="W241" i="32" s="1"/>
  <c r="P163" i="30"/>
  <c r="W161" i="30" s="1"/>
  <c r="P150" i="37"/>
  <c r="W148" i="37" s="1"/>
  <c r="Q163" i="30"/>
  <c r="F164" i="30"/>
  <c r="H150" i="37"/>
  <c r="F151" i="37" s="1"/>
  <c r="K151" i="37" s="1"/>
  <c r="O100" i="39"/>
  <c r="P100" i="39"/>
  <c r="G141" i="46" l="1"/>
  <c r="AC93" i="13"/>
  <c r="Z93" i="13"/>
  <c r="U93" i="13"/>
  <c r="W93" i="13" s="1"/>
  <c r="E84" i="10"/>
  <c r="J93" i="13"/>
  <c r="V150" i="46"/>
  <c r="AB150" i="46" s="1"/>
  <c r="M94" i="28"/>
  <c r="M462" i="7" s="1"/>
  <c r="AG94" i="28"/>
  <c r="F462" i="7"/>
  <c r="S462" i="7" s="1"/>
  <c r="L94" i="28"/>
  <c r="L462" i="7" s="1"/>
  <c r="K94" i="28"/>
  <c r="K462" i="7" s="1"/>
  <c r="N94" i="28"/>
  <c r="N462" i="7" s="1"/>
  <c r="AD94" i="28"/>
  <c r="AA94" i="28"/>
  <c r="AH131" i="40"/>
  <c r="AD131" i="40"/>
  <c r="N131" i="40"/>
  <c r="M131" i="40"/>
  <c r="AG131" i="40"/>
  <c r="L131" i="40"/>
  <c r="AA131" i="40"/>
  <c r="AB131" i="40" s="1"/>
  <c r="N155" i="33"/>
  <c r="J155" i="33" s="1"/>
  <c r="P155" i="33"/>
  <c r="W153" i="33" s="1"/>
  <c r="M155" i="33"/>
  <c r="L155" i="33"/>
  <c r="K155" i="33"/>
  <c r="I155" i="33"/>
  <c r="I244" i="32"/>
  <c r="AG244" i="32"/>
  <c r="AE244" i="32" s="1"/>
  <c r="AD244" i="32"/>
  <c r="AB244" i="32" s="1"/>
  <c r="F245" i="32"/>
  <c r="Z245" i="32" s="1"/>
  <c r="P244" i="32"/>
  <c r="W242" i="32" s="1"/>
  <c r="I151" i="37"/>
  <c r="J151" i="37"/>
  <c r="M151" i="37"/>
  <c r="Q150" i="37"/>
  <c r="L151" i="37"/>
  <c r="M164" i="30"/>
  <c r="I164" i="30"/>
  <c r="K164" i="30"/>
  <c r="L164" i="30"/>
  <c r="N164" i="30"/>
  <c r="J164" i="30" s="1"/>
  <c r="Z101" i="39"/>
  <c r="F101" i="39"/>
  <c r="E101" i="36"/>
  <c r="C102" i="36"/>
  <c r="Q141" i="46" l="1"/>
  <c r="F142" i="46" s="1"/>
  <c r="P141" i="46"/>
  <c r="AA93" i="13"/>
  <c r="X93" i="13"/>
  <c r="G93" i="13"/>
  <c r="G148" i="7" s="1"/>
  <c r="U151" i="46"/>
  <c r="Z151" i="46" s="1"/>
  <c r="I101" i="13"/>
  <c r="I156" i="7" s="1"/>
  <c r="I94" i="28"/>
  <c r="I462" i="7" s="1"/>
  <c r="X92" i="28"/>
  <c r="AE94" i="28"/>
  <c r="AC94" i="28" s="1"/>
  <c r="AH94" i="28"/>
  <c r="Z94" i="28"/>
  <c r="AB94" i="28" s="1"/>
  <c r="Q131" i="40"/>
  <c r="X129" i="40"/>
  <c r="J131" i="40"/>
  <c r="AC131" i="40"/>
  <c r="I131" i="40" s="1"/>
  <c r="AF131" i="40"/>
  <c r="H155" i="33"/>
  <c r="Q155" i="33" s="1"/>
  <c r="K245" i="32"/>
  <c r="M245" i="32"/>
  <c r="J245" i="32"/>
  <c r="AC245" i="32"/>
  <c r="AF245" i="32"/>
  <c r="N245" i="32"/>
  <c r="AG245" i="32" s="1"/>
  <c r="L245" i="32"/>
  <c r="H245" i="32"/>
  <c r="Q245" i="32" s="1"/>
  <c r="P151" i="37"/>
  <c r="W149" i="37" s="1"/>
  <c r="H151" i="37"/>
  <c r="Q151" i="37" s="1"/>
  <c r="H164" i="30"/>
  <c r="J101" i="39"/>
  <c r="Y101" i="39"/>
  <c r="X101" i="39" s="1"/>
  <c r="V101" i="39"/>
  <c r="S101" i="39"/>
  <c r="T101" i="39" s="1"/>
  <c r="K101" i="39"/>
  <c r="Q101" i="39"/>
  <c r="L101" i="39"/>
  <c r="L142" i="46" l="1"/>
  <c r="I142" i="46"/>
  <c r="H142" i="46"/>
  <c r="A142" i="46"/>
  <c r="M142" i="46" s="1"/>
  <c r="J142" i="46"/>
  <c r="K142" i="46"/>
  <c r="Q148" i="7"/>
  <c r="P148" i="7"/>
  <c r="S93" i="13"/>
  <c r="F94" i="13"/>
  <c r="F149" i="7" s="1"/>
  <c r="R149" i="7" s="1"/>
  <c r="R93" i="13"/>
  <c r="W151" i="46"/>
  <c r="X151" i="46"/>
  <c r="Y151" i="46"/>
  <c r="AF94" i="28"/>
  <c r="J94" i="28"/>
  <c r="R131" i="40"/>
  <c r="G132" i="40"/>
  <c r="F156" i="33"/>
  <c r="N156" i="33" s="1"/>
  <c r="J156" i="33" s="1"/>
  <c r="I245" i="32"/>
  <c r="AE245" i="32"/>
  <c r="P245" i="32"/>
  <c r="W243" i="32" s="1"/>
  <c r="AD245" i="32"/>
  <c r="AB245" i="32" s="1"/>
  <c r="F246" i="32"/>
  <c r="AF246" i="32" s="1"/>
  <c r="Y245" i="32"/>
  <c r="AA245" i="32" s="1"/>
  <c r="F152" i="37"/>
  <c r="L152" i="37" s="1"/>
  <c r="Q164" i="30"/>
  <c r="P164" i="30"/>
  <c r="W162" i="30" s="1"/>
  <c r="F165" i="30"/>
  <c r="U101" i="39"/>
  <c r="G101" i="39" s="1"/>
  <c r="D102" i="36" s="1"/>
  <c r="H101" i="39"/>
  <c r="G142" i="46" l="1"/>
  <c r="Y94" i="13"/>
  <c r="M94" i="13"/>
  <c r="L149" i="7" s="1"/>
  <c r="K94" i="13"/>
  <c r="J149" i="7" s="1"/>
  <c r="N94" i="13"/>
  <c r="M149" i="7" s="1"/>
  <c r="AB94" i="13"/>
  <c r="L94" i="13"/>
  <c r="K149" i="7" s="1"/>
  <c r="V94" i="13"/>
  <c r="V151" i="46"/>
  <c r="U152" i="46" s="1"/>
  <c r="X152" i="46" s="1"/>
  <c r="H94" i="28"/>
  <c r="J462" i="7"/>
  <c r="N132" i="40"/>
  <c r="M132" i="40"/>
  <c r="L132" i="40"/>
  <c r="AD132" i="40"/>
  <c r="AG132" i="40"/>
  <c r="AA132" i="40"/>
  <c r="AB132" i="40" s="1"/>
  <c r="AH132" i="40"/>
  <c r="P156" i="33"/>
  <c r="W154" i="33" s="1"/>
  <c r="L156" i="33"/>
  <c r="M156" i="33"/>
  <c r="K156" i="33"/>
  <c r="I156" i="33"/>
  <c r="H156" i="33" s="1"/>
  <c r="K246" i="32"/>
  <c r="J246" i="32"/>
  <c r="AC246" i="32"/>
  <c r="L246" i="32"/>
  <c r="M246" i="32"/>
  <c r="H246" i="32"/>
  <c r="F247" i="32" s="1"/>
  <c r="K247" i="32" s="1"/>
  <c r="N246" i="32"/>
  <c r="AG246" i="32" s="1"/>
  <c r="AE246" i="32" s="1"/>
  <c r="Z246" i="32"/>
  <c r="I101" i="39"/>
  <c r="AC101" i="39" s="1"/>
  <c r="K152" i="37"/>
  <c r="I152" i="37"/>
  <c r="M152" i="37"/>
  <c r="J152" i="37"/>
  <c r="M165" i="30"/>
  <c r="I165" i="30"/>
  <c r="N165" i="30"/>
  <c r="J165" i="30" s="1"/>
  <c r="L165" i="30"/>
  <c r="K165" i="30"/>
  <c r="O101" i="39"/>
  <c r="P101" i="39"/>
  <c r="H94" i="13" l="1"/>
  <c r="H149" i="7" s="1"/>
  <c r="P142" i="46"/>
  <c r="Q142" i="46"/>
  <c r="F143" i="46" s="1"/>
  <c r="AC94" i="13"/>
  <c r="Z94" i="13"/>
  <c r="E85" i="10"/>
  <c r="U94" i="13"/>
  <c r="J143" i="46"/>
  <c r="I143" i="46"/>
  <c r="AB151" i="46"/>
  <c r="Y152" i="46"/>
  <c r="Z152" i="46"/>
  <c r="W152" i="46"/>
  <c r="V152" i="46" s="1"/>
  <c r="Q94" i="28"/>
  <c r="Q462" i="7" s="1"/>
  <c r="R94" i="28"/>
  <c r="R462" i="7" s="1"/>
  <c r="H462" i="7"/>
  <c r="F95" i="28"/>
  <c r="AF132" i="40"/>
  <c r="J132" i="40"/>
  <c r="AC132" i="40"/>
  <c r="I132" i="40" s="1"/>
  <c r="Q132" i="40"/>
  <c r="X130" i="40"/>
  <c r="Q156" i="33"/>
  <c r="F157" i="33"/>
  <c r="I246" i="32"/>
  <c r="P246" i="32"/>
  <c r="W244" i="32" s="1"/>
  <c r="AF247" i="32"/>
  <c r="AC247" i="32"/>
  <c r="H247" i="32"/>
  <c r="Q247" i="32" s="1"/>
  <c r="J247" i="32"/>
  <c r="N247" i="32"/>
  <c r="AD247" i="32" s="1"/>
  <c r="M247" i="32"/>
  <c r="Q246" i="32"/>
  <c r="Z247" i="32"/>
  <c r="L247" i="32"/>
  <c r="AD246" i="32"/>
  <c r="AB246" i="32" s="1"/>
  <c r="Y246" i="32"/>
  <c r="AA246" i="32" s="1"/>
  <c r="P152" i="37"/>
  <c r="W150" i="37" s="1"/>
  <c r="H152" i="37"/>
  <c r="F153" i="37" s="1"/>
  <c r="K153" i="37" s="1"/>
  <c r="H165" i="30"/>
  <c r="P165" i="30" s="1"/>
  <c r="W163" i="30" s="1"/>
  <c r="F102" i="39"/>
  <c r="Z102" i="39"/>
  <c r="E102" i="36"/>
  <c r="C103" i="36"/>
  <c r="J94" i="13" l="1"/>
  <c r="A143" i="46"/>
  <c r="M143" i="46" s="1"/>
  <c r="L143" i="46"/>
  <c r="K143" i="46"/>
  <c r="H143" i="46"/>
  <c r="AA94" i="13"/>
  <c r="X94" i="13"/>
  <c r="W94" i="13"/>
  <c r="AB152" i="46"/>
  <c r="U153" i="46"/>
  <c r="Y153" i="46" s="1"/>
  <c r="I102" i="13"/>
  <c r="I157" i="7" s="1"/>
  <c r="N95" i="28"/>
  <c r="N463" i="7" s="1"/>
  <c r="F463" i="7"/>
  <c r="S463" i="7" s="1"/>
  <c r="AD95" i="28"/>
  <c r="M95" i="28"/>
  <c r="M463" i="7" s="1"/>
  <c r="AA95" i="28"/>
  <c r="K95" i="28"/>
  <c r="K463" i="7" s="1"/>
  <c r="AG95" i="28"/>
  <c r="L95" i="28"/>
  <c r="L463" i="7" s="1"/>
  <c r="G133" i="40"/>
  <c r="R132" i="40"/>
  <c r="I247" i="32"/>
  <c r="P157" i="33"/>
  <c r="W155" i="33" s="1"/>
  <c r="K157" i="33"/>
  <c r="N157" i="33"/>
  <c r="J157" i="33" s="1"/>
  <c r="I157" i="33"/>
  <c r="L157" i="33"/>
  <c r="M157" i="33"/>
  <c r="AB247" i="32"/>
  <c r="F248" i="32"/>
  <c r="AF248" i="32" s="1"/>
  <c r="AG247" i="32"/>
  <c r="AE247" i="32" s="1"/>
  <c r="Y247" i="32"/>
  <c r="AA247" i="32" s="1"/>
  <c r="P247" i="32"/>
  <c r="W245" i="32" s="1"/>
  <c r="L153" i="37"/>
  <c r="I153" i="37"/>
  <c r="J153" i="37"/>
  <c r="M153" i="37"/>
  <c r="Q152" i="37"/>
  <c r="F166" i="30"/>
  <c r="Q165" i="30"/>
  <c r="L102" i="39"/>
  <c r="J102" i="39"/>
  <c r="Y102" i="39"/>
  <c r="X102" i="39" s="1"/>
  <c r="S102" i="39"/>
  <c r="T102" i="39" s="1"/>
  <c r="V102" i="39"/>
  <c r="K102" i="39"/>
  <c r="Q102" i="39"/>
  <c r="G94" i="13" l="1"/>
  <c r="G143" i="46"/>
  <c r="P143" i="46" s="1"/>
  <c r="G149" i="7"/>
  <c r="F95" i="13"/>
  <c r="F150" i="7" s="1"/>
  <c r="R150" i="7" s="1"/>
  <c r="S94" i="13"/>
  <c r="R94" i="13"/>
  <c r="W153" i="46"/>
  <c r="X153" i="46"/>
  <c r="Z153" i="46"/>
  <c r="Z95" i="28"/>
  <c r="AB95" i="28" s="1"/>
  <c r="I95" i="28"/>
  <c r="I463" i="7" s="1"/>
  <c r="AE95" i="28"/>
  <c r="AC95" i="28" s="1"/>
  <c r="AH95" i="28"/>
  <c r="AF95" i="28" s="1"/>
  <c r="X93" i="28"/>
  <c r="N133" i="40"/>
  <c r="AD133" i="40"/>
  <c r="AA133" i="40"/>
  <c r="AB133" i="40" s="1"/>
  <c r="AH133" i="40"/>
  <c r="AG133" i="40"/>
  <c r="M133" i="40"/>
  <c r="L133" i="40"/>
  <c r="H157" i="33"/>
  <c r="M248" i="32"/>
  <c r="AC248" i="32"/>
  <c r="K248" i="32"/>
  <c r="N248" i="32"/>
  <c r="AG248" i="32" s="1"/>
  <c r="AE248" i="32" s="1"/>
  <c r="H248" i="32"/>
  <c r="Q248" i="32" s="1"/>
  <c r="L248" i="32"/>
  <c r="J248" i="32"/>
  <c r="Z248" i="32"/>
  <c r="P153" i="37"/>
  <c r="W151" i="37" s="1"/>
  <c r="H153" i="37"/>
  <c r="F154" i="37" s="1"/>
  <c r="J154" i="37" s="1"/>
  <c r="K166" i="30"/>
  <c r="I166" i="30"/>
  <c r="M166" i="30"/>
  <c r="L166" i="30"/>
  <c r="N166" i="30"/>
  <c r="J166" i="30" s="1"/>
  <c r="U102" i="39"/>
  <c r="G102" i="39" s="1"/>
  <c r="D103" i="36" s="1"/>
  <c r="H102" i="39"/>
  <c r="Q143" i="46" l="1"/>
  <c r="F144" i="46" s="1"/>
  <c r="Q149" i="7"/>
  <c r="P149" i="7"/>
  <c r="L95" i="13"/>
  <c r="K150" i="7" s="1"/>
  <c r="V95" i="13"/>
  <c r="M95" i="13"/>
  <c r="L150" i="7" s="1"/>
  <c r="N95" i="13"/>
  <c r="M150" i="7" s="1"/>
  <c r="AB95" i="13"/>
  <c r="K95" i="13"/>
  <c r="J150" i="7" s="1"/>
  <c r="Y95" i="13"/>
  <c r="V153" i="46"/>
  <c r="J95" i="28"/>
  <c r="H95" i="28" s="1"/>
  <c r="Q133" i="40"/>
  <c r="X131" i="40"/>
  <c r="AF133" i="40"/>
  <c r="J133" i="40"/>
  <c r="AC133" i="40"/>
  <c r="I133" i="40" s="1"/>
  <c r="I248" i="32"/>
  <c r="Q157" i="33"/>
  <c r="F158" i="33"/>
  <c r="P248" i="32"/>
  <c r="W246" i="32" s="1"/>
  <c r="F249" i="32"/>
  <c r="N249" i="32" s="1"/>
  <c r="AG249" i="32" s="1"/>
  <c r="AD248" i="32"/>
  <c r="AB248" i="32" s="1"/>
  <c r="Y248" i="32"/>
  <c r="AA248" i="32" s="1"/>
  <c r="I102" i="39"/>
  <c r="AC102" i="39" s="1"/>
  <c r="I154" i="37"/>
  <c r="H154" i="37" s="1"/>
  <c r="L154" i="37"/>
  <c r="K154" i="37"/>
  <c r="M154" i="37"/>
  <c r="Q153" i="37"/>
  <c r="H166" i="30"/>
  <c r="Q166" i="30" s="1"/>
  <c r="O102" i="39"/>
  <c r="P102" i="39"/>
  <c r="H95" i="13" l="1"/>
  <c r="H150" i="7" s="1"/>
  <c r="A144" i="46"/>
  <c r="M144" i="46" s="1"/>
  <c r="J144" i="46"/>
  <c r="H144" i="46"/>
  <c r="L144" i="46"/>
  <c r="K144" i="46"/>
  <c r="I144" i="46"/>
  <c r="Z95" i="13"/>
  <c r="AC95" i="13"/>
  <c r="U95" i="13"/>
  <c r="E86" i="10"/>
  <c r="J95" i="13"/>
  <c r="AB153" i="46"/>
  <c r="U154" i="46"/>
  <c r="W154" i="46" s="1"/>
  <c r="I103" i="13"/>
  <c r="J463" i="7"/>
  <c r="R95" i="28"/>
  <c r="R463" i="7" s="1"/>
  <c r="Q95" i="28"/>
  <c r="Q463" i="7" s="1"/>
  <c r="F96" i="28"/>
  <c r="H463" i="7"/>
  <c r="R133" i="40"/>
  <c r="G134" i="40"/>
  <c r="J249" i="32"/>
  <c r="AF249" i="32"/>
  <c r="AE249" i="32" s="1"/>
  <c r="K249" i="32"/>
  <c r="M249" i="32"/>
  <c r="Y249" i="32"/>
  <c r="P158" i="33"/>
  <c r="W156" i="33" s="1"/>
  <c r="M158" i="33"/>
  <c r="I158" i="33"/>
  <c r="N158" i="33"/>
  <c r="J158" i="33" s="1"/>
  <c r="L158" i="33"/>
  <c r="K158" i="33"/>
  <c r="Z249" i="32"/>
  <c r="H249" i="32"/>
  <c r="F250" i="32" s="1"/>
  <c r="N250" i="32" s="1"/>
  <c r="AG250" i="32" s="1"/>
  <c r="AD249" i="32"/>
  <c r="L249" i="32"/>
  <c r="AC249" i="32"/>
  <c r="P154" i="37"/>
  <c r="W152" i="37" s="1"/>
  <c r="P166" i="30"/>
  <c r="W164" i="30" s="1"/>
  <c r="F167" i="30"/>
  <c r="L167" i="30" s="1"/>
  <c r="F155" i="37"/>
  <c r="Q154" i="37"/>
  <c r="F103" i="39"/>
  <c r="Z103" i="39"/>
  <c r="C104" i="36"/>
  <c r="E103" i="36"/>
  <c r="G144" i="46" l="1"/>
  <c r="X95" i="13"/>
  <c r="W95" i="13"/>
  <c r="AA95" i="13"/>
  <c r="Q144" i="46"/>
  <c r="F145" i="46" s="1"/>
  <c r="P144" i="46"/>
  <c r="Y154" i="46"/>
  <c r="Z154" i="46"/>
  <c r="X154" i="46"/>
  <c r="V154" i="46" s="1"/>
  <c r="I158" i="7"/>
  <c r="F464" i="7"/>
  <c r="S464" i="7" s="1"/>
  <c r="N96" i="28"/>
  <c r="AG96" i="28"/>
  <c r="AD96" i="28"/>
  <c r="L96" i="28"/>
  <c r="L464" i="7" s="1"/>
  <c r="K96" i="28"/>
  <c r="AA96" i="28"/>
  <c r="M96" i="28"/>
  <c r="M464" i="7" s="1"/>
  <c r="I249" i="32"/>
  <c r="AD134" i="40"/>
  <c r="M134" i="40"/>
  <c r="N134" i="40"/>
  <c r="AG134" i="40"/>
  <c r="AA134" i="40"/>
  <c r="AB134" i="40" s="1"/>
  <c r="AH134" i="40"/>
  <c r="L134" i="40"/>
  <c r="P249" i="32"/>
  <c r="W247" i="32" s="1"/>
  <c r="H158" i="33"/>
  <c r="Q158" i="33" s="1"/>
  <c r="AA249" i="32"/>
  <c r="J250" i="32"/>
  <c r="Q249" i="32"/>
  <c r="AC250" i="32"/>
  <c r="H250" i="32"/>
  <c r="F251" i="32" s="1"/>
  <c r="Z251" i="32" s="1"/>
  <c r="Y250" i="32"/>
  <c r="AF250" i="32"/>
  <c r="AE250" i="32" s="1"/>
  <c r="Z250" i="32"/>
  <c r="K250" i="32"/>
  <c r="L250" i="32"/>
  <c r="M250" i="32"/>
  <c r="AD250" i="32"/>
  <c r="AB249" i="32"/>
  <c r="I167" i="30"/>
  <c r="M167" i="30"/>
  <c r="N167" i="30"/>
  <c r="J167" i="30" s="1"/>
  <c r="K167" i="30"/>
  <c r="J155" i="37"/>
  <c r="I155" i="37"/>
  <c r="L155" i="37"/>
  <c r="K155" i="37"/>
  <c r="M155" i="37"/>
  <c r="L103" i="39"/>
  <c r="Y103" i="39"/>
  <c r="X103" i="39" s="1"/>
  <c r="J103" i="39"/>
  <c r="Q103" i="39"/>
  <c r="V103" i="39"/>
  <c r="S103" i="39"/>
  <c r="T103" i="39" s="1"/>
  <c r="K103" i="39"/>
  <c r="G95" i="13" l="1"/>
  <c r="G150" i="7" s="1"/>
  <c r="A145" i="46"/>
  <c r="M145" i="46" s="1"/>
  <c r="K145" i="46"/>
  <c r="L145" i="46"/>
  <c r="J145" i="46"/>
  <c r="I145" i="46"/>
  <c r="H145" i="46"/>
  <c r="R95" i="13"/>
  <c r="P150" i="7"/>
  <c r="S95" i="13"/>
  <c r="Q150" i="7"/>
  <c r="F96" i="13"/>
  <c r="F151" i="7" s="1"/>
  <c r="R151" i="7" s="1"/>
  <c r="U155" i="46"/>
  <c r="X155" i="46" s="1"/>
  <c r="AB154" i="46"/>
  <c r="I96" i="28"/>
  <c r="I464" i="7" s="1"/>
  <c r="K464" i="7"/>
  <c r="X94" i="28"/>
  <c r="N464" i="7"/>
  <c r="AH96" i="28"/>
  <c r="AE96" i="28"/>
  <c r="AC96" i="28" s="1"/>
  <c r="Z96" i="28"/>
  <c r="AB96" i="28" s="1"/>
  <c r="X132" i="40"/>
  <c r="Q134" i="40"/>
  <c r="AF134" i="40"/>
  <c r="AC134" i="40"/>
  <c r="I134" i="40" s="1"/>
  <c r="J134" i="40"/>
  <c r="I250" i="32"/>
  <c r="AB250" i="32"/>
  <c r="J251" i="32"/>
  <c r="F159" i="33"/>
  <c r="AC251" i="32"/>
  <c r="H251" i="32"/>
  <c r="Q251" i="32" s="1"/>
  <c r="Q250" i="32"/>
  <c r="L251" i="32"/>
  <c r="AF251" i="32"/>
  <c r="K251" i="32"/>
  <c r="M251" i="32"/>
  <c r="N251" i="32"/>
  <c r="AG251" i="32" s="1"/>
  <c r="AA250" i="32"/>
  <c r="P250" i="32"/>
  <c r="W248" i="32" s="1"/>
  <c r="P155" i="37"/>
  <c r="W153" i="37" s="1"/>
  <c r="H167" i="30"/>
  <c r="F168" i="30" s="1"/>
  <c r="H155" i="37"/>
  <c r="Q155" i="37" s="1"/>
  <c r="U103" i="39"/>
  <c r="G103" i="39" s="1"/>
  <c r="D104" i="36" s="1"/>
  <c r="H103" i="39"/>
  <c r="G145" i="46" l="1"/>
  <c r="V96" i="13"/>
  <c r="L96" i="13"/>
  <c r="K151" i="7" s="1"/>
  <c r="M96" i="13"/>
  <c r="L151" i="7" s="1"/>
  <c r="N96" i="13"/>
  <c r="AB96" i="13"/>
  <c r="K96" i="13"/>
  <c r="J151" i="7" s="1"/>
  <c r="Y96" i="13"/>
  <c r="Z155" i="46"/>
  <c r="Y155" i="46"/>
  <c r="W155" i="46"/>
  <c r="V155" i="46" s="1"/>
  <c r="U156" i="46" s="1"/>
  <c r="AF96" i="28"/>
  <c r="J96" i="28"/>
  <c r="R134" i="40"/>
  <c r="G135" i="40"/>
  <c r="I251" i="32"/>
  <c r="P251" i="32"/>
  <c r="W249" i="32" s="1"/>
  <c r="F252" i="32"/>
  <c r="H252" i="32" s="1"/>
  <c r="F253" i="32" s="1"/>
  <c r="H253" i="32" s="1"/>
  <c r="F254" i="32" s="1"/>
  <c r="N254" i="32" s="1"/>
  <c r="AG254" i="32" s="1"/>
  <c r="AE251" i="32"/>
  <c r="I159" i="33"/>
  <c r="M159" i="33"/>
  <c r="P159" i="33"/>
  <c r="W157" i="33" s="1"/>
  <c r="K159" i="33"/>
  <c r="L159" i="33"/>
  <c r="N159" i="33"/>
  <c r="J159" i="33" s="1"/>
  <c r="Y251" i="32"/>
  <c r="AA251" i="32" s="1"/>
  <c r="AD251" i="32"/>
  <c r="AB251" i="32" s="1"/>
  <c r="I103" i="39"/>
  <c r="AC103" i="39" s="1"/>
  <c r="P167" i="30"/>
  <c r="W165" i="30" s="1"/>
  <c r="Q167" i="30"/>
  <c r="I168" i="30"/>
  <c r="M168" i="30"/>
  <c r="L168" i="30"/>
  <c r="K168" i="30"/>
  <c r="N168" i="30"/>
  <c r="J168" i="30" s="1"/>
  <c r="F156" i="37"/>
  <c r="K156" i="37" s="1"/>
  <c r="O103" i="39"/>
  <c r="P103" i="39"/>
  <c r="M151" i="7" l="1"/>
  <c r="AC96" i="13"/>
  <c r="Q145" i="46"/>
  <c r="F146" i="46" s="1"/>
  <c r="P145" i="46"/>
  <c r="Z96" i="13"/>
  <c r="U96" i="13"/>
  <c r="H96" i="13"/>
  <c r="H151" i="7" s="1"/>
  <c r="E87" i="10"/>
  <c r="AB155" i="46"/>
  <c r="X156" i="46"/>
  <c r="W156" i="46"/>
  <c r="Y156" i="46"/>
  <c r="Z156" i="46"/>
  <c r="I104" i="13"/>
  <c r="I159" i="7" s="1"/>
  <c r="J464" i="7"/>
  <c r="H96" i="28"/>
  <c r="L135" i="40"/>
  <c r="AG135" i="40"/>
  <c r="M135" i="40"/>
  <c r="AA135" i="40"/>
  <c r="AB135" i="40" s="1"/>
  <c r="AH135" i="40"/>
  <c r="N135" i="40"/>
  <c r="AD135" i="40"/>
  <c r="J254" i="32"/>
  <c r="L254" i="32"/>
  <c r="AC252" i="32"/>
  <c r="K252" i="32"/>
  <c r="H254" i="32"/>
  <c r="F255" i="32" s="1"/>
  <c r="K255" i="32" s="1"/>
  <c r="AF254" i="32"/>
  <c r="AE254" i="32" s="1"/>
  <c r="AC253" i="32"/>
  <c r="AF252" i="32"/>
  <c r="H159" i="33"/>
  <c r="F160" i="33" s="1"/>
  <c r="AC254" i="32"/>
  <c r="N253" i="32"/>
  <c r="AD253" i="32" s="1"/>
  <c r="L252" i="32"/>
  <c r="M254" i="32"/>
  <c r="Z253" i="32"/>
  <c r="J253" i="32"/>
  <c r="K254" i="32"/>
  <c r="M252" i="32"/>
  <c r="M253" i="32"/>
  <c r="K253" i="32"/>
  <c r="J252" i="32"/>
  <c r="Z254" i="32"/>
  <c r="Q253" i="32"/>
  <c r="N252" i="32"/>
  <c r="AG252" i="32" s="1"/>
  <c r="Q252" i="32"/>
  <c r="AF253" i="32"/>
  <c r="Z252" i="32"/>
  <c r="L253" i="32"/>
  <c r="AD254" i="32"/>
  <c r="Y254" i="32"/>
  <c r="H168" i="30"/>
  <c r="Q168" i="30" s="1"/>
  <c r="M156" i="37"/>
  <c r="I156" i="37"/>
  <c r="J156" i="37"/>
  <c r="L156" i="37"/>
  <c r="C105" i="36"/>
  <c r="E104" i="36"/>
  <c r="F104" i="39"/>
  <c r="Z104" i="39"/>
  <c r="AA96" i="13" l="1"/>
  <c r="J96" i="13"/>
  <c r="X96" i="13"/>
  <c r="L146" i="46"/>
  <c r="A146" i="46"/>
  <c r="M146" i="46" s="1"/>
  <c r="J146" i="46"/>
  <c r="K146" i="46"/>
  <c r="I146" i="46"/>
  <c r="H146" i="46"/>
  <c r="W96" i="13"/>
  <c r="V156" i="46"/>
  <c r="H464" i="7"/>
  <c r="R96" i="28"/>
  <c r="R464" i="7" s="1"/>
  <c r="Q96" i="28"/>
  <c r="Q464" i="7" s="1"/>
  <c r="F97" i="28"/>
  <c r="AF135" i="40"/>
  <c r="J135" i="40"/>
  <c r="AC135" i="40"/>
  <c r="I135" i="40" s="1"/>
  <c r="Q135" i="40"/>
  <c r="X133" i="40"/>
  <c r="I252" i="32"/>
  <c r="I254" i="32"/>
  <c r="I253" i="32"/>
  <c r="M255" i="32"/>
  <c r="H255" i="32"/>
  <c r="F256" i="32" s="1"/>
  <c r="J256" i="32" s="1"/>
  <c r="J255" i="32"/>
  <c r="N255" i="32"/>
  <c r="AG255" i="32" s="1"/>
  <c r="L255" i="32"/>
  <c r="Z255" i="32"/>
  <c r="AC255" i="32"/>
  <c r="AF255" i="32"/>
  <c r="Q254" i="32"/>
  <c r="Q159" i="33"/>
  <c r="P254" i="32"/>
  <c r="W252" i="32" s="1"/>
  <c r="AE252" i="32"/>
  <c r="P252" i="32"/>
  <c r="W250" i="32" s="1"/>
  <c r="AB253" i="32"/>
  <c r="P253" i="32"/>
  <c r="W251" i="32" s="1"/>
  <c r="AA254" i="32"/>
  <c r="Y253" i="32"/>
  <c r="AA253" i="32" s="1"/>
  <c r="AG253" i="32"/>
  <c r="AE253" i="32" s="1"/>
  <c r="Y252" i="32"/>
  <c r="AA252" i="32" s="1"/>
  <c r="AD252" i="32"/>
  <c r="AB252" i="32" s="1"/>
  <c r="AB254" i="32"/>
  <c r="L160" i="33"/>
  <c r="P160" i="33"/>
  <c r="W158" i="33" s="1"/>
  <c r="M160" i="33"/>
  <c r="I160" i="33"/>
  <c r="N160" i="33"/>
  <c r="J160" i="33" s="1"/>
  <c r="K160" i="33"/>
  <c r="P156" i="37"/>
  <c r="W154" i="37" s="1"/>
  <c r="F169" i="30"/>
  <c r="K169" i="30" s="1"/>
  <c r="P168" i="30"/>
  <c r="W166" i="30" s="1"/>
  <c r="H156" i="37"/>
  <c r="Q156" i="37" s="1"/>
  <c r="S104" i="39"/>
  <c r="T104" i="39" s="1"/>
  <c r="K104" i="39"/>
  <c r="Y104" i="39"/>
  <c r="X104" i="39" s="1"/>
  <c r="Q104" i="39"/>
  <c r="L104" i="39"/>
  <c r="V104" i="39"/>
  <c r="J104" i="39"/>
  <c r="G96" i="13" l="1"/>
  <c r="G151" i="7" s="1"/>
  <c r="G146" i="46"/>
  <c r="AB156" i="46"/>
  <c r="U157" i="46"/>
  <c r="X157" i="46" s="1"/>
  <c r="K97" i="28"/>
  <c r="F465" i="7"/>
  <c r="S465" i="7" s="1"/>
  <c r="AG97" i="28"/>
  <c r="M97" i="28"/>
  <c r="M465" i="7" s="1"/>
  <c r="AA97" i="28"/>
  <c r="N97" i="28"/>
  <c r="AD97" i="28"/>
  <c r="L97" i="28"/>
  <c r="L465" i="7" s="1"/>
  <c r="R135" i="40"/>
  <c r="G136" i="40"/>
  <c r="I255" i="32"/>
  <c r="AD255" i="32"/>
  <c r="AB255" i="32" s="1"/>
  <c r="AC256" i="32"/>
  <c r="H256" i="32"/>
  <c r="Q256" i="32" s="1"/>
  <c r="K256" i="32"/>
  <c r="Q255" i="32"/>
  <c r="Z256" i="32"/>
  <c r="N256" i="32"/>
  <c r="AD256" i="32" s="1"/>
  <c r="AF256" i="32"/>
  <c r="M256" i="32"/>
  <c r="L256" i="32"/>
  <c r="Y255" i="32"/>
  <c r="AA255" i="32" s="1"/>
  <c r="P255" i="32"/>
  <c r="W253" i="32" s="1"/>
  <c r="AE255" i="32"/>
  <c r="H160" i="33"/>
  <c r="Q160" i="33" s="1"/>
  <c r="N169" i="30"/>
  <c r="J169" i="30" s="1"/>
  <c r="M169" i="30"/>
  <c r="L169" i="30"/>
  <c r="I169" i="30"/>
  <c r="F157" i="37"/>
  <c r="I157" i="37" s="1"/>
  <c r="H104" i="39"/>
  <c r="U104" i="39"/>
  <c r="G104" i="39" s="1"/>
  <c r="D105" i="36" s="1"/>
  <c r="F97" i="13" l="1"/>
  <c r="F152" i="7" s="1"/>
  <c r="R152" i="7" s="1"/>
  <c r="P151" i="7"/>
  <c r="Q151" i="7"/>
  <c r="S96" i="13"/>
  <c r="R96" i="13"/>
  <c r="P146" i="46"/>
  <c r="Q146" i="46"/>
  <c r="F147" i="46" s="1"/>
  <c r="Y157" i="46"/>
  <c r="Z157" i="46"/>
  <c r="W157" i="46"/>
  <c r="V157" i="46" s="1"/>
  <c r="I97" i="28"/>
  <c r="I465" i="7" s="1"/>
  <c r="N465" i="7"/>
  <c r="Z97" i="28"/>
  <c r="AB97" i="28" s="1"/>
  <c r="AE97" i="28"/>
  <c r="AC97" i="28" s="1"/>
  <c r="AH97" i="28"/>
  <c r="X95" i="28"/>
  <c r="K465" i="7"/>
  <c r="AA136" i="40"/>
  <c r="AB136" i="40" s="1"/>
  <c r="AG136" i="40"/>
  <c r="N136" i="40"/>
  <c r="M136" i="40"/>
  <c r="L136" i="40"/>
  <c r="AH136" i="40"/>
  <c r="AD136" i="40"/>
  <c r="I256" i="32"/>
  <c r="P256" i="32"/>
  <c r="W254" i="32" s="1"/>
  <c r="F257" i="32"/>
  <c r="N257" i="32" s="1"/>
  <c r="N259" i="32" s="1"/>
  <c r="AG256" i="32"/>
  <c r="AE256" i="32" s="1"/>
  <c r="Y256" i="32"/>
  <c r="AA256" i="32" s="1"/>
  <c r="AB256" i="32"/>
  <c r="F161" i="33"/>
  <c r="I104" i="39"/>
  <c r="AC104" i="39" s="1"/>
  <c r="H169" i="30"/>
  <c r="Q169" i="30" s="1"/>
  <c r="K157" i="37"/>
  <c r="L157" i="37"/>
  <c r="J157" i="37"/>
  <c r="H157" i="37" s="1"/>
  <c r="Q157" i="37" s="1"/>
  <c r="M157" i="37"/>
  <c r="O104" i="39"/>
  <c r="P104" i="39"/>
  <c r="V97" i="13" l="1"/>
  <c r="M97" i="13"/>
  <c r="L152" i="7" s="1"/>
  <c r="N97" i="13"/>
  <c r="M152" i="7" s="1"/>
  <c r="L97" i="13"/>
  <c r="K152" i="7" s="1"/>
  <c r="Y97" i="13"/>
  <c r="AB97" i="13"/>
  <c r="A147" i="46"/>
  <c r="M147" i="46" s="1"/>
  <c r="J147" i="46"/>
  <c r="K147" i="46"/>
  <c r="K97" i="13"/>
  <c r="J152" i="7" s="1"/>
  <c r="L147" i="46"/>
  <c r="H147" i="46"/>
  <c r="I147" i="46"/>
  <c r="U158" i="46"/>
  <c r="X158" i="46" s="1"/>
  <c r="AB157" i="46"/>
  <c r="I105" i="13"/>
  <c r="I160" i="7" s="1"/>
  <c r="AF97" i="28"/>
  <c r="J97" i="28"/>
  <c r="AF136" i="40"/>
  <c r="AC136" i="40"/>
  <c r="I136" i="40" s="1"/>
  <c r="J136" i="40"/>
  <c r="X134" i="40"/>
  <c r="Q136" i="40"/>
  <c r="H257" i="32"/>
  <c r="Q257" i="32" s="1"/>
  <c r="J257" i="32"/>
  <c r="J259" i="32" s="1"/>
  <c r="M257" i="32"/>
  <c r="M259" i="32" s="1"/>
  <c r="L257" i="32"/>
  <c r="L259" i="32" s="1"/>
  <c r="K257" i="32"/>
  <c r="K259" i="32" s="1"/>
  <c r="Z257" i="32"/>
  <c r="AF257" i="32"/>
  <c r="AC257" i="32"/>
  <c r="N161" i="33"/>
  <c r="J161" i="33" s="1"/>
  <c r="L161" i="33"/>
  <c r="M161" i="33"/>
  <c r="I161" i="33"/>
  <c r="P161" i="33"/>
  <c r="W159" i="33" s="1"/>
  <c r="K161" i="33"/>
  <c r="AG257" i="32"/>
  <c r="Y257" i="32"/>
  <c r="AD257" i="32"/>
  <c r="P157" i="37"/>
  <c r="W155" i="37" s="1"/>
  <c r="P169" i="30"/>
  <c r="W167" i="30" s="1"/>
  <c r="F170" i="30"/>
  <c r="I170" i="30" s="1"/>
  <c r="F158" i="37"/>
  <c r="L158" i="37" s="1"/>
  <c r="E105" i="36"/>
  <c r="C106" i="36"/>
  <c r="Z105" i="39"/>
  <c r="F105" i="39"/>
  <c r="H97" i="13" l="1"/>
  <c r="H152" i="7" s="1"/>
  <c r="U97" i="13"/>
  <c r="Z97" i="13"/>
  <c r="J97" i="13" s="1"/>
  <c r="AC97" i="13"/>
  <c r="E88" i="10"/>
  <c r="G147" i="46"/>
  <c r="Z158" i="46"/>
  <c r="Y158" i="46"/>
  <c r="W158" i="46"/>
  <c r="V158" i="46" s="1"/>
  <c r="H259" i="32"/>
  <c r="H97" i="28"/>
  <c r="J465" i="7"/>
  <c r="G137" i="40"/>
  <c r="R136" i="40"/>
  <c r="I257" i="32"/>
  <c r="I259" i="32" s="1"/>
  <c r="P257" i="32"/>
  <c r="W255" i="32" s="1"/>
  <c r="U4" i="32" s="1"/>
  <c r="U5" i="32" s="1"/>
  <c r="U6" i="32" s="1"/>
  <c r="AA257" i="32"/>
  <c r="AB257" i="32"/>
  <c r="AE257" i="32"/>
  <c r="H161" i="33"/>
  <c r="L170" i="30"/>
  <c r="M170" i="30"/>
  <c r="N170" i="30"/>
  <c r="J170" i="30" s="1"/>
  <c r="H170" i="30" s="1"/>
  <c r="F171" i="30" s="1"/>
  <c r="N171" i="30" s="1"/>
  <c r="J171" i="30" s="1"/>
  <c r="K170" i="30"/>
  <c r="K158" i="37"/>
  <c r="M158" i="37"/>
  <c r="J158" i="37"/>
  <c r="I158" i="37"/>
  <c r="Q105" i="39"/>
  <c r="V105" i="39"/>
  <c r="Y105" i="39"/>
  <c r="X105" i="39" s="1"/>
  <c r="J105" i="39"/>
  <c r="L105" i="39"/>
  <c r="S105" i="39"/>
  <c r="T105" i="39" s="1"/>
  <c r="K105" i="39"/>
  <c r="X97" i="13" l="1"/>
  <c r="W97" i="13"/>
  <c r="AA97" i="13"/>
  <c r="Q147" i="46"/>
  <c r="F148" i="46" s="1"/>
  <c r="P147" i="46"/>
  <c r="U159" i="46"/>
  <c r="AB158" i="46"/>
  <c r="R97" i="28"/>
  <c r="R465" i="7" s="1"/>
  <c r="F98" i="28"/>
  <c r="Q97" i="28"/>
  <c r="Q465" i="7" s="1"/>
  <c r="H465" i="7"/>
  <c r="AH137" i="40"/>
  <c r="L137" i="40"/>
  <c r="AG137" i="40"/>
  <c r="M137" i="40"/>
  <c r="AD137" i="40"/>
  <c r="AA137" i="40"/>
  <c r="AB137" i="40" s="1"/>
  <c r="N137" i="40"/>
  <c r="F162" i="33"/>
  <c r="Q161" i="33"/>
  <c r="P158" i="37"/>
  <c r="W156" i="37" s="1"/>
  <c r="P170" i="30"/>
  <c r="W168" i="30" s="1"/>
  <c r="L171" i="30"/>
  <c r="Q170" i="30"/>
  <c r="K171" i="30"/>
  <c r="I171" i="30"/>
  <c r="H171" i="30" s="1"/>
  <c r="F172" i="30" s="1"/>
  <c r="M171" i="30"/>
  <c r="H158" i="37"/>
  <c r="F159" i="37" s="1"/>
  <c r="K159" i="37" s="1"/>
  <c r="H105" i="39"/>
  <c r="U105" i="39"/>
  <c r="G105" i="39" s="1"/>
  <c r="D106" i="36" s="1"/>
  <c r="G97" i="13" l="1"/>
  <c r="G152" i="7" s="1"/>
  <c r="L148" i="46"/>
  <c r="J148" i="46"/>
  <c r="H148" i="46"/>
  <c r="A148" i="46"/>
  <c r="M148" i="46" s="1"/>
  <c r="K148" i="46"/>
  <c r="I148" i="46"/>
  <c r="W159" i="46"/>
  <c r="Y159" i="46"/>
  <c r="X159" i="46"/>
  <c r="Z159" i="46"/>
  <c r="L98" i="28"/>
  <c r="L466" i="7" s="1"/>
  <c r="K98" i="28"/>
  <c r="AD98" i="28"/>
  <c r="M98" i="28"/>
  <c r="M466" i="7" s="1"/>
  <c r="F466" i="7"/>
  <c r="S466" i="7" s="1"/>
  <c r="N98" i="28"/>
  <c r="AA98" i="28"/>
  <c r="AG98" i="28"/>
  <c r="AF137" i="40"/>
  <c r="J137" i="40"/>
  <c r="AC137" i="40"/>
  <c r="I137" i="40" s="1"/>
  <c r="X135" i="40"/>
  <c r="Q137" i="40"/>
  <c r="K162" i="33"/>
  <c r="M162" i="33"/>
  <c r="I162" i="33"/>
  <c r="L162" i="33"/>
  <c r="P162" i="33"/>
  <c r="W160" i="33" s="1"/>
  <c r="N162" i="33"/>
  <c r="J162" i="33" s="1"/>
  <c r="I105" i="39"/>
  <c r="AC105" i="39" s="1"/>
  <c r="P171" i="30"/>
  <c r="W169" i="30" s="1"/>
  <c r="Q171" i="30"/>
  <c r="J159" i="37"/>
  <c r="I159" i="37"/>
  <c r="Q158" i="37"/>
  <c r="L159" i="37"/>
  <c r="M159" i="37"/>
  <c r="K172" i="30"/>
  <c r="M172" i="30"/>
  <c r="L172" i="30"/>
  <c r="N172" i="30"/>
  <c r="J172" i="30" s="1"/>
  <c r="I172" i="30"/>
  <c r="O105" i="39"/>
  <c r="P105" i="39"/>
  <c r="S97" i="13" l="1"/>
  <c r="F98" i="13"/>
  <c r="F153" i="7" s="1"/>
  <c r="R153" i="7" s="1"/>
  <c r="Q152" i="7"/>
  <c r="P152" i="7"/>
  <c r="R97" i="13"/>
  <c r="G148" i="46"/>
  <c r="V159" i="46"/>
  <c r="I106" i="13"/>
  <c r="I98" i="28"/>
  <c r="I466" i="7" s="1"/>
  <c r="AH98" i="28"/>
  <c r="AE98" i="28"/>
  <c r="AC98" i="28" s="1"/>
  <c r="Z98" i="28"/>
  <c r="AB98" i="28" s="1"/>
  <c r="N466" i="7"/>
  <c r="K466" i="7"/>
  <c r="X96" i="28"/>
  <c r="R137" i="40"/>
  <c r="G138" i="40"/>
  <c r="H162" i="33"/>
  <c r="F163" i="33" s="1"/>
  <c r="P159" i="37"/>
  <c r="W157" i="37" s="1"/>
  <c r="H159" i="37"/>
  <c r="F160" i="37" s="1"/>
  <c r="H172" i="30"/>
  <c r="Z106" i="39"/>
  <c r="F106" i="39"/>
  <c r="C107" i="36"/>
  <c r="E106" i="36"/>
  <c r="M98" i="13" l="1"/>
  <c r="L153" i="7" s="1"/>
  <c r="V98" i="13"/>
  <c r="L98" i="13"/>
  <c r="K153" i="7" s="1"/>
  <c r="Y98" i="13"/>
  <c r="K98" i="13"/>
  <c r="J153" i="7" s="1"/>
  <c r="N98" i="13"/>
  <c r="M153" i="7" s="1"/>
  <c r="AB98" i="13"/>
  <c r="H98" i="13"/>
  <c r="H153" i="7" s="1"/>
  <c r="Z98" i="13"/>
  <c r="P148" i="46"/>
  <c r="Q148" i="46"/>
  <c r="F149" i="46" s="1"/>
  <c r="AC98" i="13"/>
  <c r="U98" i="13"/>
  <c r="U160" i="46"/>
  <c r="AB159" i="46"/>
  <c r="I161" i="7"/>
  <c r="AF98" i="28"/>
  <c r="J98" i="28"/>
  <c r="AA138" i="40"/>
  <c r="AB138" i="40" s="1"/>
  <c r="N138" i="40"/>
  <c r="AD138" i="40"/>
  <c r="AG138" i="40"/>
  <c r="M138" i="40"/>
  <c r="AH138" i="40"/>
  <c r="L138" i="40"/>
  <c r="Q162" i="33"/>
  <c r="I163" i="33"/>
  <c r="N163" i="33"/>
  <c r="J163" i="33" s="1"/>
  <c r="K163" i="33"/>
  <c r="L163" i="33"/>
  <c r="P163" i="33"/>
  <c r="W161" i="33" s="1"/>
  <c r="M163" i="33"/>
  <c r="Q159" i="37"/>
  <c r="Q172" i="30"/>
  <c r="P172" i="30"/>
  <c r="W170" i="30" s="1"/>
  <c r="F173" i="30"/>
  <c r="K160" i="37"/>
  <c r="L160" i="37"/>
  <c r="I160" i="37"/>
  <c r="J160" i="37"/>
  <c r="M160" i="37"/>
  <c r="K106" i="39"/>
  <c r="J106" i="39"/>
  <c r="Q106" i="39"/>
  <c r="Y106" i="39"/>
  <c r="X106" i="39" s="1"/>
  <c r="S106" i="39"/>
  <c r="T106" i="39" s="1"/>
  <c r="L106" i="39"/>
  <c r="V106" i="39"/>
  <c r="J98" i="13" l="1"/>
  <c r="A149" i="46"/>
  <c r="M149" i="46" s="1"/>
  <c r="H149" i="46"/>
  <c r="L149" i="46"/>
  <c r="J149" i="46"/>
  <c r="I149" i="46"/>
  <c r="X98" i="13"/>
  <c r="K149" i="46"/>
  <c r="W98" i="13"/>
  <c r="AA98" i="13"/>
  <c r="Z160" i="46"/>
  <c r="Y160" i="46"/>
  <c r="W160" i="46"/>
  <c r="X160" i="46"/>
  <c r="H98" i="28"/>
  <c r="J466" i="7"/>
  <c r="AF138" i="40"/>
  <c r="X136" i="40"/>
  <c r="Q138" i="40"/>
  <c r="J138" i="40"/>
  <c r="AC138" i="40"/>
  <c r="I138" i="40" s="1"/>
  <c r="H163" i="33"/>
  <c r="F164" i="33" s="1"/>
  <c r="L164" i="33" s="1"/>
  <c r="P160" i="37"/>
  <c r="W158" i="37" s="1"/>
  <c r="N173" i="30"/>
  <c r="J173" i="30" s="1"/>
  <c r="L173" i="30"/>
  <c r="M173" i="30"/>
  <c r="K173" i="30"/>
  <c r="I173" i="30"/>
  <c r="H160" i="37"/>
  <c r="U106" i="39"/>
  <c r="G106" i="39" s="1"/>
  <c r="D107" i="36" s="1"/>
  <c r="H106" i="39"/>
  <c r="G98" i="13" l="1"/>
  <c r="G149" i="46"/>
  <c r="V160" i="46"/>
  <c r="H466" i="7"/>
  <c r="Q98" i="28"/>
  <c r="Q466" i="7" s="1"/>
  <c r="F99" i="28"/>
  <c r="R98" i="28"/>
  <c r="R466" i="7" s="1"/>
  <c r="G139" i="40"/>
  <c r="R138" i="40"/>
  <c r="M164" i="33"/>
  <c r="N164" i="33"/>
  <c r="J164" i="33" s="1"/>
  <c r="I164" i="33"/>
  <c r="Q163" i="33"/>
  <c r="K164" i="33"/>
  <c r="P164" i="33"/>
  <c r="W162" i="33" s="1"/>
  <c r="I106" i="39"/>
  <c r="AC106" i="39" s="1"/>
  <c r="H173" i="30"/>
  <c r="Q160" i="37"/>
  <c r="F161" i="37"/>
  <c r="O106" i="39"/>
  <c r="P106" i="39"/>
  <c r="F99" i="13" l="1"/>
  <c r="S98" i="13"/>
  <c r="R98" i="13"/>
  <c r="G153" i="7"/>
  <c r="Q153" i="7" s="1"/>
  <c r="Q149" i="46"/>
  <c r="F150" i="46" s="1"/>
  <c r="P149" i="46"/>
  <c r="F154" i="7"/>
  <c r="R154" i="7" s="1"/>
  <c r="V99" i="13"/>
  <c r="L99" i="13"/>
  <c r="K154" i="7" s="1"/>
  <c r="N99" i="13"/>
  <c r="U161" i="46"/>
  <c r="Y161" i="46" s="1"/>
  <c r="AB160" i="46"/>
  <c r="M99" i="28"/>
  <c r="M467" i="7" s="1"/>
  <c r="AA99" i="28"/>
  <c r="L99" i="28"/>
  <c r="L467" i="7" s="1"/>
  <c r="K99" i="28"/>
  <c r="F467" i="7"/>
  <c r="S467" i="7" s="1"/>
  <c r="AD99" i="28"/>
  <c r="AG99" i="28"/>
  <c r="N99" i="28"/>
  <c r="AA139" i="40"/>
  <c r="AB139" i="40" s="1"/>
  <c r="M139" i="40"/>
  <c r="N139" i="40"/>
  <c r="AG139" i="40"/>
  <c r="AD139" i="40"/>
  <c r="AH139" i="40"/>
  <c r="L139" i="40"/>
  <c r="H164" i="33"/>
  <c r="Q164" i="33" s="1"/>
  <c r="F174" i="30"/>
  <c r="P173" i="30"/>
  <c r="W171" i="30" s="1"/>
  <c r="Q173" i="30"/>
  <c r="M161" i="37"/>
  <c r="I161" i="37"/>
  <c r="K161" i="37"/>
  <c r="L161" i="37"/>
  <c r="J161" i="37"/>
  <c r="F107" i="39"/>
  <c r="Z107" i="39"/>
  <c r="C108" i="36"/>
  <c r="E107" i="36"/>
  <c r="Y99" i="13" l="1"/>
  <c r="AB99" i="13"/>
  <c r="H99" i="13" s="1"/>
  <c r="H154" i="7" s="1"/>
  <c r="M99" i="13"/>
  <c r="L154" i="7" s="1"/>
  <c r="K99" i="13"/>
  <c r="J154" i="7" s="1"/>
  <c r="A150" i="46"/>
  <c r="M150" i="46" s="1"/>
  <c r="L150" i="46"/>
  <c r="J150" i="46"/>
  <c r="H150" i="46"/>
  <c r="K150" i="46"/>
  <c r="I150" i="46"/>
  <c r="E90" i="10"/>
  <c r="U99" i="13"/>
  <c r="Z99" i="13"/>
  <c r="AC99" i="13"/>
  <c r="M154" i="7"/>
  <c r="G150" i="46"/>
  <c r="W161" i="46"/>
  <c r="X161" i="46"/>
  <c r="Z161" i="46"/>
  <c r="I107" i="13"/>
  <c r="I162" i="7" s="1"/>
  <c r="I99" i="28"/>
  <c r="I467" i="7" s="1"/>
  <c r="Z99" i="28"/>
  <c r="AB99" i="28" s="1"/>
  <c r="AH99" i="28"/>
  <c r="AE99" i="28"/>
  <c r="AC99" i="28" s="1"/>
  <c r="N467" i="7"/>
  <c r="K467" i="7"/>
  <c r="X97" i="28"/>
  <c r="AF139" i="40"/>
  <c r="Q139" i="40"/>
  <c r="X137" i="40"/>
  <c r="AC139" i="40"/>
  <c r="I139" i="40" s="1"/>
  <c r="J139" i="40"/>
  <c r="F165" i="33"/>
  <c r="I165" i="33" s="1"/>
  <c r="P161" i="37"/>
  <c r="W159" i="37" s="1"/>
  <c r="M174" i="30"/>
  <c r="I174" i="30"/>
  <c r="L174" i="30"/>
  <c r="N174" i="30"/>
  <c r="J174" i="30" s="1"/>
  <c r="K174" i="30"/>
  <c r="H161" i="37"/>
  <c r="Q161" i="37" s="1"/>
  <c r="L107" i="39"/>
  <c r="J107" i="39"/>
  <c r="V107" i="39"/>
  <c r="Q107" i="39"/>
  <c r="S107" i="39"/>
  <c r="T107" i="39" s="1"/>
  <c r="Y107" i="39"/>
  <c r="X107" i="39" s="1"/>
  <c r="K107" i="39"/>
  <c r="AA99" i="13" l="1"/>
  <c r="X99" i="13"/>
  <c r="J99" i="13"/>
  <c r="W99" i="13"/>
  <c r="Q150" i="46"/>
  <c r="F151" i="46" s="1"/>
  <c r="P150" i="46"/>
  <c r="V161" i="46"/>
  <c r="U162" i="46" s="1"/>
  <c r="W162" i="46" s="1"/>
  <c r="AF99" i="28"/>
  <c r="J99" i="28"/>
  <c r="R139" i="40"/>
  <c r="G140" i="40"/>
  <c r="K165" i="33"/>
  <c r="L165" i="33"/>
  <c r="M165" i="33"/>
  <c r="N165" i="33"/>
  <c r="J165" i="33" s="1"/>
  <c r="H165" i="33" s="1"/>
  <c r="Q165" i="33" s="1"/>
  <c r="P165" i="33"/>
  <c r="W163" i="33" s="1"/>
  <c r="H174" i="30"/>
  <c r="Q174" i="30" s="1"/>
  <c r="F162" i="37"/>
  <c r="K162" i="37" s="1"/>
  <c r="U107" i="39"/>
  <c r="G107" i="39" s="1"/>
  <c r="D108" i="36" s="1"/>
  <c r="H107" i="39"/>
  <c r="G99" i="13" l="1"/>
  <c r="L151" i="46"/>
  <c r="A151" i="46"/>
  <c r="M151" i="46" s="1"/>
  <c r="K151" i="46"/>
  <c r="H151" i="46"/>
  <c r="J151" i="46"/>
  <c r="I151" i="46"/>
  <c r="Y162" i="46"/>
  <c r="AB161" i="46"/>
  <c r="X162" i="46"/>
  <c r="V162" i="46" s="1"/>
  <c r="Z162" i="46"/>
  <c r="H99" i="28"/>
  <c r="J467" i="7"/>
  <c r="AG140" i="40"/>
  <c r="M140" i="40"/>
  <c r="AD140" i="40"/>
  <c r="AA140" i="40"/>
  <c r="AB140" i="40" s="1"/>
  <c r="L140" i="40"/>
  <c r="AH140" i="40"/>
  <c r="N140" i="40"/>
  <c r="F166" i="33"/>
  <c r="I166" i="33" s="1"/>
  <c r="I107" i="39"/>
  <c r="AC107" i="39" s="1"/>
  <c r="P174" i="30"/>
  <c r="W172" i="30" s="1"/>
  <c r="F175" i="30"/>
  <c r="M175" i="30" s="1"/>
  <c r="L162" i="37"/>
  <c r="M162" i="37"/>
  <c r="I162" i="37"/>
  <c r="J162" i="37"/>
  <c r="O107" i="39"/>
  <c r="P107" i="39"/>
  <c r="G154" i="7" l="1"/>
  <c r="R99" i="13"/>
  <c r="S99" i="13"/>
  <c r="F100" i="13"/>
  <c r="G151" i="46"/>
  <c r="P151" i="46" s="1"/>
  <c r="AB162" i="46"/>
  <c r="U163" i="46"/>
  <c r="H467" i="7"/>
  <c r="F100" i="28"/>
  <c r="Q99" i="28"/>
  <c r="Q467" i="7" s="1"/>
  <c r="R99" i="28"/>
  <c r="R467" i="7" s="1"/>
  <c r="AF140" i="40"/>
  <c r="X138" i="40"/>
  <c r="Q140" i="40"/>
  <c r="AC140" i="40"/>
  <c r="I140" i="40" s="1"/>
  <c r="J140" i="40"/>
  <c r="L166" i="33"/>
  <c r="N166" i="33"/>
  <c r="J166" i="33" s="1"/>
  <c r="H166" i="33" s="1"/>
  <c r="F167" i="33" s="1"/>
  <c r="I167" i="33" s="1"/>
  <c r="M166" i="33"/>
  <c r="P166" i="33"/>
  <c r="W164" i="33" s="1"/>
  <c r="K166" i="33"/>
  <c r="P162" i="37"/>
  <c r="W160" i="37" s="1"/>
  <c r="I175" i="30"/>
  <c r="K175" i="30"/>
  <c r="N175" i="30"/>
  <c r="J175" i="30" s="1"/>
  <c r="L175" i="30"/>
  <c r="H162" i="37"/>
  <c r="Q162" i="37" s="1"/>
  <c r="Z108" i="39"/>
  <c r="F108" i="39"/>
  <c r="E108" i="36"/>
  <c r="C109" i="36"/>
  <c r="N100" i="13" l="1"/>
  <c r="Y100" i="13"/>
  <c r="L100" i="13"/>
  <c r="K155" i="7" s="1"/>
  <c r="V100" i="13"/>
  <c r="P154" i="7"/>
  <c r="M100" i="13"/>
  <c r="L155" i="7" s="1"/>
  <c r="AB100" i="13"/>
  <c r="H100" i="13" s="1"/>
  <c r="H155" i="7" s="1"/>
  <c r="K100" i="13"/>
  <c r="J155" i="7" s="1"/>
  <c r="F155" i="7"/>
  <c r="R155" i="7" s="1"/>
  <c r="Q154" i="7"/>
  <c r="Q151" i="46"/>
  <c r="F152" i="46" s="1"/>
  <c r="X163" i="46"/>
  <c r="W163" i="46"/>
  <c r="Y163" i="46"/>
  <c r="Z163" i="46"/>
  <c r="I108" i="13"/>
  <c r="F468" i="7"/>
  <c r="S468" i="7" s="1"/>
  <c r="L100" i="28"/>
  <c r="L468" i="7" s="1"/>
  <c r="N100" i="28"/>
  <c r="AE100" i="28" s="1"/>
  <c r="AA100" i="28"/>
  <c r="M100" i="28"/>
  <c r="M468" i="7" s="1"/>
  <c r="AD100" i="28"/>
  <c r="AG100" i="28"/>
  <c r="K100" i="28"/>
  <c r="G141" i="40"/>
  <c r="R140" i="40"/>
  <c r="Q166" i="33"/>
  <c r="N167" i="33"/>
  <c r="J167" i="33" s="1"/>
  <c r="H167" i="33" s="1"/>
  <c r="F168" i="33" s="1"/>
  <c r="M168" i="33" s="1"/>
  <c r="L167" i="33"/>
  <c r="M167" i="33"/>
  <c r="P167" i="33"/>
  <c r="W165" i="33" s="1"/>
  <c r="K167" i="33"/>
  <c r="F163" i="37"/>
  <c r="K163" i="37" s="1"/>
  <c r="H175" i="30"/>
  <c r="F176" i="30" s="1"/>
  <c r="M176" i="30" s="1"/>
  <c r="S108" i="39"/>
  <c r="T108" i="39" s="1"/>
  <c r="L108" i="39"/>
  <c r="Q108" i="39"/>
  <c r="Y108" i="39"/>
  <c r="X108" i="39" s="1"/>
  <c r="V108" i="39"/>
  <c r="K108" i="39"/>
  <c r="J108" i="39"/>
  <c r="U100" i="13" l="1"/>
  <c r="Z100" i="13"/>
  <c r="AC100" i="13"/>
  <c r="M155" i="7"/>
  <c r="L152" i="46"/>
  <c r="J152" i="46"/>
  <c r="K152" i="46"/>
  <c r="I152" i="46"/>
  <c r="H152" i="46"/>
  <c r="A152" i="46"/>
  <c r="M152" i="46" s="1"/>
  <c r="V163" i="46"/>
  <c r="I163" i="7"/>
  <c r="I100" i="28"/>
  <c r="I468" i="7" s="1"/>
  <c r="AC100" i="28"/>
  <c r="N468" i="7"/>
  <c r="AH100" i="28"/>
  <c r="Z100" i="28"/>
  <c r="AB100" i="28" s="1"/>
  <c r="K468" i="7"/>
  <c r="X98" i="28"/>
  <c r="L141" i="40"/>
  <c r="AA141" i="40"/>
  <c r="AB141" i="40" s="1"/>
  <c r="AD141" i="40"/>
  <c r="N141" i="40"/>
  <c r="AH141" i="40"/>
  <c r="M141" i="40"/>
  <c r="AG141" i="40"/>
  <c r="N168" i="33"/>
  <c r="J168" i="33" s="1"/>
  <c r="L168" i="33"/>
  <c r="P168" i="33"/>
  <c r="W166" i="33" s="1"/>
  <c r="K168" i="33"/>
  <c r="Q167" i="33"/>
  <c r="I168" i="33"/>
  <c r="L163" i="37"/>
  <c r="M163" i="37"/>
  <c r="J163" i="37"/>
  <c r="I163" i="37"/>
  <c r="P175" i="30"/>
  <c r="W173" i="30" s="1"/>
  <c r="Q175" i="30"/>
  <c r="L176" i="30"/>
  <c r="N176" i="30"/>
  <c r="J176" i="30" s="1"/>
  <c r="K176" i="30"/>
  <c r="I176" i="30"/>
  <c r="U108" i="39"/>
  <c r="G108" i="39" s="1"/>
  <c r="D109" i="36" s="1"/>
  <c r="H108" i="39"/>
  <c r="J100" i="13" l="1"/>
  <c r="W100" i="13"/>
  <c r="X100" i="13"/>
  <c r="AA100" i="13"/>
  <c r="G152" i="46"/>
  <c r="AB163" i="46"/>
  <c r="U164" i="46"/>
  <c r="J100" i="28"/>
  <c r="AF100" i="28"/>
  <c r="AF141" i="40"/>
  <c r="J141" i="40"/>
  <c r="AC141" i="40"/>
  <c r="I141" i="40" s="1"/>
  <c r="Q141" i="40"/>
  <c r="X139" i="40"/>
  <c r="H168" i="33"/>
  <c r="Q168" i="33" s="1"/>
  <c r="I108" i="39"/>
  <c r="AC108" i="39" s="1"/>
  <c r="P163" i="37"/>
  <c r="W161" i="37" s="1"/>
  <c r="H163" i="37"/>
  <c r="Q163" i="37" s="1"/>
  <c r="H176" i="30"/>
  <c r="Q176" i="30" s="1"/>
  <c r="O108" i="39"/>
  <c r="P108" i="39"/>
  <c r="G100" i="13" l="1"/>
  <c r="G155" i="7" s="1"/>
  <c r="Q155" i="7" s="1"/>
  <c r="P152" i="46"/>
  <c r="Q152" i="46"/>
  <c r="F153" i="46" s="1"/>
  <c r="Y164" i="46"/>
  <c r="W164" i="46"/>
  <c r="Z164" i="46"/>
  <c r="X164" i="46"/>
  <c r="I109" i="13"/>
  <c r="J468" i="7"/>
  <c r="H100" i="28"/>
  <c r="R141" i="40"/>
  <c r="G142" i="40"/>
  <c r="F169" i="33"/>
  <c r="N169" i="33" s="1"/>
  <c r="J169" i="33" s="1"/>
  <c r="F164" i="37"/>
  <c r="M164" i="37" s="1"/>
  <c r="P176" i="30"/>
  <c r="W174" i="30" s="1"/>
  <c r="F177" i="30"/>
  <c r="F109" i="39"/>
  <c r="Z109" i="39"/>
  <c r="C110" i="36"/>
  <c r="E109" i="36"/>
  <c r="R100" i="13" l="1"/>
  <c r="S100" i="13"/>
  <c r="F101" i="13"/>
  <c r="F156" i="7"/>
  <c r="R156" i="7" s="1"/>
  <c r="J153" i="46"/>
  <c r="A153" i="46"/>
  <c r="M153" i="46" s="1"/>
  <c r="H153" i="46"/>
  <c r="K153" i="46"/>
  <c r="I153" i="46"/>
  <c r="L153" i="46"/>
  <c r="V164" i="46"/>
  <c r="I164" i="7"/>
  <c r="Q100" i="28"/>
  <c r="Q468" i="7" s="1"/>
  <c r="F101" i="28"/>
  <c r="H468" i="7"/>
  <c r="R100" i="28"/>
  <c r="R468" i="7" s="1"/>
  <c r="AA142" i="40"/>
  <c r="AB142" i="40" s="1"/>
  <c r="AD142" i="40"/>
  <c r="L142" i="40"/>
  <c r="M142" i="40"/>
  <c r="AH142" i="40"/>
  <c r="AG142" i="40"/>
  <c r="N142" i="40"/>
  <c r="M169" i="33"/>
  <c r="L169" i="33"/>
  <c r="K169" i="33"/>
  <c r="I169" i="33"/>
  <c r="H169" i="33" s="1"/>
  <c r="F170" i="33" s="1"/>
  <c r="P170" i="33" s="1"/>
  <c r="W168" i="33" s="1"/>
  <c r="P169" i="33"/>
  <c r="W167" i="33" s="1"/>
  <c r="J164" i="37"/>
  <c r="L164" i="37"/>
  <c r="I164" i="37"/>
  <c r="K164" i="37"/>
  <c r="L177" i="30"/>
  <c r="M177" i="30"/>
  <c r="K177" i="30"/>
  <c r="N177" i="30"/>
  <c r="J177" i="30" s="1"/>
  <c r="I177" i="30"/>
  <c r="Y109" i="39"/>
  <c r="X109" i="39" s="1"/>
  <c r="L109" i="39"/>
  <c r="Q109" i="39"/>
  <c r="J109" i="39"/>
  <c r="S109" i="39"/>
  <c r="T109" i="39" s="1"/>
  <c r="V109" i="39"/>
  <c r="K109" i="39"/>
  <c r="M101" i="13" l="1"/>
  <c r="L156" i="7" s="1"/>
  <c r="V101" i="13"/>
  <c r="K101" i="13"/>
  <c r="J156" i="7" s="1"/>
  <c r="Y101" i="13"/>
  <c r="N101" i="13"/>
  <c r="L101" i="13"/>
  <c r="K156" i="7" s="1"/>
  <c r="AB101" i="13"/>
  <c r="H101" i="13"/>
  <c r="H156" i="7" s="1"/>
  <c r="G153" i="46"/>
  <c r="U165" i="46"/>
  <c r="AB164" i="46"/>
  <c r="AA101" i="28"/>
  <c r="L101" i="28"/>
  <c r="L469" i="7" s="1"/>
  <c r="N101" i="28"/>
  <c r="N469" i="7" s="1"/>
  <c r="AG101" i="28"/>
  <c r="F469" i="7"/>
  <c r="S469" i="7" s="1"/>
  <c r="AD101" i="28"/>
  <c r="K101" i="28"/>
  <c r="K469" i="7" s="1"/>
  <c r="M101" i="28"/>
  <c r="M469" i="7" s="1"/>
  <c r="AF142" i="40"/>
  <c r="X140" i="40"/>
  <c r="Q142" i="40"/>
  <c r="J142" i="40"/>
  <c r="AC142" i="40"/>
  <c r="I142" i="40" s="1"/>
  <c r="L170" i="33"/>
  <c r="N170" i="33"/>
  <c r="J170" i="33" s="1"/>
  <c r="Q169" i="33"/>
  <c r="K170" i="33"/>
  <c r="M170" i="33"/>
  <c r="I170" i="33"/>
  <c r="P164" i="37"/>
  <c r="W162" i="37" s="1"/>
  <c r="H164" i="37"/>
  <c r="Q164" i="37" s="1"/>
  <c r="H177" i="30"/>
  <c r="Q177" i="30" s="1"/>
  <c r="H109" i="39"/>
  <c r="U109" i="39"/>
  <c r="G109" i="39" s="1"/>
  <c r="D110" i="36" s="1"/>
  <c r="U101" i="13" l="1"/>
  <c r="W101" i="13" s="1"/>
  <c r="AC101" i="13"/>
  <c r="Z101" i="13"/>
  <c r="X101" i="13" s="1"/>
  <c r="M156" i="7"/>
  <c r="P153" i="46"/>
  <c r="Q153" i="46"/>
  <c r="F154" i="46" s="1"/>
  <c r="AA101" i="13"/>
  <c r="J101" i="13"/>
  <c r="G101" i="13" s="1"/>
  <c r="G156" i="7" s="1"/>
  <c r="Q156" i="7" s="1"/>
  <c r="Y165" i="46"/>
  <c r="X165" i="46"/>
  <c r="W165" i="46"/>
  <c r="Z165" i="46"/>
  <c r="I101" i="28"/>
  <c r="I469" i="7" s="1"/>
  <c r="AE101" i="28"/>
  <c r="AC101" i="28" s="1"/>
  <c r="AH101" i="28"/>
  <c r="AF101" i="28" s="1"/>
  <c r="X99" i="28"/>
  <c r="Z101" i="28"/>
  <c r="AB101" i="28" s="1"/>
  <c r="G143" i="40"/>
  <c r="R142" i="40"/>
  <c r="H170" i="33"/>
  <c r="F171" i="33" s="1"/>
  <c r="P171" i="33" s="1"/>
  <c r="W169" i="33" s="1"/>
  <c r="I109" i="39"/>
  <c r="AC109" i="39" s="1"/>
  <c r="F165" i="37"/>
  <c r="J165" i="37" s="1"/>
  <c r="P177" i="30"/>
  <c r="W175" i="30" s="1"/>
  <c r="F178" i="30"/>
  <c r="O109" i="39"/>
  <c r="P109" i="39"/>
  <c r="L154" i="46" l="1"/>
  <c r="K154" i="46"/>
  <c r="A154" i="46"/>
  <c r="M154" i="46" s="1"/>
  <c r="H154" i="46"/>
  <c r="J154" i="46"/>
  <c r="I154" i="46"/>
  <c r="S101" i="13"/>
  <c r="F102" i="13"/>
  <c r="R101" i="13"/>
  <c r="V165" i="46"/>
  <c r="J101" i="28"/>
  <c r="J469" i="7" s="1"/>
  <c r="N171" i="33"/>
  <c r="J171" i="33" s="1"/>
  <c r="K171" i="33"/>
  <c r="AD143" i="40"/>
  <c r="AH143" i="40"/>
  <c r="AG143" i="40"/>
  <c r="M143" i="40"/>
  <c r="L143" i="40"/>
  <c r="N143" i="40"/>
  <c r="AA143" i="40"/>
  <c r="AB143" i="40" s="1"/>
  <c r="Q170" i="33"/>
  <c r="L171" i="33"/>
  <c r="I171" i="33"/>
  <c r="M171" i="33"/>
  <c r="L165" i="37"/>
  <c r="I165" i="37"/>
  <c r="H165" i="37" s="1"/>
  <c r="Q165" i="37" s="1"/>
  <c r="M165" i="37"/>
  <c r="K165" i="37"/>
  <c r="K178" i="30"/>
  <c r="L178" i="30"/>
  <c r="I178" i="30"/>
  <c r="M178" i="30"/>
  <c r="N178" i="30"/>
  <c r="J178" i="30" s="1"/>
  <c r="Z110" i="39"/>
  <c r="F110" i="39"/>
  <c r="C111" i="36"/>
  <c r="E110" i="36"/>
  <c r="F157" i="7" l="1"/>
  <c r="R157" i="7" s="1"/>
  <c r="G154" i="46"/>
  <c r="M102" i="13"/>
  <c r="L157" i="7" s="1"/>
  <c r="K102" i="13"/>
  <c r="J157" i="7" s="1"/>
  <c r="N102" i="13"/>
  <c r="M157" i="7" s="1"/>
  <c r="AB102" i="13"/>
  <c r="V102" i="13"/>
  <c r="Y102" i="13"/>
  <c r="L102" i="13"/>
  <c r="K157" i="7" s="1"/>
  <c r="U166" i="46"/>
  <c r="AB165" i="46"/>
  <c r="I110" i="13"/>
  <c r="H101" i="28"/>
  <c r="Q101" i="28" s="1"/>
  <c r="Q469" i="7" s="1"/>
  <c r="H171" i="33"/>
  <c r="Q171" i="33" s="1"/>
  <c r="AF143" i="40"/>
  <c r="Q143" i="40"/>
  <c r="X141" i="40"/>
  <c r="J143" i="40"/>
  <c r="AC143" i="40"/>
  <c r="I143" i="40" s="1"/>
  <c r="P165" i="37"/>
  <c r="W163" i="37" s="1"/>
  <c r="F166" i="37"/>
  <c r="I166" i="37" s="1"/>
  <c r="H178" i="30"/>
  <c r="P178" i="30" s="1"/>
  <c r="W176" i="30" s="1"/>
  <c r="L110" i="39"/>
  <c r="J110" i="39"/>
  <c r="Q110" i="39"/>
  <c r="V110" i="39"/>
  <c r="K110" i="39"/>
  <c r="Y110" i="39"/>
  <c r="X110" i="39" s="1"/>
  <c r="S110" i="39"/>
  <c r="T110" i="39" s="1"/>
  <c r="H102" i="13" l="1"/>
  <c r="H157" i="7" s="1"/>
  <c r="P154" i="46"/>
  <c r="Q154" i="46"/>
  <c r="F155" i="46" s="1"/>
  <c r="Z102" i="13"/>
  <c r="J102" i="13" s="1"/>
  <c r="U102" i="13"/>
  <c r="AC102" i="13"/>
  <c r="Z166" i="46"/>
  <c r="Y166" i="46"/>
  <c r="X166" i="46"/>
  <c r="W166" i="46"/>
  <c r="I165" i="7"/>
  <c r="H469" i="7"/>
  <c r="F102" i="28"/>
  <c r="K102" i="28" s="1"/>
  <c r="R101" i="28"/>
  <c r="R469" i="7" s="1"/>
  <c r="F172" i="33"/>
  <c r="N172" i="33" s="1"/>
  <c r="J172" i="33" s="1"/>
  <c r="G144" i="40"/>
  <c r="R143" i="40"/>
  <c r="L166" i="37"/>
  <c r="J166" i="37"/>
  <c r="H166" i="37" s="1"/>
  <c r="Q166" i="37" s="1"/>
  <c r="M166" i="37"/>
  <c r="K166" i="37"/>
  <c r="F179" i="30"/>
  <c r="I179" i="30" s="1"/>
  <c r="Q178" i="30"/>
  <c r="U110" i="39"/>
  <c r="G110" i="39" s="1"/>
  <c r="D111" i="36" s="1"/>
  <c r="H110" i="39"/>
  <c r="A155" i="46" l="1"/>
  <c r="M155" i="46" s="1"/>
  <c r="I155" i="46"/>
  <c r="J155" i="46"/>
  <c r="K155" i="46"/>
  <c r="L155" i="46"/>
  <c r="H155" i="46"/>
  <c r="X102" i="13"/>
  <c r="W102" i="13"/>
  <c r="AA102" i="13"/>
  <c r="G102" i="13"/>
  <c r="G157" i="7" s="1"/>
  <c r="Q157" i="7" s="1"/>
  <c r="V166" i="46"/>
  <c r="F470" i="7"/>
  <c r="S470" i="7" s="1"/>
  <c r="M102" i="28"/>
  <c r="M470" i="7" s="1"/>
  <c r="AA102" i="28"/>
  <c r="L102" i="28"/>
  <c r="L470" i="7" s="1"/>
  <c r="AG102" i="28"/>
  <c r="N102" i="28"/>
  <c r="AH102" i="28" s="1"/>
  <c r="AD102" i="28"/>
  <c r="K470" i="7"/>
  <c r="M172" i="33"/>
  <c r="I172" i="33"/>
  <c r="H172" i="33" s="1"/>
  <c r="F173" i="33" s="1"/>
  <c r="I173" i="33" s="1"/>
  <c r="P172" i="33"/>
  <c r="W170" i="33" s="1"/>
  <c r="L172" i="33"/>
  <c r="K172" i="33"/>
  <c r="AG144" i="40"/>
  <c r="M144" i="40"/>
  <c r="L144" i="40"/>
  <c r="AH144" i="40"/>
  <c r="AD144" i="40"/>
  <c r="N144" i="40"/>
  <c r="AA144" i="40"/>
  <c r="AB144" i="40" s="1"/>
  <c r="I110" i="39"/>
  <c r="AC110" i="39" s="1"/>
  <c r="F167" i="37"/>
  <c r="L167" i="37" s="1"/>
  <c r="P166" i="37"/>
  <c r="W164" i="37" s="1"/>
  <c r="M179" i="30"/>
  <c r="N179" i="30"/>
  <c r="J179" i="30" s="1"/>
  <c r="H179" i="30" s="1"/>
  <c r="K179" i="30"/>
  <c r="L179" i="30"/>
  <c r="O110" i="39"/>
  <c r="P110" i="39"/>
  <c r="G155" i="46" l="1"/>
  <c r="R102" i="13"/>
  <c r="S102" i="13"/>
  <c r="F103" i="13"/>
  <c r="F158" i="7" s="1"/>
  <c r="R158" i="7" s="1"/>
  <c r="AB166" i="46"/>
  <c r="U167" i="46"/>
  <c r="I111" i="13"/>
  <c r="N470" i="7"/>
  <c r="I102" i="28"/>
  <c r="I470" i="7" s="1"/>
  <c r="Z102" i="28"/>
  <c r="AB102" i="28" s="1"/>
  <c r="X100" i="28"/>
  <c r="AE102" i="28"/>
  <c r="AC102" i="28" s="1"/>
  <c r="AF102" i="28"/>
  <c r="M173" i="33"/>
  <c r="P173" i="33"/>
  <c r="W171" i="33" s="1"/>
  <c r="N173" i="33"/>
  <c r="J173" i="33" s="1"/>
  <c r="H173" i="33" s="1"/>
  <c r="F174" i="33" s="1"/>
  <c r="AF144" i="40"/>
  <c r="Q172" i="33"/>
  <c r="K173" i="33"/>
  <c r="L173" i="33"/>
  <c r="J144" i="40"/>
  <c r="AC144" i="40"/>
  <c r="I144" i="40" s="1"/>
  <c r="Q144" i="40"/>
  <c r="X142" i="40"/>
  <c r="K167" i="37"/>
  <c r="J167" i="37"/>
  <c r="M167" i="37"/>
  <c r="I167" i="37"/>
  <c r="Q179" i="30"/>
  <c r="P179" i="30"/>
  <c r="W177" i="30" s="1"/>
  <c r="F180" i="30"/>
  <c r="F111" i="39"/>
  <c r="Z111" i="39"/>
  <c r="E111" i="36"/>
  <c r="C112" i="36"/>
  <c r="P155" i="46" l="1"/>
  <c r="Q155" i="46"/>
  <c r="F156" i="46" s="1"/>
  <c r="M103" i="13"/>
  <c r="L158" i="7" s="1"/>
  <c r="N103" i="13"/>
  <c r="M158" i="7" s="1"/>
  <c r="K103" i="13"/>
  <c r="J158" i="7" s="1"/>
  <c r="L103" i="13"/>
  <c r="K158" i="7" s="1"/>
  <c r="V103" i="13"/>
  <c r="Y103" i="13"/>
  <c r="H103" i="13" s="1"/>
  <c r="H158" i="7" s="1"/>
  <c r="AB103" i="13"/>
  <c r="Z167" i="46"/>
  <c r="X167" i="46"/>
  <c r="W167" i="46"/>
  <c r="Y167" i="46"/>
  <c r="I166" i="7"/>
  <c r="J102" i="28"/>
  <c r="H102" i="28" s="1"/>
  <c r="Q173" i="33"/>
  <c r="P167" i="37"/>
  <c r="W165" i="37" s="1"/>
  <c r="R144" i="40"/>
  <c r="G145" i="40"/>
  <c r="H167" i="37"/>
  <c r="F168" i="37" s="1"/>
  <c r="N174" i="33"/>
  <c r="J174" i="33" s="1"/>
  <c r="P174" i="33"/>
  <c r="W172" i="33" s="1"/>
  <c r="M174" i="33"/>
  <c r="I174" i="33"/>
  <c r="L174" i="33"/>
  <c r="K174" i="33"/>
  <c r="K180" i="30"/>
  <c r="N180" i="30"/>
  <c r="J180" i="30" s="1"/>
  <c r="L180" i="30"/>
  <c r="I180" i="30"/>
  <c r="M180" i="30"/>
  <c r="L111" i="39"/>
  <c r="J111" i="39"/>
  <c r="V111" i="39"/>
  <c r="K111" i="39"/>
  <c r="Y111" i="39"/>
  <c r="X111" i="39" s="1"/>
  <c r="Q111" i="39"/>
  <c r="S111" i="39"/>
  <c r="T111" i="39" s="1"/>
  <c r="A156" i="46" l="1"/>
  <c r="M156" i="46" s="1"/>
  <c r="K156" i="46"/>
  <c r="H156" i="46"/>
  <c r="L156" i="46"/>
  <c r="I156" i="46"/>
  <c r="J156" i="46"/>
  <c r="AC103" i="13"/>
  <c r="E94" i="10"/>
  <c r="U103" i="13"/>
  <c r="W103" i="13" s="1"/>
  <c r="Z103" i="13"/>
  <c r="V167" i="46"/>
  <c r="J470" i="7"/>
  <c r="R102" i="28"/>
  <c r="R470" i="7" s="1"/>
  <c r="F103" i="28"/>
  <c r="H470" i="7"/>
  <c r="Q102" i="28"/>
  <c r="Q470" i="7" s="1"/>
  <c r="N145" i="40"/>
  <c r="L145" i="40"/>
  <c r="AH145" i="40"/>
  <c r="AA145" i="40"/>
  <c r="AB145" i="40" s="1"/>
  <c r="AD145" i="40"/>
  <c r="AG145" i="40"/>
  <c r="M145" i="40"/>
  <c r="Q167" i="37"/>
  <c r="H174" i="33"/>
  <c r="H180" i="30"/>
  <c r="Q180" i="30" s="1"/>
  <c r="I168" i="37"/>
  <c r="L168" i="37"/>
  <c r="M168" i="37"/>
  <c r="J168" i="37"/>
  <c r="K168" i="37"/>
  <c r="H111" i="39"/>
  <c r="U111" i="39"/>
  <c r="G111" i="39" s="1"/>
  <c r="D112" i="36" s="1"/>
  <c r="J103" i="13" l="1"/>
  <c r="G156" i="46"/>
  <c r="AA103" i="13"/>
  <c r="X103" i="13"/>
  <c r="G103" i="13" s="1"/>
  <c r="G158" i="7" s="1"/>
  <c r="U168" i="46"/>
  <c r="Z168" i="46" s="1"/>
  <c r="AB167" i="46"/>
  <c r="N103" i="28"/>
  <c r="F471" i="7"/>
  <c r="S471" i="7" s="1"/>
  <c r="K103" i="28"/>
  <c r="AD103" i="28"/>
  <c r="L103" i="28"/>
  <c r="L471" i="7" s="1"/>
  <c r="AG103" i="28"/>
  <c r="AA103" i="28"/>
  <c r="M103" i="28"/>
  <c r="M471" i="7" s="1"/>
  <c r="AC145" i="40"/>
  <c r="I145" i="40" s="1"/>
  <c r="J145" i="40"/>
  <c r="AF145" i="40"/>
  <c r="Q145" i="40"/>
  <c r="X143" i="40"/>
  <c r="I111" i="39"/>
  <c r="AC111" i="39" s="1"/>
  <c r="P168" i="37"/>
  <c r="W166" i="37" s="1"/>
  <c r="Q174" i="33"/>
  <c r="F175" i="33"/>
  <c r="F181" i="30"/>
  <c r="K181" i="30" s="1"/>
  <c r="P180" i="30"/>
  <c r="W178" i="30" s="1"/>
  <c r="H168" i="37"/>
  <c r="O111" i="39"/>
  <c r="P111" i="39"/>
  <c r="Q156" i="46" l="1"/>
  <c r="F157" i="46" s="1"/>
  <c r="P156" i="46"/>
  <c r="Q158" i="7"/>
  <c r="P158" i="7"/>
  <c r="R103" i="13"/>
  <c r="F104" i="13"/>
  <c r="F159" i="7" s="1"/>
  <c r="R159" i="7" s="1"/>
  <c r="S103" i="13"/>
  <c r="X168" i="46"/>
  <c r="Y168" i="46"/>
  <c r="W168" i="46"/>
  <c r="I112" i="13"/>
  <c r="I103" i="28"/>
  <c r="I471" i="7" s="1"/>
  <c r="K471" i="7"/>
  <c r="X101" i="28"/>
  <c r="N471" i="7"/>
  <c r="AH103" i="28"/>
  <c r="AE103" i="28"/>
  <c r="AC103" i="28" s="1"/>
  <c r="Z103" i="28"/>
  <c r="AB103" i="28" s="1"/>
  <c r="R145" i="40"/>
  <c r="G146" i="40"/>
  <c r="I175" i="33"/>
  <c r="K175" i="33"/>
  <c r="N175" i="33"/>
  <c r="J175" i="33" s="1"/>
  <c r="L175" i="33"/>
  <c r="M175" i="33"/>
  <c r="P175" i="33"/>
  <c r="W173" i="33" s="1"/>
  <c r="I181" i="30"/>
  <c r="M181" i="30"/>
  <c r="N181" i="30"/>
  <c r="J181" i="30" s="1"/>
  <c r="L181" i="30"/>
  <c r="Q168" i="37"/>
  <c r="F169" i="37"/>
  <c r="Z112" i="39"/>
  <c r="F112" i="39"/>
  <c r="C113" i="36"/>
  <c r="E112" i="36"/>
  <c r="H157" i="46" l="1"/>
  <c r="L157" i="46"/>
  <c r="I157" i="46"/>
  <c r="J157" i="46"/>
  <c r="A157" i="46"/>
  <c r="M157" i="46" s="1"/>
  <c r="K157" i="46"/>
  <c r="L104" i="13"/>
  <c r="K159" i="7" s="1"/>
  <c r="Y104" i="13"/>
  <c r="K104" i="13"/>
  <c r="J159" i="7" s="1"/>
  <c r="V104" i="13"/>
  <c r="AB104" i="13"/>
  <c r="M104" i="13"/>
  <c r="L159" i="7" s="1"/>
  <c r="N104" i="13"/>
  <c r="M159" i="7" s="1"/>
  <c r="V168" i="46"/>
  <c r="U169" i="46" s="1"/>
  <c r="I167" i="7"/>
  <c r="AF103" i="28"/>
  <c r="J103" i="28"/>
  <c r="AA146" i="40"/>
  <c r="AB146" i="40" s="1"/>
  <c r="N146" i="40"/>
  <c r="AD146" i="40"/>
  <c r="AH146" i="40"/>
  <c r="L146" i="40"/>
  <c r="AG146" i="40"/>
  <c r="M146" i="40"/>
  <c r="H175" i="33"/>
  <c r="F176" i="33" s="1"/>
  <c r="M176" i="33" s="1"/>
  <c r="H181" i="30"/>
  <c r="F182" i="30" s="1"/>
  <c r="M182" i="30" s="1"/>
  <c r="I169" i="37"/>
  <c r="J169" i="37"/>
  <c r="M169" i="37"/>
  <c r="K169" i="37"/>
  <c r="L169" i="37"/>
  <c r="L112" i="39"/>
  <c r="S112" i="39"/>
  <c r="T112" i="39" s="1"/>
  <c r="Q112" i="39"/>
  <c r="Y112" i="39"/>
  <c r="X112" i="39" s="1"/>
  <c r="V112" i="39"/>
  <c r="K112" i="39"/>
  <c r="J112" i="39"/>
  <c r="H104" i="13" l="1"/>
  <c r="H159" i="7" s="1"/>
  <c r="G157" i="46"/>
  <c r="U104" i="13"/>
  <c r="Z104" i="13"/>
  <c r="AC104" i="13"/>
  <c r="X169" i="46"/>
  <c r="W169" i="46"/>
  <c r="Z169" i="46"/>
  <c r="Y169" i="46"/>
  <c r="AB168" i="46"/>
  <c r="J471" i="7"/>
  <c r="H103" i="28"/>
  <c r="AF146" i="40"/>
  <c r="X144" i="40"/>
  <c r="Q146" i="40"/>
  <c r="AC146" i="40"/>
  <c r="I146" i="40" s="1"/>
  <c r="J146" i="40"/>
  <c r="P176" i="33"/>
  <c r="W174" i="33" s="1"/>
  <c r="N176" i="33"/>
  <c r="J176" i="33" s="1"/>
  <c r="I176" i="33"/>
  <c r="K176" i="33"/>
  <c r="L176" i="33"/>
  <c r="Q175" i="33"/>
  <c r="P169" i="37"/>
  <c r="W167" i="37" s="1"/>
  <c r="Q181" i="30"/>
  <c r="P181" i="30"/>
  <c r="W179" i="30" s="1"/>
  <c r="L182" i="30"/>
  <c r="N182" i="30"/>
  <c r="J182" i="30" s="1"/>
  <c r="K182" i="30"/>
  <c r="I182" i="30"/>
  <c r="H169" i="37"/>
  <c r="U112" i="39"/>
  <c r="G112" i="39" s="1"/>
  <c r="D113" i="36" s="1"/>
  <c r="H112" i="39"/>
  <c r="Q157" i="46" l="1"/>
  <c r="F158" i="46" s="1"/>
  <c r="P157" i="46"/>
  <c r="W104" i="13"/>
  <c r="J104" i="13"/>
  <c r="X104" i="13"/>
  <c r="AA104" i="13"/>
  <c r="V169" i="46"/>
  <c r="AB169" i="46" s="1"/>
  <c r="R103" i="28"/>
  <c r="R471" i="7" s="1"/>
  <c r="H471" i="7"/>
  <c r="F104" i="28"/>
  <c r="Q103" i="28"/>
  <c r="Q471" i="7" s="1"/>
  <c r="R146" i="40"/>
  <c r="G147" i="40"/>
  <c r="I112" i="39"/>
  <c r="AC112" i="39" s="1"/>
  <c r="H176" i="33"/>
  <c r="Q176" i="33" s="1"/>
  <c r="H182" i="30"/>
  <c r="F183" i="30" s="1"/>
  <c r="N183" i="30" s="1"/>
  <c r="J183" i="30" s="1"/>
  <c r="F170" i="37"/>
  <c r="Q169" i="37"/>
  <c r="O112" i="39"/>
  <c r="P112" i="39"/>
  <c r="A158" i="46" l="1"/>
  <c r="M158" i="46" s="1"/>
  <c r="J158" i="46"/>
  <c r="I158" i="46"/>
  <c r="L158" i="46"/>
  <c r="K158" i="46"/>
  <c r="H158" i="46"/>
  <c r="G104" i="13"/>
  <c r="G159" i="7" s="1"/>
  <c r="Q159" i="7" s="1"/>
  <c r="G158" i="46"/>
  <c r="P158" i="46" s="1"/>
  <c r="U170" i="46"/>
  <c r="Y170" i="46" s="1"/>
  <c r="I113" i="13"/>
  <c r="I168" i="7" s="1"/>
  <c r="K104" i="28"/>
  <c r="N104" i="28"/>
  <c r="AG104" i="28"/>
  <c r="F472" i="7"/>
  <c r="S472" i="7" s="1"/>
  <c r="M104" i="28"/>
  <c r="M472" i="7" s="1"/>
  <c r="AA104" i="28"/>
  <c r="AD104" i="28"/>
  <c r="L104" i="28"/>
  <c r="L472" i="7" s="1"/>
  <c r="AG147" i="40"/>
  <c r="L147" i="40"/>
  <c r="AD147" i="40"/>
  <c r="N147" i="40"/>
  <c r="AH147" i="40"/>
  <c r="M147" i="40"/>
  <c r="AA147" i="40"/>
  <c r="AB147" i="40" s="1"/>
  <c r="F177" i="33"/>
  <c r="N177" i="33" s="1"/>
  <c r="J177" i="33" s="1"/>
  <c r="I183" i="30"/>
  <c r="H183" i="30" s="1"/>
  <c r="K183" i="30"/>
  <c r="M183" i="30"/>
  <c r="L183" i="30"/>
  <c r="Q182" i="30"/>
  <c r="P182" i="30"/>
  <c r="W180" i="30" s="1"/>
  <c r="L170" i="37"/>
  <c r="I170" i="37"/>
  <c r="J170" i="37"/>
  <c r="M170" i="37"/>
  <c r="K170" i="37"/>
  <c r="Z113" i="39"/>
  <c r="F113" i="39"/>
  <c r="E113" i="36"/>
  <c r="C114" i="36"/>
  <c r="R104" i="13" l="1"/>
  <c r="F105" i="13"/>
  <c r="S104" i="13"/>
  <c r="Q158" i="46"/>
  <c r="F159" i="46" s="1"/>
  <c r="W170" i="46"/>
  <c r="X170" i="46"/>
  <c r="Z170" i="46"/>
  <c r="I104" i="28"/>
  <c r="I472" i="7" s="1"/>
  <c r="N472" i="7"/>
  <c r="Z104" i="28"/>
  <c r="AB104" i="28" s="1"/>
  <c r="AH104" i="28"/>
  <c r="AE104" i="28"/>
  <c r="AC104" i="28" s="1"/>
  <c r="K472" i="7"/>
  <c r="X102" i="28"/>
  <c r="AF147" i="40"/>
  <c r="AC147" i="40"/>
  <c r="I147" i="40" s="1"/>
  <c r="J147" i="40"/>
  <c r="X145" i="40"/>
  <c r="Q147" i="40"/>
  <c r="I177" i="33"/>
  <c r="H177" i="33" s="1"/>
  <c r="F178" i="33" s="1"/>
  <c r="K178" i="33" s="1"/>
  <c r="M177" i="33"/>
  <c r="K177" i="33"/>
  <c r="L177" i="33"/>
  <c r="P177" i="33"/>
  <c r="W175" i="33" s="1"/>
  <c r="P170" i="37"/>
  <c r="W168" i="37" s="1"/>
  <c r="Q183" i="30"/>
  <c r="P183" i="30"/>
  <c r="W181" i="30" s="1"/>
  <c r="F184" i="30"/>
  <c r="H170" i="37"/>
  <c r="Q170" i="37" s="1"/>
  <c r="K113" i="39"/>
  <c r="J113" i="39"/>
  <c r="Y113" i="39"/>
  <c r="X113" i="39" s="1"/>
  <c r="Q113" i="39"/>
  <c r="V113" i="39"/>
  <c r="L113" i="39"/>
  <c r="S113" i="39"/>
  <c r="T113" i="39" s="1"/>
  <c r="V105" i="13" l="1"/>
  <c r="AB105" i="13"/>
  <c r="L105" i="13"/>
  <c r="K160" i="7" s="1"/>
  <c r="Y105" i="13"/>
  <c r="N105" i="13"/>
  <c r="M160" i="7" s="1"/>
  <c r="F160" i="7"/>
  <c r="R160" i="7" s="1"/>
  <c r="K105" i="13"/>
  <c r="J160" i="7" s="1"/>
  <c r="M105" i="13"/>
  <c r="L160" i="7" s="1"/>
  <c r="H159" i="46"/>
  <c r="I159" i="46"/>
  <c r="A159" i="46"/>
  <c r="M159" i="46" s="1"/>
  <c r="J159" i="46"/>
  <c r="L159" i="46"/>
  <c r="K159" i="46"/>
  <c r="V170" i="46"/>
  <c r="AF104" i="28"/>
  <c r="J104" i="28"/>
  <c r="G148" i="40"/>
  <c r="R147" i="40"/>
  <c r="I178" i="33"/>
  <c r="N178" i="33"/>
  <c r="J178" i="33" s="1"/>
  <c r="P178" i="33"/>
  <c r="W176" i="33" s="1"/>
  <c r="L178" i="33"/>
  <c r="Q177" i="33"/>
  <c r="M178" i="33"/>
  <c r="I184" i="30"/>
  <c r="M184" i="30"/>
  <c r="L184" i="30"/>
  <c r="K184" i="30"/>
  <c r="N184" i="30"/>
  <c r="J184" i="30" s="1"/>
  <c r="F171" i="37"/>
  <c r="U113" i="39"/>
  <c r="G113" i="39" s="1"/>
  <c r="D114" i="36" s="1"/>
  <c r="H113" i="39"/>
  <c r="H105" i="13" l="1"/>
  <c r="H160" i="7" s="1"/>
  <c r="U105" i="13"/>
  <c r="W105" i="13" s="1"/>
  <c r="AC105" i="13"/>
  <c r="AA105" i="13" s="1"/>
  <c r="Z105" i="13"/>
  <c r="E96" i="10"/>
  <c r="G159" i="46"/>
  <c r="U171" i="46"/>
  <c r="Z171" i="46" s="1"/>
  <c r="AB170" i="46"/>
  <c r="I114" i="13"/>
  <c r="I169" i="7" s="1"/>
  <c r="H104" i="28"/>
  <c r="J472" i="7"/>
  <c r="N148" i="40"/>
  <c r="M148" i="40"/>
  <c r="L148" i="40"/>
  <c r="AA148" i="40"/>
  <c r="AB148" i="40" s="1"/>
  <c r="AD148" i="40"/>
  <c r="AH148" i="40"/>
  <c r="AG148" i="40"/>
  <c r="I113" i="39"/>
  <c r="AC113" i="39" s="1"/>
  <c r="H178" i="33"/>
  <c r="Q178" i="33" s="1"/>
  <c r="H184" i="30"/>
  <c r="Q184" i="30" s="1"/>
  <c r="K171" i="37"/>
  <c r="I171" i="37"/>
  <c r="J171" i="37"/>
  <c r="L171" i="37"/>
  <c r="M171" i="37"/>
  <c r="O113" i="39"/>
  <c r="P113" i="39"/>
  <c r="X105" i="13" l="1"/>
  <c r="J105" i="13"/>
  <c r="P159" i="46"/>
  <c r="Q159" i="46"/>
  <c r="F160" i="46" s="1"/>
  <c r="X171" i="46"/>
  <c r="W171" i="46"/>
  <c r="Y171" i="46"/>
  <c r="Q104" i="28"/>
  <c r="Q472" i="7" s="1"/>
  <c r="H472" i="7"/>
  <c r="R104" i="28"/>
  <c r="R472" i="7" s="1"/>
  <c r="F105" i="28"/>
  <c r="AF148" i="40"/>
  <c r="J148" i="40"/>
  <c r="AC148" i="40"/>
  <c r="I148" i="40" s="1"/>
  <c r="Q148" i="40"/>
  <c r="X146" i="40"/>
  <c r="F179" i="33"/>
  <c r="I179" i="33" s="1"/>
  <c r="P171" i="37"/>
  <c r="W169" i="37" s="1"/>
  <c r="P184" i="30"/>
  <c r="W182" i="30" s="1"/>
  <c r="F185" i="30"/>
  <c r="N185" i="30" s="1"/>
  <c r="J185" i="30" s="1"/>
  <c r="H171" i="37"/>
  <c r="Q171" i="37" s="1"/>
  <c r="E114" i="36"/>
  <c r="C115" i="36"/>
  <c r="Z114" i="39"/>
  <c r="F114" i="39"/>
  <c r="A160" i="46" l="1"/>
  <c r="M160" i="46" s="1"/>
  <c r="L160" i="46"/>
  <c r="G105" i="13"/>
  <c r="J160" i="46"/>
  <c r="I160" i="46"/>
  <c r="K160" i="46"/>
  <c r="H160" i="46"/>
  <c r="V171" i="46"/>
  <c r="AB171" i="46" s="1"/>
  <c r="AA105" i="28"/>
  <c r="L105" i="28"/>
  <c r="L473" i="7" s="1"/>
  <c r="M105" i="28"/>
  <c r="M473" i="7" s="1"/>
  <c r="N105" i="28"/>
  <c r="N473" i="7" s="1"/>
  <c r="K105" i="28"/>
  <c r="K473" i="7" s="1"/>
  <c r="AD105" i="28"/>
  <c r="F473" i="7"/>
  <c r="S473" i="7" s="1"/>
  <c r="AG105" i="28"/>
  <c r="G149" i="40"/>
  <c r="R148" i="40"/>
  <c r="N179" i="33"/>
  <c r="J179" i="33" s="1"/>
  <c r="H179" i="33" s="1"/>
  <c r="Q179" i="33" s="1"/>
  <c r="L179" i="33"/>
  <c r="K179" i="33"/>
  <c r="P179" i="33"/>
  <c r="W177" i="33" s="1"/>
  <c r="M179" i="33"/>
  <c r="K185" i="30"/>
  <c r="L185" i="30"/>
  <c r="M185" i="30"/>
  <c r="I185" i="30"/>
  <c r="H185" i="30" s="1"/>
  <c r="F172" i="37"/>
  <c r="J172" i="37" s="1"/>
  <c r="L114" i="39"/>
  <c r="J114" i="39"/>
  <c r="Y114" i="39"/>
  <c r="X114" i="39" s="1"/>
  <c r="S114" i="39"/>
  <c r="T114" i="39" s="1"/>
  <c r="K114" i="39"/>
  <c r="Q114" i="39"/>
  <c r="V114" i="39"/>
  <c r="R105" i="13" l="1"/>
  <c r="S105" i="13"/>
  <c r="F106" i="13"/>
  <c r="G160" i="7"/>
  <c r="G160" i="46"/>
  <c r="U172" i="46"/>
  <c r="Y172" i="46" s="1"/>
  <c r="I105" i="28"/>
  <c r="I473" i="7" s="1"/>
  <c r="X103" i="28"/>
  <c r="AH105" i="28"/>
  <c r="AF105" i="28" s="1"/>
  <c r="Z105" i="28"/>
  <c r="AB105" i="28" s="1"/>
  <c r="AE105" i="28"/>
  <c r="AC105" i="28" s="1"/>
  <c r="AG149" i="40"/>
  <c r="AD149" i="40"/>
  <c r="AH149" i="40"/>
  <c r="L149" i="40"/>
  <c r="AA149" i="40"/>
  <c r="AB149" i="40" s="1"/>
  <c r="M149" i="40"/>
  <c r="N149" i="40"/>
  <c r="F180" i="33"/>
  <c r="K180" i="33" s="1"/>
  <c r="F186" i="30"/>
  <c r="K186" i="30" s="1"/>
  <c r="P185" i="30"/>
  <c r="W183" i="30" s="1"/>
  <c r="Q185" i="30"/>
  <c r="K172" i="37"/>
  <c r="M172" i="37"/>
  <c r="I172" i="37"/>
  <c r="H172" i="37" s="1"/>
  <c r="F173" i="37" s="1"/>
  <c r="I173" i="37" s="1"/>
  <c r="L172" i="37"/>
  <c r="U114" i="39"/>
  <c r="G114" i="39" s="1"/>
  <c r="D115" i="36" s="1"/>
  <c r="H114" i="39"/>
  <c r="P160" i="46" l="1"/>
  <c r="Q160" i="46"/>
  <c r="F161" i="46" s="1"/>
  <c r="P160" i="7"/>
  <c r="Q160" i="7"/>
  <c r="V106" i="13"/>
  <c r="AB106" i="13"/>
  <c r="L106" i="13"/>
  <c r="K161" i="7" s="1"/>
  <c r="N106" i="13"/>
  <c r="M161" i="7" s="1"/>
  <c r="M106" i="13"/>
  <c r="L161" i="7" s="1"/>
  <c r="Y106" i="13"/>
  <c r="H106" i="13" s="1"/>
  <c r="H161" i="7" s="1"/>
  <c r="K106" i="13"/>
  <c r="J161" i="7" s="1"/>
  <c r="F161" i="7"/>
  <c r="R161" i="7" s="1"/>
  <c r="X172" i="46"/>
  <c r="W172" i="46"/>
  <c r="Z172" i="46"/>
  <c r="I115" i="13"/>
  <c r="I170" i="7" s="1"/>
  <c r="J105" i="28"/>
  <c r="H105" i="28" s="1"/>
  <c r="AF149" i="40"/>
  <c r="X147" i="40"/>
  <c r="Q149" i="40"/>
  <c r="AC149" i="40"/>
  <c r="I149" i="40" s="1"/>
  <c r="J149" i="40"/>
  <c r="I114" i="39"/>
  <c r="AC114" i="39" s="1"/>
  <c r="N180" i="33"/>
  <c r="J180" i="33" s="1"/>
  <c r="L180" i="33"/>
  <c r="P180" i="33"/>
  <c r="W178" i="33" s="1"/>
  <c r="I180" i="33"/>
  <c r="M180" i="33"/>
  <c r="P172" i="37"/>
  <c r="W170" i="37" s="1"/>
  <c r="M186" i="30"/>
  <c r="I186" i="30"/>
  <c r="N186" i="30"/>
  <c r="J186" i="30" s="1"/>
  <c r="L186" i="30"/>
  <c r="K173" i="37"/>
  <c r="J173" i="37"/>
  <c r="H173" i="37" s="1"/>
  <c r="Q173" i="37" s="1"/>
  <c r="M173" i="37"/>
  <c r="Q172" i="37"/>
  <c r="L173" i="37"/>
  <c r="O114" i="39"/>
  <c r="P114" i="39"/>
  <c r="E97" i="10" l="1"/>
  <c r="H161" i="46"/>
  <c r="J161" i="46"/>
  <c r="L161" i="46"/>
  <c r="I161" i="46"/>
  <c r="K161" i="46"/>
  <c r="A161" i="46"/>
  <c r="M161" i="46" s="1"/>
  <c r="AC106" i="13"/>
  <c r="AA106" i="13" s="1"/>
  <c r="Z106" i="13"/>
  <c r="U106" i="13"/>
  <c r="W106" i="13" s="1"/>
  <c r="V172" i="46"/>
  <c r="U173" i="46" s="1"/>
  <c r="Y173" i="46" s="1"/>
  <c r="J473" i="7"/>
  <c r="H473" i="7"/>
  <c r="Q105" i="28"/>
  <c r="Q473" i="7" s="1"/>
  <c r="F106" i="28"/>
  <c r="R105" i="28"/>
  <c r="R473" i="7" s="1"/>
  <c r="R149" i="40"/>
  <c r="G150" i="40"/>
  <c r="H180" i="33"/>
  <c r="Q180" i="33" s="1"/>
  <c r="P173" i="37"/>
  <c r="W171" i="37" s="1"/>
  <c r="H186" i="30"/>
  <c r="P186" i="30" s="1"/>
  <c r="W184" i="30" s="1"/>
  <c r="F174" i="37"/>
  <c r="J174" i="37" s="1"/>
  <c r="F115" i="39"/>
  <c r="Z115" i="39"/>
  <c r="C116" i="36"/>
  <c r="E115" i="36"/>
  <c r="G161" i="46" l="1"/>
  <c r="J106" i="13"/>
  <c r="X106" i="13"/>
  <c r="W173" i="46"/>
  <c r="Z173" i="46"/>
  <c r="AB172" i="46"/>
  <c r="X173" i="46"/>
  <c r="K106" i="28"/>
  <c r="K474" i="7" s="1"/>
  <c r="AD106" i="28"/>
  <c r="F474" i="7"/>
  <c r="S474" i="7" s="1"/>
  <c r="L106" i="28"/>
  <c r="L474" i="7" s="1"/>
  <c r="N106" i="28"/>
  <c r="N474" i="7" s="1"/>
  <c r="AA106" i="28"/>
  <c r="M106" i="28"/>
  <c r="M474" i="7" s="1"/>
  <c r="AG106" i="28"/>
  <c r="L150" i="40"/>
  <c r="AG150" i="40"/>
  <c r="M150" i="40"/>
  <c r="AA150" i="40"/>
  <c r="AB150" i="40" s="1"/>
  <c r="N150" i="40"/>
  <c r="AH150" i="40"/>
  <c r="AD150" i="40"/>
  <c r="F181" i="33"/>
  <c r="L181" i="33" s="1"/>
  <c r="F187" i="30"/>
  <c r="M187" i="30" s="1"/>
  <c r="Q186" i="30"/>
  <c r="L174" i="37"/>
  <c r="K174" i="37"/>
  <c r="M174" i="37"/>
  <c r="I174" i="37"/>
  <c r="H174" i="37" s="1"/>
  <c r="Q174" i="37" s="1"/>
  <c r="K115" i="39"/>
  <c r="Q115" i="39"/>
  <c r="S115" i="39"/>
  <c r="T115" i="39" s="1"/>
  <c r="Y115" i="39"/>
  <c r="X115" i="39" s="1"/>
  <c r="V115" i="39"/>
  <c r="L115" i="39"/>
  <c r="J115" i="39"/>
  <c r="Q161" i="46" l="1"/>
  <c r="F162" i="46" s="1"/>
  <c r="P161" i="46"/>
  <c r="G106" i="13"/>
  <c r="V173" i="46"/>
  <c r="AB173" i="46" s="1"/>
  <c r="I116" i="13"/>
  <c r="I171" i="7" s="1"/>
  <c r="I106" i="28"/>
  <c r="I474" i="7" s="1"/>
  <c r="Z106" i="28"/>
  <c r="AB106" i="28" s="1"/>
  <c r="X104" i="28"/>
  <c r="AE106" i="28"/>
  <c r="AC106" i="28" s="1"/>
  <c r="AH106" i="28"/>
  <c r="AF150" i="40"/>
  <c r="J150" i="40"/>
  <c r="AC150" i="40"/>
  <c r="I150" i="40" s="1"/>
  <c r="X148" i="40"/>
  <c r="Q150" i="40"/>
  <c r="K181" i="33"/>
  <c r="N181" i="33"/>
  <c r="J181" i="33" s="1"/>
  <c r="P181" i="33"/>
  <c r="W179" i="33" s="1"/>
  <c r="I181" i="33"/>
  <c r="M181" i="33"/>
  <c r="L187" i="30"/>
  <c r="I187" i="30"/>
  <c r="N187" i="30"/>
  <c r="J187" i="30" s="1"/>
  <c r="K187" i="30"/>
  <c r="P174" i="37"/>
  <c r="W172" i="37" s="1"/>
  <c r="F175" i="37"/>
  <c r="M175" i="37" s="1"/>
  <c r="U115" i="39"/>
  <c r="G115" i="39" s="1"/>
  <c r="D116" i="36" s="1"/>
  <c r="H115" i="39"/>
  <c r="J162" i="46" l="1"/>
  <c r="H162" i="46"/>
  <c r="A162" i="46"/>
  <c r="M162" i="46" s="1"/>
  <c r="I162" i="46"/>
  <c r="L162" i="46"/>
  <c r="K162" i="46"/>
  <c r="F107" i="13"/>
  <c r="S106" i="13"/>
  <c r="R106" i="13"/>
  <c r="G161" i="7"/>
  <c r="U174" i="46"/>
  <c r="Y174" i="46" s="1"/>
  <c r="AF106" i="28"/>
  <c r="J106" i="28"/>
  <c r="G151" i="40"/>
  <c r="R150" i="40"/>
  <c r="I115" i="39"/>
  <c r="AC115" i="39" s="1"/>
  <c r="H181" i="33"/>
  <c r="F182" i="33" s="1"/>
  <c r="H187" i="30"/>
  <c r="P187" i="30" s="1"/>
  <c r="W185" i="30" s="1"/>
  <c r="K175" i="37"/>
  <c r="J175" i="37"/>
  <c r="L175" i="37"/>
  <c r="I175" i="37"/>
  <c r="O115" i="39"/>
  <c r="P115" i="39"/>
  <c r="G162" i="46" l="1"/>
  <c r="Q161" i="7"/>
  <c r="P161" i="7"/>
  <c r="M107" i="13"/>
  <c r="L162" i="7" s="1"/>
  <c r="Y107" i="13"/>
  <c r="V107" i="13"/>
  <c r="K107" i="13"/>
  <c r="J162" i="7" s="1"/>
  <c r="L107" i="13"/>
  <c r="K162" i="7" s="1"/>
  <c r="N107" i="13"/>
  <c r="AB107" i="13"/>
  <c r="F162" i="7"/>
  <c r="R162" i="7" s="1"/>
  <c r="W174" i="46"/>
  <c r="Z174" i="46"/>
  <c r="X174" i="46"/>
  <c r="H106" i="28"/>
  <c r="J474" i="7"/>
  <c r="M151" i="40"/>
  <c r="AG151" i="40"/>
  <c r="AA151" i="40"/>
  <c r="AB151" i="40" s="1"/>
  <c r="L151" i="40"/>
  <c r="N151" i="40"/>
  <c r="AH151" i="40"/>
  <c r="AD151" i="40"/>
  <c r="Q181" i="33"/>
  <c r="Q187" i="30"/>
  <c r="F188" i="30"/>
  <c r="K188" i="30" s="1"/>
  <c r="M182" i="33"/>
  <c r="I182" i="33"/>
  <c r="P182" i="33"/>
  <c r="W180" i="33" s="1"/>
  <c r="N182" i="33"/>
  <c r="J182" i="33" s="1"/>
  <c r="L182" i="33"/>
  <c r="K182" i="33"/>
  <c r="P175" i="37"/>
  <c r="W173" i="37" s="1"/>
  <c r="H175" i="37"/>
  <c r="Q175" i="37" s="1"/>
  <c r="Z116" i="39"/>
  <c r="F116" i="39"/>
  <c r="E116" i="36"/>
  <c r="C117" i="36"/>
  <c r="H107" i="13" l="1"/>
  <c r="H162" i="7" s="1"/>
  <c r="Q162" i="46"/>
  <c r="F163" i="46" s="1"/>
  <c r="P162" i="46"/>
  <c r="E98" i="10"/>
  <c r="Z107" i="13"/>
  <c r="U107" i="13"/>
  <c r="W107" i="13" s="1"/>
  <c r="AC107" i="13"/>
  <c r="AA107" i="13" s="1"/>
  <c r="M162" i="7"/>
  <c r="V174" i="46"/>
  <c r="AB174" i="46" s="1"/>
  <c r="I117" i="13"/>
  <c r="I172" i="7" s="1"/>
  <c r="Q106" i="28"/>
  <c r="Q474" i="7" s="1"/>
  <c r="F107" i="28"/>
  <c r="R106" i="28"/>
  <c r="R474" i="7" s="1"/>
  <c r="H474" i="7"/>
  <c r="AF151" i="40"/>
  <c r="X149" i="40"/>
  <c r="Q151" i="40"/>
  <c r="AC151" i="40"/>
  <c r="I151" i="40" s="1"/>
  <c r="J151" i="40"/>
  <c r="M188" i="30"/>
  <c r="I188" i="30"/>
  <c r="L188" i="30"/>
  <c r="N188" i="30"/>
  <c r="J188" i="30" s="1"/>
  <c r="H182" i="33"/>
  <c r="F183" i="33" s="1"/>
  <c r="F176" i="37"/>
  <c r="J176" i="37" s="1"/>
  <c r="L116" i="39"/>
  <c r="V116" i="39"/>
  <c r="S116" i="39"/>
  <c r="T116" i="39" s="1"/>
  <c r="K116" i="39"/>
  <c r="Y116" i="39"/>
  <c r="X116" i="39" s="1"/>
  <c r="J116" i="39"/>
  <c r="Q116" i="39"/>
  <c r="H163" i="46" l="1"/>
  <c r="J163" i="46"/>
  <c r="L163" i="46"/>
  <c r="I163" i="46"/>
  <c r="A163" i="46"/>
  <c r="M163" i="46" s="1"/>
  <c r="K163" i="46"/>
  <c r="J107" i="13"/>
  <c r="X107" i="13"/>
  <c r="U175" i="46"/>
  <c r="X175" i="46" s="1"/>
  <c r="M107" i="28"/>
  <c r="M475" i="7" s="1"/>
  <c r="L107" i="28"/>
  <c r="L475" i="7" s="1"/>
  <c r="N107" i="28"/>
  <c r="N475" i="7" s="1"/>
  <c r="AG107" i="28"/>
  <c r="F475" i="7"/>
  <c r="S475" i="7" s="1"/>
  <c r="K107" i="28"/>
  <c r="K475" i="7" s="1"/>
  <c r="AD107" i="28"/>
  <c r="AA107" i="28"/>
  <c r="R151" i="40"/>
  <c r="G152" i="40"/>
  <c r="H188" i="30"/>
  <c r="F189" i="30" s="1"/>
  <c r="I189" i="30" s="1"/>
  <c r="I176" i="37"/>
  <c r="H176" i="37" s="1"/>
  <c r="Q176" i="37" s="1"/>
  <c r="K176" i="37"/>
  <c r="Q182" i="33"/>
  <c r="P183" i="33"/>
  <c r="W181" i="33" s="1"/>
  <c r="N183" i="33"/>
  <c r="J183" i="33" s="1"/>
  <c r="K183" i="33"/>
  <c r="L183" i="33"/>
  <c r="I183" i="33"/>
  <c r="M183" i="33"/>
  <c r="L176" i="37"/>
  <c r="M176" i="37"/>
  <c r="H116" i="39"/>
  <c r="U116" i="39"/>
  <c r="G116" i="39" s="1"/>
  <c r="D117" i="36" s="1"/>
  <c r="G163" i="46" l="1"/>
  <c r="G107" i="13"/>
  <c r="Q163" i="46"/>
  <c r="F164" i="46" s="1"/>
  <c r="P163" i="46"/>
  <c r="W175" i="46"/>
  <c r="V175" i="46" s="1"/>
  <c r="U176" i="46" s="1"/>
  <c r="W176" i="46" s="1"/>
  <c r="Y175" i="46"/>
  <c r="Z175" i="46"/>
  <c r="I107" i="28"/>
  <c r="I475" i="7" s="1"/>
  <c r="X105" i="28"/>
  <c r="AE107" i="28"/>
  <c r="AC107" i="28" s="1"/>
  <c r="AH107" i="28"/>
  <c r="Z107" i="28"/>
  <c r="AB107" i="28" s="1"/>
  <c r="AD152" i="40"/>
  <c r="L152" i="40"/>
  <c r="AH152" i="40"/>
  <c r="AA152" i="40"/>
  <c r="AB152" i="40" s="1"/>
  <c r="M152" i="40"/>
  <c r="AG152" i="40"/>
  <c r="N152" i="40"/>
  <c r="I116" i="39"/>
  <c r="AC116" i="39" s="1"/>
  <c r="K189" i="30"/>
  <c r="M189" i="30"/>
  <c r="L189" i="30"/>
  <c r="N189" i="30"/>
  <c r="J189" i="30" s="1"/>
  <c r="H189" i="30" s="1"/>
  <c r="F190" i="30" s="1"/>
  <c r="K190" i="30" s="1"/>
  <c r="P188" i="30"/>
  <c r="W186" i="30" s="1"/>
  <c r="F177" i="37"/>
  <c r="J177" i="37" s="1"/>
  <c r="Q188" i="30"/>
  <c r="P176" i="37"/>
  <c r="W174" i="37" s="1"/>
  <c r="H183" i="33"/>
  <c r="O116" i="39"/>
  <c r="P116" i="39"/>
  <c r="G162" i="7" l="1"/>
  <c r="F108" i="13"/>
  <c r="R107" i="13"/>
  <c r="S107" i="13"/>
  <c r="L164" i="46"/>
  <c r="I164" i="46"/>
  <c r="K164" i="46"/>
  <c r="J164" i="46"/>
  <c r="A164" i="46"/>
  <c r="M164" i="46" s="1"/>
  <c r="H164" i="46"/>
  <c r="AB175" i="46"/>
  <c r="Y176" i="46"/>
  <c r="Z176" i="46"/>
  <c r="X176" i="46"/>
  <c r="V176" i="46" s="1"/>
  <c r="U177" i="46" s="1"/>
  <c r="Y177" i="46" s="1"/>
  <c r="AF107" i="28"/>
  <c r="J107" i="28"/>
  <c r="AF152" i="40"/>
  <c r="Q152" i="40"/>
  <c r="X150" i="40"/>
  <c r="J152" i="40"/>
  <c r="AC152" i="40"/>
  <c r="I152" i="40" s="1"/>
  <c r="L190" i="30"/>
  <c r="M190" i="30"/>
  <c r="Q189" i="30"/>
  <c r="P189" i="30"/>
  <c r="W187" i="30" s="1"/>
  <c r="M177" i="37"/>
  <c r="I177" i="37"/>
  <c r="H177" i="37" s="1"/>
  <c r="F178" i="37" s="1"/>
  <c r="K178" i="37" s="1"/>
  <c r="K177" i="37"/>
  <c r="L177" i="37"/>
  <c r="I190" i="30"/>
  <c r="N190" i="30"/>
  <c r="J190" i="30" s="1"/>
  <c r="F184" i="33"/>
  <c r="Q183" i="33"/>
  <c r="F117" i="39"/>
  <c r="Z117" i="39"/>
  <c r="C118" i="36"/>
  <c r="E117" i="36"/>
  <c r="Q162" i="7" l="1"/>
  <c r="P162" i="7"/>
  <c r="K108" i="13"/>
  <c r="J163" i="7" s="1"/>
  <c r="M108" i="13"/>
  <c r="L163" i="7" s="1"/>
  <c r="AB108" i="13"/>
  <c r="N108" i="13"/>
  <c r="V108" i="13"/>
  <c r="L108" i="13"/>
  <c r="K163" i="7" s="1"/>
  <c r="Y108" i="13"/>
  <c r="F163" i="7"/>
  <c r="R163" i="7" s="1"/>
  <c r="G164" i="46"/>
  <c r="AB176" i="46"/>
  <c r="W177" i="46"/>
  <c r="Z177" i="46"/>
  <c r="X177" i="46"/>
  <c r="H107" i="28"/>
  <c r="J475" i="7"/>
  <c r="P177" i="37"/>
  <c r="W175" i="37" s="1"/>
  <c r="G153" i="40"/>
  <c r="R152" i="40"/>
  <c r="H190" i="30"/>
  <c r="Q190" i="30" s="1"/>
  <c r="J178" i="37"/>
  <c r="L178" i="37"/>
  <c r="I178" i="37"/>
  <c r="M178" i="37"/>
  <c r="Q177" i="37"/>
  <c r="N184" i="33"/>
  <c r="J184" i="33" s="1"/>
  <c r="K184" i="33"/>
  <c r="I184" i="33"/>
  <c r="L184" i="33"/>
  <c r="P184" i="33"/>
  <c r="W182" i="33" s="1"/>
  <c r="M184" i="33"/>
  <c r="J117" i="39"/>
  <c r="L117" i="39"/>
  <c r="Y117" i="39"/>
  <c r="X117" i="39" s="1"/>
  <c r="S117" i="39"/>
  <c r="T117" i="39" s="1"/>
  <c r="Q117" i="39"/>
  <c r="V117" i="39"/>
  <c r="K117" i="39"/>
  <c r="H108" i="13" l="1"/>
  <c r="H163" i="7" s="1"/>
  <c r="E99" i="10"/>
  <c r="AC108" i="13"/>
  <c r="AA108" i="13" s="1"/>
  <c r="M163" i="7"/>
  <c r="Z108" i="13"/>
  <c r="U108" i="13"/>
  <c r="W108" i="13" s="1"/>
  <c r="Q164" i="46"/>
  <c r="F165" i="46" s="1"/>
  <c r="P164" i="46"/>
  <c r="V177" i="46"/>
  <c r="I118" i="13"/>
  <c r="I173" i="7" s="1"/>
  <c r="Q107" i="28"/>
  <c r="Q475" i="7" s="1"/>
  <c r="R107" i="28"/>
  <c r="R475" i="7" s="1"/>
  <c r="H475" i="7"/>
  <c r="F108" i="28"/>
  <c r="P178" i="37"/>
  <c r="W176" i="37" s="1"/>
  <c r="AA153" i="40"/>
  <c r="AB153" i="40" s="1"/>
  <c r="N153" i="40"/>
  <c r="AG153" i="40"/>
  <c r="M153" i="40"/>
  <c r="AD153" i="40"/>
  <c r="AH153" i="40"/>
  <c r="L153" i="40"/>
  <c r="H178" i="37"/>
  <c r="Q178" i="37" s="1"/>
  <c r="F191" i="30"/>
  <c r="N191" i="30" s="1"/>
  <c r="J191" i="30" s="1"/>
  <c r="P190" i="30"/>
  <c r="W188" i="30" s="1"/>
  <c r="H184" i="33"/>
  <c r="U117" i="39"/>
  <c r="G117" i="39" s="1"/>
  <c r="D118" i="36" s="1"/>
  <c r="H117" i="39"/>
  <c r="J108" i="13" l="1"/>
  <c r="X108" i="13"/>
  <c r="L165" i="46"/>
  <c r="H165" i="46"/>
  <c r="A165" i="46"/>
  <c r="M165" i="46" s="1"/>
  <c r="J165" i="46"/>
  <c r="I165" i="46"/>
  <c r="K165" i="46"/>
  <c r="U178" i="46"/>
  <c r="AB177" i="46"/>
  <c r="L108" i="28"/>
  <c r="L476" i="7" s="1"/>
  <c r="M108" i="28"/>
  <c r="M476" i="7" s="1"/>
  <c r="AD108" i="28"/>
  <c r="N108" i="28"/>
  <c r="Z108" i="28" s="1"/>
  <c r="AA108" i="28"/>
  <c r="K108" i="28"/>
  <c r="K476" i="7" s="1"/>
  <c r="F476" i="7"/>
  <c r="S476" i="7" s="1"/>
  <c r="AG108" i="28"/>
  <c r="AF153" i="40"/>
  <c r="AC153" i="40"/>
  <c r="I153" i="40" s="1"/>
  <c r="J153" i="40"/>
  <c r="Q153" i="40"/>
  <c r="X151" i="40"/>
  <c r="I117" i="39"/>
  <c r="AC117" i="39" s="1"/>
  <c r="F179" i="37"/>
  <c r="J179" i="37" s="1"/>
  <c r="L191" i="30"/>
  <c r="K191" i="30"/>
  <c r="M191" i="30"/>
  <c r="I191" i="30"/>
  <c r="H191" i="30" s="1"/>
  <c r="Q191" i="30" s="1"/>
  <c r="Q184" i="33"/>
  <c r="F185" i="33"/>
  <c r="O117" i="39"/>
  <c r="P117" i="39"/>
  <c r="G108" i="13" l="1"/>
  <c r="G163" i="7" s="1"/>
  <c r="G165" i="46"/>
  <c r="Z178" i="46"/>
  <c r="W178" i="46"/>
  <c r="Y178" i="46"/>
  <c r="X178" i="46"/>
  <c r="I108" i="28"/>
  <c r="I476" i="7" s="1"/>
  <c r="X106" i="28"/>
  <c r="AB108" i="28"/>
  <c r="AH108" i="28"/>
  <c r="N476" i="7"/>
  <c r="AE108" i="28"/>
  <c r="AC108" i="28" s="1"/>
  <c r="R153" i="40"/>
  <c r="G154" i="40"/>
  <c r="F192" i="30"/>
  <c r="M192" i="30" s="1"/>
  <c r="K179" i="37"/>
  <c r="I179" i="37"/>
  <c r="H179" i="37" s="1"/>
  <c r="F180" i="37" s="1"/>
  <c r="M180" i="37" s="1"/>
  <c r="L179" i="37"/>
  <c r="M179" i="37"/>
  <c r="P191" i="30"/>
  <c r="W189" i="30" s="1"/>
  <c r="K185" i="33"/>
  <c r="L185" i="33"/>
  <c r="P185" i="33"/>
  <c r="W183" i="33" s="1"/>
  <c r="M185" i="33"/>
  <c r="I185" i="33"/>
  <c r="N185" i="33"/>
  <c r="J185" i="33" s="1"/>
  <c r="Z118" i="39"/>
  <c r="F118" i="39"/>
  <c r="E118" i="36"/>
  <c r="C119" i="36"/>
  <c r="P163" i="7" l="1"/>
  <c r="Q163" i="7"/>
  <c r="R108" i="13"/>
  <c r="S108" i="13"/>
  <c r="F109" i="13"/>
  <c r="F164" i="7" s="1"/>
  <c r="R164" i="7" s="1"/>
  <c r="P165" i="46"/>
  <c r="Q165" i="46"/>
  <c r="F166" i="46" s="1"/>
  <c r="V178" i="46"/>
  <c r="AF108" i="28"/>
  <c r="J108" i="28"/>
  <c r="P179" i="37"/>
  <c r="W177" i="37" s="1"/>
  <c r="AG154" i="40"/>
  <c r="M154" i="40"/>
  <c r="AH154" i="40"/>
  <c r="AD154" i="40"/>
  <c r="N154" i="40"/>
  <c r="L154" i="40"/>
  <c r="AA154" i="40"/>
  <c r="AB154" i="40" s="1"/>
  <c r="I192" i="30"/>
  <c r="L192" i="30"/>
  <c r="N192" i="30"/>
  <c r="J192" i="30" s="1"/>
  <c r="K192" i="30"/>
  <c r="Q179" i="37"/>
  <c r="J180" i="37"/>
  <c r="L180" i="37"/>
  <c r="I180" i="37"/>
  <c r="K180" i="37"/>
  <c r="H185" i="33"/>
  <c r="Y118" i="39"/>
  <c r="X118" i="39" s="1"/>
  <c r="L118" i="39"/>
  <c r="S118" i="39"/>
  <c r="T118" i="39" s="1"/>
  <c r="V118" i="39"/>
  <c r="Q118" i="39"/>
  <c r="K118" i="39"/>
  <c r="J118" i="39"/>
  <c r="Y109" i="13" l="1"/>
  <c r="H109" i="13" s="1"/>
  <c r="H164" i="7" s="1"/>
  <c r="M109" i="13"/>
  <c r="L164" i="7" s="1"/>
  <c r="N109" i="13"/>
  <c r="AB109" i="13"/>
  <c r="L109" i="13"/>
  <c r="K164" i="7" s="1"/>
  <c r="K109" i="13"/>
  <c r="J164" i="7" s="1"/>
  <c r="V109" i="13"/>
  <c r="J166" i="46"/>
  <c r="A166" i="46"/>
  <c r="M166" i="46" s="1"/>
  <c r="H166" i="46"/>
  <c r="K166" i="46"/>
  <c r="I166" i="46"/>
  <c r="L166" i="46"/>
  <c r="AB178" i="46"/>
  <c r="U179" i="46"/>
  <c r="I119" i="13"/>
  <c r="I174" i="7" s="1"/>
  <c r="H108" i="28"/>
  <c r="J476" i="7"/>
  <c r="P180" i="37"/>
  <c r="W178" i="37" s="1"/>
  <c r="AF154" i="40"/>
  <c r="X152" i="40"/>
  <c r="Q154" i="40"/>
  <c r="J154" i="40"/>
  <c r="AC154" i="40"/>
  <c r="I154" i="40" s="1"/>
  <c r="H192" i="30"/>
  <c r="F193" i="30" s="1"/>
  <c r="M193" i="30" s="1"/>
  <c r="H180" i="37"/>
  <c r="F181" i="37" s="1"/>
  <c r="M181" i="37" s="1"/>
  <c r="F186" i="33"/>
  <c r="Q185" i="33"/>
  <c r="H118" i="39"/>
  <c r="U118" i="39"/>
  <c r="G118" i="39" s="1"/>
  <c r="D119" i="36" s="1"/>
  <c r="AC109" i="13" l="1"/>
  <c r="AA109" i="13" s="1"/>
  <c r="M164" i="7"/>
  <c r="U109" i="13"/>
  <c r="W109" i="13" s="1"/>
  <c r="Z109" i="13"/>
  <c r="E100" i="10"/>
  <c r="J109" i="13"/>
  <c r="G166" i="46"/>
  <c r="Y179" i="46"/>
  <c r="X179" i="46"/>
  <c r="Z179" i="46"/>
  <c r="W179" i="46"/>
  <c r="H476" i="7"/>
  <c r="Q108" i="28"/>
  <c r="Q476" i="7" s="1"/>
  <c r="R108" i="28"/>
  <c r="R476" i="7" s="1"/>
  <c r="F109" i="28"/>
  <c r="R154" i="40"/>
  <c r="G155" i="40"/>
  <c r="I118" i="39"/>
  <c r="AC118" i="39" s="1"/>
  <c r="I193" i="30"/>
  <c r="Q192" i="30"/>
  <c r="L193" i="30"/>
  <c r="P192" i="30"/>
  <c r="W190" i="30" s="1"/>
  <c r="K193" i="30"/>
  <c r="N193" i="30"/>
  <c r="J193" i="30" s="1"/>
  <c r="Q180" i="37"/>
  <c r="L181" i="37"/>
  <c r="I181" i="37"/>
  <c r="K181" i="37"/>
  <c r="J181" i="37"/>
  <c r="P186" i="33"/>
  <c r="W184" i="33" s="1"/>
  <c r="K186" i="33"/>
  <c r="M186" i="33"/>
  <c r="I186" i="33"/>
  <c r="N186" i="33"/>
  <c r="J186" i="33" s="1"/>
  <c r="L186" i="33"/>
  <c r="O118" i="39"/>
  <c r="P118" i="39"/>
  <c r="X109" i="13" l="1"/>
  <c r="G109" i="13"/>
  <c r="G164" i="7" s="1"/>
  <c r="Q166" i="46"/>
  <c r="F167" i="46" s="1"/>
  <c r="P166" i="46"/>
  <c r="V179" i="46"/>
  <c r="N109" i="28"/>
  <c r="AH109" i="28" s="1"/>
  <c r="M109" i="28"/>
  <c r="M477" i="7" s="1"/>
  <c r="AG109" i="28"/>
  <c r="L109" i="28"/>
  <c r="L477" i="7" s="1"/>
  <c r="F477" i="7"/>
  <c r="S477" i="7" s="1"/>
  <c r="K109" i="28"/>
  <c r="K477" i="7" s="1"/>
  <c r="AA109" i="28"/>
  <c r="AD109" i="28"/>
  <c r="P181" i="37"/>
  <c r="W179" i="37" s="1"/>
  <c r="M155" i="40"/>
  <c r="AH155" i="40"/>
  <c r="L155" i="40"/>
  <c r="AG155" i="40"/>
  <c r="N155" i="40"/>
  <c r="AA155" i="40"/>
  <c r="AB155" i="40" s="1"/>
  <c r="AD155" i="40"/>
  <c r="H193" i="30"/>
  <c r="F194" i="30" s="1"/>
  <c r="K194" i="30" s="1"/>
  <c r="H181" i="37"/>
  <c r="Q181" i="37" s="1"/>
  <c r="H186" i="33"/>
  <c r="F119" i="39"/>
  <c r="Z119" i="39"/>
  <c r="C120" i="36"/>
  <c r="E119" i="36"/>
  <c r="P164" i="7" l="1"/>
  <c r="Q164" i="7"/>
  <c r="S109" i="13"/>
  <c r="F110" i="13"/>
  <c r="F165" i="7" s="1"/>
  <c r="R165" i="7" s="1"/>
  <c r="R109" i="13"/>
  <c r="I167" i="46"/>
  <c r="H167" i="46"/>
  <c r="J167" i="46"/>
  <c r="K167" i="46"/>
  <c r="L167" i="46"/>
  <c r="A167" i="46"/>
  <c r="M167" i="46" s="1"/>
  <c r="AB179" i="46"/>
  <c r="U180" i="46"/>
  <c r="AE109" i="28"/>
  <c r="J109" i="28" s="1"/>
  <c r="J477" i="7" s="1"/>
  <c r="I109" i="28"/>
  <c r="I477" i="7" s="1"/>
  <c r="AF109" i="28"/>
  <c r="X107" i="28"/>
  <c r="Z109" i="28"/>
  <c r="AB109" i="28" s="1"/>
  <c r="N477" i="7"/>
  <c r="AC155" i="40"/>
  <c r="I155" i="40" s="1"/>
  <c r="J155" i="40"/>
  <c r="Q155" i="40"/>
  <c r="X153" i="40"/>
  <c r="AF155" i="40"/>
  <c r="Q193" i="30"/>
  <c r="P193" i="30"/>
  <c r="W191" i="30" s="1"/>
  <c r="F182" i="37"/>
  <c r="I182" i="37" s="1"/>
  <c r="F187" i="33"/>
  <c r="Q186" i="33"/>
  <c r="M194" i="30"/>
  <c r="I194" i="30"/>
  <c r="L194" i="30"/>
  <c r="N194" i="30"/>
  <c r="J194" i="30" s="1"/>
  <c r="Y119" i="39"/>
  <c r="X119" i="39" s="1"/>
  <c r="Q119" i="39"/>
  <c r="K119" i="39"/>
  <c r="J119" i="39"/>
  <c r="S119" i="39"/>
  <c r="T119" i="39" s="1"/>
  <c r="V119" i="39"/>
  <c r="L119" i="39"/>
  <c r="AB110" i="13" l="1"/>
  <c r="N110" i="13"/>
  <c r="M110" i="13"/>
  <c r="L165" i="7" s="1"/>
  <c r="L110" i="13"/>
  <c r="K165" i="7" s="1"/>
  <c r="Y110" i="13"/>
  <c r="K110" i="13"/>
  <c r="J165" i="7" s="1"/>
  <c r="V110" i="13"/>
  <c r="G167" i="46"/>
  <c r="Y180" i="46"/>
  <c r="Z180" i="46"/>
  <c r="X180" i="46"/>
  <c r="W180" i="46"/>
  <c r="I120" i="13"/>
  <c r="I175" i="7" s="1"/>
  <c r="AC109" i="28"/>
  <c r="H109" i="28" s="1"/>
  <c r="Q109" i="28" s="1"/>
  <c r="Q477" i="7" s="1"/>
  <c r="R155" i="40"/>
  <c r="G156" i="40"/>
  <c r="M182" i="37"/>
  <c r="K182" i="37"/>
  <c r="J182" i="37"/>
  <c r="H182" i="37" s="1"/>
  <c r="Q182" i="37" s="1"/>
  <c r="L182" i="37"/>
  <c r="N187" i="33"/>
  <c r="J187" i="33" s="1"/>
  <c r="K187" i="33"/>
  <c r="L187" i="33"/>
  <c r="I187" i="33"/>
  <c r="M187" i="33"/>
  <c r="P187" i="33"/>
  <c r="W185" i="33" s="1"/>
  <c r="H194" i="30"/>
  <c r="F195" i="30" s="1"/>
  <c r="U119" i="39"/>
  <c r="G119" i="39" s="1"/>
  <c r="D120" i="36" s="1"/>
  <c r="H119" i="39"/>
  <c r="H110" i="13" l="1"/>
  <c r="H165" i="7" s="1"/>
  <c r="AC110" i="13"/>
  <c r="AA110" i="13" s="1"/>
  <c r="M165" i="7"/>
  <c r="E101" i="10"/>
  <c r="U110" i="13"/>
  <c r="W110" i="13" s="1"/>
  <c r="Z110" i="13"/>
  <c r="P167" i="46"/>
  <c r="Q167" i="46"/>
  <c r="F168" i="46" s="1"/>
  <c r="V180" i="46"/>
  <c r="U181" i="46" s="1"/>
  <c r="W181" i="46" s="1"/>
  <c r="H477" i="7"/>
  <c r="F110" i="28"/>
  <c r="L110" i="28" s="1"/>
  <c r="L478" i="7" s="1"/>
  <c r="R109" i="28"/>
  <c r="R477" i="7" s="1"/>
  <c r="P182" i="37"/>
  <c r="W180" i="37" s="1"/>
  <c r="N156" i="40"/>
  <c r="AA156" i="40"/>
  <c r="AB156" i="40" s="1"/>
  <c r="M156" i="40"/>
  <c r="AG156" i="40"/>
  <c r="L156" i="40"/>
  <c r="AD156" i="40"/>
  <c r="AH156" i="40"/>
  <c r="I119" i="39"/>
  <c r="AC119" i="39" s="1"/>
  <c r="F183" i="37"/>
  <c r="I183" i="37" s="1"/>
  <c r="H187" i="33"/>
  <c r="F188" i="33" s="1"/>
  <c r="P188" i="33" s="1"/>
  <c r="W186" i="33" s="1"/>
  <c r="Q194" i="30"/>
  <c r="P194" i="30"/>
  <c r="W192" i="30" s="1"/>
  <c r="M195" i="30"/>
  <c r="N195" i="30"/>
  <c r="J195" i="30" s="1"/>
  <c r="I195" i="30"/>
  <c r="K195" i="30"/>
  <c r="L195" i="30"/>
  <c r="O119" i="39"/>
  <c r="P119" i="39"/>
  <c r="J110" i="13" l="1"/>
  <c r="X110" i="13"/>
  <c r="H168" i="46"/>
  <c r="I168" i="46"/>
  <c r="L168" i="46"/>
  <c r="J168" i="46"/>
  <c r="A168" i="46"/>
  <c r="M168" i="46" s="1"/>
  <c r="K168" i="46"/>
  <c r="X181" i="46"/>
  <c r="V181" i="46" s="1"/>
  <c r="Y181" i="46"/>
  <c r="Z181" i="46"/>
  <c r="AB180" i="46"/>
  <c r="AA110" i="28"/>
  <c r="N110" i="28"/>
  <c r="N478" i="7" s="1"/>
  <c r="K110" i="28"/>
  <c r="K478" i="7" s="1"/>
  <c r="AG110" i="28"/>
  <c r="M110" i="28"/>
  <c r="M478" i="7" s="1"/>
  <c r="AD110" i="28"/>
  <c r="F478" i="7"/>
  <c r="S478" i="7" s="1"/>
  <c r="AF156" i="40"/>
  <c r="AC156" i="40"/>
  <c r="I156" i="40" s="1"/>
  <c r="J156" i="40"/>
  <c r="Q156" i="40"/>
  <c r="X154" i="40"/>
  <c r="J183" i="37"/>
  <c r="H183" i="37" s="1"/>
  <c r="K183" i="37"/>
  <c r="M183" i="37"/>
  <c r="L183" i="37"/>
  <c r="Q187" i="33"/>
  <c r="L188" i="33"/>
  <c r="M188" i="33"/>
  <c r="I188" i="33"/>
  <c r="K188" i="33"/>
  <c r="N188" i="33"/>
  <c r="J188" i="33" s="1"/>
  <c r="H195" i="30"/>
  <c r="P195" i="30" s="1"/>
  <c r="W193" i="30" s="1"/>
  <c r="F120" i="39"/>
  <c r="Z120" i="39"/>
  <c r="E120" i="36"/>
  <c r="C121" i="36"/>
  <c r="G110" i="13" l="1"/>
  <c r="G168" i="46"/>
  <c r="P168" i="46" s="1"/>
  <c r="AB181" i="46"/>
  <c r="U182" i="46"/>
  <c r="I110" i="28"/>
  <c r="I478" i="7" s="1"/>
  <c r="Z110" i="28"/>
  <c r="AB110" i="28" s="1"/>
  <c r="AH110" i="28"/>
  <c r="AF110" i="28" s="1"/>
  <c r="AE110" i="28"/>
  <c r="AC110" i="28" s="1"/>
  <c r="X108" i="28"/>
  <c r="P183" i="37"/>
  <c r="W181" i="37" s="1"/>
  <c r="G157" i="40"/>
  <c r="R156" i="40"/>
  <c r="H188" i="33"/>
  <c r="F189" i="33" s="1"/>
  <c r="M189" i="33" s="1"/>
  <c r="Q195" i="30"/>
  <c r="F196" i="30"/>
  <c r="F184" i="37"/>
  <c r="Q183" i="37"/>
  <c r="Y120" i="39"/>
  <c r="X120" i="39" s="1"/>
  <c r="L120" i="39"/>
  <c r="J120" i="39"/>
  <c r="Q120" i="39"/>
  <c r="S120" i="39"/>
  <c r="T120" i="39" s="1"/>
  <c r="V120" i="39"/>
  <c r="K120" i="39"/>
  <c r="G165" i="7" l="1"/>
  <c r="R110" i="13"/>
  <c r="F111" i="13"/>
  <c r="S110" i="13"/>
  <c r="Q168" i="46"/>
  <c r="F169" i="46" s="1"/>
  <c r="W182" i="46"/>
  <c r="X182" i="46"/>
  <c r="Y182" i="46"/>
  <c r="Z182" i="46"/>
  <c r="I121" i="13"/>
  <c r="I176" i="7" s="1"/>
  <c r="J110" i="28"/>
  <c r="H110" i="28" s="1"/>
  <c r="AD157" i="40"/>
  <c r="L157" i="40"/>
  <c r="AG157" i="40"/>
  <c r="M157" i="40"/>
  <c r="AA157" i="40"/>
  <c r="AB157" i="40" s="1"/>
  <c r="AH157" i="40"/>
  <c r="N157" i="40"/>
  <c r="Q188" i="33"/>
  <c r="N189" i="33"/>
  <c r="J189" i="33" s="1"/>
  <c r="I189" i="33"/>
  <c r="K189" i="33"/>
  <c r="L189" i="33"/>
  <c r="P189" i="33"/>
  <c r="W187" i="33" s="1"/>
  <c r="L196" i="30"/>
  <c r="I196" i="30"/>
  <c r="N196" i="30"/>
  <c r="J196" i="30" s="1"/>
  <c r="M196" i="30"/>
  <c r="K196" i="30"/>
  <c r="I184" i="37"/>
  <c r="J184" i="37"/>
  <c r="L184" i="37"/>
  <c r="M184" i="37"/>
  <c r="K184" i="37"/>
  <c r="H120" i="39"/>
  <c r="U120" i="39"/>
  <c r="G120" i="39" s="1"/>
  <c r="D121" i="36" s="1"/>
  <c r="Q165" i="7" l="1"/>
  <c r="P165" i="7"/>
  <c r="F166" i="7"/>
  <c r="R166" i="7" s="1"/>
  <c r="N111" i="13"/>
  <c r="Y111" i="13"/>
  <c r="H111" i="13" s="1"/>
  <c r="H166" i="7" s="1"/>
  <c r="L111" i="13"/>
  <c r="K166" i="7" s="1"/>
  <c r="M111" i="13"/>
  <c r="L166" i="7" s="1"/>
  <c r="V111" i="13"/>
  <c r="K111" i="13"/>
  <c r="J166" i="7" s="1"/>
  <c r="AB111" i="13"/>
  <c r="J169" i="46"/>
  <c r="L169" i="46"/>
  <c r="A169" i="46"/>
  <c r="M169" i="46" s="1"/>
  <c r="H169" i="46"/>
  <c r="K169" i="46"/>
  <c r="I169" i="46"/>
  <c r="V182" i="46"/>
  <c r="J478" i="7"/>
  <c r="F111" i="28"/>
  <c r="H478" i="7"/>
  <c r="R110" i="28"/>
  <c r="R478" i="7" s="1"/>
  <c r="Q110" i="28"/>
  <c r="Q478" i="7" s="1"/>
  <c r="AF157" i="40"/>
  <c r="Q157" i="40"/>
  <c r="X155" i="40"/>
  <c r="AC157" i="40"/>
  <c r="I157" i="40" s="1"/>
  <c r="J157" i="40"/>
  <c r="I120" i="39"/>
  <c r="AC120" i="39" s="1"/>
  <c r="H189" i="33"/>
  <c r="Q189" i="33" s="1"/>
  <c r="H196" i="30"/>
  <c r="F197" i="30" s="1"/>
  <c r="L197" i="30" s="1"/>
  <c r="P184" i="37"/>
  <c r="W182" i="37" s="1"/>
  <c r="H184" i="37"/>
  <c r="O120" i="39"/>
  <c r="P120" i="39"/>
  <c r="Z111" i="13" l="1"/>
  <c r="M166" i="7"/>
  <c r="E102" i="10"/>
  <c r="AC111" i="13"/>
  <c r="AA111" i="13" s="1"/>
  <c r="U111" i="13"/>
  <c r="W111" i="13" s="1"/>
  <c r="G169" i="46"/>
  <c r="AB182" i="46"/>
  <c r="U183" i="46"/>
  <c r="M111" i="28"/>
  <c r="M479" i="7" s="1"/>
  <c r="F479" i="7"/>
  <c r="S479" i="7" s="1"/>
  <c r="AG111" i="28"/>
  <c r="K111" i="28"/>
  <c r="K479" i="7" s="1"/>
  <c r="AA111" i="28"/>
  <c r="N111" i="28"/>
  <c r="N479" i="7" s="1"/>
  <c r="L111" i="28"/>
  <c r="L479" i="7" s="1"/>
  <c r="AD111" i="28"/>
  <c r="R157" i="40"/>
  <c r="G158" i="40"/>
  <c r="F190" i="33"/>
  <c r="M190" i="33" s="1"/>
  <c r="N197" i="30"/>
  <c r="J197" i="30" s="1"/>
  <c r="I197" i="30"/>
  <c r="P196" i="30"/>
  <c r="W194" i="30" s="1"/>
  <c r="M197" i="30"/>
  <c r="K197" i="30"/>
  <c r="Q196" i="30"/>
  <c r="Q184" i="37"/>
  <c r="F185" i="37"/>
  <c r="Z121" i="39"/>
  <c r="F121" i="39"/>
  <c r="C122" i="36"/>
  <c r="E121" i="36"/>
  <c r="J111" i="13" l="1"/>
  <c r="X111" i="13"/>
  <c r="P169" i="46"/>
  <c r="Q169" i="46"/>
  <c r="F170" i="46" s="1"/>
  <c r="Z183" i="46"/>
  <c r="W183" i="46"/>
  <c r="X183" i="46"/>
  <c r="Y183" i="46"/>
  <c r="I122" i="13"/>
  <c r="I177" i="7" s="1"/>
  <c r="I111" i="28"/>
  <c r="I479" i="7" s="1"/>
  <c r="Z111" i="28"/>
  <c r="AB111" i="28" s="1"/>
  <c r="AE111" i="28"/>
  <c r="AC111" i="28" s="1"/>
  <c r="AH111" i="28"/>
  <c r="AF111" i="28" s="1"/>
  <c r="X109" i="28"/>
  <c r="L158" i="40"/>
  <c r="AH158" i="40"/>
  <c r="AA158" i="40"/>
  <c r="AB158" i="40" s="1"/>
  <c r="AD158" i="40"/>
  <c r="N158" i="40"/>
  <c r="AG158" i="40"/>
  <c r="M158" i="40"/>
  <c r="I190" i="33"/>
  <c r="L190" i="33"/>
  <c r="N190" i="33"/>
  <c r="J190" i="33" s="1"/>
  <c r="K190" i="33"/>
  <c r="P190" i="33"/>
  <c r="W188" i="33" s="1"/>
  <c r="H197" i="30"/>
  <c r="Q197" i="30" s="1"/>
  <c r="M185" i="37"/>
  <c r="J185" i="37"/>
  <c r="K185" i="37"/>
  <c r="I185" i="37"/>
  <c r="L185" i="37"/>
  <c r="S121" i="39"/>
  <c r="T121" i="39" s="1"/>
  <c r="Q121" i="39"/>
  <c r="V121" i="39"/>
  <c r="L121" i="39"/>
  <c r="J121" i="39"/>
  <c r="Y121" i="39"/>
  <c r="X121" i="39" s="1"/>
  <c r="K121" i="39"/>
  <c r="G111" i="13" l="1"/>
  <c r="G166" i="7" s="1"/>
  <c r="A170" i="46"/>
  <c r="M170" i="46" s="1"/>
  <c r="H170" i="46"/>
  <c r="I170" i="46"/>
  <c r="L170" i="46"/>
  <c r="K170" i="46"/>
  <c r="J170" i="46"/>
  <c r="V183" i="46"/>
  <c r="U184" i="46" s="1"/>
  <c r="J111" i="28"/>
  <c r="H111" i="28" s="1"/>
  <c r="AC158" i="40"/>
  <c r="I158" i="40" s="1"/>
  <c r="J158" i="40"/>
  <c r="AF158" i="40"/>
  <c r="Q158" i="40"/>
  <c r="X156" i="40"/>
  <c r="H190" i="33"/>
  <c r="F191" i="33" s="1"/>
  <c r="L191" i="33" s="1"/>
  <c r="F198" i="30"/>
  <c r="L198" i="30" s="1"/>
  <c r="P197" i="30"/>
  <c r="W195" i="30" s="1"/>
  <c r="H185" i="37"/>
  <c r="P185" i="37"/>
  <c r="W183" i="37" s="1"/>
  <c r="U121" i="39"/>
  <c r="G121" i="39" s="1"/>
  <c r="D122" i="36" s="1"/>
  <c r="H121" i="39"/>
  <c r="P166" i="7" l="1"/>
  <c r="Q166" i="7"/>
  <c r="S111" i="13"/>
  <c r="R111" i="13"/>
  <c r="F112" i="13"/>
  <c r="G170" i="46"/>
  <c r="W184" i="46"/>
  <c r="AB183" i="46"/>
  <c r="X184" i="46"/>
  <c r="Z184" i="46"/>
  <c r="Y184" i="46"/>
  <c r="J479" i="7"/>
  <c r="Q111" i="28"/>
  <c r="Q479" i="7" s="1"/>
  <c r="H479" i="7"/>
  <c r="R111" i="28"/>
  <c r="R479" i="7" s="1"/>
  <c r="F112" i="28"/>
  <c r="G159" i="40"/>
  <c r="R158" i="40"/>
  <c r="I121" i="39"/>
  <c r="AC121" i="39" s="1"/>
  <c r="Q190" i="33"/>
  <c r="K191" i="33"/>
  <c r="M191" i="33"/>
  <c r="I191" i="33"/>
  <c r="P191" i="33"/>
  <c r="W189" i="33" s="1"/>
  <c r="N191" i="33"/>
  <c r="J191" i="33" s="1"/>
  <c r="M198" i="30"/>
  <c r="N198" i="30"/>
  <c r="J198" i="30" s="1"/>
  <c r="I198" i="30"/>
  <c r="K198" i="30"/>
  <c r="F186" i="37"/>
  <c r="Q185" i="37"/>
  <c r="O121" i="39"/>
  <c r="P121" i="39"/>
  <c r="F167" i="7" l="1"/>
  <c r="R167" i="7" s="1"/>
  <c r="Y112" i="13"/>
  <c r="K112" i="13"/>
  <c r="J167" i="7" s="1"/>
  <c r="N112" i="13"/>
  <c r="L112" i="13"/>
  <c r="K167" i="7" s="1"/>
  <c r="V112" i="13"/>
  <c r="M112" i="13"/>
  <c r="L167" i="7" s="1"/>
  <c r="AB112" i="13"/>
  <c r="P170" i="46"/>
  <c r="Q170" i="46"/>
  <c r="F171" i="46" s="1"/>
  <c r="V184" i="46"/>
  <c r="AG112" i="28"/>
  <c r="L112" i="28"/>
  <c r="L480" i="7" s="1"/>
  <c r="K112" i="28"/>
  <c r="K480" i="7" s="1"/>
  <c r="N112" i="28"/>
  <c r="N480" i="7" s="1"/>
  <c r="M112" i="28"/>
  <c r="M480" i="7" s="1"/>
  <c r="F480" i="7"/>
  <c r="S480" i="7" s="1"/>
  <c r="AD112" i="28"/>
  <c r="AA112" i="28"/>
  <c r="AA159" i="40"/>
  <c r="AB159" i="40" s="1"/>
  <c r="AH159" i="40"/>
  <c r="AD159" i="40"/>
  <c r="L159" i="40"/>
  <c r="N159" i="40"/>
  <c r="M159" i="40"/>
  <c r="AG159" i="40"/>
  <c r="H191" i="33"/>
  <c r="Q191" i="33" s="1"/>
  <c r="H198" i="30"/>
  <c r="P198" i="30" s="1"/>
  <c r="W196" i="30" s="1"/>
  <c r="I186" i="37"/>
  <c r="L186" i="37"/>
  <c r="J186" i="37"/>
  <c r="K186" i="37"/>
  <c r="M186" i="37"/>
  <c r="F122" i="39"/>
  <c r="Z122" i="39"/>
  <c r="C123" i="36"/>
  <c r="E122" i="36"/>
  <c r="H112" i="13" l="1"/>
  <c r="H167" i="7" s="1"/>
  <c r="U112" i="13"/>
  <c r="Z112" i="13"/>
  <c r="M167" i="7"/>
  <c r="AC112" i="13"/>
  <c r="E103" i="10"/>
  <c r="L171" i="46"/>
  <c r="J171" i="46"/>
  <c r="I171" i="46"/>
  <c r="A171" i="46"/>
  <c r="M171" i="46" s="1"/>
  <c r="H171" i="46"/>
  <c r="K171" i="46"/>
  <c r="AB184" i="46"/>
  <c r="U185" i="46"/>
  <c r="I112" i="28"/>
  <c r="I480" i="7" s="1"/>
  <c r="Z112" i="28"/>
  <c r="AB112" i="28" s="1"/>
  <c r="AH112" i="28"/>
  <c r="AF112" i="28" s="1"/>
  <c r="AE112" i="28"/>
  <c r="AC112" i="28" s="1"/>
  <c r="X110" i="28"/>
  <c r="Q159" i="40"/>
  <c r="X157" i="40"/>
  <c r="AC159" i="40"/>
  <c r="I159" i="40" s="1"/>
  <c r="J159" i="40"/>
  <c r="AF159" i="40"/>
  <c r="F192" i="33"/>
  <c r="I192" i="33" s="1"/>
  <c r="Q198" i="30"/>
  <c r="F199" i="30"/>
  <c r="L199" i="30" s="1"/>
  <c r="H186" i="37"/>
  <c r="P186" i="37"/>
  <c r="W184" i="37" s="1"/>
  <c r="J122" i="39"/>
  <c r="Q122" i="39"/>
  <c r="K122" i="39"/>
  <c r="V122" i="39"/>
  <c r="Y122" i="39"/>
  <c r="X122" i="39" s="1"/>
  <c r="L122" i="39"/>
  <c r="S122" i="39"/>
  <c r="T122" i="39" s="1"/>
  <c r="J112" i="13" l="1"/>
  <c r="W112" i="13"/>
  <c r="X112" i="13"/>
  <c r="AA112" i="13"/>
  <c r="G171" i="46"/>
  <c r="Y185" i="46"/>
  <c r="X185" i="46"/>
  <c r="Z185" i="46"/>
  <c r="W185" i="46"/>
  <c r="I123" i="13"/>
  <c r="J112" i="28"/>
  <c r="H112" i="28" s="1"/>
  <c r="G160" i="40"/>
  <c r="R159" i="40"/>
  <c r="K192" i="33"/>
  <c r="N192" i="33"/>
  <c r="J192" i="33" s="1"/>
  <c r="H192" i="33" s="1"/>
  <c r="F193" i="33" s="1"/>
  <c r="L193" i="33" s="1"/>
  <c r="L192" i="33"/>
  <c r="P192" i="33"/>
  <c r="W190" i="33" s="1"/>
  <c r="M192" i="33"/>
  <c r="M199" i="30"/>
  <c r="N199" i="30"/>
  <c r="J199" i="30" s="1"/>
  <c r="K199" i="30"/>
  <c r="I199" i="30"/>
  <c r="F187" i="37"/>
  <c r="Q186" i="37"/>
  <c r="U122" i="39"/>
  <c r="G122" i="39" s="1"/>
  <c r="D123" i="36" s="1"/>
  <c r="H122" i="39"/>
  <c r="G112" i="13" l="1"/>
  <c r="G167" i="7" s="1"/>
  <c r="Q171" i="46"/>
  <c r="F172" i="46" s="1"/>
  <c r="H172" i="46" s="1"/>
  <c r="P171" i="46"/>
  <c r="V185" i="46"/>
  <c r="I178" i="7"/>
  <c r="J480" i="7"/>
  <c r="Q112" i="28"/>
  <c r="Q480" i="7" s="1"/>
  <c r="H480" i="7"/>
  <c r="R112" i="28"/>
  <c r="R480" i="7" s="1"/>
  <c r="F113" i="28"/>
  <c r="AH160" i="40"/>
  <c r="L160" i="40"/>
  <c r="AD160" i="40"/>
  <c r="N160" i="40"/>
  <c r="AG160" i="40"/>
  <c r="AA160" i="40"/>
  <c r="AB160" i="40" s="1"/>
  <c r="M160" i="40"/>
  <c r="I122" i="39"/>
  <c r="AC122" i="39" s="1"/>
  <c r="P193" i="33"/>
  <c r="W191" i="33" s="1"/>
  <c r="N193" i="33"/>
  <c r="J193" i="33" s="1"/>
  <c r="I193" i="33"/>
  <c r="K193" i="33"/>
  <c r="Q192" i="33"/>
  <c r="M193" i="33"/>
  <c r="H199" i="30"/>
  <c r="P199" i="30" s="1"/>
  <c r="W197" i="30" s="1"/>
  <c r="L187" i="37"/>
  <c r="K187" i="37"/>
  <c r="J187" i="37"/>
  <c r="M187" i="37"/>
  <c r="I187" i="37"/>
  <c r="O122" i="39"/>
  <c r="P122" i="39"/>
  <c r="S112" i="13" l="1"/>
  <c r="R112" i="13"/>
  <c r="P167" i="7"/>
  <c r="Q167" i="7"/>
  <c r="F113" i="13"/>
  <c r="F168" i="7" s="1"/>
  <c r="R168" i="7" s="1"/>
  <c r="N113" i="13"/>
  <c r="M168" i="7" s="1"/>
  <c r="Y113" i="13"/>
  <c r="V113" i="13"/>
  <c r="L113" i="13"/>
  <c r="K168" i="7" s="1"/>
  <c r="AB113" i="13"/>
  <c r="K113" i="13"/>
  <c r="J168" i="7" s="1"/>
  <c r="M113" i="13"/>
  <c r="L168" i="7" s="1"/>
  <c r="J172" i="46"/>
  <c r="I172" i="46"/>
  <c r="L172" i="46"/>
  <c r="A172" i="46"/>
  <c r="M172" i="46" s="1"/>
  <c r="K172" i="46"/>
  <c r="U186" i="46"/>
  <c r="AB185" i="46"/>
  <c r="K113" i="28"/>
  <c r="K481" i="7" s="1"/>
  <c r="M113" i="28"/>
  <c r="M481" i="7" s="1"/>
  <c r="AA113" i="28"/>
  <c r="F481" i="7"/>
  <c r="S481" i="7" s="1"/>
  <c r="AG113" i="28"/>
  <c r="L113" i="28"/>
  <c r="L481" i="7" s="1"/>
  <c r="AD113" i="28"/>
  <c r="N113" i="28"/>
  <c r="N481" i="7" s="1"/>
  <c r="AC160" i="40"/>
  <c r="I160" i="40" s="1"/>
  <c r="J160" i="40"/>
  <c r="X158" i="40"/>
  <c r="Q160" i="40"/>
  <c r="AF160" i="40"/>
  <c r="H193" i="33"/>
  <c r="F194" i="33" s="1"/>
  <c r="L194" i="33" s="1"/>
  <c r="Q199" i="30"/>
  <c r="F200" i="30"/>
  <c r="L200" i="30" s="1"/>
  <c r="P187" i="37"/>
  <c r="W185" i="37" s="1"/>
  <c r="H187" i="37"/>
  <c r="E123" i="36"/>
  <c r="C124" i="36"/>
  <c r="F123" i="39"/>
  <c r="Z123" i="39"/>
  <c r="H113" i="13" l="1"/>
  <c r="H168" i="7" s="1"/>
  <c r="U113" i="13"/>
  <c r="Z113" i="13"/>
  <c r="AC113" i="13"/>
  <c r="AA113" i="13" s="1"/>
  <c r="E104" i="10"/>
  <c r="J113" i="13"/>
  <c r="G172" i="46"/>
  <c r="W186" i="46"/>
  <c r="Y186" i="46"/>
  <c r="X186" i="46"/>
  <c r="Z186" i="46"/>
  <c r="I113" i="28"/>
  <c r="I481" i="7" s="1"/>
  <c r="X111" i="28"/>
  <c r="AE113" i="28"/>
  <c r="AC113" i="28" s="1"/>
  <c r="Z113" i="28"/>
  <c r="AB113" i="28" s="1"/>
  <c r="AH113" i="28"/>
  <c r="G161" i="40"/>
  <c r="R160" i="40"/>
  <c r="K194" i="33"/>
  <c r="I194" i="33"/>
  <c r="N194" i="33"/>
  <c r="J194" i="33" s="1"/>
  <c r="P194" i="33"/>
  <c r="W192" i="33" s="1"/>
  <c r="Q193" i="33"/>
  <c r="M194" i="33"/>
  <c r="I200" i="30"/>
  <c r="M200" i="30"/>
  <c r="N200" i="30"/>
  <c r="J200" i="30" s="1"/>
  <c r="K200" i="30"/>
  <c r="F188" i="37"/>
  <c r="Q187" i="37"/>
  <c r="Q123" i="39"/>
  <c r="S123" i="39"/>
  <c r="T123" i="39" s="1"/>
  <c r="J123" i="39"/>
  <c r="V123" i="39"/>
  <c r="K123" i="39"/>
  <c r="Y123" i="39"/>
  <c r="X123" i="39" s="1"/>
  <c r="L123" i="39"/>
  <c r="W113" i="13" l="1"/>
  <c r="X113" i="13"/>
  <c r="G113" i="13"/>
  <c r="P172" i="46"/>
  <c r="Q172" i="46"/>
  <c r="F173" i="46" s="1"/>
  <c r="V186" i="46"/>
  <c r="AB186" i="46" s="1"/>
  <c r="I124" i="13"/>
  <c r="AF113" i="28"/>
  <c r="J113" i="28"/>
  <c r="L161" i="40"/>
  <c r="AH161" i="40"/>
  <c r="AD161" i="40"/>
  <c r="N161" i="40"/>
  <c r="AG161" i="40"/>
  <c r="M161" i="40"/>
  <c r="AA161" i="40"/>
  <c r="AB161" i="40" s="1"/>
  <c r="H194" i="33"/>
  <c r="F195" i="33" s="1"/>
  <c r="I195" i="33" s="1"/>
  <c r="H200" i="30"/>
  <c r="Q200" i="30" s="1"/>
  <c r="I188" i="37"/>
  <c r="M188" i="37"/>
  <c r="L188" i="37"/>
  <c r="K188" i="37"/>
  <c r="J188" i="37"/>
  <c r="U123" i="39"/>
  <c r="G123" i="39" s="1"/>
  <c r="D124" i="36" s="1"/>
  <c r="H123" i="39"/>
  <c r="G168" i="7" l="1"/>
  <c r="S113" i="13"/>
  <c r="R113" i="13"/>
  <c r="F114" i="13"/>
  <c r="I173" i="46"/>
  <c r="H173" i="46"/>
  <c r="A173" i="46"/>
  <c r="M173" i="46" s="1"/>
  <c r="L173" i="46"/>
  <c r="K173" i="46"/>
  <c r="J173" i="46"/>
  <c r="U187" i="46"/>
  <c r="W187" i="46" s="1"/>
  <c r="I179" i="7"/>
  <c r="J481" i="7"/>
  <c r="H113" i="28"/>
  <c r="AC161" i="40"/>
  <c r="I161" i="40" s="1"/>
  <c r="J161" i="40"/>
  <c r="AF161" i="40"/>
  <c r="X159" i="40"/>
  <c r="Q161" i="40"/>
  <c r="I123" i="39"/>
  <c r="AC123" i="39" s="1"/>
  <c r="P195" i="33"/>
  <c r="W193" i="33" s="1"/>
  <c r="Q194" i="33"/>
  <c r="L195" i="33"/>
  <c r="K195" i="33"/>
  <c r="N195" i="33"/>
  <c r="J195" i="33" s="1"/>
  <c r="H195" i="33" s="1"/>
  <c r="F196" i="33" s="1"/>
  <c r="K196" i="33" s="1"/>
  <c r="M195" i="33"/>
  <c r="F201" i="30"/>
  <c r="K201" i="30" s="1"/>
  <c r="P200" i="30"/>
  <c r="W198" i="30" s="1"/>
  <c r="H188" i="37"/>
  <c r="F189" i="37" s="1"/>
  <c r="P188" i="37"/>
  <c r="W186" i="37" s="1"/>
  <c r="O123" i="39"/>
  <c r="P123" i="39"/>
  <c r="P168" i="7" l="1"/>
  <c r="Q168" i="7"/>
  <c r="F169" i="7"/>
  <c r="R169" i="7" s="1"/>
  <c r="Y114" i="13"/>
  <c r="H114" i="13" s="1"/>
  <c r="H169" i="7" s="1"/>
  <c r="L114" i="13"/>
  <c r="K169" i="7" s="1"/>
  <c r="K114" i="13"/>
  <c r="J169" i="7" s="1"/>
  <c r="N114" i="13"/>
  <c r="M114" i="13"/>
  <c r="L169" i="7" s="1"/>
  <c r="V114" i="13"/>
  <c r="AB114" i="13"/>
  <c r="G173" i="46"/>
  <c r="Z187" i="46"/>
  <c r="X187" i="46"/>
  <c r="V187" i="46" s="1"/>
  <c r="U188" i="46" s="1"/>
  <c r="Y187" i="46"/>
  <c r="Q113" i="28"/>
  <c r="Q481" i="7" s="1"/>
  <c r="R113" i="28"/>
  <c r="R481" i="7" s="1"/>
  <c r="F114" i="28"/>
  <c r="H481" i="7"/>
  <c r="R161" i="40"/>
  <c r="G162" i="40"/>
  <c r="M196" i="33"/>
  <c r="N196" i="33"/>
  <c r="J196" i="33" s="1"/>
  <c r="L196" i="33"/>
  <c r="Q195" i="33"/>
  <c r="P196" i="33"/>
  <c r="W194" i="33" s="1"/>
  <c r="I196" i="33"/>
  <c r="N201" i="30"/>
  <c r="J201" i="30" s="1"/>
  <c r="M201" i="30"/>
  <c r="I201" i="30"/>
  <c r="L201" i="30"/>
  <c r="Q188" i="37"/>
  <c r="L189" i="37"/>
  <c r="J189" i="37"/>
  <c r="K189" i="37"/>
  <c r="M189" i="37"/>
  <c r="I189" i="37"/>
  <c r="F124" i="39"/>
  <c r="Z124" i="39"/>
  <c r="C125" i="36"/>
  <c r="E124" i="36"/>
  <c r="AC114" i="13" l="1"/>
  <c r="Z114" i="13"/>
  <c r="U114" i="13"/>
  <c r="W114" i="13" s="1"/>
  <c r="M169" i="7"/>
  <c r="E105" i="10"/>
  <c r="P173" i="46"/>
  <c r="Q173" i="46"/>
  <c r="F174" i="46" s="1"/>
  <c r="AB187" i="46"/>
  <c r="Y188" i="46"/>
  <c r="W188" i="46"/>
  <c r="Z188" i="46"/>
  <c r="X188" i="46"/>
  <c r="I125" i="13"/>
  <c r="AA114" i="28"/>
  <c r="M114" i="28"/>
  <c r="M482" i="7" s="1"/>
  <c r="F482" i="7"/>
  <c r="S482" i="7" s="1"/>
  <c r="AD114" i="28"/>
  <c r="AG114" i="28"/>
  <c r="L114" i="28"/>
  <c r="L482" i="7" s="1"/>
  <c r="K114" i="28"/>
  <c r="K482" i="7" s="1"/>
  <c r="N114" i="28"/>
  <c r="N482" i="7" s="1"/>
  <c r="M162" i="40"/>
  <c r="AA162" i="40"/>
  <c r="AB162" i="40" s="1"/>
  <c r="AD162" i="40"/>
  <c r="AH162" i="40"/>
  <c r="N162" i="40"/>
  <c r="L162" i="40"/>
  <c r="AG162" i="40"/>
  <c r="H196" i="33"/>
  <c r="F197" i="33" s="1"/>
  <c r="H201" i="30"/>
  <c r="F202" i="30" s="1"/>
  <c r="P189" i="37"/>
  <c r="W187" i="37" s="1"/>
  <c r="H189" i="37"/>
  <c r="Q124" i="39"/>
  <c r="L124" i="39"/>
  <c r="J124" i="39"/>
  <c r="V124" i="39"/>
  <c r="K124" i="39"/>
  <c r="Y124" i="39"/>
  <c r="X124" i="39" s="1"/>
  <c r="S124" i="39"/>
  <c r="T124" i="39" s="1"/>
  <c r="AA114" i="13" l="1"/>
  <c r="H174" i="46"/>
  <c r="X114" i="13"/>
  <c r="J114" i="13"/>
  <c r="G114" i="13" s="1"/>
  <c r="I174" i="46"/>
  <c r="A174" i="46"/>
  <c r="M174" i="46" s="1"/>
  <c r="K174" i="46"/>
  <c r="L174" i="46"/>
  <c r="J174" i="46"/>
  <c r="V188" i="46"/>
  <c r="AB188" i="46" s="1"/>
  <c r="I180" i="7"/>
  <c r="I114" i="28"/>
  <c r="I482" i="7" s="1"/>
  <c r="Z114" i="28"/>
  <c r="AB114" i="28" s="1"/>
  <c r="AH114" i="28"/>
  <c r="AE114" i="28"/>
  <c r="AC114" i="28" s="1"/>
  <c r="X112" i="28"/>
  <c r="Q162" i="40"/>
  <c r="X160" i="40"/>
  <c r="AF162" i="40"/>
  <c r="AC162" i="40"/>
  <c r="I162" i="40" s="1"/>
  <c r="J162" i="40"/>
  <c r="Q196" i="33"/>
  <c r="Q201" i="30"/>
  <c r="P201" i="30"/>
  <c r="W199" i="30" s="1"/>
  <c r="N197" i="33"/>
  <c r="J197" i="33" s="1"/>
  <c r="P197" i="33"/>
  <c r="W195" i="33" s="1"/>
  <c r="L197" i="33"/>
  <c r="K197" i="33"/>
  <c r="I197" i="33"/>
  <c r="M197" i="33"/>
  <c r="I202" i="30"/>
  <c r="L202" i="30"/>
  <c r="M202" i="30"/>
  <c r="K202" i="30"/>
  <c r="N202" i="30"/>
  <c r="J202" i="30" s="1"/>
  <c r="Q189" i="37"/>
  <c r="F190" i="37"/>
  <c r="U124" i="39"/>
  <c r="G124" i="39" s="1"/>
  <c r="D125" i="36" s="1"/>
  <c r="H124" i="39"/>
  <c r="G169" i="7" l="1"/>
  <c r="R114" i="13"/>
  <c r="F115" i="13"/>
  <c r="S114" i="13"/>
  <c r="G174" i="46"/>
  <c r="U189" i="46"/>
  <c r="X189" i="46" s="1"/>
  <c r="AF114" i="28"/>
  <c r="J114" i="28"/>
  <c r="G163" i="40"/>
  <c r="R162" i="40"/>
  <c r="I124" i="39"/>
  <c r="AC124" i="39" s="1"/>
  <c r="H197" i="33"/>
  <c r="Q197" i="33" s="1"/>
  <c r="H202" i="30"/>
  <c r="Q202" i="30" s="1"/>
  <c r="L190" i="37"/>
  <c r="I190" i="37"/>
  <c r="M190" i="37"/>
  <c r="J190" i="37"/>
  <c r="K190" i="37"/>
  <c r="O124" i="39"/>
  <c r="P124" i="39"/>
  <c r="P169" i="7" l="1"/>
  <c r="Q169" i="7"/>
  <c r="L115" i="13"/>
  <c r="K170" i="7" s="1"/>
  <c r="F170" i="7"/>
  <c r="N115" i="13"/>
  <c r="Y115" i="13"/>
  <c r="H115" i="13" s="1"/>
  <c r="H170" i="7" s="1"/>
  <c r="AB115" i="13"/>
  <c r="V115" i="13"/>
  <c r="M115" i="13"/>
  <c r="L170" i="7" s="1"/>
  <c r="K115" i="13"/>
  <c r="J170" i="7" s="1"/>
  <c r="P174" i="46"/>
  <c r="Q174" i="46"/>
  <c r="F175" i="46" s="1"/>
  <c r="Z189" i="46"/>
  <c r="Y189" i="46"/>
  <c r="W189" i="46"/>
  <c r="V189" i="46" s="1"/>
  <c r="J482" i="7"/>
  <c r="H114" i="28"/>
  <c r="AG163" i="40"/>
  <c r="N163" i="40"/>
  <c r="L163" i="40"/>
  <c r="M163" i="40"/>
  <c r="AH163" i="40"/>
  <c r="AA163" i="40"/>
  <c r="AB163" i="40" s="1"/>
  <c r="AD163" i="40"/>
  <c r="F198" i="33"/>
  <c r="K198" i="33" s="1"/>
  <c r="F203" i="30"/>
  <c r="N203" i="30" s="1"/>
  <c r="J203" i="30" s="1"/>
  <c r="P202" i="30"/>
  <c r="W200" i="30" s="1"/>
  <c r="P190" i="37"/>
  <c r="W188" i="37" s="1"/>
  <c r="H190" i="37"/>
  <c r="E125" i="36"/>
  <c r="C126" i="36"/>
  <c r="Z125" i="39"/>
  <c r="F125" i="39"/>
  <c r="H175" i="46" l="1"/>
  <c r="A175" i="46"/>
  <c r="M175" i="46" s="1"/>
  <c r="I175" i="46"/>
  <c r="L175" i="46"/>
  <c r="K175" i="46"/>
  <c r="J175" i="46"/>
  <c r="R170" i="7"/>
  <c r="Z115" i="13"/>
  <c r="U115" i="13"/>
  <c r="W115" i="13" s="1"/>
  <c r="M170" i="7"/>
  <c r="AC115" i="13"/>
  <c r="AA115" i="13" s="1"/>
  <c r="E106" i="10"/>
  <c r="U190" i="46"/>
  <c r="AB189" i="46"/>
  <c r="I126" i="13"/>
  <c r="Q114" i="28"/>
  <c r="Q482" i="7" s="1"/>
  <c r="H482" i="7"/>
  <c r="F115" i="28"/>
  <c r="R114" i="28"/>
  <c r="R482" i="7" s="1"/>
  <c r="AF163" i="40"/>
  <c r="J163" i="40"/>
  <c r="AC163" i="40"/>
  <c r="I163" i="40" s="1"/>
  <c r="Q163" i="40"/>
  <c r="X161" i="40"/>
  <c r="N198" i="33"/>
  <c r="J198" i="33" s="1"/>
  <c r="L198" i="33"/>
  <c r="M198" i="33"/>
  <c r="P198" i="33"/>
  <c r="W196" i="33" s="1"/>
  <c r="I198" i="33"/>
  <c r="K203" i="30"/>
  <c r="I203" i="30"/>
  <c r="H203" i="30" s="1"/>
  <c r="Q203" i="30" s="1"/>
  <c r="M203" i="30"/>
  <c r="L203" i="30"/>
  <c r="F191" i="37"/>
  <c r="Q190" i="37"/>
  <c r="V125" i="39"/>
  <c r="K125" i="39"/>
  <c r="J125" i="39"/>
  <c r="Q125" i="39"/>
  <c r="L125" i="39"/>
  <c r="S125" i="39"/>
  <c r="T125" i="39" s="1"/>
  <c r="Y125" i="39"/>
  <c r="X125" i="39" s="1"/>
  <c r="G175" i="46" l="1"/>
  <c r="J115" i="13"/>
  <c r="X115" i="13"/>
  <c r="W190" i="46"/>
  <c r="Y190" i="46"/>
  <c r="Z190" i="46"/>
  <c r="X190" i="46"/>
  <c r="I181" i="7"/>
  <c r="K115" i="28"/>
  <c r="K483" i="7" s="1"/>
  <c r="AD115" i="28"/>
  <c r="AG115" i="28"/>
  <c r="F483" i="7"/>
  <c r="S483" i="7" s="1"/>
  <c r="AA115" i="28"/>
  <c r="L115" i="28"/>
  <c r="L483" i="7" s="1"/>
  <c r="M115" i="28"/>
  <c r="M483" i="7" s="1"/>
  <c r="N115" i="28"/>
  <c r="N483" i="7" s="1"/>
  <c r="G164" i="40"/>
  <c r="R163" i="40"/>
  <c r="H198" i="33"/>
  <c r="F199" i="33" s="1"/>
  <c r="P203" i="30"/>
  <c r="W201" i="30" s="1"/>
  <c r="F204" i="30"/>
  <c r="I204" i="30" s="1"/>
  <c r="K191" i="37"/>
  <c r="J191" i="37"/>
  <c r="I191" i="37"/>
  <c r="M191" i="37"/>
  <c r="L191" i="37"/>
  <c r="H125" i="39"/>
  <c r="U125" i="39"/>
  <c r="G125" i="39" s="1"/>
  <c r="D126" i="36" s="1"/>
  <c r="P175" i="46" l="1"/>
  <c r="Q175" i="46"/>
  <c r="F176" i="46" s="1"/>
  <c r="G115" i="13"/>
  <c r="G170" i="7" s="1"/>
  <c r="V190" i="46"/>
  <c r="I115" i="28"/>
  <c r="I483" i="7" s="1"/>
  <c r="X113" i="28"/>
  <c r="Z115" i="28"/>
  <c r="AB115" i="28" s="1"/>
  <c r="AH115" i="28"/>
  <c r="AE115" i="28"/>
  <c r="AC115" i="28" s="1"/>
  <c r="M164" i="40"/>
  <c r="AA164" i="40"/>
  <c r="AB164" i="40" s="1"/>
  <c r="N164" i="40"/>
  <c r="L164" i="40"/>
  <c r="AH164" i="40"/>
  <c r="AD164" i="40"/>
  <c r="AG164" i="40"/>
  <c r="I125" i="39"/>
  <c r="AC125" i="39" s="1"/>
  <c r="Q198" i="33"/>
  <c r="I199" i="33"/>
  <c r="L199" i="33"/>
  <c r="P199" i="33"/>
  <c r="W197" i="33" s="1"/>
  <c r="M199" i="33"/>
  <c r="K199" i="33"/>
  <c r="N199" i="33"/>
  <c r="J199" i="33" s="1"/>
  <c r="M204" i="30"/>
  <c r="L204" i="30"/>
  <c r="N204" i="30"/>
  <c r="J204" i="30" s="1"/>
  <c r="H204" i="30" s="1"/>
  <c r="Q204" i="30" s="1"/>
  <c r="K204" i="30"/>
  <c r="H191" i="37"/>
  <c r="F192" i="37" s="1"/>
  <c r="P191" i="37"/>
  <c r="W189" i="37" s="1"/>
  <c r="O125" i="39"/>
  <c r="P125" i="39"/>
  <c r="L176" i="46" l="1"/>
  <c r="J176" i="46"/>
  <c r="K176" i="46"/>
  <c r="I176" i="46"/>
  <c r="A176" i="46"/>
  <c r="M176" i="46" s="1"/>
  <c r="H176" i="46"/>
  <c r="F116" i="13"/>
  <c r="S115" i="13"/>
  <c r="R115" i="13"/>
  <c r="P170" i="7"/>
  <c r="Q170" i="7"/>
  <c r="AB190" i="46"/>
  <c r="U191" i="46"/>
  <c r="I127" i="13"/>
  <c r="AF115" i="28"/>
  <c r="J115" i="28"/>
  <c r="AF164" i="40"/>
  <c r="J164" i="40"/>
  <c r="AC164" i="40"/>
  <c r="I164" i="40" s="1"/>
  <c r="X162" i="40"/>
  <c r="Q164" i="40"/>
  <c r="H199" i="33"/>
  <c r="F200" i="33" s="1"/>
  <c r="P204" i="30"/>
  <c r="W202" i="30" s="1"/>
  <c r="F205" i="30"/>
  <c r="Q191" i="37"/>
  <c r="M192" i="37"/>
  <c r="J192" i="37"/>
  <c r="L192" i="37"/>
  <c r="I192" i="37"/>
  <c r="K192" i="37"/>
  <c r="F126" i="39"/>
  <c r="Z126" i="39"/>
  <c r="C127" i="36"/>
  <c r="E126" i="36"/>
  <c r="G176" i="46" l="1"/>
  <c r="V116" i="13"/>
  <c r="M116" i="13"/>
  <c r="L171" i="7" s="1"/>
  <c r="AB116" i="13"/>
  <c r="K116" i="13"/>
  <c r="J171" i="7" s="1"/>
  <c r="L116" i="13"/>
  <c r="K171" i="7" s="1"/>
  <c r="Y116" i="13"/>
  <c r="H116" i="13" s="1"/>
  <c r="H171" i="7" s="1"/>
  <c r="F171" i="7"/>
  <c r="R171" i="7" s="1"/>
  <c r="N116" i="13"/>
  <c r="W191" i="46"/>
  <c r="X191" i="46"/>
  <c r="Y191" i="46"/>
  <c r="Z191" i="46"/>
  <c r="I182" i="7"/>
  <c r="H115" i="28"/>
  <c r="J483" i="7"/>
  <c r="R164" i="40"/>
  <c r="G165" i="40"/>
  <c r="Q199" i="33"/>
  <c r="K200" i="33"/>
  <c r="P200" i="33"/>
  <c r="W198" i="33" s="1"/>
  <c r="L200" i="33"/>
  <c r="M200" i="33"/>
  <c r="I200" i="33"/>
  <c r="N200" i="33"/>
  <c r="J200" i="33" s="1"/>
  <c r="L205" i="30"/>
  <c r="M205" i="30"/>
  <c r="K205" i="30"/>
  <c r="I205" i="30"/>
  <c r="N205" i="30"/>
  <c r="J205" i="30" s="1"/>
  <c r="H192" i="37"/>
  <c r="F193" i="37" s="1"/>
  <c r="K193" i="37" s="1"/>
  <c r="P192" i="37"/>
  <c r="W190" i="37" s="1"/>
  <c r="Q126" i="39"/>
  <c r="J126" i="39"/>
  <c r="S126" i="39"/>
  <c r="T126" i="39" s="1"/>
  <c r="L126" i="39"/>
  <c r="V126" i="39"/>
  <c r="K126" i="39"/>
  <c r="Y126" i="39"/>
  <c r="X126" i="39" s="1"/>
  <c r="Q176" i="46" l="1"/>
  <c r="F177" i="46" s="1"/>
  <c r="P176" i="46"/>
  <c r="U116" i="13"/>
  <c r="Z116" i="13"/>
  <c r="E107" i="10"/>
  <c r="M171" i="7"/>
  <c r="AC116" i="13"/>
  <c r="AA116" i="13" s="1"/>
  <c r="V191" i="46"/>
  <c r="AB191" i="46" s="1"/>
  <c r="Q115" i="28"/>
  <c r="Q483" i="7" s="1"/>
  <c r="R115" i="28"/>
  <c r="R483" i="7" s="1"/>
  <c r="H483" i="7"/>
  <c r="F116" i="28"/>
  <c r="AD165" i="40"/>
  <c r="AG165" i="40"/>
  <c r="AH165" i="40"/>
  <c r="N165" i="40"/>
  <c r="M165" i="40"/>
  <c r="L165" i="40"/>
  <c r="AA165" i="40"/>
  <c r="AB165" i="40" s="1"/>
  <c r="H200" i="33"/>
  <c r="Q200" i="33" s="1"/>
  <c r="H205" i="30"/>
  <c r="Q205" i="30" s="1"/>
  <c r="J193" i="37"/>
  <c r="L193" i="37"/>
  <c r="Q192" i="37"/>
  <c r="I193" i="37"/>
  <c r="M193" i="37"/>
  <c r="U126" i="39"/>
  <c r="G126" i="39" s="1"/>
  <c r="D127" i="36" s="1"/>
  <c r="H126" i="39"/>
  <c r="J116" i="13" l="1"/>
  <c r="L177" i="46"/>
  <c r="I177" i="46"/>
  <c r="K177" i="46"/>
  <c r="H177" i="46"/>
  <c r="A177" i="46"/>
  <c r="M177" i="46" s="1"/>
  <c r="J177" i="46"/>
  <c r="W116" i="13"/>
  <c r="X116" i="13"/>
  <c r="U192" i="46"/>
  <c r="X192" i="46" s="1"/>
  <c r="M116" i="28"/>
  <c r="M484" i="7" s="1"/>
  <c r="N116" i="28"/>
  <c r="N484" i="7" s="1"/>
  <c r="L116" i="28"/>
  <c r="L484" i="7" s="1"/>
  <c r="K116" i="28"/>
  <c r="K484" i="7" s="1"/>
  <c r="F484" i="7"/>
  <c r="S484" i="7" s="1"/>
  <c r="AA116" i="28"/>
  <c r="AD116" i="28"/>
  <c r="AG116" i="28"/>
  <c r="AF165" i="40"/>
  <c r="X163" i="40"/>
  <c r="Q165" i="40"/>
  <c r="J165" i="40"/>
  <c r="AC165" i="40"/>
  <c r="I165" i="40" s="1"/>
  <c r="I126" i="39"/>
  <c r="AC126" i="39" s="1"/>
  <c r="F201" i="33"/>
  <c r="N201" i="33" s="1"/>
  <c r="J201" i="33" s="1"/>
  <c r="P205" i="30"/>
  <c r="W203" i="30" s="1"/>
  <c r="F206" i="30"/>
  <c r="I206" i="30" s="1"/>
  <c r="P193" i="37"/>
  <c r="W191" i="37" s="1"/>
  <c r="H193" i="37"/>
  <c r="Q193" i="37" s="1"/>
  <c r="O126" i="39"/>
  <c r="P126" i="39"/>
  <c r="G177" i="46" l="1"/>
  <c r="G116" i="13"/>
  <c r="G171" i="7"/>
  <c r="Q177" i="46"/>
  <c r="F178" i="46" s="1"/>
  <c r="P177" i="46"/>
  <c r="Z192" i="46"/>
  <c r="W192" i="46"/>
  <c r="V192" i="46" s="1"/>
  <c r="Y192" i="46"/>
  <c r="AE116" i="28"/>
  <c r="AC116" i="28" s="1"/>
  <c r="Z116" i="28"/>
  <c r="AB116" i="28" s="1"/>
  <c r="AH116" i="28"/>
  <c r="AF116" i="28" s="1"/>
  <c r="I116" i="28"/>
  <c r="I484" i="7" s="1"/>
  <c r="X114" i="28"/>
  <c r="G166" i="40"/>
  <c r="R165" i="40"/>
  <c r="I201" i="33"/>
  <c r="H201" i="33" s="1"/>
  <c r="P201" i="33"/>
  <c r="W199" i="33" s="1"/>
  <c r="L201" i="33"/>
  <c r="K201" i="33"/>
  <c r="M201" i="33"/>
  <c r="M206" i="30"/>
  <c r="K206" i="30"/>
  <c r="N206" i="30"/>
  <c r="J206" i="30" s="1"/>
  <c r="H206" i="30" s="1"/>
  <c r="F207" i="30" s="1"/>
  <c r="L206" i="30"/>
  <c r="F194" i="37"/>
  <c r="I194" i="37" s="1"/>
  <c r="E127" i="36"/>
  <c r="C128" i="36"/>
  <c r="F127" i="39"/>
  <c r="Z127" i="39"/>
  <c r="S116" i="13" l="1"/>
  <c r="R116" i="13"/>
  <c r="F117" i="13"/>
  <c r="F172" i="7"/>
  <c r="R172" i="7" s="1"/>
  <c r="Y117" i="13"/>
  <c r="M117" i="13"/>
  <c r="L172" i="7" s="1"/>
  <c r="N117" i="13"/>
  <c r="L117" i="13"/>
  <c r="K172" i="7" s="1"/>
  <c r="K117" i="13"/>
  <c r="J172" i="7" s="1"/>
  <c r="AB117" i="13"/>
  <c r="V117" i="13"/>
  <c r="P171" i="7"/>
  <c r="Q171" i="7"/>
  <c r="K178" i="46"/>
  <c r="A178" i="46"/>
  <c r="M178" i="46" s="1"/>
  <c r="J178" i="46"/>
  <c r="H178" i="46"/>
  <c r="L178" i="46"/>
  <c r="I178" i="46"/>
  <c r="AB192" i="46"/>
  <c r="U193" i="46"/>
  <c r="I128" i="13"/>
  <c r="J116" i="28"/>
  <c r="J484" i="7" s="1"/>
  <c r="AG166" i="40"/>
  <c r="AH166" i="40"/>
  <c r="AA166" i="40"/>
  <c r="AB166" i="40" s="1"/>
  <c r="N166" i="40"/>
  <c r="M166" i="40"/>
  <c r="L166" i="40"/>
  <c r="AD166" i="40"/>
  <c r="Q201" i="33"/>
  <c r="F202" i="33"/>
  <c r="Q206" i="30"/>
  <c r="P206" i="30"/>
  <c r="W204" i="30" s="1"/>
  <c r="L207" i="30"/>
  <c r="I207" i="30"/>
  <c r="N207" i="30"/>
  <c r="J207" i="30" s="1"/>
  <c r="K207" i="30"/>
  <c r="M207" i="30"/>
  <c r="L194" i="37"/>
  <c r="K194" i="37"/>
  <c r="J194" i="37"/>
  <c r="H194" i="37" s="1"/>
  <c r="M194" i="37"/>
  <c r="Q127" i="39"/>
  <c r="Y127" i="39"/>
  <c r="X127" i="39" s="1"/>
  <c r="V127" i="39"/>
  <c r="L127" i="39"/>
  <c r="K127" i="39"/>
  <c r="J127" i="39"/>
  <c r="S127" i="39"/>
  <c r="T127" i="39" s="1"/>
  <c r="H117" i="13" l="1"/>
  <c r="H172" i="7" s="1"/>
  <c r="E108" i="10"/>
  <c r="AC117" i="13"/>
  <c r="AA117" i="13" s="1"/>
  <c r="M172" i="7"/>
  <c r="Z117" i="13"/>
  <c r="U117" i="13"/>
  <c r="W117" i="13" s="1"/>
  <c r="G178" i="46"/>
  <c r="X193" i="46"/>
  <c r="Y193" i="46"/>
  <c r="Z193" i="46"/>
  <c r="W193" i="46"/>
  <c r="I183" i="7"/>
  <c r="H116" i="28"/>
  <c r="R116" i="28" s="1"/>
  <c r="R484" i="7" s="1"/>
  <c r="AF166" i="40"/>
  <c r="J166" i="40"/>
  <c r="AC166" i="40"/>
  <c r="I166" i="40" s="1"/>
  <c r="Q166" i="40"/>
  <c r="X164" i="40"/>
  <c r="N202" i="33"/>
  <c r="J202" i="33" s="1"/>
  <c r="I202" i="33"/>
  <c r="M202" i="33"/>
  <c r="P202" i="33"/>
  <c r="W200" i="33" s="1"/>
  <c r="K202" i="33"/>
  <c r="L202" i="33"/>
  <c r="H207" i="30"/>
  <c r="P194" i="37"/>
  <c r="W192" i="37" s="1"/>
  <c r="F195" i="37"/>
  <c r="Q194" i="37"/>
  <c r="H127" i="39"/>
  <c r="U127" i="39"/>
  <c r="G127" i="39" s="1"/>
  <c r="D128" i="36" s="1"/>
  <c r="X117" i="13" l="1"/>
  <c r="J117" i="13"/>
  <c r="G117" i="13" s="1"/>
  <c r="Q178" i="46"/>
  <c r="F179" i="46" s="1"/>
  <c r="P178" i="46"/>
  <c r="V193" i="46"/>
  <c r="U194" i="46" s="1"/>
  <c r="Y194" i="46" s="1"/>
  <c r="Q116" i="28"/>
  <c r="Q484" i="7" s="1"/>
  <c r="F117" i="28"/>
  <c r="AG117" i="28" s="1"/>
  <c r="H484" i="7"/>
  <c r="R166" i="40"/>
  <c r="G167" i="40"/>
  <c r="I127" i="39"/>
  <c r="AC127" i="39" s="1"/>
  <c r="H202" i="33"/>
  <c r="F203" i="33" s="1"/>
  <c r="F208" i="30"/>
  <c r="Q207" i="30"/>
  <c r="P207" i="30"/>
  <c r="W205" i="30" s="1"/>
  <c r="M195" i="37"/>
  <c r="L195" i="37"/>
  <c r="K195" i="37"/>
  <c r="J195" i="37"/>
  <c r="I195" i="37"/>
  <c r="O127" i="39"/>
  <c r="P127" i="39"/>
  <c r="G172" i="7" l="1"/>
  <c r="F118" i="13"/>
  <c r="R117" i="13"/>
  <c r="S117" i="13"/>
  <c r="H179" i="46"/>
  <c r="K179" i="46"/>
  <c r="A179" i="46"/>
  <c r="M179" i="46" s="1"/>
  <c r="I179" i="46"/>
  <c r="L179" i="46"/>
  <c r="J179" i="46"/>
  <c r="AB193" i="46"/>
  <c r="Z194" i="46"/>
  <c r="X194" i="46"/>
  <c r="W194" i="46"/>
  <c r="AA117" i="28"/>
  <c r="AD117" i="28"/>
  <c r="I117" i="28" s="1"/>
  <c r="I485" i="7" s="1"/>
  <c r="F485" i="7"/>
  <c r="S485" i="7" s="1"/>
  <c r="L117" i="28"/>
  <c r="L485" i="7" s="1"/>
  <c r="M117" i="28"/>
  <c r="M485" i="7" s="1"/>
  <c r="N117" i="28"/>
  <c r="N485" i="7" s="1"/>
  <c r="K117" i="28"/>
  <c r="K485" i="7" s="1"/>
  <c r="AH167" i="40"/>
  <c r="M167" i="40"/>
  <c r="AD167" i="40"/>
  <c r="N167" i="40"/>
  <c r="AA167" i="40"/>
  <c r="AB167" i="40" s="1"/>
  <c r="L167" i="40"/>
  <c r="AG167" i="40"/>
  <c r="Q202" i="33"/>
  <c r="N203" i="33"/>
  <c r="J203" i="33" s="1"/>
  <c r="P203" i="33"/>
  <c r="W201" i="33" s="1"/>
  <c r="K203" i="33"/>
  <c r="I203" i="33"/>
  <c r="L203" i="33"/>
  <c r="M203" i="33"/>
  <c r="N208" i="30"/>
  <c r="J208" i="30" s="1"/>
  <c r="M208" i="30"/>
  <c r="K208" i="30"/>
  <c r="L208" i="30"/>
  <c r="I208" i="30"/>
  <c r="H195" i="37"/>
  <c r="F196" i="37" s="1"/>
  <c r="L196" i="37" s="1"/>
  <c r="P195" i="37"/>
  <c r="W193" i="37" s="1"/>
  <c r="Z128" i="39"/>
  <c r="F128" i="39"/>
  <c r="E128" i="36"/>
  <c r="C129" i="36"/>
  <c r="Q172" i="7" l="1"/>
  <c r="P172" i="7"/>
  <c r="AB118" i="13"/>
  <c r="M118" i="13"/>
  <c r="L173" i="7" s="1"/>
  <c r="L118" i="13"/>
  <c r="K173" i="7" s="1"/>
  <c r="N118" i="13"/>
  <c r="Y118" i="13"/>
  <c r="H118" i="13" s="1"/>
  <c r="H173" i="7" s="1"/>
  <c r="K118" i="13"/>
  <c r="J173" i="7" s="1"/>
  <c r="F173" i="7"/>
  <c r="R173" i="7" s="1"/>
  <c r="V118" i="13"/>
  <c r="G179" i="46"/>
  <c r="V194" i="46"/>
  <c r="AB194" i="46" s="1"/>
  <c r="AE117" i="28"/>
  <c r="AC117" i="28" s="1"/>
  <c r="I129" i="13"/>
  <c r="Z117" i="28"/>
  <c r="AB117" i="28" s="1"/>
  <c r="AH117" i="28"/>
  <c r="AF117" i="28" s="1"/>
  <c r="X115" i="28"/>
  <c r="Q167" i="40"/>
  <c r="X165" i="40"/>
  <c r="AC167" i="40"/>
  <c r="I167" i="40" s="1"/>
  <c r="J167" i="40"/>
  <c r="AF167" i="40"/>
  <c r="H203" i="33"/>
  <c r="H208" i="30"/>
  <c r="J196" i="37"/>
  <c r="Q195" i="37"/>
  <c r="K196" i="37"/>
  <c r="M196" i="37"/>
  <c r="I196" i="37"/>
  <c r="Q128" i="39"/>
  <c r="L128" i="39"/>
  <c r="Y128" i="39"/>
  <c r="X128" i="39" s="1"/>
  <c r="S128" i="39"/>
  <c r="T128" i="39" s="1"/>
  <c r="V128" i="39"/>
  <c r="K128" i="39"/>
  <c r="J128" i="39"/>
  <c r="E109" i="10" l="1"/>
  <c r="AC118" i="13"/>
  <c r="AA118" i="13" s="1"/>
  <c r="M173" i="7"/>
  <c r="U118" i="13"/>
  <c r="W118" i="13" s="1"/>
  <c r="Z118" i="13"/>
  <c r="P179" i="46"/>
  <c r="Q179" i="46"/>
  <c r="F180" i="46" s="1"/>
  <c r="U195" i="46"/>
  <c r="W195" i="46" s="1"/>
  <c r="I184" i="7"/>
  <c r="J117" i="28"/>
  <c r="H117" i="28" s="1"/>
  <c r="Q117" i="28" s="1"/>
  <c r="Q485" i="7" s="1"/>
  <c r="G168" i="40"/>
  <c r="R167" i="40"/>
  <c r="F204" i="33"/>
  <c r="Q203" i="33"/>
  <c r="Q208" i="30"/>
  <c r="P208" i="30"/>
  <c r="W206" i="30" s="1"/>
  <c r="F209" i="30"/>
  <c r="P196" i="37"/>
  <c r="W194" i="37" s="1"/>
  <c r="H196" i="37"/>
  <c r="Q196" i="37" s="1"/>
  <c r="U128" i="39"/>
  <c r="G128" i="39" s="1"/>
  <c r="D129" i="36" s="1"/>
  <c r="H128" i="39"/>
  <c r="J118" i="13" l="1"/>
  <c r="X118" i="13"/>
  <c r="J180" i="46"/>
  <c r="I180" i="46"/>
  <c r="K180" i="46"/>
  <c r="A180" i="46"/>
  <c r="M180" i="46" s="1"/>
  <c r="H180" i="46"/>
  <c r="L180" i="46"/>
  <c r="Y195" i="46"/>
  <c r="Z195" i="46"/>
  <c r="X195" i="46"/>
  <c r="V195" i="46" s="1"/>
  <c r="U196" i="46" s="1"/>
  <c r="H485" i="7"/>
  <c r="J485" i="7"/>
  <c r="R117" i="28"/>
  <c r="R485" i="7" s="1"/>
  <c r="F118" i="28"/>
  <c r="N118" i="28" s="1"/>
  <c r="N486" i="7" s="1"/>
  <c r="AG168" i="40"/>
  <c r="AH168" i="40"/>
  <c r="L168" i="40"/>
  <c r="AD168" i="40"/>
  <c r="M168" i="40"/>
  <c r="N168" i="40"/>
  <c r="AA168" i="40"/>
  <c r="AB168" i="40" s="1"/>
  <c r="I128" i="39"/>
  <c r="AC128" i="39" s="1"/>
  <c r="M204" i="33"/>
  <c r="L204" i="33"/>
  <c r="K204" i="33"/>
  <c r="N204" i="33"/>
  <c r="J204" i="33" s="1"/>
  <c r="P204" i="33"/>
  <c r="W202" i="33" s="1"/>
  <c r="I204" i="33"/>
  <c r="I209" i="30"/>
  <c r="N209" i="30"/>
  <c r="J209" i="30" s="1"/>
  <c r="K209" i="30"/>
  <c r="M209" i="30"/>
  <c r="L209" i="30"/>
  <c r="F197" i="37"/>
  <c r="M197" i="37" s="1"/>
  <c r="O128" i="39"/>
  <c r="P128" i="39"/>
  <c r="G118" i="13" l="1"/>
  <c r="G180" i="46"/>
  <c r="Z196" i="46"/>
  <c r="X196" i="46"/>
  <c r="W196" i="46"/>
  <c r="Y196" i="46"/>
  <c r="AB195" i="46"/>
  <c r="F486" i="7"/>
  <c r="S486" i="7" s="1"/>
  <c r="K118" i="28"/>
  <c r="K486" i="7" s="1"/>
  <c r="AD118" i="28"/>
  <c r="L118" i="28"/>
  <c r="L486" i="7" s="1"/>
  <c r="AA118" i="28"/>
  <c r="M118" i="28"/>
  <c r="M486" i="7" s="1"/>
  <c r="AG118" i="28"/>
  <c r="AH118" i="28"/>
  <c r="Z118" i="28"/>
  <c r="AE118" i="28"/>
  <c r="AF168" i="40"/>
  <c r="AC168" i="40"/>
  <c r="I168" i="40" s="1"/>
  <c r="J168" i="40"/>
  <c r="X166" i="40"/>
  <c r="Q168" i="40"/>
  <c r="H209" i="30"/>
  <c r="P209" i="30" s="1"/>
  <c r="W207" i="30" s="1"/>
  <c r="H204" i="33"/>
  <c r="K197" i="37"/>
  <c r="L197" i="37"/>
  <c r="J197" i="37"/>
  <c r="I197" i="37"/>
  <c r="F129" i="39"/>
  <c r="Z129" i="39"/>
  <c r="C130" i="36"/>
  <c r="E129" i="36"/>
  <c r="R118" i="13" l="1"/>
  <c r="F119" i="13"/>
  <c r="S118" i="13"/>
  <c r="G173" i="7"/>
  <c r="P180" i="46"/>
  <c r="Q180" i="46"/>
  <c r="F181" i="46" s="1"/>
  <c r="V196" i="46"/>
  <c r="AB196" i="46" s="1"/>
  <c r="I118" i="28"/>
  <c r="I486" i="7" s="1"/>
  <c r="AC118" i="28"/>
  <c r="AF118" i="28"/>
  <c r="AB118" i="28"/>
  <c r="X116" i="28"/>
  <c r="I130" i="13"/>
  <c r="J118" i="28"/>
  <c r="G169" i="40"/>
  <c r="R168" i="40"/>
  <c r="Q209" i="30"/>
  <c r="F210" i="30"/>
  <c r="F205" i="33"/>
  <c r="Q204" i="33"/>
  <c r="P197" i="37"/>
  <c r="W195" i="37" s="1"/>
  <c r="H197" i="37"/>
  <c r="Q197" i="37" s="1"/>
  <c r="S129" i="39"/>
  <c r="T129" i="39" s="1"/>
  <c r="J129" i="39"/>
  <c r="L129" i="39"/>
  <c r="Y129" i="39"/>
  <c r="X129" i="39" s="1"/>
  <c r="V129" i="39"/>
  <c r="K129" i="39"/>
  <c r="Q129" i="39"/>
  <c r="V119" i="13" l="1"/>
  <c r="M119" i="13"/>
  <c r="L174" i="7" s="1"/>
  <c r="K119" i="13"/>
  <c r="J174" i="7" s="1"/>
  <c r="AB119" i="13"/>
  <c r="Y119" i="13"/>
  <c r="H119" i="13" s="1"/>
  <c r="H174" i="7" s="1"/>
  <c r="F174" i="7"/>
  <c r="R174" i="7" s="1"/>
  <c r="L119" i="13"/>
  <c r="K174" i="7" s="1"/>
  <c r="N119" i="13"/>
  <c r="P173" i="7"/>
  <c r="Q173" i="7"/>
  <c r="I181" i="46"/>
  <c r="K181" i="46"/>
  <c r="A181" i="46"/>
  <c r="M181" i="46" s="1"/>
  <c r="L181" i="46"/>
  <c r="H181" i="46"/>
  <c r="J181" i="46"/>
  <c r="U197" i="46"/>
  <c r="I185" i="7"/>
  <c r="H118" i="28"/>
  <c r="F119" i="28" s="1"/>
  <c r="J486" i="7"/>
  <c r="N169" i="40"/>
  <c r="AH169" i="40"/>
  <c r="AA169" i="40"/>
  <c r="AB169" i="40" s="1"/>
  <c r="M169" i="40"/>
  <c r="L169" i="40"/>
  <c r="AD169" i="40"/>
  <c r="AG169" i="40"/>
  <c r="N210" i="30"/>
  <c r="J210" i="30" s="1"/>
  <c r="I210" i="30"/>
  <c r="L210" i="30"/>
  <c r="M210" i="30"/>
  <c r="K210" i="30"/>
  <c r="K205" i="33"/>
  <c r="P205" i="33"/>
  <c r="W203" i="33" s="1"/>
  <c r="L205" i="33"/>
  <c r="I205" i="33"/>
  <c r="N205" i="33"/>
  <c r="J205" i="33" s="1"/>
  <c r="M205" i="33"/>
  <c r="F198" i="37"/>
  <c r="K198" i="37" s="1"/>
  <c r="H129" i="39"/>
  <c r="U129" i="39"/>
  <c r="G129" i="39" s="1"/>
  <c r="D130" i="36" s="1"/>
  <c r="Z119" i="13" l="1"/>
  <c r="U119" i="13"/>
  <c r="W119" i="13" s="1"/>
  <c r="AC119" i="13"/>
  <c r="AA119" i="13" s="1"/>
  <c r="M174" i="7"/>
  <c r="G181" i="46"/>
  <c r="W197" i="46"/>
  <c r="Z197" i="46"/>
  <c r="X197" i="46"/>
  <c r="Y197" i="46"/>
  <c r="R118" i="28"/>
  <c r="R486" i="7" s="1"/>
  <c r="Q118" i="28"/>
  <c r="Q486" i="7" s="1"/>
  <c r="H486" i="7"/>
  <c r="AG119" i="28"/>
  <c r="M119" i="28"/>
  <c r="M487" i="7" s="1"/>
  <c r="N119" i="28"/>
  <c r="N487" i="7" s="1"/>
  <c r="L119" i="28"/>
  <c r="L487" i="7" s="1"/>
  <c r="F487" i="7"/>
  <c r="S487" i="7" s="1"/>
  <c r="AD119" i="28"/>
  <c r="AA119" i="28"/>
  <c r="K119" i="28"/>
  <c r="K487" i="7" s="1"/>
  <c r="J169" i="40"/>
  <c r="AC169" i="40"/>
  <c r="I169" i="40" s="1"/>
  <c r="Q169" i="40"/>
  <c r="X167" i="40"/>
  <c r="AF169" i="40"/>
  <c r="I129" i="39"/>
  <c r="AC129" i="39" s="1"/>
  <c r="H205" i="33"/>
  <c r="Q205" i="33" s="1"/>
  <c r="J198" i="37"/>
  <c r="M198" i="37"/>
  <c r="H210" i="30"/>
  <c r="L198" i="37"/>
  <c r="I198" i="37"/>
  <c r="O129" i="39"/>
  <c r="P129" i="39"/>
  <c r="J119" i="13" l="1"/>
  <c r="X119" i="13"/>
  <c r="P181" i="46"/>
  <c r="Q181" i="46"/>
  <c r="F182" i="46" s="1"/>
  <c r="A182" i="46" s="1"/>
  <c r="M182" i="46" s="1"/>
  <c r="V197" i="46"/>
  <c r="U198" i="46" s="1"/>
  <c r="Z198" i="46" s="1"/>
  <c r="AH119" i="28"/>
  <c r="AF119" i="28" s="1"/>
  <c r="Z119" i="28"/>
  <c r="AB119" i="28" s="1"/>
  <c r="AE119" i="28"/>
  <c r="I119" i="28"/>
  <c r="I487" i="7" s="1"/>
  <c r="X117" i="28"/>
  <c r="R169" i="40"/>
  <c r="G170" i="40"/>
  <c r="H198" i="37"/>
  <c r="Q198" i="37" s="1"/>
  <c r="F206" i="33"/>
  <c r="N206" i="33" s="1"/>
  <c r="J206" i="33" s="1"/>
  <c r="P198" i="37"/>
  <c r="W196" i="37" s="1"/>
  <c r="F211" i="30"/>
  <c r="Q210" i="30"/>
  <c r="P210" i="30"/>
  <c r="W208" i="30" s="1"/>
  <c r="C131" i="36"/>
  <c r="E130" i="36"/>
  <c r="F130" i="39"/>
  <c r="Z130" i="39"/>
  <c r="G119" i="13" l="1"/>
  <c r="G174" i="7"/>
  <c r="Q174" i="7" s="1"/>
  <c r="R119" i="13"/>
  <c r="S119" i="13"/>
  <c r="F120" i="13"/>
  <c r="Y120" i="13"/>
  <c r="H182" i="46"/>
  <c r="L182" i="46"/>
  <c r="J182" i="46"/>
  <c r="I182" i="46"/>
  <c r="K182" i="46"/>
  <c r="Y198" i="46"/>
  <c r="W198" i="46"/>
  <c r="X198" i="46"/>
  <c r="AB197" i="46"/>
  <c r="I131" i="13"/>
  <c r="I186" i="7" s="1"/>
  <c r="J119" i="28"/>
  <c r="J487" i="7" s="1"/>
  <c r="AC119" i="28"/>
  <c r="AA170" i="40"/>
  <c r="AB170" i="40" s="1"/>
  <c r="N170" i="40"/>
  <c r="L170" i="40"/>
  <c r="AH170" i="40"/>
  <c r="M170" i="40"/>
  <c r="AD170" i="40"/>
  <c r="AG170" i="40"/>
  <c r="P206" i="33"/>
  <c r="W204" i="33" s="1"/>
  <c r="L206" i="33"/>
  <c r="K206" i="33"/>
  <c r="M206" i="33"/>
  <c r="I206" i="33"/>
  <c r="H206" i="33" s="1"/>
  <c r="F207" i="33" s="1"/>
  <c r="F199" i="37"/>
  <c r="I199" i="37" s="1"/>
  <c r="M211" i="30"/>
  <c r="K211" i="30"/>
  <c r="I211" i="30"/>
  <c r="L211" i="30"/>
  <c r="N211" i="30"/>
  <c r="J211" i="30" s="1"/>
  <c r="K130" i="39"/>
  <c r="L130" i="39"/>
  <c r="J130" i="39"/>
  <c r="S130" i="39"/>
  <c r="T130" i="39" s="1"/>
  <c r="Y130" i="39"/>
  <c r="X130" i="39" s="1"/>
  <c r="Q130" i="39"/>
  <c r="V130" i="39"/>
  <c r="V120" i="13" l="1"/>
  <c r="K120" i="13"/>
  <c r="J175" i="7" s="1"/>
  <c r="AB120" i="13"/>
  <c r="H120" i="13" s="1"/>
  <c r="H175" i="7" s="1"/>
  <c r="L120" i="13"/>
  <c r="K175" i="7" s="1"/>
  <c r="F175" i="7"/>
  <c r="R175" i="7" s="1"/>
  <c r="M120" i="13"/>
  <c r="L175" i="7" s="1"/>
  <c r="N120" i="13"/>
  <c r="G182" i="46"/>
  <c r="Q182" i="46" s="1"/>
  <c r="F183" i="46" s="1"/>
  <c r="V198" i="46"/>
  <c r="H119" i="28"/>
  <c r="R119" i="28" s="1"/>
  <c r="R487" i="7" s="1"/>
  <c r="AC170" i="40"/>
  <c r="I170" i="40" s="1"/>
  <c r="J170" i="40"/>
  <c r="AF170" i="40"/>
  <c r="X168" i="40"/>
  <c r="Q170" i="40"/>
  <c r="J199" i="37"/>
  <c r="H199" i="37" s="1"/>
  <c r="Q199" i="37" s="1"/>
  <c r="K199" i="37"/>
  <c r="M199" i="37"/>
  <c r="L199" i="37"/>
  <c r="Q206" i="33"/>
  <c r="H211" i="30"/>
  <c r="Q211" i="30" s="1"/>
  <c r="N207" i="33"/>
  <c r="J207" i="33" s="1"/>
  <c r="M207" i="33"/>
  <c r="L207" i="33"/>
  <c r="I207" i="33"/>
  <c r="K207" i="33"/>
  <c r="P207" i="33"/>
  <c r="W205" i="33" s="1"/>
  <c r="U130" i="39"/>
  <c r="G130" i="39" s="1"/>
  <c r="D131" i="36" s="1"/>
  <c r="H130" i="39"/>
  <c r="U120" i="13" l="1"/>
  <c r="Z120" i="13"/>
  <c r="AC120" i="13"/>
  <c r="M175" i="7"/>
  <c r="E111" i="10"/>
  <c r="K183" i="46"/>
  <c r="H183" i="46"/>
  <c r="J183" i="46"/>
  <c r="I183" i="46"/>
  <c r="P182" i="46"/>
  <c r="L183" i="46"/>
  <c r="A183" i="46"/>
  <c r="M183" i="46" s="1"/>
  <c r="AB198" i="46"/>
  <c r="U199" i="46"/>
  <c r="Z199" i="46" s="1"/>
  <c r="H487" i="7"/>
  <c r="Q119" i="28"/>
  <c r="Q487" i="7" s="1"/>
  <c r="F120" i="28"/>
  <c r="N120" i="28" s="1"/>
  <c r="N488" i="7" s="1"/>
  <c r="P199" i="37"/>
  <c r="W197" i="37" s="1"/>
  <c r="R170" i="40"/>
  <c r="G171" i="40"/>
  <c r="I130" i="39"/>
  <c r="AC130" i="39" s="1"/>
  <c r="F200" i="37"/>
  <c r="K200" i="37" s="1"/>
  <c r="P211" i="30"/>
  <c r="W209" i="30" s="1"/>
  <c r="F212" i="30"/>
  <c r="L212" i="30" s="1"/>
  <c r="H207" i="33"/>
  <c r="F208" i="33" s="1"/>
  <c r="O130" i="39"/>
  <c r="P130" i="39"/>
  <c r="J120" i="13" l="1"/>
  <c r="X120" i="13"/>
  <c r="W120" i="13"/>
  <c r="AA120" i="13"/>
  <c r="G183" i="46"/>
  <c r="X199" i="46"/>
  <c r="Y199" i="46"/>
  <c r="W199" i="46"/>
  <c r="F488" i="7"/>
  <c r="S488" i="7" s="1"/>
  <c r="AD120" i="28"/>
  <c r="L120" i="28"/>
  <c r="L488" i="7" s="1"/>
  <c r="K120" i="28"/>
  <c r="K488" i="7" s="1"/>
  <c r="M120" i="28"/>
  <c r="M488" i="7" s="1"/>
  <c r="AG120" i="28"/>
  <c r="AA120" i="28"/>
  <c r="Z120" i="28"/>
  <c r="AH120" i="28"/>
  <c r="AE120" i="28"/>
  <c r="AD171" i="40"/>
  <c r="AA171" i="40"/>
  <c r="AB171" i="40" s="1"/>
  <c r="AH171" i="40"/>
  <c r="N171" i="40"/>
  <c r="M171" i="40"/>
  <c r="L171" i="40"/>
  <c r="AG171" i="40"/>
  <c r="I200" i="37"/>
  <c r="L200" i="37"/>
  <c r="M200" i="37"/>
  <c r="J200" i="37"/>
  <c r="N212" i="30"/>
  <c r="J212" i="30" s="1"/>
  <c r="I212" i="30"/>
  <c r="K212" i="30"/>
  <c r="M212" i="30"/>
  <c r="Q207" i="33"/>
  <c r="I208" i="33"/>
  <c r="M208" i="33"/>
  <c r="K208" i="33"/>
  <c r="P208" i="33"/>
  <c r="W206" i="33" s="1"/>
  <c r="N208" i="33"/>
  <c r="J208" i="33" s="1"/>
  <c r="L208" i="33"/>
  <c r="Z131" i="39"/>
  <c r="F131" i="39"/>
  <c r="E131" i="36"/>
  <c r="C132" i="36"/>
  <c r="G120" i="13" l="1"/>
  <c r="Q183" i="46"/>
  <c r="F184" i="46" s="1"/>
  <c r="P183" i="46"/>
  <c r="V199" i="46"/>
  <c r="U200" i="46" s="1"/>
  <c r="Y200" i="46" s="1"/>
  <c r="I120" i="28"/>
  <c r="I488" i="7" s="1"/>
  <c r="AC120" i="28"/>
  <c r="X118" i="28"/>
  <c r="AF120" i="28"/>
  <c r="AB120" i="28"/>
  <c r="J120" i="28"/>
  <c r="P200" i="37"/>
  <c r="W198" i="37" s="1"/>
  <c r="Q171" i="40"/>
  <c r="X169" i="40"/>
  <c r="AF171" i="40"/>
  <c r="J171" i="40"/>
  <c r="AC171" i="40"/>
  <c r="I171" i="40" s="1"/>
  <c r="H200" i="37"/>
  <c r="F201" i="37" s="1"/>
  <c r="I201" i="37" s="1"/>
  <c r="H212" i="30"/>
  <c r="P212" i="30" s="1"/>
  <c r="W210" i="30" s="1"/>
  <c r="H208" i="33"/>
  <c r="F209" i="33" s="1"/>
  <c r="L209" i="33" s="1"/>
  <c r="L131" i="39"/>
  <c r="Y131" i="39"/>
  <c r="X131" i="39" s="1"/>
  <c r="Q131" i="39"/>
  <c r="V131" i="39"/>
  <c r="K131" i="39"/>
  <c r="J131" i="39"/>
  <c r="S131" i="39"/>
  <c r="T131" i="39" s="1"/>
  <c r="F121" i="13" l="1"/>
  <c r="R120" i="13"/>
  <c r="S120" i="13"/>
  <c r="G175" i="7"/>
  <c r="L184" i="46"/>
  <c r="K184" i="46"/>
  <c r="I184" i="46"/>
  <c r="H184" i="46"/>
  <c r="A184" i="46"/>
  <c r="M184" i="46" s="1"/>
  <c r="J184" i="46"/>
  <c r="X200" i="46"/>
  <c r="AB199" i="46"/>
  <c r="Z200" i="46"/>
  <c r="W200" i="46"/>
  <c r="I132" i="13"/>
  <c r="H120" i="28"/>
  <c r="F121" i="28" s="1"/>
  <c r="J488" i="7"/>
  <c r="G172" i="40"/>
  <c r="R171" i="40"/>
  <c r="L201" i="37"/>
  <c r="J201" i="37"/>
  <c r="H201" i="37" s="1"/>
  <c r="F202" i="37" s="1"/>
  <c r="K202" i="37" s="1"/>
  <c r="M201" i="37"/>
  <c r="Q200" i="37"/>
  <c r="K201" i="37"/>
  <c r="Q212" i="30"/>
  <c r="F213" i="30"/>
  <c r="K213" i="30" s="1"/>
  <c r="Q208" i="33"/>
  <c r="I209" i="33"/>
  <c r="P209" i="33"/>
  <c r="W207" i="33" s="1"/>
  <c r="K209" i="33"/>
  <c r="N209" i="33"/>
  <c r="J209" i="33" s="1"/>
  <c r="M209" i="33"/>
  <c r="U131" i="39"/>
  <c r="G131" i="39" s="1"/>
  <c r="D132" i="36" s="1"/>
  <c r="H131" i="39"/>
  <c r="M121" i="13" l="1"/>
  <c r="L176" i="7" s="1"/>
  <c r="N121" i="13"/>
  <c r="M176" i="7" s="1"/>
  <c r="L121" i="13"/>
  <c r="K176" i="7" s="1"/>
  <c r="V121" i="13"/>
  <c r="Y121" i="13"/>
  <c r="F176" i="7"/>
  <c r="R176" i="7" s="1"/>
  <c r="AB121" i="13"/>
  <c r="K121" i="13"/>
  <c r="J176" i="7" s="1"/>
  <c r="P175" i="7"/>
  <c r="Q175" i="7"/>
  <c r="H121" i="13"/>
  <c r="H176" i="7" s="1"/>
  <c r="G184" i="46"/>
  <c r="V200" i="46"/>
  <c r="U201" i="46" s="1"/>
  <c r="Y201" i="46" s="1"/>
  <c r="I187" i="7"/>
  <c r="H488" i="7"/>
  <c r="Q120" i="28"/>
  <c r="Q488" i="7" s="1"/>
  <c r="R120" i="28"/>
  <c r="R488" i="7" s="1"/>
  <c r="AD121" i="28"/>
  <c r="K121" i="28"/>
  <c r="AG121" i="28"/>
  <c r="L121" i="28"/>
  <c r="L489" i="7" s="1"/>
  <c r="M121" i="28"/>
  <c r="M489" i="7" s="1"/>
  <c r="F489" i="7"/>
  <c r="S489" i="7" s="1"/>
  <c r="AA121" i="28"/>
  <c r="N121" i="28"/>
  <c r="P201" i="37"/>
  <c r="W199" i="37" s="1"/>
  <c r="L172" i="40"/>
  <c r="AD172" i="40"/>
  <c r="AG172" i="40"/>
  <c r="AH172" i="40"/>
  <c r="M172" i="40"/>
  <c r="N172" i="40"/>
  <c r="AA172" i="40"/>
  <c r="AB172" i="40" s="1"/>
  <c r="I202" i="37"/>
  <c r="J202" i="37"/>
  <c r="M202" i="37"/>
  <c r="L202" i="37"/>
  <c r="Q201" i="37"/>
  <c r="I213" i="30"/>
  <c r="N213" i="30"/>
  <c r="J213" i="30" s="1"/>
  <c r="L213" i="30"/>
  <c r="M213" i="30"/>
  <c r="H209" i="33"/>
  <c r="Q209" i="33" s="1"/>
  <c r="I131" i="39"/>
  <c r="AC131" i="39" s="1"/>
  <c r="O131" i="39"/>
  <c r="P131" i="39"/>
  <c r="E112" i="10" l="1"/>
  <c r="U121" i="13"/>
  <c r="W121" i="13" s="1"/>
  <c r="AC121" i="13"/>
  <c r="Z121" i="13"/>
  <c r="X121" i="13" s="1"/>
  <c r="P184" i="46"/>
  <c r="Q184" i="46"/>
  <c r="F185" i="46" s="1"/>
  <c r="W201" i="46"/>
  <c r="Z201" i="46"/>
  <c r="AB200" i="46"/>
  <c r="X201" i="46"/>
  <c r="I121" i="28"/>
  <c r="I489" i="7" s="1"/>
  <c r="N489" i="7"/>
  <c r="AE121" i="28"/>
  <c r="AC121" i="28" s="1"/>
  <c r="Z121" i="28"/>
  <c r="AB121" i="28" s="1"/>
  <c r="AH121" i="28"/>
  <c r="K489" i="7"/>
  <c r="X119" i="28"/>
  <c r="P202" i="37"/>
  <c r="W200" i="37" s="1"/>
  <c r="AF172" i="40"/>
  <c r="J172" i="40"/>
  <c r="AC172" i="40"/>
  <c r="I172" i="40" s="1"/>
  <c r="X170" i="40"/>
  <c r="Q172" i="40"/>
  <c r="H202" i="37"/>
  <c r="F203" i="37" s="1"/>
  <c r="H213" i="30"/>
  <c r="Q213" i="30" s="1"/>
  <c r="F210" i="33"/>
  <c r="N210" i="33" s="1"/>
  <c r="J210" i="33" s="1"/>
  <c r="F132" i="39"/>
  <c r="Z132" i="39"/>
  <c r="E132" i="36"/>
  <c r="C133" i="36"/>
  <c r="J121" i="13" l="1"/>
  <c r="G121" i="13" s="1"/>
  <c r="AA121" i="13"/>
  <c r="I185" i="46"/>
  <c r="A185" i="46"/>
  <c r="M185" i="46" s="1"/>
  <c r="J185" i="46"/>
  <c r="K185" i="46"/>
  <c r="L185" i="46"/>
  <c r="H185" i="46"/>
  <c r="V201" i="46"/>
  <c r="AB201" i="46" s="1"/>
  <c r="AF121" i="28"/>
  <c r="J121" i="28"/>
  <c r="G173" i="40"/>
  <c r="R172" i="40"/>
  <c r="Q202" i="37"/>
  <c r="F214" i="30"/>
  <c r="N214" i="30" s="1"/>
  <c r="J214" i="30" s="1"/>
  <c r="P213" i="30"/>
  <c r="W211" i="30" s="1"/>
  <c r="I210" i="33"/>
  <c r="H210" i="33" s="1"/>
  <c r="F211" i="33" s="1"/>
  <c r="P211" i="33" s="1"/>
  <c r="W209" i="33" s="1"/>
  <c r="L210" i="33"/>
  <c r="K210" i="33"/>
  <c r="P210" i="33"/>
  <c r="W208" i="33" s="1"/>
  <c r="M210" i="33"/>
  <c r="L203" i="37"/>
  <c r="M203" i="37"/>
  <c r="I203" i="37"/>
  <c r="K203" i="37"/>
  <c r="J203" i="37"/>
  <c r="L132" i="39"/>
  <c r="J132" i="39"/>
  <c r="V132" i="39"/>
  <c r="Q132" i="39"/>
  <c r="K132" i="39"/>
  <c r="S132" i="39"/>
  <c r="T132" i="39" s="1"/>
  <c r="Y132" i="39"/>
  <c r="X132" i="39" s="1"/>
  <c r="G176" i="7" l="1"/>
  <c r="F122" i="13"/>
  <c r="S121" i="13"/>
  <c r="R121" i="13"/>
  <c r="G185" i="46"/>
  <c r="U202" i="46"/>
  <c r="Z202" i="46" s="1"/>
  <c r="I133" i="13"/>
  <c r="J489" i="7"/>
  <c r="H121" i="28"/>
  <c r="AH173" i="40"/>
  <c r="N173" i="40"/>
  <c r="AD173" i="40"/>
  <c r="M173" i="40"/>
  <c r="L173" i="40"/>
  <c r="AG173" i="40"/>
  <c r="AA173" i="40"/>
  <c r="AB173" i="40" s="1"/>
  <c r="I214" i="30"/>
  <c r="H214" i="30" s="1"/>
  <c r="Q214" i="30" s="1"/>
  <c r="L214" i="30"/>
  <c r="K214" i="30"/>
  <c r="M214" i="30"/>
  <c r="N211" i="33"/>
  <c r="J211" i="33" s="1"/>
  <c r="K211" i="33"/>
  <c r="Q210" i="33"/>
  <c r="M211" i="33"/>
  <c r="L211" i="33"/>
  <c r="I211" i="33"/>
  <c r="H203" i="37"/>
  <c r="P203" i="37"/>
  <c r="W201" i="37" s="1"/>
  <c r="U132" i="39"/>
  <c r="G132" i="39" s="1"/>
  <c r="D133" i="36" s="1"/>
  <c r="H132" i="39"/>
  <c r="Q176" i="7" l="1"/>
  <c r="P176" i="7"/>
  <c r="L122" i="13"/>
  <c r="K177" i="7" s="1"/>
  <c r="M122" i="13"/>
  <c r="L177" i="7" s="1"/>
  <c r="N122" i="13"/>
  <c r="F177" i="7"/>
  <c r="R177" i="7" s="1"/>
  <c r="K122" i="13"/>
  <c r="J177" i="7" s="1"/>
  <c r="E113" i="10" s="1"/>
  <c r="AB122" i="13"/>
  <c r="V122" i="13"/>
  <c r="Y122" i="13"/>
  <c r="H122" i="13" s="1"/>
  <c r="H177" i="7" s="1"/>
  <c r="P185" i="46"/>
  <c r="Q185" i="46"/>
  <c r="F186" i="46" s="1"/>
  <c r="X202" i="46"/>
  <c r="Y202" i="46"/>
  <c r="W202" i="46"/>
  <c r="I188" i="7"/>
  <c r="Q121" i="28"/>
  <c r="Q489" i="7" s="1"/>
  <c r="F122" i="28"/>
  <c r="R121" i="28"/>
  <c r="R489" i="7" s="1"/>
  <c r="H489" i="7"/>
  <c r="X171" i="40"/>
  <c r="Q173" i="40"/>
  <c r="AC173" i="40"/>
  <c r="I173" i="40" s="1"/>
  <c r="J173" i="40"/>
  <c r="AF173" i="40"/>
  <c r="I132" i="39"/>
  <c r="AC132" i="39" s="1"/>
  <c r="F215" i="30"/>
  <c r="M215" i="30" s="1"/>
  <c r="P214" i="30"/>
  <c r="W212" i="30" s="1"/>
  <c r="H211" i="33"/>
  <c r="F212" i="33" s="1"/>
  <c r="N212" i="33" s="1"/>
  <c r="J212" i="33" s="1"/>
  <c r="Q203" i="37"/>
  <c r="F204" i="37"/>
  <c r="O132" i="39"/>
  <c r="P132" i="39"/>
  <c r="Z122" i="13" l="1"/>
  <c r="X122" i="13" s="1"/>
  <c r="M177" i="7"/>
  <c r="AC122" i="13"/>
  <c r="U122" i="13"/>
  <c r="W122" i="13" s="1"/>
  <c r="I186" i="46"/>
  <c r="J186" i="46"/>
  <c r="H186" i="46"/>
  <c r="L186" i="46"/>
  <c r="K186" i="46"/>
  <c r="A186" i="46"/>
  <c r="M186" i="46" s="1"/>
  <c r="V202" i="46"/>
  <c r="AB202" i="46" s="1"/>
  <c r="AA122" i="28"/>
  <c r="N122" i="28"/>
  <c r="N490" i="7" s="1"/>
  <c r="L122" i="28"/>
  <c r="L490" i="7" s="1"/>
  <c r="AD122" i="28"/>
  <c r="K122" i="28"/>
  <c r="K490" i="7" s="1"/>
  <c r="F490" i="7"/>
  <c r="S490" i="7" s="1"/>
  <c r="AG122" i="28"/>
  <c r="M122" i="28"/>
  <c r="M490" i="7" s="1"/>
  <c r="G174" i="40"/>
  <c r="R173" i="40"/>
  <c r="L215" i="30"/>
  <c r="I215" i="30"/>
  <c r="N215" i="30"/>
  <c r="J215" i="30" s="1"/>
  <c r="K215" i="30"/>
  <c r="Q211" i="33"/>
  <c r="K212" i="33"/>
  <c r="L212" i="33"/>
  <c r="P212" i="33"/>
  <c r="W210" i="33" s="1"/>
  <c r="M212" i="33"/>
  <c r="I212" i="33"/>
  <c r="H212" i="33" s="1"/>
  <c r="Q212" i="33" s="1"/>
  <c r="J204" i="37"/>
  <c r="I204" i="37"/>
  <c r="L204" i="37"/>
  <c r="K204" i="37"/>
  <c r="M204" i="37"/>
  <c r="F133" i="39"/>
  <c r="Z133" i="39"/>
  <c r="C134" i="36"/>
  <c r="E133" i="36"/>
  <c r="J122" i="13" l="1"/>
  <c r="G122" i="13" s="1"/>
  <c r="AA122" i="13"/>
  <c r="G186" i="46"/>
  <c r="U203" i="46"/>
  <c r="X203" i="46" s="1"/>
  <c r="I122" i="28"/>
  <c r="I490" i="7" s="1"/>
  <c r="AH122" i="28"/>
  <c r="AF122" i="28" s="1"/>
  <c r="Z122" i="28"/>
  <c r="AB122" i="28" s="1"/>
  <c r="X120" i="28"/>
  <c r="AE122" i="28"/>
  <c r="AC122" i="28" s="1"/>
  <c r="AG174" i="40"/>
  <c r="AD174" i="40"/>
  <c r="M174" i="40"/>
  <c r="AH174" i="40"/>
  <c r="L174" i="40"/>
  <c r="N174" i="40"/>
  <c r="AA174" i="40"/>
  <c r="AB174" i="40" s="1"/>
  <c r="H215" i="30"/>
  <c r="Q215" i="30" s="1"/>
  <c r="F213" i="33"/>
  <c r="N213" i="33" s="1"/>
  <c r="J213" i="33" s="1"/>
  <c r="P204" i="37"/>
  <c r="W202" i="37" s="1"/>
  <c r="H204" i="37"/>
  <c r="J133" i="39"/>
  <c r="S133" i="39"/>
  <c r="T133" i="39" s="1"/>
  <c r="V133" i="39"/>
  <c r="K133" i="39"/>
  <c r="L133" i="39"/>
  <c r="Q133" i="39"/>
  <c r="Y133" i="39"/>
  <c r="X133" i="39" s="1"/>
  <c r="R122" i="13" l="1"/>
  <c r="G177" i="7"/>
  <c r="F123" i="13"/>
  <c r="S122" i="13"/>
  <c r="Q186" i="46"/>
  <c r="F187" i="46" s="1"/>
  <c r="P186" i="46"/>
  <c r="Y203" i="46"/>
  <c r="Z203" i="46"/>
  <c r="W203" i="46"/>
  <c r="V203" i="46" s="1"/>
  <c r="I134" i="13"/>
  <c r="J122" i="28"/>
  <c r="H122" i="28" s="1"/>
  <c r="Q122" i="28" s="1"/>
  <c r="Q490" i="7" s="1"/>
  <c r="AF174" i="40"/>
  <c r="Q174" i="40"/>
  <c r="X172" i="40"/>
  <c r="AC174" i="40"/>
  <c r="I174" i="40" s="1"/>
  <c r="J174" i="40"/>
  <c r="P215" i="30"/>
  <c r="W213" i="30" s="1"/>
  <c r="F216" i="30"/>
  <c r="L216" i="30" s="1"/>
  <c r="I213" i="33"/>
  <c r="H213" i="33" s="1"/>
  <c r="F214" i="33" s="1"/>
  <c r="L214" i="33" s="1"/>
  <c r="P213" i="33"/>
  <c r="W211" i="33" s="1"/>
  <c r="M213" i="33"/>
  <c r="L213" i="33"/>
  <c r="K213" i="33"/>
  <c r="Q204" i="37"/>
  <c r="F205" i="37"/>
  <c r="U133" i="39"/>
  <c r="G133" i="39" s="1"/>
  <c r="D134" i="36" s="1"/>
  <c r="H133" i="39"/>
  <c r="P177" i="7" l="1"/>
  <c r="Q177" i="7"/>
  <c r="AB123" i="13"/>
  <c r="F178" i="7"/>
  <c r="R178" i="7" s="1"/>
  <c r="K123" i="13"/>
  <c r="J178" i="7" s="1"/>
  <c r="V123" i="13"/>
  <c r="Y123" i="13"/>
  <c r="H123" i="13" s="1"/>
  <c r="H178" i="7" s="1"/>
  <c r="L123" i="13"/>
  <c r="K178" i="7" s="1"/>
  <c r="M123" i="13"/>
  <c r="L178" i="7" s="1"/>
  <c r="N123" i="13"/>
  <c r="A187" i="46"/>
  <c r="M187" i="46" s="1"/>
  <c r="K187" i="46"/>
  <c r="L187" i="46"/>
  <c r="H187" i="46"/>
  <c r="I187" i="46"/>
  <c r="J187" i="46"/>
  <c r="G187" i="46"/>
  <c r="U204" i="46"/>
  <c r="AB203" i="46"/>
  <c r="I189" i="7"/>
  <c r="H490" i="7"/>
  <c r="J490" i="7"/>
  <c r="F123" i="28"/>
  <c r="F491" i="7" s="1"/>
  <c r="S491" i="7" s="1"/>
  <c r="R122" i="28"/>
  <c r="R490" i="7" s="1"/>
  <c r="G175" i="40"/>
  <c r="R174" i="40"/>
  <c r="I133" i="39"/>
  <c r="AC133" i="39" s="1"/>
  <c r="N216" i="30"/>
  <c r="J216" i="30" s="1"/>
  <c r="M216" i="30"/>
  <c r="I216" i="30"/>
  <c r="K216" i="30"/>
  <c r="Q213" i="33"/>
  <c r="N214" i="33"/>
  <c r="J214" i="33" s="1"/>
  <c r="P214" i="33"/>
  <c r="W212" i="33" s="1"/>
  <c r="M214" i="33"/>
  <c r="I214" i="33"/>
  <c r="K214" i="33"/>
  <c r="M205" i="37"/>
  <c r="L205" i="37"/>
  <c r="I205" i="37"/>
  <c r="K205" i="37"/>
  <c r="J205" i="37"/>
  <c r="O133" i="39"/>
  <c r="P133" i="39"/>
  <c r="M178" i="7" l="1"/>
  <c r="AC123" i="13"/>
  <c r="E114" i="10"/>
  <c r="Z123" i="13"/>
  <c r="X123" i="13" s="1"/>
  <c r="U123" i="13"/>
  <c r="W123" i="13" s="1"/>
  <c r="P187" i="46"/>
  <c r="Q187" i="46"/>
  <c r="F188" i="46" s="1"/>
  <c r="Y204" i="46"/>
  <c r="X204" i="46"/>
  <c r="W204" i="46"/>
  <c r="Z204" i="46"/>
  <c r="AG123" i="28"/>
  <c r="AA123" i="28"/>
  <c r="N123" i="28"/>
  <c r="N491" i="7" s="1"/>
  <c r="L123" i="28"/>
  <c r="L491" i="7" s="1"/>
  <c r="K123" i="28"/>
  <c r="K491" i="7" s="1"/>
  <c r="AD123" i="28"/>
  <c r="M123" i="28"/>
  <c r="M491" i="7" s="1"/>
  <c r="AG175" i="40"/>
  <c r="AA175" i="40"/>
  <c r="AB175" i="40" s="1"/>
  <c r="M175" i="40"/>
  <c r="AD175" i="40"/>
  <c r="L175" i="40"/>
  <c r="N175" i="40"/>
  <c r="AH175" i="40"/>
  <c r="H216" i="30"/>
  <c r="F217" i="30" s="1"/>
  <c r="M217" i="30" s="1"/>
  <c r="H214" i="33"/>
  <c r="Q214" i="33" s="1"/>
  <c r="P205" i="37"/>
  <c r="W203" i="37" s="1"/>
  <c r="H205" i="37"/>
  <c r="Z134" i="39"/>
  <c r="F134" i="39"/>
  <c r="E134" i="36"/>
  <c r="C135" i="36"/>
  <c r="J123" i="13" l="1"/>
  <c r="G123" i="13" s="1"/>
  <c r="AA123" i="13"/>
  <c r="I188" i="46"/>
  <c r="A188" i="46"/>
  <c r="M188" i="46" s="1"/>
  <c r="H188" i="46"/>
  <c r="J188" i="46"/>
  <c r="K188" i="46"/>
  <c r="L188" i="46"/>
  <c r="V204" i="46"/>
  <c r="U205" i="46" s="1"/>
  <c r="I135" i="13"/>
  <c r="I123" i="28"/>
  <c r="I491" i="7" s="1"/>
  <c r="AE123" i="28"/>
  <c r="Z123" i="28"/>
  <c r="AB123" i="28" s="1"/>
  <c r="AH123" i="28"/>
  <c r="AF123" i="28" s="1"/>
  <c r="X121" i="28"/>
  <c r="AF175" i="40"/>
  <c r="X173" i="40"/>
  <c r="Q175" i="40"/>
  <c r="J175" i="40"/>
  <c r="AC175" i="40"/>
  <c r="I175" i="40" s="1"/>
  <c r="Q216" i="30"/>
  <c r="K217" i="30"/>
  <c r="L217" i="30"/>
  <c r="N217" i="30"/>
  <c r="J217" i="30" s="1"/>
  <c r="I217" i="30"/>
  <c r="P216" i="30"/>
  <c r="W214" i="30" s="1"/>
  <c r="F215" i="33"/>
  <c r="N215" i="33" s="1"/>
  <c r="J215" i="33" s="1"/>
  <c r="Q205" i="37"/>
  <c r="F206" i="37"/>
  <c r="K134" i="39"/>
  <c r="V134" i="39"/>
  <c r="Q134" i="39"/>
  <c r="L134" i="39"/>
  <c r="Y134" i="39"/>
  <c r="X134" i="39" s="1"/>
  <c r="S134" i="39"/>
  <c r="T134" i="39" s="1"/>
  <c r="J134" i="39"/>
  <c r="G178" i="7" l="1"/>
  <c r="S123" i="13"/>
  <c r="R123" i="13"/>
  <c r="F124" i="13"/>
  <c r="G188" i="46"/>
  <c r="AB204" i="46"/>
  <c r="Y205" i="46"/>
  <c r="W205" i="46"/>
  <c r="Z205" i="46"/>
  <c r="X205" i="46"/>
  <c r="I190" i="7"/>
  <c r="AC123" i="28"/>
  <c r="J123" i="28"/>
  <c r="R175" i="40"/>
  <c r="G176" i="40"/>
  <c r="H217" i="30"/>
  <c r="P217" i="30" s="1"/>
  <c r="W215" i="30" s="1"/>
  <c r="K215" i="33"/>
  <c r="I215" i="33"/>
  <c r="H215" i="33" s="1"/>
  <c r="F216" i="33" s="1"/>
  <c r="M215" i="33"/>
  <c r="L215" i="33"/>
  <c r="P215" i="33"/>
  <c r="W213" i="33" s="1"/>
  <c r="K206" i="37"/>
  <c r="J206" i="37"/>
  <c r="M206" i="37"/>
  <c r="L206" i="37"/>
  <c r="I206" i="37"/>
  <c r="H134" i="39"/>
  <c r="U134" i="39"/>
  <c r="G134" i="39" s="1"/>
  <c r="D135" i="36" s="1"/>
  <c r="Q178" i="7" l="1"/>
  <c r="P178" i="7"/>
  <c r="F179" i="7"/>
  <c r="R179" i="7" s="1"/>
  <c r="L124" i="13"/>
  <c r="K179" i="7" s="1"/>
  <c r="V124" i="13"/>
  <c r="N124" i="13"/>
  <c r="Y124" i="13"/>
  <c r="M124" i="13"/>
  <c r="L179" i="7" s="1"/>
  <c r="K124" i="13"/>
  <c r="J179" i="7" s="1"/>
  <c r="AB124" i="13"/>
  <c r="Q188" i="46"/>
  <c r="F189" i="46" s="1"/>
  <c r="P188" i="46"/>
  <c r="V205" i="46"/>
  <c r="U206" i="46" s="1"/>
  <c r="X206" i="46" s="1"/>
  <c r="H123" i="28"/>
  <c r="Q123" i="28" s="1"/>
  <c r="Q491" i="7" s="1"/>
  <c r="J491" i="7"/>
  <c r="N176" i="40"/>
  <c r="M176" i="40"/>
  <c r="AD176" i="40"/>
  <c r="AG176" i="40"/>
  <c r="L176" i="40"/>
  <c r="AA176" i="40"/>
  <c r="AB176" i="40" s="1"/>
  <c r="AH176" i="40"/>
  <c r="F218" i="30"/>
  <c r="L218" i="30" s="1"/>
  <c r="I134" i="39"/>
  <c r="AC134" i="39" s="1"/>
  <c r="Q215" i="33"/>
  <c r="Q217" i="30"/>
  <c r="L216" i="33"/>
  <c r="P216" i="33"/>
  <c r="W214" i="33" s="1"/>
  <c r="N216" i="33"/>
  <c r="J216" i="33" s="1"/>
  <c r="K216" i="33"/>
  <c r="I216" i="33"/>
  <c r="M216" i="33"/>
  <c r="P206" i="37"/>
  <c r="W204" i="37" s="1"/>
  <c r="H206" i="37"/>
  <c r="O134" i="39"/>
  <c r="P134" i="39"/>
  <c r="U124" i="13" l="1"/>
  <c r="W124" i="13" s="1"/>
  <c r="Z124" i="13"/>
  <c r="X124" i="13" s="1"/>
  <c r="M179" i="7"/>
  <c r="H124" i="13"/>
  <c r="H179" i="7" s="1"/>
  <c r="E115" i="10"/>
  <c r="AC124" i="13"/>
  <c r="K189" i="46"/>
  <c r="H189" i="46"/>
  <c r="J189" i="46"/>
  <c r="I189" i="46"/>
  <c r="L189" i="46"/>
  <c r="A189" i="46"/>
  <c r="M189" i="46" s="1"/>
  <c r="Z206" i="46"/>
  <c r="Y206" i="46"/>
  <c r="AB205" i="46"/>
  <c r="W206" i="46"/>
  <c r="V206" i="46" s="1"/>
  <c r="F124" i="28"/>
  <c r="L124" i="28" s="1"/>
  <c r="L492" i="7" s="1"/>
  <c r="R123" i="28"/>
  <c r="R491" i="7" s="1"/>
  <c r="H491" i="7"/>
  <c r="AF176" i="40"/>
  <c r="Q176" i="40"/>
  <c r="X174" i="40"/>
  <c r="AC176" i="40"/>
  <c r="I176" i="40" s="1"/>
  <c r="J176" i="40"/>
  <c r="M218" i="30"/>
  <c r="I218" i="30"/>
  <c r="N218" i="30"/>
  <c r="J218" i="30" s="1"/>
  <c r="K218" i="30"/>
  <c r="H216" i="33"/>
  <c r="F217" i="33" s="1"/>
  <c r="P217" i="33" s="1"/>
  <c r="W215" i="33" s="1"/>
  <c r="F207" i="37"/>
  <c r="Q206" i="37"/>
  <c r="F135" i="39"/>
  <c r="Z135" i="39"/>
  <c r="E135" i="36"/>
  <c r="C136" i="36"/>
  <c r="AA124" i="13" l="1"/>
  <c r="J124" i="13"/>
  <c r="G124" i="13" s="1"/>
  <c r="G189" i="46"/>
  <c r="AB206" i="46"/>
  <c r="U207" i="46"/>
  <c r="AD124" i="28"/>
  <c r="AG124" i="28"/>
  <c r="N124" i="28"/>
  <c r="Z124" i="28" s="1"/>
  <c r="K124" i="28"/>
  <c r="K492" i="7" s="1"/>
  <c r="M124" i="28"/>
  <c r="M492" i="7" s="1"/>
  <c r="AA124" i="28"/>
  <c r="F492" i="7"/>
  <c r="S492" i="7" s="1"/>
  <c r="G177" i="40"/>
  <c r="R176" i="40"/>
  <c r="H218" i="30"/>
  <c r="P218" i="30" s="1"/>
  <c r="W216" i="30" s="1"/>
  <c r="L217" i="33"/>
  <c r="M217" i="33"/>
  <c r="K217" i="33"/>
  <c r="I217" i="33"/>
  <c r="N217" i="33"/>
  <c r="J217" i="33" s="1"/>
  <c r="Q216" i="33"/>
  <c r="I207" i="37"/>
  <c r="M207" i="37"/>
  <c r="L207" i="37"/>
  <c r="J207" i="37"/>
  <c r="K207" i="37"/>
  <c r="L135" i="39"/>
  <c r="S135" i="39"/>
  <c r="T135" i="39" s="1"/>
  <c r="Q135" i="39"/>
  <c r="Y135" i="39"/>
  <c r="X135" i="39" s="1"/>
  <c r="J135" i="39"/>
  <c r="K135" i="39"/>
  <c r="V135" i="39"/>
  <c r="R124" i="13" l="1"/>
  <c r="S124" i="13"/>
  <c r="F125" i="13"/>
  <c r="G179" i="7"/>
  <c r="Q189" i="46"/>
  <c r="F190" i="46" s="1"/>
  <c r="P189" i="46"/>
  <c r="W207" i="46"/>
  <c r="Z207" i="46"/>
  <c r="X207" i="46"/>
  <c r="Y207" i="46"/>
  <c r="I124" i="28"/>
  <c r="I492" i="7" s="1"/>
  <c r="I136" i="13"/>
  <c r="AB124" i="28"/>
  <c r="N492" i="7"/>
  <c r="AE124" i="28"/>
  <c r="AC124" i="28" s="1"/>
  <c r="AH124" i="28"/>
  <c r="AF124" i="28" s="1"/>
  <c r="X122" i="28"/>
  <c r="AG177" i="40"/>
  <c r="L177" i="40"/>
  <c r="AH177" i="40"/>
  <c r="AA177" i="40"/>
  <c r="AB177" i="40" s="1"/>
  <c r="N177" i="40"/>
  <c r="M177" i="40"/>
  <c r="AD177" i="40"/>
  <c r="F219" i="30"/>
  <c r="I219" i="30" s="1"/>
  <c r="Q218" i="30"/>
  <c r="H217" i="33"/>
  <c r="Q217" i="33" s="1"/>
  <c r="H207" i="37"/>
  <c r="P207" i="37"/>
  <c r="W205" i="37" s="1"/>
  <c r="U135" i="39"/>
  <c r="G135" i="39" s="1"/>
  <c r="D136" i="36" s="1"/>
  <c r="H135" i="39"/>
  <c r="K125" i="13" l="1"/>
  <c r="J180" i="7" s="1"/>
  <c r="Y125" i="13"/>
  <c r="N125" i="13"/>
  <c r="M125" i="13"/>
  <c r="L180" i="7" s="1"/>
  <c r="V125" i="13"/>
  <c r="AB125" i="13"/>
  <c r="H125" i="13" s="1"/>
  <c r="H180" i="7" s="1"/>
  <c r="L125" i="13"/>
  <c r="K180" i="7" s="1"/>
  <c r="F180" i="7"/>
  <c r="R180" i="7" s="1"/>
  <c r="Q179" i="7"/>
  <c r="P179" i="7"/>
  <c r="L190" i="46"/>
  <c r="J190" i="46"/>
  <c r="A190" i="46"/>
  <c r="M190" i="46" s="1"/>
  <c r="I190" i="46"/>
  <c r="K190" i="46"/>
  <c r="H190" i="46"/>
  <c r="V207" i="46"/>
  <c r="I191" i="7"/>
  <c r="J124" i="28"/>
  <c r="H124" i="28" s="1"/>
  <c r="R124" i="28" s="1"/>
  <c r="R492" i="7" s="1"/>
  <c r="AF177" i="40"/>
  <c r="J177" i="40"/>
  <c r="AC177" i="40"/>
  <c r="I177" i="40" s="1"/>
  <c r="X175" i="40"/>
  <c r="Q177" i="40"/>
  <c r="N219" i="30"/>
  <c r="J219" i="30" s="1"/>
  <c r="H219" i="30" s="1"/>
  <c r="Q219" i="30" s="1"/>
  <c r="K219" i="30"/>
  <c r="M219" i="30"/>
  <c r="L219" i="30"/>
  <c r="I135" i="39"/>
  <c r="AC135" i="39" s="1"/>
  <c r="F218" i="33"/>
  <c r="I218" i="33" s="1"/>
  <c r="Q207" i="37"/>
  <c r="F208" i="37"/>
  <c r="O135" i="39"/>
  <c r="P135" i="39"/>
  <c r="AC125" i="13" l="1"/>
  <c r="U125" i="13"/>
  <c r="W125" i="13" s="1"/>
  <c r="Z125" i="13"/>
  <c r="X125" i="13" s="1"/>
  <c r="M180" i="7"/>
  <c r="E116" i="10"/>
  <c r="G190" i="46"/>
  <c r="U208" i="46"/>
  <c r="AB207" i="46"/>
  <c r="Q124" i="28"/>
  <c r="Q492" i="7" s="1"/>
  <c r="F125" i="28"/>
  <c r="K125" i="28" s="1"/>
  <c r="H492" i="7"/>
  <c r="J492" i="7"/>
  <c r="R177" i="40"/>
  <c r="G178" i="40"/>
  <c r="F220" i="30"/>
  <c r="N220" i="30" s="1"/>
  <c r="J220" i="30" s="1"/>
  <c r="P219" i="30"/>
  <c r="W217" i="30" s="1"/>
  <c r="P218" i="33"/>
  <c r="W216" i="33" s="1"/>
  <c r="L218" i="33"/>
  <c r="M218" i="33"/>
  <c r="K218" i="33"/>
  <c r="N218" i="33"/>
  <c r="J218" i="33" s="1"/>
  <c r="H218" i="33" s="1"/>
  <c r="Q218" i="33" s="1"/>
  <c r="I208" i="37"/>
  <c r="J208" i="37"/>
  <c r="K208" i="37"/>
  <c r="M208" i="37"/>
  <c r="L208" i="37"/>
  <c r="Z136" i="39"/>
  <c r="F136" i="39"/>
  <c r="C137" i="36"/>
  <c r="E136" i="36"/>
  <c r="AA125" i="13" l="1"/>
  <c r="J125" i="13"/>
  <c r="Q190" i="46"/>
  <c r="F191" i="46" s="1"/>
  <c r="P190" i="46"/>
  <c r="Z208" i="46"/>
  <c r="W208" i="46"/>
  <c r="Y208" i="46"/>
  <c r="X208" i="46"/>
  <c r="M125" i="28"/>
  <c r="M493" i="7" s="1"/>
  <c r="L125" i="28"/>
  <c r="L493" i="7" s="1"/>
  <c r="N125" i="28"/>
  <c r="AE125" i="28" s="1"/>
  <c r="AG125" i="28"/>
  <c r="F493" i="7"/>
  <c r="S493" i="7" s="1"/>
  <c r="AD125" i="28"/>
  <c r="AA125" i="28"/>
  <c r="K493" i="7"/>
  <c r="AA178" i="40"/>
  <c r="AB178" i="40" s="1"/>
  <c r="AD178" i="40"/>
  <c r="M178" i="40"/>
  <c r="L178" i="40"/>
  <c r="AG178" i="40"/>
  <c r="AH178" i="40"/>
  <c r="N178" i="40"/>
  <c r="I220" i="30"/>
  <c r="H220" i="30" s="1"/>
  <c r="L220" i="30"/>
  <c r="M220" i="30"/>
  <c r="K220" i="30"/>
  <c r="F219" i="33"/>
  <c r="M219" i="33" s="1"/>
  <c r="P208" i="37"/>
  <c r="W206" i="37" s="1"/>
  <c r="H208" i="37"/>
  <c r="L136" i="39"/>
  <c r="J136" i="39"/>
  <c r="K136" i="39"/>
  <c r="Y136" i="39"/>
  <c r="X136" i="39" s="1"/>
  <c r="S136" i="39"/>
  <c r="T136" i="39" s="1"/>
  <c r="V136" i="39"/>
  <c r="Q136" i="39"/>
  <c r="G125" i="13" l="1"/>
  <c r="J191" i="46"/>
  <c r="K191" i="46"/>
  <c r="L191" i="46"/>
  <c r="I191" i="46"/>
  <c r="A191" i="46"/>
  <c r="M191" i="46" s="1"/>
  <c r="H191" i="46"/>
  <c r="V208" i="46"/>
  <c r="I137" i="13"/>
  <c r="I125" i="28"/>
  <c r="I493" i="7" s="1"/>
  <c r="X123" i="28"/>
  <c r="Z125" i="28"/>
  <c r="AB125" i="28" s="1"/>
  <c r="AH125" i="28"/>
  <c r="AF125" i="28" s="1"/>
  <c r="N493" i="7"/>
  <c r="AC125" i="28"/>
  <c r="AF178" i="40"/>
  <c r="X176" i="40"/>
  <c r="Q178" i="40"/>
  <c r="J178" i="40"/>
  <c r="AC178" i="40"/>
  <c r="I178" i="40" s="1"/>
  <c r="Q220" i="30"/>
  <c r="P220" i="30"/>
  <c r="W218" i="30" s="1"/>
  <c r="F221" i="30"/>
  <c r="N219" i="33"/>
  <c r="J219" i="33" s="1"/>
  <c r="I219" i="33"/>
  <c r="K219" i="33"/>
  <c r="L219" i="33"/>
  <c r="P219" i="33"/>
  <c r="W217" i="33" s="1"/>
  <c r="Q208" i="37"/>
  <c r="F209" i="37"/>
  <c r="U136" i="39"/>
  <c r="G136" i="39" s="1"/>
  <c r="D137" i="36" s="1"/>
  <c r="H136" i="39"/>
  <c r="G180" i="7" l="1"/>
  <c r="F126" i="13"/>
  <c r="R125" i="13"/>
  <c r="S125" i="13"/>
  <c r="G191" i="46"/>
  <c r="P191" i="46" s="1"/>
  <c r="U209" i="46"/>
  <c r="AB208" i="46"/>
  <c r="I192" i="7"/>
  <c r="J125" i="28"/>
  <c r="H125" i="28" s="1"/>
  <c r="R178" i="40"/>
  <c r="G179" i="40"/>
  <c r="I136" i="39"/>
  <c r="AC136" i="39" s="1"/>
  <c r="I221" i="30"/>
  <c r="M221" i="30"/>
  <c r="L221" i="30"/>
  <c r="K221" i="30"/>
  <c r="N221" i="30"/>
  <c r="J221" i="30" s="1"/>
  <c r="H219" i="33"/>
  <c r="Q219" i="33" s="1"/>
  <c r="J209" i="37"/>
  <c r="M209" i="37"/>
  <c r="I209" i="37"/>
  <c r="K209" i="37"/>
  <c r="L209" i="37"/>
  <c r="O136" i="39"/>
  <c r="P136" i="39"/>
  <c r="P180" i="7" l="1"/>
  <c r="Q180" i="7"/>
  <c r="U126" i="13"/>
  <c r="W126" i="13" s="1"/>
  <c r="L126" i="13"/>
  <c r="K181" i="7" s="1"/>
  <c r="N126" i="13"/>
  <c r="V126" i="13"/>
  <c r="AB126" i="13"/>
  <c r="H126" i="13" s="1"/>
  <c r="H181" i="7" s="1"/>
  <c r="Y126" i="13"/>
  <c r="K126" i="13"/>
  <c r="J181" i="7" s="1"/>
  <c r="M126" i="13"/>
  <c r="L181" i="7" s="1"/>
  <c r="F181" i="7"/>
  <c r="R181" i="7" s="1"/>
  <c r="Q191" i="46"/>
  <c r="F192" i="46" s="1"/>
  <c r="X209" i="46"/>
  <c r="W209" i="46"/>
  <c r="Y209" i="46"/>
  <c r="Z209" i="46"/>
  <c r="J493" i="7"/>
  <c r="Q125" i="28"/>
  <c r="Q493" i="7" s="1"/>
  <c r="H493" i="7"/>
  <c r="R125" i="28"/>
  <c r="R493" i="7" s="1"/>
  <c r="F126" i="28"/>
  <c r="N179" i="40"/>
  <c r="L179" i="40"/>
  <c r="AG179" i="40"/>
  <c r="AA179" i="40"/>
  <c r="AB179" i="40" s="1"/>
  <c r="AD179" i="40"/>
  <c r="AH179" i="40"/>
  <c r="M179" i="40"/>
  <c r="H221" i="30"/>
  <c r="F222" i="30" s="1"/>
  <c r="M222" i="30" s="1"/>
  <c r="F220" i="33"/>
  <c r="K220" i="33" s="1"/>
  <c r="H209" i="37"/>
  <c r="P209" i="37"/>
  <c r="W207" i="37" s="1"/>
  <c r="E137" i="36"/>
  <c r="C138" i="36"/>
  <c r="F137" i="39"/>
  <c r="Z137" i="39"/>
  <c r="AC126" i="13" l="1"/>
  <c r="AA126" i="13" s="1"/>
  <c r="M181" i="7"/>
  <c r="E117" i="10"/>
  <c r="Z126" i="13"/>
  <c r="H192" i="46"/>
  <c r="I192" i="46"/>
  <c r="A192" i="46"/>
  <c r="M192" i="46" s="1"/>
  <c r="K192" i="46"/>
  <c r="L192" i="46"/>
  <c r="J192" i="46"/>
  <c r="V209" i="46"/>
  <c r="K126" i="28"/>
  <c r="K494" i="7" s="1"/>
  <c r="AD126" i="28"/>
  <c r="L126" i="28"/>
  <c r="L494" i="7" s="1"/>
  <c r="AA126" i="28"/>
  <c r="AG126" i="28"/>
  <c r="M126" i="28"/>
  <c r="M494" i="7" s="1"/>
  <c r="F494" i="7"/>
  <c r="S494" i="7" s="1"/>
  <c r="N126" i="28"/>
  <c r="AE126" i="28" s="1"/>
  <c r="AF179" i="40"/>
  <c r="J179" i="40"/>
  <c r="AC179" i="40"/>
  <c r="I179" i="40" s="1"/>
  <c r="X177" i="40"/>
  <c r="Q179" i="40"/>
  <c r="P221" i="30"/>
  <c r="W219" i="30" s="1"/>
  <c r="Q221" i="30"/>
  <c r="L222" i="30"/>
  <c r="N222" i="30"/>
  <c r="J222" i="30" s="1"/>
  <c r="K222" i="30"/>
  <c r="I222" i="30"/>
  <c r="N220" i="33"/>
  <c r="J220" i="33" s="1"/>
  <c r="I220" i="33"/>
  <c r="P220" i="33"/>
  <c r="W218" i="33" s="1"/>
  <c r="M220" i="33"/>
  <c r="L220" i="33"/>
  <c r="F210" i="37"/>
  <c r="Q209" i="37"/>
  <c r="J137" i="39"/>
  <c r="K137" i="39"/>
  <c r="S137" i="39"/>
  <c r="T137" i="39" s="1"/>
  <c r="L137" i="39"/>
  <c r="Y137" i="39"/>
  <c r="X137" i="39" s="1"/>
  <c r="V137" i="39"/>
  <c r="Q137" i="39"/>
  <c r="J126" i="13" l="1"/>
  <c r="G126" i="13" s="1"/>
  <c r="X126" i="13"/>
  <c r="G192" i="46"/>
  <c r="AB209" i="46"/>
  <c r="U210" i="46"/>
  <c r="I138" i="13"/>
  <c r="I126" i="28"/>
  <c r="I494" i="7" s="1"/>
  <c r="AC126" i="28"/>
  <c r="Z126" i="28"/>
  <c r="AB126" i="28" s="1"/>
  <c r="AH126" i="28"/>
  <c r="N494" i="7"/>
  <c r="X124" i="28"/>
  <c r="G180" i="40"/>
  <c r="R179" i="40"/>
  <c r="H222" i="30"/>
  <c r="P222" i="30" s="1"/>
  <c r="W220" i="30" s="1"/>
  <c r="H220" i="33"/>
  <c r="F221" i="33" s="1"/>
  <c r="L210" i="37"/>
  <c r="I210" i="37"/>
  <c r="K210" i="37"/>
  <c r="J210" i="37"/>
  <c r="M210" i="37"/>
  <c r="U137" i="39"/>
  <c r="G137" i="39" s="1"/>
  <c r="D138" i="36" s="1"/>
  <c r="H137" i="39"/>
  <c r="R126" i="13" l="1"/>
  <c r="S126" i="13"/>
  <c r="F127" i="13"/>
  <c r="G181" i="7"/>
  <c r="Q192" i="46"/>
  <c r="F193" i="46" s="1"/>
  <c r="P192" i="46"/>
  <c r="Y210" i="46"/>
  <c r="W210" i="46"/>
  <c r="Z210" i="46"/>
  <c r="X210" i="46"/>
  <c r="I193" i="7"/>
  <c r="AF126" i="28"/>
  <c r="J126" i="28"/>
  <c r="M180" i="40"/>
  <c r="AA180" i="40"/>
  <c r="AB180" i="40" s="1"/>
  <c r="L180" i="40"/>
  <c r="AG180" i="40"/>
  <c r="N180" i="40"/>
  <c r="AH180" i="40"/>
  <c r="AD180" i="40"/>
  <c r="I137" i="39"/>
  <c r="AC137" i="39" s="1"/>
  <c r="Q220" i="33"/>
  <c r="Q222" i="30"/>
  <c r="F223" i="30"/>
  <c r="N223" i="30" s="1"/>
  <c r="J223" i="30" s="1"/>
  <c r="I221" i="33"/>
  <c r="N221" i="33"/>
  <c r="J221" i="33" s="1"/>
  <c r="L221" i="33"/>
  <c r="M221" i="33"/>
  <c r="P221" i="33"/>
  <c r="W219" i="33" s="1"/>
  <c r="K221" i="33"/>
  <c r="H210" i="37"/>
  <c r="Q210" i="37" s="1"/>
  <c r="P210" i="37"/>
  <c r="W208" i="37" s="1"/>
  <c r="O137" i="39"/>
  <c r="P137" i="39"/>
  <c r="L127" i="13" l="1"/>
  <c r="K182" i="7" s="1"/>
  <c r="K127" i="13"/>
  <c r="J182" i="7" s="1"/>
  <c r="M127" i="13"/>
  <c r="L182" i="7" s="1"/>
  <c r="AB127" i="13"/>
  <c r="F182" i="7"/>
  <c r="R182" i="7" s="1"/>
  <c r="Y127" i="13"/>
  <c r="H127" i="13" s="1"/>
  <c r="H182" i="7" s="1"/>
  <c r="N127" i="13"/>
  <c r="V127" i="13"/>
  <c r="P181" i="7"/>
  <c r="Q181" i="7"/>
  <c r="H193" i="46"/>
  <c r="A193" i="46"/>
  <c r="M193" i="46" s="1"/>
  <c r="I193" i="46"/>
  <c r="L193" i="46"/>
  <c r="K193" i="46"/>
  <c r="J193" i="46"/>
  <c r="V210" i="46"/>
  <c r="H126" i="28"/>
  <c r="J494" i="7"/>
  <c r="AF180" i="40"/>
  <c r="J180" i="40"/>
  <c r="AC180" i="40"/>
  <c r="I180" i="40" s="1"/>
  <c r="X178" i="40"/>
  <c r="Q180" i="40"/>
  <c r="M223" i="30"/>
  <c r="I223" i="30"/>
  <c r="H223" i="30" s="1"/>
  <c r="L223" i="30"/>
  <c r="K223" i="30"/>
  <c r="H221" i="33"/>
  <c r="Q221" i="33" s="1"/>
  <c r="F211" i="37"/>
  <c r="J211" i="37" s="1"/>
  <c r="F138" i="39"/>
  <c r="Z138" i="39"/>
  <c r="E138" i="36"/>
  <c r="C139" i="36"/>
  <c r="AC127" i="13" l="1"/>
  <c r="M182" i="7"/>
  <c r="Z127" i="13"/>
  <c r="X127" i="13" s="1"/>
  <c r="U127" i="13"/>
  <c r="W127" i="13" s="1"/>
  <c r="E118" i="10"/>
  <c r="G193" i="46"/>
  <c r="AB210" i="46"/>
  <c r="U211" i="46"/>
  <c r="Q126" i="28"/>
  <c r="Q494" i="7" s="1"/>
  <c r="R126" i="28"/>
  <c r="R494" i="7" s="1"/>
  <c r="H494" i="7"/>
  <c r="F127" i="28"/>
  <c r="G181" i="40"/>
  <c r="R180" i="40"/>
  <c r="Q223" i="30"/>
  <c r="P223" i="30"/>
  <c r="W221" i="30" s="1"/>
  <c r="F224" i="30"/>
  <c r="F222" i="33"/>
  <c r="I222" i="33" s="1"/>
  <c r="L211" i="37"/>
  <c r="I211" i="37"/>
  <c r="H211" i="37" s="1"/>
  <c r="F212" i="37" s="1"/>
  <c r="K211" i="37"/>
  <c r="M211" i="37"/>
  <c r="L138" i="39"/>
  <c r="Q138" i="39"/>
  <c r="K138" i="39"/>
  <c r="S138" i="39"/>
  <c r="T138" i="39" s="1"/>
  <c r="Y138" i="39"/>
  <c r="X138" i="39" s="1"/>
  <c r="V138" i="39"/>
  <c r="J138" i="39"/>
  <c r="AA127" i="13" l="1"/>
  <c r="J127" i="13"/>
  <c r="G127" i="13" s="1"/>
  <c r="P193" i="46"/>
  <c r="Q193" i="46"/>
  <c r="F194" i="46" s="1"/>
  <c r="X211" i="46"/>
  <c r="W211" i="46"/>
  <c r="Y211" i="46"/>
  <c r="Z211" i="46"/>
  <c r="I139" i="13"/>
  <c r="AD127" i="28"/>
  <c r="AA127" i="28"/>
  <c r="M127" i="28"/>
  <c r="M495" i="7" s="1"/>
  <c r="F495" i="7"/>
  <c r="S495" i="7" s="1"/>
  <c r="AG127" i="28"/>
  <c r="N127" i="28"/>
  <c r="L127" i="28"/>
  <c r="L495" i="7" s="1"/>
  <c r="K127" i="28"/>
  <c r="K495" i="7" s="1"/>
  <c r="AG181" i="40"/>
  <c r="AA181" i="40"/>
  <c r="AB181" i="40" s="1"/>
  <c r="AD181" i="40"/>
  <c r="N181" i="40"/>
  <c r="L181" i="40"/>
  <c r="AH181" i="40"/>
  <c r="M181" i="40"/>
  <c r="I224" i="30"/>
  <c r="L224" i="30"/>
  <c r="K224" i="30"/>
  <c r="M224" i="30"/>
  <c r="N224" i="30"/>
  <c r="J224" i="30" s="1"/>
  <c r="P211" i="37"/>
  <c r="W209" i="37" s="1"/>
  <c r="K222" i="33"/>
  <c r="L222" i="33"/>
  <c r="M222" i="33"/>
  <c r="N222" i="33"/>
  <c r="J222" i="33" s="1"/>
  <c r="H222" i="33" s="1"/>
  <c r="Q222" i="33" s="1"/>
  <c r="P222" i="33"/>
  <c r="W220" i="33" s="1"/>
  <c r="Q211" i="37"/>
  <c r="M212" i="37"/>
  <c r="L212" i="37"/>
  <c r="K212" i="37"/>
  <c r="J212" i="37"/>
  <c r="I212" i="37"/>
  <c r="U138" i="39"/>
  <c r="G138" i="39" s="1"/>
  <c r="D139" i="36" s="1"/>
  <c r="H138" i="39"/>
  <c r="F128" i="13" l="1"/>
  <c r="R127" i="13"/>
  <c r="S127" i="13"/>
  <c r="G182" i="7"/>
  <c r="K194" i="46"/>
  <c r="J194" i="46"/>
  <c r="L194" i="46"/>
  <c r="A194" i="46"/>
  <c r="M194" i="46" s="1"/>
  <c r="I194" i="46"/>
  <c r="H194" i="46"/>
  <c r="V211" i="46"/>
  <c r="I194" i="7"/>
  <c r="I127" i="28"/>
  <c r="I495" i="7" s="1"/>
  <c r="AH127" i="28"/>
  <c r="AE127" i="28"/>
  <c r="AC127" i="28" s="1"/>
  <c r="N495" i="7"/>
  <c r="Z127" i="28"/>
  <c r="AB127" i="28" s="1"/>
  <c r="X125" i="28"/>
  <c r="AF181" i="40"/>
  <c r="X179" i="40"/>
  <c r="Q181" i="40"/>
  <c r="J181" i="40"/>
  <c r="AC181" i="40"/>
  <c r="I181" i="40" s="1"/>
  <c r="I138" i="39"/>
  <c r="AC138" i="39" s="1"/>
  <c r="H224" i="30"/>
  <c r="Q224" i="30" s="1"/>
  <c r="F223" i="33"/>
  <c r="K223" i="33" s="1"/>
  <c r="P212" i="37"/>
  <c r="W210" i="37" s="1"/>
  <c r="H212" i="37"/>
  <c r="O138" i="39"/>
  <c r="P138" i="39"/>
  <c r="V128" i="13" l="1"/>
  <c r="M128" i="13"/>
  <c r="L183" i="7" s="1"/>
  <c r="AB128" i="13"/>
  <c r="K128" i="13"/>
  <c r="J183" i="7" s="1"/>
  <c r="E119" i="10" s="1"/>
  <c r="N128" i="13"/>
  <c r="Y128" i="13"/>
  <c r="H128" i="13" s="1"/>
  <c r="H183" i="7" s="1"/>
  <c r="L128" i="13"/>
  <c r="K183" i="7" s="1"/>
  <c r="F183" i="7"/>
  <c r="R183" i="7" s="1"/>
  <c r="Q182" i="7"/>
  <c r="P182" i="7"/>
  <c r="G194" i="46"/>
  <c r="AB211" i="46"/>
  <c r="U212" i="46"/>
  <c r="AF127" i="28"/>
  <c r="J127" i="28"/>
  <c r="R181" i="40"/>
  <c r="G182" i="40"/>
  <c r="P224" i="30"/>
  <c r="W222" i="30" s="1"/>
  <c r="F225" i="30"/>
  <c r="I225" i="30" s="1"/>
  <c r="L223" i="33"/>
  <c r="M223" i="33"/>
  <c r="P223" i="33"/>
  <c r="W221" i="33" s="1"/>
  <c r="I223" i="33"/>
  <c r="N223" i="33"/>
  <c r="J223" i="33" s="1"/>
  <c r="Q212" i="37"/>
  <c r="F213" i="37"/>
  <c r="C140" i="36"/>
  <c r="E139" i="36"/>
  <c r="Z139" i="39"/>
  <c r="F139" i="39"/>
  <c r="U128" i="13" l="1"/>
  <c r="W128" i="13" s="1"/>
  <c r="AC128" i="13"/>
  <c r="M183" i="7"/>
  <c r="Z128" i="13"/>
  <c r="X128" i="13" s="1"/>
  <c r="Q194" i="46"/>
  <c r="F195" i="46" s="1"/>
  <c r="P194" i="46"/>
  <c r="W212" i="46"/>
  <c r="Y212" i="46"/>
  <c r="Z212" i="46"/>
  <c r="X212" i="46"/>
  <c r="I140" i="13"/>
  <c r="J495" i="7"/>
  <c r="H127" i="28"/>
  <c r="AA182" i="40"/>
  <c r="AB182" i="40" s="1"/>
  <c r="L182" i="40"/>
  <c r="N182" i="40"/>
  <c r="AG182" i="40"/>
  <c r="M182" i="40"/>
  <c r="AH182" i="40"/>
  <c r="AD182" i="40"/>
  <c r="L225" i="30"/>
  <c r="K225" i="30"/>
  <c r="N225" i="30"/>
  <c r="J225" i="30" s="1"/>
  <c r="H225" i="30" s="1"/>
  <c r="Q225" i="30" s="1"/>
  <c r="M225" i="30"/>
  <c r="H223" i="33"/>
  <c r="F224" i="33" s="1"/>
  <c r="N224" i="33" s="1"/>
  <c r="J224" i="33" s="1"/>
  <c r="I213" i="37"/>
  <c r="L213" i="37"/>
  <c r="M213" i="37"/>
  <c r="K213" i="37"/>
  <c r="J213" i="37"/>
  <c r="L139" i="39"/>
  <c r="Y139" i="39"/>
  <c r="X139" i="39" s="1"/>
  <c r="V139" i="39"/>
  <c r="K139" i="39"/>
  <c r="J139" i="39"/>
  <c r="S139" i="39"/>
  <c r="T139" i="39" s="1"/>
  <c r="Q139" i="39"/>
  <c r="AA128" i="13" l="1"/>
  <c r="J128" i="13"/>
  <c r="G128" i="13" s="1"/>
  <c r="H195" i="46"/>
  <c r="A195" i="46"/>
  <c r="M195" i="46" s="1"/>
  <c r="J195" i="46"/>
  <c r="K195" i="46"/>
  <c r="L195" i="46"/>
  <c r="I195" i="46"/>
  <c r="V212" i="46"/>
  <c r="I195" i="7"/>
  <c r="Q127" i="28"/>
  <c r="Q495" i="7" s="1"/>
  <c r="H495" i="7"/>
  <c r="F128" i="28"/>
  <c r="R127" i="28"/>
  <c r="R495" i="7" s="1"/>
  <c r="AF182" i="40"/>
  <c r="J182" i="40"/>
  <c r="AC182" i="40"/>
  <c r="I182" i="40" s="1"/>
  <c r="X180" i="40"/>
  <c r="Q182" i="40"/>
  <c r="P225" i="30"/>
  <c r="W223" i="30" s="1"/>
  <c r="F226" i="30"/>
  <c r="K226" i="30" s="1"/>
  <c r="P224" i="33"/>
  <c r="W222" i="33" s="1"/>
  <c r="L224" i="33"/>
  <c r="M224" i="33"/>
  <c r="K224" i="33"/>
  <c r="I224" i="33"/>
  <c r="H224" i="33" s="1"/>
  <c r="F225" i="33" s="1"/>
  <c r="N225" i="33" s="1"/>
  <c r="J225" i="33" s="1"/>
  <c r="Q223" i="33"/>
  <c r="H213" i="37"/>
  <c r="P213" i="37"/>
  <c r="W211" i="37" s="1"/>
  <c r="H139" i="39"/>
  <c r="U139" i="39"/>
  <c r="G139" i="39" s="1"/>
  <c r="D140" i="36" s="1"/>
  <c r="R128" i="13" l="1"/>
  <c r="F129" i="13"/>
  <c r="S128" i="13"/>
  <c r="G183" i="7"/>
  <c r="G195" i="46"/>
  <c r="U213" i="46"/>
  <c r="AB212" i="46"/>
  <c r="F496" i="7"/>
  <c r="S496" i="7" s="1"/>
  <c r="N128" i="28"/>
  <c r="K128" i="28"/>
  <c r="L128" i="28"/>
  <c r="L496" i="7" s="1"/>
  <c r="M128" i="28"/>
  <c r="M496" i="7" s="1"/>
  <c r="AD128" i="28"/>
  <c r="AA128" i="28"/>
  <c r="AG128" i="28"/>
  <c r="G183" i="40"/>
  <c r="R182" i="40"/>
  <c r="I139" i="39"/>
  <c r="AC139" i="39" s="1"/>
  <c r="M226" i="30"/>
  <c r="I226" i="30"/>
  <c r="L226" i="30"/>
  <c r="N226" i="30"/>
  <c r="J226" i="30" s="1"/>
  <c r="M225" i="33"/>
  <c r="L225" i="33"/>
  <c r="I225" i="33"/>
  <c r="H225" i="33" s="1"/>
  <c r="F226" i="33" s="1"/>
  <c r="K226" i="33" s="1"/>
  <c r="P225" i="33"/>
  <c r="W223" i="33" s="1"/>
  <c r="K225" i="33"/>
  <c r="Q224" i="33"/>
  <c r="F214" i="37"/>
  <c r="Q213" i="37"/>
  <c r="O139" i="39"/>
  <c r="P139" i="39"/>
  <c r="M129" i="13" l="1"/>
  <c r="L184" i="7" s="1"/>
  <c r="K129" i="13"/>
  <c r="J184" i="7" s="1"/>
  <c r="E120" i="10" s="1"/>
  <c r="V129" i="13"/>
  <c r="L129" i="13"/>
  <c r="K184" i="7" s="1"/>
  <c r="AB129" i="13"/>
  <c r="H129" i="13" s="1"/>
  <c r="H184" i="7" s="1"/>
  <c r="Y129" i="13"/>
  <c r="N129" i="13"/>
  <c r="F184" i="7"/>
  <c r="R184" i="7" s="1"/>
  <c r="Q183" i="7"/>
  <c r="P183" i="7"/>
  <c r="Q195" i="46"/>
  <c r="F196" i="46" s="1"/>
  <c r="P195" i="46"/>
  <c r="W213" i="46"/>
  <c r="Z213" i="46"/>
  <c r="Y213" i="46"/>
  <c r="X213" i="46"/>
  <c r="I141" i="13"/>
  <c r="I128" i="28"/>
  <c r="I496" i="7" s="1"/>
  <c r="X126" i="28"/>
  <c r="K496" i="7"/>
  <c r="N496" i="7"/>
  <c r="Z128" i="28"/>
  <c r="AB128" i="28" s="1"/>
  <c r="AH128" i="28"/>
  <c r="AE128" i="28"/>
  <c r="AC128" i="28" s="1"/>
  <c r="AD183" i="40"/>
  <c r="AH183" i="40"/>
  <c r="M183" i="40"/>
  <c r="AA183" i="40"/>
  <c r="AB183" i="40" s="1"/>
  <c r="AG183" i="40"/>
  <c r="L183" i="40"/>
  <c r="N183" i="40"/>
  <c r="H226" i="30"/>
  <c r="F227" i="30" s="1"/>
  <c r="N227" i="30" s="1"/>
  <c r="J227" i="30" s="1"/>
  <c r="I226" i="33"/>
  <c r="N226" i="33"/>
  <c r="J226" i="33" s="1"/>
  <c r="Q225" i="33"/>
  <c r="L226" i="33"/>
  <c r="P226" i="33"/>
  <c r="W224" i="33" s="1"/>
  <c r="M226" i="33"/>
  <c r="I214" i="37"/>
  <c r="M214" i="37"/>
  <c r="J214" i="37"/>
  <c r="L214" i="37"/>
  <c r="K214" i="37"/>
  <c r="F140" i="39"/>
  <c r="Z140" i="39"/>
  <c r="E140" i="36"/>
  <c r="C141" i="36"/>
  <c r="AC129" i="13" l="1"/>
  <c r="M184" i="7"/>
  <c r="U129" i="13"/>
  <c r="W129" i="13" s="1"/>
  <c r="Z129" i="13"/>
  <c r="X129" i="13" s="1"/>
  <c r="L196" i="46"/>
  <c r="H196" i="46"/>
  <c r="I196" i="46"/>
  <c r="J196" i="46"/>
  <c r="A196" i="46"/>
  <c r="M196" i="46" s="1"/>
  <c r="K196" i="46"/>
  <c r="V213" i="46"/>
  <c r="U214" i="46" s="1"/>
  <c r="I196" i="7"/>
  <c r="AF128" i="28"/>
  <c r="J128" i="28"/>
  <c r="Q183" i="40"/>
  <c r="X181" i="40"/>
  <c r="AF183" i="40"/>
  <c r="J183" i="40"/>
  <c r="AC183" i="40"/>
  <c r="I183" i="40" s="1"/>
  <c r="Q226" i="30"/>
  <c r="I227" i="30"/>
  <c r="H227" i="30" s="1"/>
  <c r="M227" i="30"/>
  <c r="K227" i="30"/>
  <c r="L227" i="30"/>
  <c r="P226" i="30"/>
  <c r="W224" i="30" s="1"/>
  <c r="H226" i="33"/>
  <c r="F227" i="33" s="1"/>
  <c r="L227" i="33" s="1"/>
  <c r="P214" i="37"/>
  <c r="W212" i="37" s="1"/>
  <c r="H214" i="37"/>
  <c r="Q140" i="39"/>
  <c r="L140" i="39"/>
  <c r="S140" i="39"/>
  <c r="T140" i="39" s="1"/>
  <c r="Y140" i="39"/>
  <c r="X140" i="39" s="1"/>
  <c r="V140" i="39"/>
  <c r="J140" i="39"/>
  <c r="K140" i="39"/>
  <c r="J129" i="13" l="1"/>
  <c r="G129" i="13" s="1"/>
  <c r="AA129" i="13"/>
  <c r="G196" i="46"/>
  <c r="AB213" i="46"/>
  <c r="W214" i="46"/>
  <c r="Z214" i="46"/>
  <c r="X214" i="46"/>
  <c r="Y214" i="46"/>
  <c r="J496" i="7"/>
  <c r="H128" i="28"/>
  <c r="R183" i="40"/>
  <c r="G184" i="40"/>
  <c r="Q227" i="30"/>
  <c r="F228" i="30"/>
  <c r="L228" i="30" s="1"/>
  <c r="P227" i="30"/>
  <c r="W225" i="30" s="1"/>
  <c r="P227" i="33"/>
  <c r="W225" i="33" s="1"/>
  <c r="I227" i="33"/>
  <c r="M227" i="33"/>
  <c r="N227" i="33"/>
  <c r="J227" i="33" s="1"/>
  <c r="K227" i="33"/>
  <c r="Q226" i="33"/>
  <c r="F215" i="37"/>
  <c r="Q214" i="37"/>
  <c r="H140" i="39"/>
  <c r="U140" i="39"/>
  <c r="G140" i="39" s="1"/>
  <c r="D141" i="36" s="1"/>
  <c r="S129" i="13" l="1"/>
  <c r="F130" i="13"/>
  <c r="R129" i="13"/>
  <c r="G184" i="7"/>
  <c r="Q196" i="46"/>
  <c r="F197" i="46" s="1"/>
  <c r="P196" i="46"/>
  <c r="V214" i="46"/>
  <c r="U215" i="46" s="1"/>
  <c r="Z215" i="46" s="1"/>
  <c r="F129" i="28"/>
  <c r="H496" i="7"/>
  <c r="R128" i="28"/>
  <c r="R496" i="7" s="1"/>
  <c r="Q128" i="28"/>
  <c r="Q496" i="7" s="1"/>
  <c r="M184" i="40"/>
  <c r="L184" i="40"/>
  <c r="AA184" i="40"/>
  <c r="AB184" i="40" s="1"/>
  <c r="AH184" i="40"/>
  <c r="N184" i="40"/>
  <c r="AD184" i="40"/>
  <c r="AG184" i="40"/>
  <c r="I140" i="39"/>
  <c r="AC140" i="39" s="1"/>
  <c r="I228" i="30"/>
  <c r="K228" i="30"/>
  <c r="N228" i="30"/>
  <c r="J228" i="30" s="1"/>
  <c r="M228" i="30"/>
  <c r="H227" i="33"/>
  <c r="F228" i="33" s="1"/>
  <c r="L215" i="37"/>
  <c r="I215" i="37"/>
  <c r="J215" i="37"/>
  <c r="M215" i="37"/>
  <c r="K215" i="37"/>
  <c r="O140" i="39"/>
  <c r="P140" i="39"/>
  <c r="Y130" i="13" l="1"/>
  <c r="M130" i="13"/>
  <c r="L185" i="7" s="1"/>
  <c r="V130" i="13"/>
  <c r="N130" i="13"/>
  <c r="L130" i="13"/>
  <c r="K185" i="7" s="1"/>
  <c r="Z130" i="13"/>
  <c r="X130" i="13" s="1"/>
  <c r="U130" i="13"/>
  <c r="W130" i="13" s="1"/>
  <c r="AB130" i="13"/>
  <c r="K130" i="13"/>
  <c r="J185" i="7" s="1"/>
  <c r="E121" i="10" s="1"/>
  <c r="F185" i="7"/>
  <c r="R185" i="7" s="1"/>
  <c r="P184" i="7"/>
  <c r="Q184" i="7"/>
  <c r="I197" i="46"/>
  <c r="H197" i="46"/>
  <c r="L197" i="46"/>
  <c r="J197" i="46"/>
  <c r="A197" i="46"/>
  <c r="M197" i="46" s="1"/>
  <c r="K197" i="46"/>
  <c r="AB214" i="46"/>
  <c r="X215" i="46"/>
  <c r="Y215" i="46"/>
  <c r="W215" i="46"/>
  <c r="I142" i="13"/>
  <c r="I197" i="7" s="1"/>
  <c r="M129" i="28"/>
  <c r="M497" i="7" s="1"/>
  <c r="F497" i="7"/>
  <c r="S497" i="7" s="1"/>
  <c r="AG129" i="28"/>
  <c r="AA129" i="28"/>
  <c r="K129" i="28"/>
  <c r="L129" i="28"/>
  <c r="L497" i="7" s="1"/>
  <c r="AD129" i="28"/>
  <c r="N129" i="28"/>
  <c r="J184" i="40"/>
  <c r="AC184" i="40"/>
  <c r="I184" i="40" s="1"/>
  <c r="AF184" i="40"/>
  <c r="X182" i="40"/>
  <c r="Q184" i="40"/>
  <c r="H228" i="30"/>
  <c r="Q228" i="30" s="1"/>
  <c r="Q227" i="33"/>
  <c r="N228" i="33"/>
  <c r="J228" i="33" s="1"/>
  <c r="P228" i="33"/>
  <c r="W226" i="33" s="1"/>
  <c r="K228" i="33"/>
  <c r="M228" i="33"/>
  <c r="L228" i="33"/>
  <c r="I228" i="33"/>
  <c r="P215" i="37"/>
  <c r="W213" i="37" s="1"/>
  <c r="H215" i="37"/>
  <c r="C142" i="36"/>
  <c r="E141" i="36"/>
  <c r="F141" i="39"/>
  <c r="Z141" i="39"/>
  <c r="AC130" i="13" l="1"/>
  <c r="M185" i="7"/>
  <c r="H130" i="13"/>
  <c r="H185" i="7" s="1"/>
  <c r="G197" i="46"/>
  <c r="V215" i="46"/>
  <c r="AB215" i="46" s="1"/>
  <c r="I129" i="28"/>
  <c r="I497" i="7" s="1"/>
  <c r="AE129" i="28"/>
  <c r="AC129" i="28" s="1"/>
  <c r="N497" i="7"/>
  <c r="Z129" i="28"/>
  <c r="AB129" i="28" s="1"/>
  <c r="AH129" i="28"/>
  <c r="K497" i="7"/>
  <c r="X127" i="28"/>
  <c r="G185" i="40"/>
  <c r="R184" i="40"/>
  <c r="F229" i="30"/>
  <c r="N229" i="30" s="1"/>
  <c r="J229" i="30" s="1"/>
  <c r="P228" i="30"/>
  <c r="W226" i="30" s="1"/>
  <c r="H228" i="33"/>
  <c r="F216" i="37"/>
  <c r="Q215" i="37"/>
  <c r="Y141" i="39"/>
  <c r="X141" i="39" s="1"/>
  <c r="L141" i="39"/>
  <c r="S141" i="39"/>
  <c r="T141" i="39" s="1"/>
  <c r="K141" i="39"/>
  <c r="Q141" i="39"/>
  <c r="V141" i="39"/>
  <c r="J141" i="39"/>
  <c r="J130" i="13" l="1"/>
  <c r="AA130" i="13"/>
  <c r="P197" i="46"/>
  <c r="Q197" i="46"/>
  <c r="F198" i="46" s="1"/>
  <c r="K198" i="46"/>
  <c r="H198" i="46"/>
  <c r="A198" i="46"/>
  <c r="M198" i="46" s="1"/>
  <c r="U216" i="46"/>
  <c r="Y216" i="46" s="1"/>
  <c r="AF129" i="28"/>
  <c r="J129" i="28"/>
  <c r="N185" i="40"/>
  <c r="M185" i="40"/>
  <c r="AA185" i="40"/>
  <c r="AB185" i="40" s="1"/>
  <c r="AH185" i="40"/>
  <c r="AG185" i="40"/>
  <c r="AD185" i="40"/>
  <c r="L185" i="40"/>
  <c r="I229" i="30"/>
  <c r="H229" i="30" s="1"/>
  <c r="F230" i="30" s="1"/>
  <c r="L230" i="30" s="1"/>
  <c r="L229" i="30"/>
  <c r="M229" i="30"/>
  <c r="K229" i="30"/>
  <c r="Q228" i="33"/>
  <c r="F229" i="33"/>
  <c r="L216" i="37"/>
  <c r="M216" i="37"/>
  <c r="K216" i="37"/>
  <c r="I216" i="37"/>
  <c r="J216" i="37"/>
  <c r="H141" i="39"/>
  <c r="U141" i="39"/>
  <c r="G141" i="39" s="1"/>
  <c r="D142" i="36" s="1"/>
  <c r="G130" i="13" l="1"/>
  <c r="L198" i="46"/>
  <c r="I198" i="46"/>
  <c r="J198" i="46"/>
  <c r="G198" i="46"/>
  <c r="X216" i="46"/>
  <c r="W216" i="46"/>
  <c r="Z216" i="46"/>
  <c r="J497" i="7"/>
  <c r="H129" i="28"/>
  <c r="X183" i="40"/>
  <c r="Q185" i="40"/>
  <c r="AC185" i="40"/>
  <c r="I185" i="40" s="1"/>
  <c r="J185" i="40"/>
  <c r="AF185" i="40"/>
  <c r="I141" i="39"/>
  <c r="AC141" i="39" s="1"/>
  <c r="Q229" i="30"/>
  <c r="P229" i="30"/>
  <c r="W227" i="30" s="1"/>
  <c r="N230" i="30"/>
  <c r="J230" i="30" s="1"/>
  <c r="I230" i="30"/>
  <c r="K230" i="30"/>
  <c r="M230" i="30"/>
  <c r="L229" i="33"/>
  <c r="N229" i="33"/>
  <c r="J229" i="33" s="1"/>
  <c r="I229" i="33"/>
  <c r="M229" i="33"/>
  <c r="K229" i="33"/>
  <c r="P229" i="33"/>
  <c r="W227" i="33" s="1"/>
  <c r="H216" i="37"/>
  <c r="P216" i="37"/>
  <c r="W214" i="37" s="1"/>
  <c r="O141" i="39"/>
  <c r="P141" i="39"/>
  <c r="G185" i="7" l="1"/>
  <c r="S130" i="13"/>
  <c r="F131" i="13"/>
  <c r="R130" i="13"/>
  <c r="Q198" i="46"/>
  <c r="F199" i="46" s="1"/>
  <c r="P198" i="46"/>
  <c r="V216" i="46"/>
  <c r="Q129" i="28"/>
  <c r="Q497" i="7" s="1"/>
  <c r="R129" i="28"/>
  <c r="R497" i="7" s="1"/>
  <c r="F130" i="28"/>
  <c r="H497" i="7"/>
  <c r="G186" i="40"/>
  <c r="R185" i="40"/>
  <c r="H230" i="30"/>
  <c r="F231" i="30" s="1"/>
  <c r="L231" i="30" s="1"/>
  <c r="H229" i="33"/>
  <c r="Q229" i="33" s="1"/>
  <c r="Q216" i="37"/>
  <c r="F217" i="37"/>
  <c r="Z142" i="39"/>
  <c r="F142" i="39"/>
  <c r="E142" i="36"/>
  <c r="C143" i="36"/>
  <c r="Q185" i="7" l="1"/>
  <c r="P185" i="7"/>
  <c r="Z131" i="13"/>
  <c r="X131" i="13" s="1"/>
  <c r="U131" i="13"/>
  <c r="W131" i="13" s="1"/>
  <c r="N131" i="13"/>
  <c r="L131" i="13"/>
  <c r="K186" i="7" s="1"/>
  <c r="V131" i="13"/>
  <c r="K131" i="13"/>
  <c r="J186" i="7" s="1"/>
  <c r="AB131" i="13"/>
  <c r="H131" i="13" s="1"/>
  <c r="H186" i="7" s="1"/>
  <c r="Y131" i="13"/>
  <c r="M131" i="13"/>
  <c r="L186" i="7" s="1"/>
  <c r="F186" i="7"/>
  <c r="R186" i="7" s="1"/>
  <c r="K199" i="46"/>
  <c r="L199" i="46"/>
  <c r="H199" i="46"/>
  <c r="J199" i="46"/>
  <c r="I199" i="46"/>
  <c r="A199" i="46"/>
  <c r="M199" i="46" s="1"/>
  <c r="U217" i="46"/>
  <c r="AB216" i="46"/>
  <c r="I143" i="13"/>
  <c r="L130" i="28"/>
  <c r="L498" i="7" s="1"/>
  <c r="AD130" i="28"/>
  <c r="M130" i="28"/>
  <c r="M498" i="7" s="1"/>
  <c r="AG130" i="28"/>
  <c r="AA130" i="28"/>
  <c r="F498" i="7"/>
  <c r="S498" i="7" s="1"/>
  <c r="N130" i="28"/>
  <c r="K130" i="28"/>
  <c r="AD186" i="40"/>
  <c r="AH186" i="40"/>
  <c r="M186" i="40"/>
  <c r="L186" i="40"/>
  <c r="AA186" i="40"/>
  <c r="AB186" i="40" s="1"/>
  <c r="N186" i="40"/>
  <c r="AG186" i="40"/>
  <c r="M231" i="30"/>
  <c r="I231" i="30"/>
  <c r="P230" i="30"/>
  <c r="W228" i="30" s="1"/>
  <c r="N231" i="30"/>
  <c r="J231" i="30" s="1"/>
  <c r="Q230" i="30"/>
  <c r="K231" i="30"/>
  <c r="F230" i="33"/>
  <c r="L230" i="33" s="1"/>
  <c r="I217" i="37"/>
  <c r="L217" i="37"/>
  <c r="K217" i="37"/>
  <c r="J217" i="37"/>
  <c r="M217" i="37"/>
  <c r="Y142" i="39"/>
  <c r="X142" i="39" s="1"/>
  <c r="L142" i="39"/>
  <c r="Q142" i="39"/>
  <c r="S142" i="39"/>
  <c r="T142" i="39" s="1"/>
  <c r="K142" i="39"/>
  <c r="J142" i="39"/>
  <c r="V142" i="39"/>
  <c r="AC131" i="13" l="1"/>
  <c r="M186" i="7"/>
  <c r="G199" i="46"/>
  <c r="Z217" i="46"/>
  <c r="X217" i="46"/>
  <c r="Y217" i="46"/>
  <c r="W217" i="46"/>
  <c r="I198" i="7"/>
  <c r="I130" i="28"/>
  <c r="I498" i="7" s="1"/>
  <c r="AE130" i="28"/>
  <c r="AC130" i="28" s="1"/>
  <c r="N498" i="7"/>
  <c r="AH130" i="28"/>
  <c r="Z130" i="28"/>
  <c r="AB130" i="28" s="1"/>
  <c r="X128" i="28"/>
  <c r="K498" i="7"/>
  <c r="X184" i="40"/>
  <c r="Q186" i="40"/>
  <c r="AF186" i="40"/>
  <c r="AC186" i="40"/>
  <c r="I186" i="40" s="1"/>
  <c r="J186" i="40"/>
  <c r="H231" i="30"/>
  <c r="P231" i="30" s="1"/>
  <c r="W229" i="30" s="1"/>
  <c r="K230" i="33"/>
  <c r="I230" i="33"/>
  <c r="P230" i="33"/>
  <c r="W228" i="33" s="1"/>
  <c r="N230" i="33"/>
  <c r="J230" i="33" s="1"/>
  <c r="M230" i="33"/>
  <c r="H217" i="37"/>
  <c r="F218" i="37" s="1"/>
  <c r="L218" i="37" s="1"/>
  <c r="P217" i="37"/>
  <c r="W215" i="37" s="1"/>
  <c r="U142" i="39"/>
  <c r="G142" i="39" s="1"/>
  <c r="D143" i="36" s="1"/>
  <c r="H142" i="39"/>
  <c r="AA131" i="13" l="1"/>
  <c r="J131" i="13"/>
  <c r="G131" i="13" s="1"/>
  <c r="P199" i="46"/>
  <c r="Q199" i="46"/>
  <c r="F200" i="46" s="1"/>
  <c r="H200" i="46"/>
  <c r="K200" i="46"/>
  <c r="J200" i="46"/>
  <c r="I200" i="46"/>
  <c r="L200" i="46"/>
  <c r="A200" i="46"/>
  <c r="M200" i="46" s="1"/>
  <c r="V217" i="46"/>
  <c r="AF130" i="28"/>
  <c r="J130" i="28"/>
  <c r="R186" i="40"/>
  <c r="G187" i="40"/>
  <c r="I142" i="39"/>
  <c r="AC142" i="39" s="1"/>
  <c r="F232" i="30"/>
  <c r="N232" i="30" s="1"/>
  <c r="J232" i="30" s="1"/>
  <c r="Q231" i="30"/>
  <c r="H230" i="33"/>
  <c r="Q230" i="33" s="1"/>
  <c r="M218" i="37"/>
  <c r="I218" i="37"/>
  <c r="K218" i="37"/>
  <c r="J218" i="37"/>
  <c r="Q217" i="37"/>
  <c r="O142" i="39"/>
  <c r="P142" i="39"/>
  <c r="F132" i="13" l="1"/>
  <c r="S131" i="13"/>
  <c r="R131" i="13"/>
  <c r="G186" i="7"/>
  <c r="Q186" i="7" s="1"/>
  <c r="G200" i="46"/>
  <c r="AB217" i="46"/>
  <c r="U218" i="46"/>
  <c r="I144" i="13"/>
  <c r="I199" i="7" s="1"/>
  <c r="H130" i="28"/>
  <c r="J498" i="7"/>
  <c r="AA187" i="40"/>
  <c r="AB187" i="40" s="1"/>
  <c r="AH187" i="40"/>
  <c r="N187" i="40"/>
  <c r="L187" i="40"/>
  <c r="AD187" i="40"/>
  <c r="AG187" i="40"/>
  <c r="M187" i="40"/>
  <c r="L232" i="30"/>
  <c r="M232" i="30"/>
  <c r="K232" i="30"/>
  <c r="I232" i="30"/>
  <c r="H232" i="30" s="1"/>
  <c r="F233" i="30" s="1"/>
  <c r="I233" i="30" s="1"/>
  <c r="F231" i="33"/>
  <c r="K231" i="33" s="1"/>
  <c r="P218" i="37"/>
  <c r="W216" i="37" s="1"/>
  <c r="H218" i="37"/>
  <c r="Q218" i="37" s="1"/>
  <c r="F143" i="39"/>
  <c r="Z143" i="39"/>
  <c r="C144" i="36"/>
  <c r="E143" i="36"/>
  <c r="U132" i="13" l="1"/>
  <c r="W132" i="13" s="1"/>
  <c r="Z132" i="13"/>
  <c r="X132" i="13" s="1"/>
  <c r="N132" i="13"/>
  <c r="Y132" i="13"/>
  <c r="L132" i="13"/>
  <c r="K187" i="7" s="1"/>
  <c r="M132" i="13"/>
  <c r="L187" i="7" s="1"/>
  <c r="K132" i="13"/>
  <c r="J187" i="7" s="1"/>
  <c r="E123" i="10" s="1"/>
  <c r="F187" i="7"/>
  <c r="R187" i="7" s="1"/>
  <c r="V132" i="13"/>
  <c r="AB132" i="13"/>
  <c r="H132" i="13" s="1"/>
  <c r="H187" i="7" s="1"/>
  <c r="P200" i="46"/>
  <c r="Q200" i="46"/>
  <c r="F201" i="46" s="1"/>
  <c r="Z218" i="46"/>
  <c r="Y218" i="46"/>
  <c r="X218" i="46"/>
  <c r="W218" i="46"/>
  <c r="R130" i="28"/>
  <c r="R498" i="7" s="1"/>
  <c r="Q130" i="28"/>
  <c r="Q498" i="7" s="1"/>
  <c r="F131" i="28"/>
  <c r="H498" i="7"/>
  <c r="J187" i="40"/>
  <c r="AC187" i="40"/>
  <c r="I187" i="40" s="1"/>
  <c r="Q187" i="40"/>
  <c r="X185" i="40"/>
  <c r="AF187" i="40"/>
  <c r="Q232" i="30"/>
  <c r="K233" i="30"/>
  <c r="M233" i="30"/>
  <c r="L233" i="30"/>
  <c r="N233" i="30"/>
  <c r="J233" i="30" s="1"/>
  <c r="H233" i="30" s="1"/>
  <c r="P232" i="30"/>
  <c r="W230" i="30" s="1"/>
  <c r="P231" i="33"/>
  <c r="W229" i="33" s="1"/>
  <c r="M231" i="33"/>
  <c r="L231" i="33"/>
  <c r="N231" i="33"/>
  <c r="J231" i="33" s="1"/>
  <c r="I231" i="33"/>
  <c r="F219" i="37"/>
  <c r="I219" i="37" s="1"/>
  <c r="J143" i="39"/>
  <c r="L143" i="39"/>
  <c r="S143" i="39"/>
  <c r="T143" i="39" s="1"/>
  <c r="Y143" i="39"/>
  <c r="X143" i="39" s="1"/>
  <c r="Q143" i="39"/>
  <c r="K143" i="39"/>
  <c r="V143" i="39"/>
  <c r="AC132" i="13" l="1"/>
  <c r="M187" i="7"/>
  <c r="J201" i="46"/>
  <c r="L201" i="46"/>
  <c r="H201" i="46"/>
  <c r="K201" i="46"/>
  <c r="I201" i="46"/>
  <c r="A201" i="46"/>
  <c r="M201" i="46" s="1"/>
  <c r="V218" i="46"/>
  <c r="AD131" i="28"/>
  <c r="F499" i="7"/>
  <c r="S499" i="7" s="1"/>
  <c r="AA131" i="28"/>
  <c r="K131" i="28"/>
  <c r="N131" i="28"/>
  <c r="M131" i="28"/>
  <c r="M499" i="7" s="1"/>
  <c r="L131" i="28"/>
  <c r="L499" i="7" s="1"/>
  <c r="AG131" i="28"/>
  <c r="R187" i="40"/>
  <c r="G188" i="40"/>
  <c r="H231" i="33"/>
  <c r="Q231" i="33" s="1"/>
  <c r="F234" i="30"/>
  <c r="Q233" i="30"/>
  <c r="P233" i="30"/>
  <c r="W231" i="30" s="1"/>
  <c r="L219" i="37"/>
  <c r="J219" i="37"/>
  <c r="H219" i="37" s="1"/>
  <c r="Q219" i="37" s="1"/>
  <c r="K219" i="37"/>
  <c r="M219" i="37"/>
  <c r="H143" i="39"/>
  <c r="U143" i="39"/>
  <c r="G143" i="39" s="1"/>
  <c r="D144" i="36" s="1"/>
  <c r="J132" i="13" l="1"/>
  <c r="AA132" i="13"/>
  <c r="G201" i="46"/>
  <c r="AB218" i="46"/>
  <c r="U219" i="46"/>
  <c r="I145" i="13"/>
  <c r="I131" i="28"/>
  <c r="I499" i="7" s="1"/>
  <c r="Z131" i="28"/>
  <c r="AB131" i="28" s="1"/>
  <c r="AH131" i="28"/>
  <c r="AE131" i="28"/>
  <c r="AC131" i="28" s="1"/>
  <c r="N499" i="7"/>
  <c r="K499" i="7"/>
  <c r="X129" i="28"/>
  <c r="AA188" i="40"/>
  <c r="AB188" i="40" s="1"/>
  <c r="AH188" i="40"/>
  <c r="AG188" i="40"/>
  <c r="M188" i="40"/>
  <c r="N188" i="40"/>
  <c r="AD188" i="40"/>
  <c r="L188" i="40"/>
  <c r="I143" i="39"/>
  <c r="AC143" i="39" s="1"/>
  <c r="F232" i="33"/>
  <c r="P232" i="33" s="1"/>
  <c r="W230" i="33" s="1"/>
  <c r="L234" i="30"/>
  <c r="I234" i="30"/>
  <c r="K234" i="30"/>
  <c r="M234" i="30"/>
  <c r="N234" i="30"/>
  <c r="J234" i="30" s="1"/>
  <c r="P219" i="37"/>
  <c r="W217" i="37" s="1"/>
  <c r="F220" i="37"/>
  <c r="K220" i="37" s="1"/>
  <c r="O143" i="39"/>
  <c r="P143" i="39"/>
  <c r="G132" i="13" l="1"/>
  <c r="Q201" i="46"/>
  <c r="F202" i="46" s="1"/>
  <c r="P201" i="46"/>
  <c r="X219" i="46"/>
  <c r="W219" i="46"/>
  <c r="Z219" i="46"/>
  <c r="Y219" i="46"/>
  <c r="I200" i="7"/>
  <c r="AF131" i="28"/>
  <c r="J131" i="28"/>
  <c r="AF188" i="40"/>
  <c r="X186" i="40"/>
  <c r="Q188" i="40"/>
  <c r="J188" i="40"/>
  <c r="AC188" i="40"/>
  <c r="I188" i="40" s="1"/>
  <c r="N232" i="33"/>
  <c r="J232" i="33" s="1"/>
  <c r="I232" i="33"/>
  <c r="L232" i="33"/>
  <c r="K232" i="33"/>
  <c r="M232" i="33"/>
  <c r="H234" i="30"/>
  <c r="P234" i="30" s="1"/>
  <c r="W232" i="30" s="1"/>
  <c r="L220" i="37"/>
  <c r="J220" i="37"/>
  <c r="I220" i="37"/>
  <c r="M220" i="37"/>
  <c r="Z144" i="39"/>
  <c r="F144" i="39"/>
  <c r="E144" i="36"/>
  <c r="C145" i="36"/>
  <c r="G187" i="7" l="1"/>
  <c r="F133" i="13"/>
  <c r="R132" i="13"/>
  <c r="S132" i="13"/>
  <c r="I202" i="46"/>
  <c r="K202" i="46"/>
  <c r="A202" i="46"/>
  <c r="M202" i="46" s="1"/>
  <c r="L202" i="46"/>
  <c r="H202" i="46"/>
  <c r="J202" i="46"/>
  <c r="V219" i="46"/>
  <c r="AB219" i="46" s="1"/>
  <c r="H131" i="28"/>
  <c r="J499" i="7"/>
  <c r="G189" i="40"/>
  <c r="R188" i="40"/>
  <c r="H232" i="33"/>
  <c r="Q232" i="33" s="1"/>
  <c r="Q234" i="30"/>
  <c r="F235" i="30"/>
  <c r="L235" i="30" s="1"/>
  <c r="P220" i="37"/>
  <c r="W218" i="37" s="1"/>
  <c r="H220" i="37"/>
  <c r="Q220" i="37" s="1"/>
  <c r="K144" i="39"/>
  <c r="L144" i="39"/>
  <c r="J144" i="39"/>
  <c r="V144" i="39"/>
  <c r="Q144" i="39"/>
  <c r="S144" i="39"/>
  <c r="T144" i="39" s="1"/>
  <c r="Y144" i="39"/>
  <c r="X144" i="39" s="1"/>
  <c r="P187" i="7" l="1"/>
  <c r="Q187" i="7"/>
  <c r="Z133" i="13"/>
  <c r="X133" i="13" s="1"/>
  <c r="U133" i="13"/>
  <c r="W133" i="13" s="1"/>
  <c r="K133" i="13"/>
  <c r="J188" i="7" s="1"/>
  <c r="E124" i="10" s="1"/>
  <c r="AB133" i="13"/>
  <c r="M133" i="13"/>
  <c r="L188" i="7" s="1"/>
  <c r="F188" i="7"/>
  <c r="N133" i="13"/>
  <c r="L133" i="13"/>
  <c r="K188" i="7" s="1"/>
  <c r="Y133" i="13"/>
  <c r="H133" i="13" s="1"/>
  <c r="H188" i="7" s="1"/>
  <c r="V133" i="13"/>
  <c r="G202" i="46"/>
  <c r="U220" i="46"/>
  <c r="Y220" i="46" s="1"/>
  <c r="Q131" i="28"/>
  <c r="Q499" i="7" s="1"/>
  <c r="R131" i="28"/>
  <c r="R499" i="7" s="1"/>
  <c r="H499" i="7"/>
  <c r="F132" i="28"/>
  <c r="AA189" i="40"/>
  <c r="AB189" i="40" s="1"/>
  <c r="M189" i="40"/>
  <c r="N189" i="40"/>
  <c r="AH189" i="40"/>
  <c r="AD189" i="40"/>
  <c r="AG189" i="40"/>
  <c r="L189" i="40"/>
  <c r="F233" i="33"/>
  <c r="N233" i="33" s="1"/>
  <c r="J233" i="33" s="1"/>
  <c r="M235" i="30"/>
  <c r="I235" i="30"/>
  <c r="N235" i="30"/>
  <c r="J235" i="30" s="1"/>
  <c r="K235" i="30"/>
  <c r="F221" i="37"/>
  <c r="J221" i="37" s="1"/>
  <c r="H144" i="39"/>
  <c r="U144" i="39"/>
  <c r="G144" i="39" s="1"/>
  <c r="D145" i="36" s="1"/>
  <c r="R188" i="7" l="1"/>
  <c r="AC133" i="13"/>
  <c r="M188" i="7"/>
  <c r="Q202" i="46"/>
  <c r="F203" i="46" s="1"/>
  <c r="P202" i="46"/>
  <c r="W220" i="46"/>
  <c r="Z220" i="46"/>
  <c r="X220" i="46"/>
  <c r="M132" i="28"/>
  <c r="M500" i="7" s="1"/>
  <c r="F500" i="7"/>
  <c r="S500" i="7" s="1"/>
  <c r="N132" i="28"/>
  <c r="Z132" i="28" s="1"/>
  <c r="K132" i="28"/>
  <c r="K500" i="7" s="1"/>
  <c r="L132" i="28"/>
  <c r="L500" i="7" s="1"/>
  <c r="AD132" i="28"/>
  <c r="AG132" i="28"/>
  <c r="AA132" i="28"/>
  <c r="AF189" i="40"/>
  <c r="Q189" i="40"/>
  <c r="X187" i="40"/>
  <c r="AC189" i="40"/>
  <c r="I189" i="40" s="1"/>
  <c r="J189" i="40"/>
  <c r="I144" i="39"/>
  <c r="AC144" i="39" s="1"/>
  <c r="K233" i="33"/>
  <c r="L233" i="33"/>
  <c r="M233" i="33"/>
  <c r="P233" i="33"/>
  <c r="W231" i="33" s="1"/>
  <c r="I233" i="33"/>
  <c r="H233" i="33" s="1"/>
  <c r="Q233" i="33" s="1"/>
  <c r="H235" i="30"/>
  <c r="Q235" i="30" s="1"/>
  <c r="K221" i="37"/>
  <c r="M221" i="37"/>
  <c r="L221" i="37"/>
  <c r="I221" i="37"/>
  <c r="H221" i="37" s="1"/>
  <c r="F222" i="37" s="1"/>
  <c r="I222" i="37" s="1"/>
  <c r="O144" i="39"/>
  <c r="P144" i="39"/>
  <c r="AA133" i="13" l="1"/>
  <c r="J133" i="13"/>
  <c r="G133" i="13" s="1"/>
  <c r="H203" i="46"/>
  <c r="J203" i="46"/>
  <c r="A203" i="46"/>
  <c r="M203" i="46" s="1"/>
  <c r="K203" i="46"/>
  <c r="L203" i="46"/>
  <c r="I203" i="46"/>
  <c r="V220" i="46"/>
  <c r="AB220" i="46" s="1"/>
  <c r="I146" i="13"/>
  <c r="I201" i="7" s="1"/>
  <c r="I132" i="28"/>
  <c r="I500" i="7" s="1"/>
  <c r="AB132" i="28"/>
  <c r="AH132" i="28"/>
  <c r="N500" i="7"/>
  <c r="AE132" i="28"/>
  <c r="AC132" i="28" s="1"/>
  <c r="X130" i="28"/>
  <c r="G190" i="40"/>
  <c r="R189" i="40"/>
  <c r="F234" i="33"/>
  <c r="K234" i="33" s="1"/>
  <c r="P235" i="30"/>
  <c r="W233" i="30" s="1"/>
  <c r="F236" i="30"/>
  <c r="I236" i="30" s="1"/>
  <c r="P221" i="37"/>
  <c r="W219" i="37" s="1"/>
  <c r="Q221" i="37"/>
  <c r="K222" i="37"/>
  <c r="L222" i="37"/>
  <c r="J222" i="37"/>
  <c r="H222" i="37" s="1"/>
  <c r="Q222" i="37" s="1"/>
  <c r="M222" i="37"/>
  <c r="Z145" i="39"/>
  <c r="F145" i="39"/>
  <c r="E145" i="36"/>
  <c r="C146" i="36"/>
  <c r="S133" i="13" l="1"/>
  <c r="F134" i="13"/>
  <c r="R133" i="13"/>
  <c r="G188" i="7"/>
  <c r="G203" i="46"/>
  <c r="U221" i="46"/>
  <c r="Y221" i="46" s="1"/>
  <c r="AF132" i="28"/>
  <c r="J132" i="28"/>
  <c r="AH190" i="40"/>
  <c r="M190" i="40"/>
  <c r="N190" i="40"/>
  <c r="L190" i="40"/>
  <c r="AD190" i="40"/>
  <c r="AA190" i="40"/>
  <c r="AB190" i="40" s="1"/>
  <c r="AG190" i="40"/>
  <c r="L234" i="33"/>
  <c r="I234" i="33"/>
  <c r="P234" i="33"/>
  <c r="W232" i="33" s="1"/>
  <c r="M234" i="33"/>
  <c r="N234" i="33"/>
  <c r="J234" i="33" s="1"/>
  <c r="N236" i="30"/>
  <c r="J236" i="30" s="1"/>
  <c r="H236" i="30" s="1"/>
  <c r="K236" i="30"/>
  <c r="L236" i="30"/>
  <c r="M236" i="30"/>
  <c r="P222" i="37"/>
  <c r="W220" i="37" s="1"/>
  <c r="F223" i="37"/>
  <c r="L223" i="37" s="1"/>
  <c r="K145" i="39"/>
  <c r="L145" i="39"/>
  <c r="Q145" i="39"/>
  <c r="S145" i="39"/>
  <c r="T145" i="39" s="1"/>
  <c r="Y145" i="39"/>
  <c r="X145" i="39" s="1"/>
  <c r="J145" i="39"/>
  <c r="V145" i="39"/>
  <c r="L134" i="13" l="1"/>
  <c r="K189" i="7" s="1"/>
  <c r="N134" i="13"/>
  <c r="K134" i="13"/>
  <c r="J189" i="7" s="1"/>
  <c r="E125" i="10" s="1"/>
  <c r="AB134" i="13"/>
  <c r="H134" i="13" s="1"/>
  <c r="H189" i="7" s="1"/>
  <c r="V134" i="13"/>
  <c r="M134" i="13"/>
  <c r="L189" i="7" s="1"/>
  <c r="Y134" i="13"/>
  <c r="F189" i="7"/>
  <c r="R189" i="7" s="1"/>
  <c r="Q188" i="7"/>
  <c r="P188" i="7"/>
  <c r="Q203" i="46"/>
  <c r="F204" i="46" s="1"/>
  <c r="P203" i="46"/>
  <c r="A204" i="46"/>
  <c r="M204" i="46" s="1"/>
  <c r="W221" i="46"/>
  <c r="Z221" i="46"/>
  <c r="X221" i="46"/>
  <c r="H132" i="28"/>
  <c r="J500" i="7"/>
  <c r="J190" i="40"/>
  <c r="AC190" i="40"/>
  <c r="I190" i="40" s="1"/>
  <c r="X188" i="40"/>
  <c r="Q190" i="40"/>
  <c r="AF190" i="40"/>
  <c r="H234" i="33"/>
  <c r="Q234" i="33" s="1"/>
  <c r="Q236" i="30"/>
  <c r="F237" i="30"/>
  <c r="P236" i="30"/>
  <c r="W234" i="30" s="1"/>
  <c r="J223" i="37"/>
  <c r="M223" i="37"/>
  <c r="K223" i="37"/>
  <c r="I223" i="37"/>
  <c r="U145" i="39"/>
  <c r="G145" i="39" s="1"/>
  <c r="D146" i="36" s="1"/>
  <c r="H145" i="39"/>
  <c r="AC134" i="13" l="1"/>
  <c r="M189" i="7"/>
  <c r="Z134" i="13"/>
  <c r="X134" i="13" s="1"/>
  <c r="K204" i="46"/>
  <c r="I204" i="46"/>
  <c r="L204" i="46"/>
  <c r="H204" i="46"/>
  <c r="J204" i="46"/>
  <c r="U134" i="13"/>
  <c r="W134" i="13" s="1"/>
  <c r="G204" i="46"/>
  <c r="V221" i="46"/>
  <c r="AB221" i="46" s="1"/>
  <c r="R132" i="28"/>
  <c r="R500" i="7" s="1"/>
  <c r="Q132" i="28"/>
  <c r="Q500" i="7" s="1"/>
  <c r="F133" i="28"/>
  <c r="H500" i="7"/>
  <c r="G191" i="40"/>
  <c r="R190" i="40"/>
  <c r="I145" i="39"/>
  <c r="AC145" i="39" s="1"/>
  <c r="F235" i="33"/>
  <c r="M235" i="33" s="1"/>
  <c r="M237" i="30"/>
  <c r="L237" i="30"/>
  <c r="K237" i="30"/>
  <c r="N237" i="30"/>
  <c r="J237" i="30" s="1"/>
  <c r="I237" i="30"/>
  <c r="P223" i="37"/>
  <c r="W221" i="37" s="1"/>
  <c r="H223" i="37"/>
  <c r="Q223" i="37" s="1"/>
  <c r="O145" i="39"/>
  <c r="P145" i="39"/>
  <c r="AA134" i="13" l="1"/>
  <c r="J134" i="13"/>
  <c r="G134" i="13" s="1"/>
  <c r="Q204" i="46"/>
  <c r="F205" i="46" s="1"/>
  <c r="P204" i="46"/>
  <c r="U222" i="46"/>
  <c r="X222" i="46" s="1"/>
  <c r="I147" i="13"/>
  <c r="I202" i="7" s="1"/>
  <c r="AG133" i="28"/>
  <c r="K133" i="28"/>
  <c r="N133" i="28"/>
  <c r="F501" i="7"/>
  <c r="S501" i="7" s="1"/>
  <c r="L133" i="28"/>
  <c r="L501" i="7" s="1"/>
  <c r="AD133" i="28"/>
  <c r="M133" i="28"/>
  <c r="M501" i="7" s="1"/>
  <c r="AA133" i="28"/>
  <c r="N191" i="40"/>
  <c r="L191" i="40"/>
  <c r="AG191" i="40"/>
  <c r="AA191" i="40"/>
  <c r="AB191" i="40" s="1"/>
  <c r="AD191" i="40"/>
  <c r="AH191" i="40"/>
  <c r="M191" i="40"/>
  <c r="K235" i="33"/>
  <c r="I235" i="33"/>
  <c r="N235" i="33"/>
  <c r="J235" i="33" s="1"/>
  <c r="P235" i="33"/>
  <c r="W233" i="33" s="1"/>
  <c r="L235" i="33"/>
  <c r="H237" i="30"/>
  <c r="F224" i="37"/>
  <c r="J224" i="37" s="1"/>
  <c r="Z146" i="39"/>
  <c r="F146" i="39"/>
  <c r="C147" i="36"/>
  <c r="E146" i="36"/>
  <c r="R134" i="13" l="1"/>
  <c r="F135" i="13"/>
  <c r="S134" i="13"/>
  <c r="G189" i="7"/>
  <c r="K205" i="46"/>
  <c r="A205" i="46"/>
  <c r="M205" i="46" s="1"/>
  <c r="H205" i="46"/>
  <c r="J205" i="46"/>
  <c r="L205" i="46"/>
  <c r="I205" i="46"/>
  <c r="Z222" i="46"/>
  <c r="W222" i="46"/>
  <c r="Y222" i="46"/>
  <c r="I133" i="28"/>
  <c r="I501" i="7" s="1"/>
  <c r="N501" i="7"/>
  <c r="AE133" i="28"/>
  <c r="AC133" i="28" s="1"/>
  <c r="AH133" i="28"/>
  <c r="Z133" i="28"/>
  <c r="AB133" i="28" s="1"/>
  <c r="K501" i="7"/>
  <c r="X131" i="28"/>
  <c r="AF191" i="40"/>
  <c r="J191" i="40"/>
  <c r="AC191" i="40"/>
  <c r="I191" i="40" s="1"/>
  <c r="X189" i="40"/>
  <c r="Q191" i="40"/>
  <c r="H235" i="33"/>
  <c r="Q235" i="33" s="1"/>
  <c r="P237" i="30"/>
  <c r="W235" i="30" s="1"/>
  <c r="Q237" i="30"/>
  <c r="F238" i="30"/>
  <c r="K224" i="37"/>
  <c r="L224" i="37"/>
  <c r="I224" i="37"/>
  <c r="H224" i="37" s="1"/>
  <c r="Q224" i="37" s="1"/>
  <c r="M224" i="37"/>
  <c r="V146" i="39"/>
  <c r="K146" i="39"/>
  <c r="L146" i="39"/>
  <c r="S146" i="39"/>
  <c r="T146" i="39" s="1"/>
  <c r="Y146" i="39"/>
  <c r="X146" i="39" s="1"/>
  <c r="Q146" i="39"/>
  <c r="J146" i="39"/>
  <c r="U135" i="13" l="1"/>
  <c r="Z135" i="13"/>
  <c r="K135" i="13"/>
  <c r="J190" i="7" s="1"/>
  <c r="M135" i="13"/>
  <c r="L190" i="7" s="1"/>
  <c r="V135" i="13"/>
  <c r="Y135" i="13"/>
  <c r="AB135" i="13"/>
  <c r="H135" i="13" s="1"/>
  <c r="H190" i="7" s="1"/>
  <c r="L135" i="13"/>
  <c r="K190" i="7" s="1"/>
  <c r="N135" i="13"/>
  <c r="F190" i="7"/>
  <c r="Q189" i="7"/>
  <c r="P189" i="7"/>
  <c r="G205" i="46"/>
  <c r="V222" i="46"/>
  <c r="J133" i="28"/>
  <c r="AF133" i="28"/>
  <c r="R191" i="40"/>
  <c r="G192" i="40"/>
  <c r="F236" i="33"/>
  <c r="M236" i="33" s="1"/>
  <c r="K238" i="30"/>
  <c r="L238" i="30"/>
  <c r="M238" i="30"/>
  <c r="N238" i="30"/>
  <c r="J238" i="30" s="1"/>
  <c r="I238" i="30"/>
  <c r="P224" i="37"/>
  <c r="W222" i="37" s="1"/>
  <c r="F225" i="37"/>
  <c r="I225" i="37" s="1"/>
  <c r="U146" i="39"/>
  <c r="G146" i="39" s="1"/>
  <c r="D147" i="36" s="1"/>
  <c r="H146" i="39"/>
  <c r="AC135" i="13" l="1"/>
  <c r="M190" i="7"/>
  <c r="R190" i="7"/>
  <c r="W135" i="13"/>
  <c r="X135" i="13"/>
  <c r="E126" i="10"/>
  <c r="Q205" i="46"/>
  <c r="F206" i="46" s="1"/>
  <c r="P205" i="46"/>
  <c r="AB222" i="46"/>
  <c r="U223" i="46"/>
  <c r="J501" i="7"/>
  <c r="H133" i="28"/>
  <c r="L192" i="40"/>
  <c r="AD192" i="40"/>
  <c r="AG192" i="40"/>
  <c r="AH192" i="40"/>
  <c r="AA192" i="40"/>
  <c r="AB192" i="40" s="1"/>
  <c r="N192" i="40"/>
  <c r="M192" i="40"/>
  <c r="K236" i="33"/>
  <c r="I236" i="33"/>
  <c r="L236" i="33"/>
  <c r="I146" i="39"/>
  <c r="AC146" i="39" s="1"/>
  <c r="P236" i="33"/>
  <c r="W234" i="33" s="1"/>
  <c r="N236" i="33"/>
  <c r="J236" i="33" s="1"/>
  <c r="H238" i="30"/>
  <c r="L225" i="37"/>
  <c r="J225" i="37"/>
  <c r="H225" i="37" s="1"/>
  <c r="Q225" i="37" s="1"/>
  <c r="M225" i="37"/>
  <c r="K225" i="37"/>
  <c r="O146" i="39"/>
  <c r="P146" i="39"/>
  <c r="J135" i="13" l="1"/>
  <c r="G135" i="13" s="1"/>
  <c r="AA135" i="13"/>
  <c r="J206" i="46"/>
  <c r="K206" i="46"/>
  <c r="I206" i="46"/>
  <c r="H206" i="46"/>
  <c r="L206" i="46"/>
  <c r="A206" i="46"/>
  <c r="M206" i="46" s="1"/>
  <c r="Y223" i="46"/>
  <c r="X223" i="46"/>
  <c r="W223" i="46"/>
  <c r="Z223" i="46"/>
  <c r="I148" i="13"/>
  <c r="Q133" i="28"/>
  <c r="Q501" i="7" s="1"/>
  <c r="F134" i="28"/>
  <c r="R133" i="28"/>
  <c r="R501" i="7" s="1"/>
  <c r="H501" i="7"/>
  <c r="AF192" i="40"/>
  <c r="J192" i="40"/>
  <c r="AC192" i="40"/>
  <c r="I192" i="40" s="1"/>
  <c r="Q192" i="40"/>
  <c r="X190" i="40"/>
  <c r="H236" i="33"/>
  <c r="Q236" i="33" s="1"/>
  <c r="Q238" i="30"/>
  <c r="P238" i="30"/>
  <c r="W236" i="30" s="1"/>
  <c r="F239" i="30"/>
  <c r="P225" i="37"/>
  <c r="W223" i="37" s="1"/>
  <c r="F226" i="37"/>
  <c r="K226" i="37" s="1"/>
  <c r="F147" i="39"/>
  <c r="Z147" i="39"/>
  <c r="C148" i="36"/>
  <c r="E147" i="36"/>
  <c r="F136" i="13" l="1"/>
  <c r="S135" i="13"/>
  <c r="R135" i="13"/>
  <c r="G190" i="7"/>
  <c r="G206" i="46"/>
  <c r="V223" i="46"/>
  <c r="I203" i="7"/>
  <c r="L134" i="28"/>
  <c r="L502" i="7" s="1"/>
  <c r="K134" i="28"/>
  <c r="F502" i="7"/>
  <c r="S502" i="7" s="1"/>
  <c r="AA134" i="28"/>
  <c r="AD134" i="28"/>
  <c r="M134" i="28"/>
  <c r="M502" i="7" s="1"/>
  <c r="AG134" i="28"/>
  <c r="N134" i="28"/>
  <c r="R192" i="40"/>
  <c r="G193" i="40"/>
  <c r="F237" i="33"/>
  <c r="M237" i="33" s="1"/>
  <c r="K239" i="30"/>
  <c r="I239" i="30"/>
  <c r="N239" i="30"/>
  <c r="J239" i="30" s="1"/>
  <c r="M239" i="30"/>
  <c r="L239" i="30"/>
  <c r="I226" i="37"/>
  <c r="J226" i="37"/>
  <c r="M226" i="37"/>
  <c r="L226" i="37"/>
  <c r="J147" i="39"/>
  <c r="V147" i="39"/>
  <c r="K147" i="39"/>
  <c r="L147" i="39"/>
  <c r="Y147" i="39"/>
  <c r="X147" i="39" s="1"/>
  <c r="Q147" i="39"/>
  <c r="S147" i="39"/>
  <c r="T147" i="39" s="1"/>
  <c r="N136" i="13" l="1"/>
  <c r="K136" i="13"/>
  <c r="J191" i="7" s="1"/>
  <c r="AB136" i="13"/>
  <c r="H136" i="13" s="1"/>
  <c r="H191" i="7" s="1"/>
  <c r="L136" i="13"/>
  <c r="K191" i="7" s="1"/>
  <c r="M136" i="13"/>
  <c r="L191" i="7" s="1"/>
  <c r="V136" i="13"/>
  <c r="Y136" i="13"/>
  <c r="F191" i="7"/>
  <c r="R191" i="7" s="1"/>
  <c r="Q190" i="7"/>
  <c r="P190" i="7"/>
  <c r="Q206" i="46"/>
  <c r="F207" i="46" s="1"/>
  <c r="P206" i="46"/>
  <c r="AB223" i="46"/>
  <c r="U224" i="46"/>
  <c r="I149" i="13"/>
  <c r="I134" i="28"/>
  <c r="I502" i="7" s="1"/>
  <c r="N502" i="7"/>
  <c r="AH134" i="28"/>
  <c r="AE134" i="28"/>
  <c r="AC134" i="28" s="1"/>
  <c r="Z134" i="28"/>
  <c r="AB134" i="28" s="1"/>
  <c r="K502" i="7"/>
  <c r="X132" i="28"/>
  <c r="L193" i="40"/>
  <c r="AD193" i="40"/>
  <c r="AG193" i="40"/>
  <c r="AH193" i="40"/>
  <c r="N193" i="40"/>
  <c r="M193" i="40"/>
  <c r="AA193" i="40"/>
  <c r="AB193" i="40" s="1"/>
  <c r="K237" i="33"/>
  <c r="P237" i="33"/>
  <c r="W235" i="33" s="1"/>
  <c r="N237" i="33"/>
  <c r="J237" i="33" s="1"/>
  <c r="L237" i="33"/>
  <c r="I237" i="33"/>
  <c r="H239" i="30"/>
  <c r="F240" i="30" s="1"/>
  <c r="M240" i="30" s="1"/>
  <c r="H226" i="37"/>
  <c r="Q226" i="37" s="1"/>
  <c r="P226" i="37"/>
  <c r="W224" i="37" s="1"/>
  <c r="U147" i="39"/>
  <c r="G147" i="39" s="1"/>
  <c r="D148" i="36" s="1"/>
  <c r="H147" i="39"/>
  <c r="AC136" i="13" l="1"/>
  <c r="M191" i="7"/>
  <c r="E127" i="10"/>
  <c r="U136" i="13"/>
  <c r="W136" i="13" s="1"/>
  <c r="Z136" i="13"/>
  <c r="X136" i="13" s="1"/>
  <c r="H207" i="46"/>
  <c r="I207" i="46"/>
  <c r="J207" i="46"/>
  <c r="L207" i="46"/>
  <c r="K207" i="46"/>
  <c r="A207" i="46"/>
  <c r="M207" i="46" s="1"/>
  <c r="X224" i="46"/>
  <c r="Z224" i="46"/>
  <c r="W224" i="46"/>
  <c r="Y224" i="46"/>
  <c r="I204" i="7"/>
  <c r="AF134" i="28"/>
  <c r="J134" i="28"/>
  <c r="AF193" i="40"/>
  <c r="J193" i="40"/>
  <c r="AC193" i="40"/>
  <c r="I193" i="40" s="1"/>
  <c r="Q193" i="40"/>
  <c r="X191" i="40"/>
  <c r="H237" i="33"/>
  <c r="Q237" i="33" s="1"/>
  <c r="I147" i="39"/>
  <c r="AC147" i="39" s="1"/>
  <c r="P239" i="30"/>
  <c r="W237" i="30" s="1"/>
  <c r="Q239" i="30"/>
  <c r="N240" i="30"/>
  <c r="J240" i="30" s="1"/>
  <c r="L240" i="30"/>
  <c r="F227" i="37"/>
  <c r="L227" i="37" s="1"/>
  <c r="I240" i="30"/>
  <c r="K240" i="30"/>
  <c r="O147" i="39"/>
  <c r="P147" i="39"/>
  <c r="J136" i="13" l="1"/>
  <c r="G136" i="13" s="1"/>
  <c r="AA136" i="13"/>
  <c r="G207" i="46"/>
  <c r="V224" i="46"/>
  <c r="J502" i="7"/>
  <c r="H134" i="28"/>
  <c r="G194" i="40"/>
  <c r="R193" i="40"/>
  <c r="F238" i="33"/>
  <c r="N238" i="33" s="1"/>
  <c r="J238" i="33" s="1"/>
  <c r="I227" i="37"/>
  <c r="M227" i="37"/>
  <c r="K227" i="37"/>
  <c r="H240" i="30"/>
  <c r="P240" i="30" s="1"/>
  <c r="W238" i="30" s="1"/>
  <c r="J227" i="37"/>
  <c r="Z148" i="39"/>
  <c r="F148" i="39"/>
  <c r="C149" i="36"/>
  <c r="E148" i="36"/>
  <c r="R136" i="13" l="1"/>
  <c r="S136" i="13"/>
  <c r="F137" i="13"/>
  <c r="G191" i="7"/>
  <c r="Q207" i="46"/>
  <c r="F208" i="46" s="1"/>
  <c r="P207" i="46"/>
  <c r="U225" i="46"/>
  <c r="AB224" i="46"/>
  <c r="H502" i="7"/>
  <c r="Q134" i="28"/>
  <c r="Q502" i="7" s="1"/>
  <c r="F135" i="28"/>
  <c r="R134" i="28"/>
  <c r="R502" i="7" s="1"/>
  <c r="P227" i="37"/>
  <c r="W225" i="37" s="1"/>
  <c r="AG194" i="40"/>
  <c r="AA194" i="40"/>
  <c r="AB194" i="40" s="1"/>
  <c r="AD194" i="40"/>
  <c r="N194" i="40"/>
  <c r="AH194" i="40"/>
  <c r="M194" i="40"/>
  <c r="L194" i="40"/>
  <c r="P238" i="33"/>
  <c r="W236" i="33" s="1"/>
  <c r="M238" i="33"/>
  <c r="K238" i="33"/>
  <c r="L238" i="33"/>
  <c r="I238" i="33"/>
  <c r="H238" i="33" s="1"/>
  <c r="F239" i="33" s="1"/>
  <c r="H227" i="37"/>
  <c r="F228" i="37" s="1"/>
  <c r="K228" i="37" s="1"/>
  <c r="Q240" i="30"/>
  <c r="F241" i="30"/>
  <c r="I241" i="30" s="1"/>
  <c r="Y148" i="39"/>
  <c r="X148" i="39" s="1"/>
  <c r="V148" i="39"/>
  <c r="J148" i="39"/>
  <c r="K148" i="39"/>
  <c r="Q148" i="39"/>
  <c r="L148" i="39"/>
  <c r="S148" i="39"/>
  <c r="T148" i="39" s="1"/>
  <c r="U137" i="13" l="1"/>
  <c r="N137" i="13"/>
  <c r="AB137" i="13"/>
  <c r="H137" i="13" s="1"/>
  <c r="H192" i="7" s="1"/>
  <c r="Y137" i="13"/>
  <c r="M137" i="13"/>
  <c r="L192" i="7" s="1"/>
  <c r="L137" i="13"/>
  <c r="K192" i="7" s="1"/>
  <c r="K137" i="13"/>
  <c r="J192" i="7" s="1"/>
  <c r="E128" i="10" s="1"/>
  <c r="V137" i="13"/>
  <c r="F192" i="7"/>
  <c r="R192" i="7" s="1"/>
  <c r="Q191" i="7"/>
  <c r="P191" i="7"/>
  <c r="L208" i="46"/>
  <c r="I208" i="46"/>
  <c r="H208" i="46"/>
  <c r="A208" i="46"/>
  <c r="M208" i="46" s="1"/>
  <c r="K208" i="46"/>
  <c r="J208" i="46"/>
  <c r="Z225" i="46"/>
  <c r="X225" i="46"/>
  <c r="Y225" i="46"/>
  <c r="W225" i="46"/>
  <c r="L135" i="28"/>
  <c r="L503" i="7" s="1"/>
  <c r="F503" i="7"/>
  <c r="S503" i="7" s="1"/>
  <c r="M135" i="28"/>
  <c r="M503" i="7" s="1"/>
  <c r="AG135" i="28"/>
  <c r="N135" i="28"/>
  <c r="AA135" i="28"/>
  <c r="K135" i="28"/>
  <c r="AD135" i="28"/>
  <c r="AF194" i="40"/>
  <c r="X192" i="40"/>
  <c r="Q194" i="40"/>
  <c r="J194" i="40"/>
  <c r="AC194" i="40"/>
  <c r="I194" i="40" s="1"/>
  <c r="Q238" i="33"/>
  <c r="Q227" i="37"/>
  <c r="M228" i="37"/>
  <c r="J228" i="37"/>
  <c r="L228" i="37"/>
  <c r="I228" i="37"/>
  <c r="M241" i="30"/>
  <c r="L241" i="30"/>
  <c r="N241" i="30"/>
  <c r="J241" i="30" s="1"/>
  <c r="H241" i="30" s="1"/>
  <c r="F242" i="30" s="1"/>
  <c r="M242" i="30" s="1"/>
  <c r="K241" i="30"/>
  <c r="L239" i="33"/>
  <c r="M239" i="33"/>
  <c r="K239" i="33"/>
  <c r="N239" i="33"/>
  <c r="J239" i="33" s="1"/>
  <c r="P239" i="33"/>
  <c r="W237" i="33" s="1"/>
  <c r="I239" i="33"/>
  <c r="U148" i="39"/>
  <c r="G148" i="39" s="1"/>
  <c r="D149" i="36" s="1"/>
  <c r="H148" i="39"/>
  <c r="AC137" i="13" l="1"/>
  <c r="M192" i="7"/>
  <c r="W137" i="13"/>
  <c r="Z137" i="13"/>
  <c r="X137" i="13" s="1"/>
  <c r="G208" i="46"/>
  <c r="P208" i="46" s="1"/>
  <c r="V225" i="46"/>
  <c r="I150" i="13"/>
  <c r="I135" i="28"/>
  <c r="I503" i="7" s="1"/>
  <c r="K503" i="7"/>
  <c r="X133" i="28"/>
  <c r="Z135" i="28"/>
  <c r="AB135" i="28" s="1"/>
  <c r="N503" i="7"/>
  <c r="AH135" i="28"/>
  <c r="AE135" i="28"/>
  <c r="AC135" i="28" s="1"/>
  <c r="P228" i="37"/>
  <c r="W226" i="37" s="1"/>
  <c r="R194" i="40"/>
  <c r="G195" i="40"/>
  <c r="I148" i="39"/>
  <c r="AC148" i="39" s="1"/>
  <c r="H228" i="37"/>
  <c r="Q228" i="37" s="1"/>
  <c r="P241" i="30"/>
  <c r="W239" i="30" s="1"/>
  <c r="L242" i="30"/>
  <c r="K242" i="30"/>
  <c r="N242" i="30"/>
  <c r="J242" i="30" s="1"/>
  <c r="I242" i="30"/>
  <c r="Q241" i="30"/>
  <c r="H239" i="33"/>
  <c r="O148" i="39"/>
  <c r="P148" i="39"/>
  <c r="AA137" i="13" l="1"/>
  <c r="J137" i="13"/>
  <c r="G137" i="13" s="1"/>
  <c r="Q208" i="46"/>
  <c r="F209" i="46" s="1"/>
  <c r="AB225" i="46"/>
  <c r="U226" i="46"/>
  <c r="I205" i="7"/>
  <c r="AF135" i="28"/>
  <c r="J135" i="28"/>
  <c r="AD195" i="40"/>
  <c r="M195" i="40"/>
  <c r="L195" i="40"/>
  <c r="AH195" i="40"/>
  <c r="N195" i="40"/>
  <c r="AA195" i="40"/>
  <c r="AB195" i="40" s="1"/>
  <c r="AG195" i="40"/>
  <c r="F229" i="37"/>
  <c r="I229" i="37" s="1"/>
  <c r="H242" i="30"/>
  <c r="Q242" i="30" s="1"/>
  <c r="Q239" i="33"/>
  <c r="F240" i="33"/>
  <c r="Z149" i="39"/>
  <c r="F149" i="39"/>
  <c r="C150" i="36"/>
  <c r="E149" i="36"/>
  <c r="F138" i="13" l="1"/>
  <c r="S137" i="13"/>
  <c r="R137" i="13"/>
  <c r="G192" i="7"/>
  <c r="A209" i="46"/>
  <c r="M209" i="46" s="1"/>
  <c r="K209" i="46"/>
  <c r="I209" i="46"/>
  <c r="L209" i="46"/>
  <c r="H209" i="46"/>
  <c r="J209" i="46"/>
  <c r="Z226" i="46"/>
  <c r="Y226" i="46"/>
  <c r="W226" i="46"/>
  <c r="X226" i="46"/>
  <c r="H135" i="28"/>
  <c r="J503" i="7"/>
  <c r="AF195" i="40"/>
  <c r="Q195" i="40"/>
  <c r="X193" i="40"/>
  <c r="AC195" i="40"/>
  <c r="I195" i="40" s="1"/>
  <c r="J195" i="40"/>
  <c r="M229" i="37"/>
  <c r="L229" i="37"/>
  <c r="J229" i="37"/>
  <c r="H229" i="37" s="1"/>
  <c r="K229" i="37"/>
  <c r="F243" i="30"/>
  <c r="L243" i="30" s="1"/>
  <c r="P242" i="30"/>
  <c r="W240" i="30" s="1"/>
  <c r="N240" i="33"/>
  <c r="J240" i="33" s="1"/>
  <c r="P240" i="33"/>
  <c r="W238" i="33" s="1"/>
  <c r="I240" i="33"/>
  <c r="L240" i="33"/>
  <c r="K240" i="33"/>
  <c r="M240" i="33"/>
  <c r="Y149" i="39"/>
  <c r="X149" i="39" s="1"/>
  <c r="Q149" i="39"/>
  <c r="S149" i="39"/>
  <c r="T149" i="39" s="1"/>
  <c r="J149" i="39"/>
  <c r="L149" i="39"/>
  <c r="K149" i="39"/>
  <c r="V149" i="39"/>
  <c r="V138" i="13" l="1"/>
  <c r="Y138" i="13"/>
  <c r="M138" i="13"/>
  <c r="L193" i="7" s="1"/>
  <c r="AB138" i="13"/>
  <c r="N138" i="13"/>
  <c r="L138" i="13"/>
  <c r="K193" i="7" s="1"/>
  <c r="K138" i="13"/>
  <c r="J193" i="7" s="1"/>
  <c r="E129" i="10" s="1"/>
  <c r="F193" i="7"/>
  <c r="R193" i="7" s="1"/>
  <c r="Q192" i="7"/>
  <c r="P192" i="7"/>
  <c r="Z138" i="13"/>
  <c r="G209" i="46"/>
  <c r="V226" i="46"/>
  <c r="AB226" i="46" s="1"/>
  <c r="F136" i="28"/>
  <c r="Q135" i="28"/>
  <c r="Q503" i="7" s="1"/>
  <c r="R135" i="28"/>
  <c r="R503" i="7" s="1"/>
  <c r="H503" i="7"/>
  <c r="P229" i="37"/>
  <c r="W227" i="37" s="1"/>
  <c r="G196" i="40"/>
  <c r="R195" i="40"/>
  <c r="I243" i="30"/>
  <c r="K243" i="30"/>
  <c r="M243" i="30"/>
  <c r="N243" i="30"/>
  <c r="J243" i="30" s="1"/>
  <c r="H240" i="33"/>
  <c r="F230" i="37"/>
  <c r="Q229" i="37"/>
  <c r="U149" i="39"/>
  <c r="G149" i="39" s="1"/>
  <c r="D150" i="36" s="1"/>
  <c r="H149" i="39"/>
  <c r="U138" i="13" l="1"/>
  <c r="W138" i="13" s="1"/>
  <c r="AC138" i="13"/>
  <c r="M193" i="7"/>
  <c r="X138" i="13"/>
  <c r="H138" i="13"/>
  <c r="H193" i="7" s="1"/>
  <c r="Q209" i="46"/>
  <c r="F210" i="46" s="1"/>
  <c r="P209" i="46"/>
  <c r="U227" i="46"/>
  <c r="Y227" i="46" s="1"/>
  <c r="I151" i="13"/>
  <c r="L136" i="28"/>
  <c r="L504" i="7" s="1"/>
  <c r="AD136" i="28"/>
  <c r="N136" i="28"/>
  <c r="AH136" i="28" s="1"/>
  <c r="AA136" i="28"/>
  <c r="F504" i="7"/>
  <c r="S504" i="7" s="1"/>
  <c r="K136" i="28"/>
  <c r="K504" i="7" s="1"/>
  <c r="M136" i="28"/>
  <c r="M504" i="7" s="1"/>
  <c r="AG136" i="28"/>
  <c r="L196" i="40"/>
  <c r="M196" i="40"/>
  <c r="AG196" i="40"/>
  <c r="N196" i="40"/>
  <c r="AD196" i="40"/>
  <c r="AA196" i="40"/>
  <c r="AB196" i="40" s="1"/>
  <c r="AH196" i="40"/>
  <c r="I149" i="39"/>
  <c r="AC149" i="39" s="1"/>
  <c r="H243" i="30"/>
  <c r="Q243" i="30" s="1"/>
  <c r="F241" i="33"/>
  <c r="Q240" i="33"/>
  <c r="I230" i="37"/>
  <c r="J230" i="37"/>
  <c r="L230" i="37"/>
  <c r="K230" i="37"/>
  <c r="M230" i="37"/>
  <c r="O149" i="39"/>
  <c r="P149" i="39"/>
  <c r="AA138" i="13" l="1"/>
  <c r="J138" i="13"/>
  <c r="G138" i="13" s="1"/>
  <c r="G193" i="7" s="1"/>
  <c r="L210" i="46"/>
  <c r="I210" i="46"/>
  <c r="K210" i="46"/>
  <c r="H210" i="46"/>
  <c r="A210" i="46"/>
  <c r="M210" i="46" s="1"/>
  <c r="J210" i="46"/>
  <c r="Q193" i="7"/>
  <c r="P193" i="7"/>
  <c r="S138" i="13"/>
  <c r="R138" i="13"/>
  <c r="F139" i="13"/>
  <c r="W227" i="46"/>
  <c r="X227" i="46"/>
  <c r="Z227" i="46"/>
  <c r="I206" i="7"/>
  <c r="I136" i="28"/>
  <c r="I504" i="7" s="1"/>
  <c r="AE136" i="28"/>
  <c r="AC136" i="28" s="1"/>
  <c r="N504" i="7"/>
  <c r="Z136" i="28"/>
  <c r="AB136" i="28" s="1"/>
  <c r="AF136" i="28"/>
  <c r="X134" i="28"/>
  <c r="AF196" i="40"/>
  <c r="J196" i="40"/>
  <c r="AC196" i="40"/>
  <c r="I196" i="40" s="1"/>
  <c r="X194" i="40"/>
  <c r="Q196" i="40"/>
  <c r="P243" i="30"/>
  <c r="W241" i="30" s="1"/>
  <c r="F244" i="30"/>
  <c r="M244" i="30" s="1"/>
  <c r="P230" i="37"/>
  <c r="W228" i="37" s="1"/>
  <c r="L241" i="33"/>
  <c r="I241" i="33"/>
  <c r="M241" i="33"/>
  <c r="K241" i="33"/>
  <c r="P241" i="33"/>
  <c r="W239" i="33" s="1"/>
  <c r="N241" i="33"/>
  <c r="J241" i="33" s="1"/>
  <c r="H230" i="37"/>
  <c r="Q230" i="37" s="1"/>
  <c r="F150" i="39"/>
  <c r="Z150" i="39"/>
  <c r="C151" i="36"/>
  <c r="E150" i="36"/>
  <c r="G210" i="46" l="1"/>
  <c r="F194" i="7"/>
  <c r="R194" i="7" s="1"/>
  <c r="M139" i="13"/>
  <c r="L194" i="7" s="1"/>
  <c r="Y139" i="13"/>
  <c r="K139" i="13"/>
  <c r="J194" i="7" s="1"/>
  <c r="AB139" i="13"/>
  <c r="L139" i="13"/>
  <c r="K194" i="7" s="1"/>
  <c r="V139" i="13"/>
  <c r="N139" i="13"/>
  <c r="V227" i="46"/>
  <c r="U228" i="46" s="1"/>
  <c r="J136" i="28"/>
  <c r="H136" i="28" s="1"/>
  <c r="R196" i="40"/>
  <c r="G197" i="40"/>
  <c r="L244" i="30"/>
  <c r="I244" i="30"/>
  <c r="N244" i="30"/>
  <c r="J244" i="30" s="1"/>
  <c r="K244" i="30"/>
  <c r="H241" i="33"/>
  <c r="Q241" i="33" s="1"/>
  <c r="F231" i="37"/>
  <c r="K231" i="37" s="1"/>
  <c r="Y150" i="39"/>
  <c r="X150" i="39" s="1"/>
  <c r="K150" i="39"/>
  <c r="V150" i="39"/>
  <c r="J150" i="39"/>
  <c r="L150" i="39"/>
  <c r="S150" i="39"/>
  <c r="T150" i="39" s="1"/>
  <c r="Q150" i="39"/>
  <c r="H139" i="13" l="1"/>
  <c r="H194" i="7" s="1"/>
  <c r="P210" i="46"/>
  <c r="Q210" i="46"/>
  <c r="F211" i="46" s="1"/>
  <c r="E130" i="10"/>
  <c r="U139" i="13"/>
  <c r="W139" i="13" s="1"/>
  <c r="Z139" i="13"/>
  <c r="AC139" i="13"/>
  <c r="AA139" i="13" s="1"/>
  <c r="M194" i="7"/>
  <c r="X228" i="46"/>
  <c r="AB227" i="46"/>
  <c r="Y228" i="46"/>
  <c r="Z228" i="46"/>
  <c r="W228" i="46"/>
  <c r="I152" i="13"/>
  <c r="J504" i="7"/>
  <c r="F137" i="28"/>
  <c r="Q136" i="28"/>
  <c r="Q504" i="7" s="1"/>
  <c r="R136" i="28"/>
  <c r="R504" i="7" s="1"/>
  <c r="H504" i="7"/>
  <c r="M197" i="40"/>
  <c r="L197" i="40"/>
  <c r="AD197" i="40"/>
  <c r="AA197" i="40"/>
  <c r="AB197" i="40" s="1"/>
  <c r="AG197" i="40"/>
  <c r="AH197" i="40"/>
  <c r="N197" i="40"/>
  <c r="H244" i="30"/>
  <c r="P244" i="30" s="1"/>
  <c r="W242" i="30" s="1"/>
  <c r="F242" i="33"/>
  <c r="P242" i="33" s="1"/>
  <c r="W240" i="33" s="1"/>
  <c r="L231" i="37"/>
  <c r="J231" i="37"/>
  <c r="M231" i="37"/>
  <c r="I231" i="37"/>
  <c r="H150" i="39"/>
  <c r="U150" i="39"/>
  <c r="G150" i="39" s="1"/>
  <c r="D151" i="36" s="1"/>
  <c r="H211" i="46" l="1"/>
  <c r="I211" i="46"/>
  <c r="L211" i="46"/>
  <c r="A211" i="46"/>
  <c r="M211" i="46" s="1"/>
  <c r="J211" i="46"/>
  <c r="K211" i="46"/>
  <c r="J139" i="13"/>
  <c r="G139" i="13" s="1"/>
  <c r="G194" i="7" s="1"/>
  <c r="X139" i="13"/>
  <c r="V228" i="46"/>
  <c r="I207" i="7"/>
  <c r="AD137" i="28"/>
  <c r="M137" i="28"/>
  <c r="M505" i="7" s="1"/>
  <c r="AA137" i="28"/>
  <c r="L137" i="28"/>
  <c r="L505" i="7" s="1"/>
  <c r="AG137" i="28"/>
  <c r="K137" i="28"/>
  <c r="F505" i="7"/>
  <c r="S505" i="7" s="1"/>
  <c r="N137" i="28"/>
  <c r="AF197" i="40"/>
  <c r="J197" i="40"/>
  <c r="AC197" i="40"/>
  <c r="I197" i="40" s="1"/>
  <c r="Q197" i="40"/>
  <c r="X195" i="40"/>
  <c r="I150" i="39"/>
  <c r="AC150" i="39" s="1"/>
  <c r="Q244" i="30"/>
  <c r="F245" i="30"/>
  <c r="I245" i="30" s="1"/>
  <c r="P231" i="37"/>
  <c r="W229" i="37" s="1"/>
  <c r="M242" i="33"/>
  <c r="I242" i="33"/>
  <c r="L242" i="33"/>
  <c r="K242" i="33"/>
  <c r="N242" i="33"/>
  <c r="J242" i="33" s="1"/>
  <c r="H231" i="37"/>
  <c r="Q231" i="37" s="1"/>
  <c r="O150" i="39"/>
  <c r="P150" i="39"/>
  <c r="G211" i="46" l="1"/>
  <c r="P194" i="7"/>
  <c r="Q194" i="7"/>
  <c r="S139" i="13"/>
  <c r="R139" i="13"/>
  <c r="F140" i="13"/>
  <c r="U229" i="46"/>
  <c r="AB228" i="46"/>
  <c r="I137" i="28"/>
  <c r="I505" i="7" s="1"/>
  <c r="N505" i="7"/>
  <c r="AH137" i="28"/>
  <c r="Z137" i="28"/>
  <c r="AB137" i="28" s="1"/>
  <c r="AE137" i="28"/>
  <c r="AC137" i="28" s="1"/>
  <c r="K505" i="7"/>
  <c r="X135" i="28"/>
  <c r="R197" i="40"/>
  <c r="G198" i="40"/>
  <c r="N245" i="30"/>
  <c r="J245" i="30" s="1"/>
  <c r="H245" i="30" s="1"/>
  <c r="Q245" i="30" s="1"/>
  <c r="M245" i="30"/>
  <c r="K245" i="30"/>
  <c r="L245" i="30"/>
  <c r="H242" i="33"/>
  <c r="F243" i="33" s="1"/>
  <c r="P243" i="33" s="1"/>
  <c r="W241" i="33" s="1"/>
  <c r="F232" i="37"/>
  <c r="M232" i="37" s="1"/>
  <c r="C152" i="36"/>
  <c r="E151" i="36"/>
  <c r="Z151" i="39"/>
  <c r="F151" i="39"/>
  <c r="Q211" i="46" l="1"/>
  <c r="F212" i="46" s="1"/>
  <c r="P211" i="46"/>
  <c r="H212" i="46"/>
  <c r="A212" i="46"/>
  <c r="M212" i="46" s="1"/>
  <c r="L212" i="46"/>
  <c r="K212" i="46"/>
  <c r="K140" i="13"/>
  <c r="J195" i="7" s="1"/>
  <c r="L140" i="13"/>
  <c r="K195" i="7" s="1"/>
  <c r="Y140" i="13"/>
  <c r="H140" i="13" s="1"/>
  <c r="H195" i="7" s="1"/>
  <c r="N140" i="13"/>
  <c r="AB140" i="13"/>
  <c r="M140" i="13"/>
  <c r="L195" i="7" s="1"/>
  <c r="V140" i="13"/>
  <c r="F195" i="7"/>
  <c r="R195" i="7" s="1"/>
  <c r="Y229" i="46"/>
  <c r="X229" i="46"/>
  <c r="W229" i="46"/>
  <c r="Z229" i="46"/>
  <c r="J137" i="28"/>
  <c r="AF137" i="28"/>
  <c r="AH198" i="40"/>
  <c r="N198" i="40"/>
  <c r="AG198" i="40"/>
  <c r="AA198" i="40"/>
  <c r="AB198" i="40" s="1"/>
  <c r="AD198" i="40"/>
  <c r="M198" i="40"/>
  <c r="L198" i="40"/>
  <c r="F246" i="30"/>
  <c r="I246" i="30" s="1"/>
  <c r="P245" i="30"/>
  <c r="W243" i="30" s="1"/>
  <c r="Q242" i="33"/>
  <c r="M243" i="33"/>
  <c r="N243" i="33"/>
  <c r="J243" i="33" s="1"/>
  <c r="I243" i="33"/>
  <c r="K243" i="33"/>
  <c r="L243" i="33"/>
  <c r="K232" i="37"/>
  <c r="J232" i="37"/>
  <c r="I232" i="37"/>
  <c r="L232" i="37"/>
  <c r="S151" i="39"/>
  <c r="T151" i="39" s="1"/>
  <c r="V151" i="39"/>
  <c r="K151" i="39"/>
  <c r="L151" i="39"/>
  <c r="J151" i="39"/>
  <c r="Y151" i="39"/>
  <c r="X151" i="39" s="1"/>
  <c r="Q151" i="39"/>
  <c r="J212" i="46" l="1"/>
  <c r="I212" i="46"/>
  <c r="G212" i="46"/>
  <c r="E131" i="10"/>
  <c r="AC140" i="13"/>
  <c r="AA140" i="13" s="1"/>
  <c r="M195" i="7"/>
  <c r="Z140" i="13"/>
  <c r="U140" i="13"/>
  <c r="W140" i="13" s="1"/>
  <c r="V229" i="46"/>
  <c r="U230" i="46" s="1"/>
  <c r="W230" i="46" s="1"/>
  <c r="J505" i="7"/>
  <c r="H137" i="28"/>
  <c r="AF198" i="40"/>
  <c r="Q198" i="40"/>
  <c r="X196" i="40"/>
  <c r="AC198" i="40"/>
  <c r="I198" i="40" s="1"/>
  <c r="J198" i="40"/>
  <c r="N246" i="30"/>
  <c r="J246" i="30" s="1"/>
  <c r="H246" i="30" s="1"/>
  <c r="Q246" i="30" s="1"/>
  <c r="K246" i="30"/>
  <c r="M246" i="30"/>
  <c r="L246" i="30"/>
  <c r="P232" i="37"/>
  <c r="W230" i="37" s="1"/>
  <c r="H243" i="33"/>
  <c r="F244" i="33" s="1"/>
  <c r="H232" i="37"/>
  <c r="F233" i="37" s="1"/>
  <c r="J233" i="37" s="1"/>
  <c r="H151" i="39"/>
  <c r="U151" i="39"/>
  <c r="G151" i="39" s="1"/>
  <c r="D152" i="36" s="1"/>
  <c r="Q212" i="46" l="1"/>
  <c r="F213" i="46" s="1"/>
  <c r="P212" i="46"/>
  <c r="X140" i="13"/>
  <c r="J140" i="13"/>
  <c r="G140" i="13" s="1"/>
  <c r="X230" i="46"/>
  <c r="V230" i="46" s="1"/>
  <c r="Y230" i="46"/>
  <c r="AB229" i="46"/>
  <c r="Z230" i="46"/>
  <c r="I153" i="13"/>
  <c r="F138" i="28"/>
  <c r="R137" i="28"/>
  <c r="R505" i="7" s="1"/>
  <c r="Q137" i="28"/>
  <c r="Q505" i="7" s="1"/>
  <c r="H505" i="7"/>
  <c r="G199" i="40"/>
  <c r="R198" i="40"/>
  <c r="I151" i="39"/>
  <c r="AC151" i="39" s="1"/>
  <c r="F247" i="30"/>
  <c r="K247" i="30" s="1"/>
  <c r="P246" i="30"/>
  <c r="W244" i="30" s="1"/>
  <c r="Q243" i="33"/>
  <c r="M233" i="37"/>
  <c r="Q232" i="37"/>
  <c r="I233" i="37"/>
  <c r="H233" i="37" s="1"/>
  <c r="F234" i="37" s="1"/>
  <c r="K233" i="37"/>
  <c r="L233" i="37"/>
  <c r="I244" i="33"/>
  <c r="K244" i="33"/>
  <c r="N244" i="33"/>
  <c r="J244" i="33" s="1"/>
  <c r="P244" i="33"/>
  <c r="W242" i="33" s="1"/>
  <c r="L244" i="33"/>
  <c r="M244" i="33"/>
  <c r="O151" i="39"/>
  <c r="P151" i="39"/>
  <c r="H213" i="46" l="1"/>
  <c r="K213" i="46"/>
  <c r="J213" i="46"/>
  <c r="L213" i="46"/>
  <c r="I213" i="46"/>
  <c r="A213" i="46"/>
  <c r="M213" i="46" s="1"/>
  <c r="F141" i="13"/>
  <c r="F196" i="7" s="1"/>
  <c r="R196" i="7" s="1"/>
  <c r="R140" i="13"/>
  <c r="S140" i="13"/>
  <c r="G195" i="7"/>
  <c r="AB230" i="46"/>
  <c r="U231" i="46"/>
  <c r="X231" i="46" s="1"/>
  <c r="I208" i="7"/>
  <c r="AG138" i="28"/>
  <c r="AD138" i="28"/>
  <c r="M138" i="28"/>
  <c r="M506" i="7" s="1"/>
  <c r="L138" i="28"/>
  <c r="L506" i="7" s="1"/>
  <c r="F506" i="7"/>
  <c r="S506" i="7" s="1"/>
  <c r="AA138" i="28"/>
  <c r="K138" i="28"/>
  <c r="K506" i="7" s="1"/>
  <c r="N138" i="28"/>
  <c r="AD199" i="40"/>
  <c r="M199" i="40"/>
  <c r="AG199" i="40"/>
  <c r="AH199" i="40"/>
  <c r="L199" i="40"/>
  <c r="AA199" i="40"/>
  <c r="AB199" i="40" s="1"/>
  <c r="N199" i="40"/>
  <c r="M247" i="30"/>
  <c r="N247" i="30"/>
  <c r="J247" i="30" s="1"/>
  <c r="I247" i="30"/>
  <c r="L247" i="30"/>
  <c r="P233" i="37"/>
  <c r="W231" i="37" s="1"/>
  <c r="Q233" i="37"/>
  <c r="H244" i="33"/>
  <c r="Q244" i="33" s="1"/>
  <c r="L234" i="37"/>
  <c r="J234" i="37"/>
  <c r="I234" i="37"/>
  <c r="M234" i="37"/>
  <c r="K234" i="37"/>
  <c r="Z152" i="39"/>
  <c r="F152" i="39"/>
  <c r="E152" i="36"/>
  <c r="C153" i="36"/>
  <c r="G213" i="46" l="1"/>
  <c r="Q195" i="7"/>
  <c r="P195" i="7"/>
  <c r="N141" i="13"/>
  <c r="M196" i="7" s="1"/>
  <c r="M141" i="13"/>
  <c r="L196" i="7" s="1"/>
  <c r="AB141" i="13"/>
  <c r="L141" i="13"/>
  <c r="K196" i="7" s="1"/>
  <c r="K141" i="13"/>
  <c r="J196" i="7" s="1"/>
  <c r="Y141" i="13"/>
  <c r="H141" i="13" s="1"/>
  <c r="H196" i="7" s="1"/>
  <c r="V141" i="13"/>
  <c r="Z231" i="46"/>
  <c r="Y231" i="46"/>
  <c r="W231" i="46"/>
  <c r="V231" i="46" s="1"/>
  <c r="I138" i="28"/>
  <c r="I506" i="7" s="1"/>
  <c r="X136" i="28"/>
  <c r="AE138" i="28"/>
  <c r="AC138" i="28" s="1"/>
  <c r="N506" i="7"/>
  <c r="Z138" i="28"/>
  <c r="AB138" i="28" s="1"/>
  <c r="AH138" i="28"/>
  <c r="AF199" i="40"/>
  <c r="X197" i="40"/>
  <c r="Q199" i="40"/>
  <c r="AC199" i="40"/>
  <c r="I199" i="40" s="1"/>
  <c r="J199" i="40"/>
  <c r="H247" i="30"/>
  <c r="Q247" i="30" s="1"/>
  <c r="P234" i="37"/>
  <c r="W232" i="37" s="1"/>
  <c r="F245" i="33"/>
  <c r="N245" i="33" s="1"/>
  <c r="J245" i="33" s="1"/>
  <c r="H234" i="37"/>
  <c r="Q234" i="37" s="1"/>
  <c r="Y152" i="39"/>
  <c r="X152" i="39" s="1"/>
  <c r="Q152" i="39"/>
  <c r="V152" i="39"/>
  <c r="J152" i="39"/>
  <c r="K152" i="39"/>
  <c r="L152" i="39"/>
  <c r="S152" i="39"/>
  <c r="T152" i="39" s="1"/>
  <c r="Q213" i="46" l="1"/>
  <c r="F214" i="46" s="1"/>
  <c r="P213" i="46"/>
  <c r="E132" i="10"/>
  <c r="AC141" i="13"/>
  <c r="AA141" i="13" s="1"/>
  <c r="Z141" i="13"/>
  <c r="U141" i="13"/>
  <c r="W141" i="13" s="1"/>
  <c r="U232" i="46"/>
  <c r="AB231" i="46"/>
  <c r="J138" i="28"/>
  <c r="AF138" i="28"/>
  <c r="R199" i="40"/>
  <c r="G200" i="40"/>
  <c r="F248" i="30"/>
  <c r="L248" i="30" s="1"/>
  <c r="P247" i="30"/>
  <c r="W245" i="30" s="1"/>
  <c r="I245" i="33"/>
  <c r="H245" i="33" s="1"/>
  <c r="K245" i="33"/>
  <c r="L245" i="33"/>
  <c r="M245" i="33"/>
  <c r="P245" i="33"/>
  <c r="W243" i="33" s="1"/>
  <c r="F235" i="37"/>
  <c r="L235" i="37" s="1"/>
  <c r="H152" i="39"/>
  <c r="U152" i="39"/>
  <c r="G152" i="39" s="1"/>
  <c r="D153" i="36" s="1"/>
  <c r="L214" i="46" l="1"/>
  <c r="K214" i="46"/>
  <c r="A214" i="46"/>
  <c r="M214" i="46" s="1"/>
  <c r="I214" i="46"/>
  <c r="J214" i="46"/>
  <c r="H214" i="46"/>
  <c r="J141" i="13"/>
  <c r="X141" i="13"/>
  <c r="Y232" i="46"/>
  <c r="Z232" i="46"/>
  <c r="X232" i="46"/>
  <c r="W232" i="46"/>
  <c r="I154" i="13"/>
  <c r="I209" i="7" s="1"/>
  <c r="H138" i="28"/>
  <c r="J506" i="7"/>
  <c r="N200" i="40"/>
  <c r="M200" i="40"/>
  <c r="L200" i="40"/>
  <c r="AH200" i="40"/>
  <c r="AA200" i="40"/>
  <c r="AB200" i="40" s="1"/>
  <c r="AG200" i="40"/>
  <c r="AD200" i="40"/>
  <c r="I152" i="39"/>
  <c r="AC152" i="39" s="1"/>
  <c r="I248" i="30"/>
  <c r="M248" i="30"/>
  <c r="N248" i="30"/>
  <c r="J248" i="30" s="1"/>
  <c r="K248" i="30"/>
  <c r="Q245" i="33"/>
  <c r="F246" i="33"/>
  <c r="K235" i="37"/>
  <c r="M235" i="37"/>
  <c r="J235" i="37"/>
  <c r="I235" i="37"/>
  <c r="O152" i="39"/>
  <c r="P152" i="39"/>
  <c r="G214" i="46" l="1"/>
  <c r="G141" i="13"/>
  <c r="G196" i="7" s="1"/>
  <c r="V232" i="46"/>
  <c r="H506" i="7"/>
  <c r="F139" i="28"/>
  <c r="R138" i="28"/>
  <c r="R506" i="7" s="1"/>
  <c r="Q138" i="28"/>
  <c r="Q506" i="7" s="1"/>
  <c r="AF200" i="40"/>
  <c r="J200" i="40"/>
  <c r="AC200" i="40"/>
  <c r="I200" i="40" s="1"/>
  <c r="Q200" i="40"/>
  <c r="X198" i="40"/>
  <c r="H248" i="30"/>
  <c r="Q248" i="30" s="1"/>
  <c r="P235" i="37"/>
  <c r="W233" i="37" s="1"/>
  <c r="L246" i="33"/>
  <c r="I246" i="33"/>
  <c r="M246" i="33"/>
  <c r="P246" i="33"/>
  <c r="W244" i="33" s="1"/>
  <c r="N246" i="33"/>
  <c r="J246" i="33" s="1"/>
  <c r="K246" i="33"/>
  <c r="H235" i="37"/>
  <c r="F236" i="37" s="1"/>
  <c r="K236" i="37" s="1"/>
  <c r="Z153" i="39"/>
  <c r="F153" i="39"/>
  <c r="E153" i="36"/>
  <c r="C154" i="36"/>
  <c r="P196" i="7" l="1"/>
  <c r="Q196" i="7"/>
  <c r="Q214" i="46"/>
  <c r="F215" i="46" s="1"/>
  <c r="P214" i="46"/>
  <c r="R141" i="13"/>
  <c r="S141" i="13"/>
  <c r="F142" i="13"/>
  <c r="F197" i="7" s="1"/>
  <c r="R197" i="7" s="1"/>
  <c r="AB232" i="46"/>
  <c r="U233" i="46"/>
  <c r="L139" i="28"/>
  <c r="L507" i="7" s="1"/>
  <c r="M139" i="28"/>
  <c r="M507" i="7" s="1"/>
  <c r="N139" i="28"/>
  <c r="AA139" i="28"/>
  <c r="AG139" i="28"/>
  <c r="F507" i="7"/>
  <c r="S507" i="7" s="1"/>
  <c r="AD139" i="28"/>
  <c r="K139" i="28"/>
  <c r="R200" i="40"/>
  <c r="G201" i="40"/>
  <c r="P248" i="30"/>
  <c r="W246" i="30" s="1"/>
  <c r="F249" i="30"/>
  <c r="M249" i="30" s="1"/>
  <c r="H246" i="33"/>
  <c r="Q246" i="33" s="1"/>
  <c r="Q235" i="37"/>
  <c r="I236" i="37"/>
  <c r="J236" i="37"/>
  <c r="L236" i="37"/>
  <c r="M236" i="37"/>
  <c r="Q153" i="39"/>
  <c r="J153" i="39"/>
  <c r="S153" i="39"/>
  <c r="T153" i="39" s="1"/>
  <c r="Y153" i="39"/>
  <c r="X153" i="39" s="1"/>
  <c r="K153" i="39"/>
  <c r="V153" i="39"/>
  <c r="L153" i="39"/>
  <c r="L215" i="46" l="1"/>
  <c r="A215" i="46"/>
  <c r="M215" i="46" s="1"/>
  <c r="J215" i="46"/>
  <c r="K215" i="46"/>
  <c r="H215" i="46"/>
  <c r="I215" i="46"/>
  <c r="L142" i="13"/>
  <c r="K197" i="7" s="1"/>
  <c r="V142" i="13"/>
  <c r="Y142" i="13"/>
  <c r="H142" i="13" s="1"/>
  <c r="H197" i="7" s="1"/>
  <c r="M142" i="13"/>
  <c r="L197" i="7" s="1"/>
  <c r="N142" i="13"/>
  <c r="AB142" i="13"/>
  <c r="K142" i="13"/>
  <c r="J197" i="7" s="1"/>
  <c r="Z233" i="46"/>
  <c r="Y233" i="46"/>
  <c r="W233" i="46"/>
  <c r="X233" i="46"/>
  <c r="I139" i="28"/>
  <c r="I507" i="7" s="1"/>
  <c r="K507" i="7"/>
  <c r="X137" i="28"/>
  <c r="N507" i="7"/>
  <c r="AE139" i="28"/>
  <c r="AC139" i="28" s="1"/>
  <c r="Z139" i="28"/>
  <c r="AB139" i="28" s="1"/>
  <c r="AH139" i="28"/>
  <c r="AD201" i="40"/>
  <c r="M201" i="40"/>
  <c r="AA201" i="40"/>
  <c r="AB201" i="40" s="1"/>
  <c r="AG201" i="40"/>
  <c r="N201" i="40"/>
  <c r="AH201" i="40"/>
  <c r="L201" i="40"/>
  <c r="L249" i="30"/>
  <c r="I249" i="30"/>
  <c r="K249" i="30"/>
  <c r="N249" i="30"/>
  <c r="J249" i="30" s="1"/>
  <c r="P236" i="37"/>
  <c r="W234" i="37" s="1"/>
  <c r="F247" i="33"/>
  <c r="P247" i="33" s="1"/>
  <c r="W245" i="33" s="1"/>
  <c r="H236" i="37"/>
  <c r="F237" i="37" s="1"/>
  <c r="I237" i="37" s="1"/>
  <c r="U153" i="39"/>
  <c r="G153" i="39" s="1"/>
  <c r="D154" i="36" s="1"/>
  <c r="H153" i="39"/>
  <c r="AC142" i="13" l="1"/>
  <c r="M197" i="7"/>
  <c r="G215" i="46"/>
  <c r="U142" i="13"/>
  <c r="W142" i="13" s="1"/>
  <c r="Z142" i="13"/>
  <c r="V233" i="46"/>
  <c r="AB233" i="46" s="1"/>
  <c r="I155" i="13"/>
  <c r="AF139" i="28"/>
  <c r="J139" i="28"/>
  <c r="AF201" i="40"/>
  <c r="Q201" i="40"/>
  <c r="X199" i="40"/>
  <c r="J201" i="40"/>
  <c r="AC201" i="40"/>
  <c r="I201" i="40" s="1"/>
  <c r="H249" i="30"/>
  <c r="P249" i="30" s="1"/>
  <c r="W247" i="30" s="1"/>
  <c r="I153" i="39"/>
  <c r="AC153" i="39" s="1"/>
  <c r="N247" i="33"/>
  <c r="J247" i="33" s="1"/>
  <c r="K247" i="33"/>
  <c r="I247" i="33"/>
  <c r="M247" i="33"/>
  <c r="L247" i="33"/>
  <c r="L237" i="37"/>
  <c r="J237" i="37"/>
  <c r="H237" i="37" s="1"/>
  <c r="F238" i="37" s="1"/>
  <c r="L238" i="37" s="1"/>
  <c r="K237" i="37"/>
  <c r="M237" i="37"/>
  <c r="Q236" i="37"/>
  <c r="O153" i="39"/>
  <c r="P153" i="39"/>
  <c r="AA142" i="13" l="1"/>
  <c r="Q215" i="46"/>
  <c r="F216" i="46" s="1"/>
  <c r="P215" i="46"/>
  <c r="X142" i="13"/>
  <c r="J142" i="13"/>
  <c r="U234" i="46"/>
  <c r="Y234" i="46" s="1"/>
  <c r="I210" i="7"/>
  <c r="J507" i="7"/>
  <c r="H139" i="28"/>
  <c r="G202" i="40"/>
  <c r="R201" i="40"/>
  <c r="F250" i="30"/>
  <c r="I250" i="30" s="1"/>
  <c r="Q249" i="30"/>
  <c r="H247" i="33"/>
  <c r="F248" i="33" s="1"/>
  <c r="L248" i="33" s="1"/>
  <c r="Q237" i="37"/>
  <c r="P237" i="37"/>
  <c r="W235" i="37" s="1"/>
  <c r="K238" i="37"/>
  <c r="M238" i="37"/>
  <c r="J238" i="37"/>
  <c r="I238" i="37"/>
  <c r="Z154" i="39"/>
  <c r="F154" i="39"/>
  <c r="C155" i="36"/>
  <c r="E154" i="36"/>
  <c r="G142" i="13" l="1"/>
  <c r="G197" i="7" s="1"/>
  <c r="Q197" i="7" s="1"/>
  <c r="A216" i="46"/>
  <c r="M216" i="46" s="1"/>
  <c r="H216" i="46"/>
  <c r="L216" i="46"/>
  <c r="I216" i="46"/>
  <c r="J216" i="46"/>
  <c r="K216" i="46"/>
  <c r="X234" i="46"/>
  <c r="Z234" i="46"/>
  <c r="W234" i="46"/>
  <c r="F140" i="28"/>
  <c r="R139" i="28"/>
  <c r="R507" i="7" s="1"/>
  <c r="H507" i="7"/>
  <c r="Q139" i="28"/>
  <c r="Q507" i="7" s="1"/>
  <c r="AG202" i="40"/>
  <c r="L202" i="40"/>
  <c r="N202" i="40"/>
  <c r="AA202" i="40"/>
  <c r="AB202" i="40" s="1"/>
  <c r="AD202" i="40"/>
  <c r="M202" i="40"/>
  <c r="AH202" i="40"/>
  <c r="N250" i="30"/>
  <c r="J250" i="30" s="1"/>
  <c r="H250" i="30" s="1"/>
  <c r="F251" i="30" s="1"/>
  <c r="K251" i="30" s="1"/>
  <c r="L250" i="30"/>
  <c r="K250" i="30"/>
  <c r="M250" i="30"/>
  <c r="P248" i="33"/>
  <c r="W246" i="33" s="1"/>
  <c r="Q247" i="33"/>
  <c r="N248" i="33"/>
  <c r="J248" i="33" s="1"/>
  <c r="M248" i="33"/>
  <c r="K248" i="33"/>
  <c r="I248" i="33"/>
  <c r="P238" i="37"/>
  <c r="W236" i="37" s="1"/>
  <c r="H238" i="37"/>
  <c r="Q238" i="37" s="1"/>
  <c r="J154" i="39"/>
  <c r="V154" i="39"/>
  <c r="S154" i="39"/>
  <c r="T154" i="39" s="1"/>
  <c r="Q154" i="39"/>
  <c r="Y154" i="39"/>
  <c r="X154" i="39" s="1"/>
  <c r="K154" i="39"/>
  <c r="L154" i="39"/>
  <c r="F143" i="13" l="1"/>
  <c r="R142" i="13"/>
  <c r="S142" i="13"/>
  <c r="G216" i="46"/>
  <c r="P216" i="46" s="1"/>
  <c r="V234" i="46"/>
  <c r="U235" i="46" s="1"/>
  <c r="Z235" i="46" s="1"/>
  <c r="AG140" i="28"/>
  <c r="AD140" i="28"/>
  <c r="AA140" i="28"/>
  <c r="K140" i="28"/>
  <c r="K508" i="7" s="1"/>
  <c r="N140" i="28"/>
  <c r="Z140" i="28" s="1"/>
  <c r="M140" i="28"/>
  <c r="M508" i="7" s="1"/>
  <c r="L140" i="28"/>
  <c r="L508" i="7" s="1"/>
  <c r="F508" i="7"/>
  <c r="S508" i="7" s="1"/>
  <c r="AF202" i="40"/>
  <c r="AC202" i="40"/>
  <c r="I202" i="40" s="1"/>
  <c r="J202" i="40"/>
  <c r="Q202" i="40"/>
  <c r="X200" i="40"/>
  <c r="I251" i="30"/>
  <c r="P250" i="30"/>
  <c r="W248" i="30" s="1"/>
  <c r="L251" i="30"/>
  <c r="N251" i="30"/>
  <c r="J251" i="30" s="1"/>
  <c r="M251" i="30"/>
  <c r="Q250" i="30"/>
  <c r="H248" i="33"/>
  <c r="F249" i="33" s="1"/>
  <c r="P249" i="33" s="1"/>
  <c r="W247" i="33" s="1"/>
  <c r="F239" i="37"/>
  <c r="I239" i="37" s="1"/>
  <c r="U154" i="39"/>
  <c r="G154" i="39" s="1"/>
  <c r="D155" i="36" s="1"/>
  <c r="H154" i="39"/>
  <c r="Q216" i="46" l="1"/>
  <c r="F217" i="46" s="1"/>
  <c r="K143" i="13"/>
  <c r="J198" i="7" s="1"/>
  <c r="F198" i="7"/>
  <c r="R198" i="7" s="1"/>
  <c r="AB143" i="13"/>
  <c r="Y143" i="13"/>
  <c r="L143" i="13"/>
  <c r="K198" i="7" s="1"/>
  <c r="M143" i="13"/>
  <c r="L198" i="7" s="1"/>
  <c r="N143" i="13"/>
  <c r="V143" i="13"/>
  <c r="W235" i="46"/>
  <c r="X235" i="46"/>
  <c r="Y235" i="46"/>
  <c r="AB234" i="46"/>
  <c r="I156" i="13"/>
  <c r="I211" i="7" s="1"/>
  <c r="I140" i="28"/>
  <c r="I508" i="7" s="1"/>
  <c r="AB140" i="28"/>
  <c r="AE140" i="28"/>
  <c r="AC140" i="28" s="1"/>
  <c r="AH140" i="28"/>
  <c r="N508" i="7"/>
  <c r="X138" i="28"/>
  <c r="R202" i="40"/>
  <c r="G203" i="40"/>
  <c r="H251" i="30"/>
  <c r="Q251" i="30" s="1"/>
  <c r="I154" i="39"/>
  <c r="AC154" i="39" s="1"/>
  <c r="Q248" i="33"/>
  <c r="L249" i="33"/>
  <c r="I249" i="33"/>
  <c r="K249" i="33"/>
  <c r="M249" i="33"/>
  <c r="N249" i="33"/>
  <c r="J249" i="33" s="1"/>
  <c r="M239" i="37"/>
  <c r="J239" i="37"/>
  <c r="H239" i="37" s="1"/>
  <c r="F240" i="37" s="1"/>
  <c r="J240" i="37" s="1"/>
  <c r="K239" i="37"/>
  <c r="L239" i="37"/>
  <c r="O154" i="39"/>
  <c r="P154" i="39"/>
  <c r="H143" i="13" l="1"/>
  <c r="H198" i="7" s="1"/>
  <c r="U143" i="13"/>
  <c r="K217" i="46"/>
  <c r="L217" i="46"/>
  <c r="I217" i="46"/>
  <c r="J217" i="46"/>
  <c r="A217" i="46"/>
  <c r="M217" i="46" s="1"/>
  <c r="H217" i="46"/>
  <c r="Z143" i="13"/>
  <c r="AC143" i="13"/>
  <c r="M198" i="7"/>
  <c r="E134" i="10"/>
  <c r="V235" i="46"/>
  <c r="AF140" i="28"/>
  <c r="J140" i="28"/>
  <c r="N203" i="40"/>
  <c r="AH203" i="40"/>
  <c r="AD203" i="40"/>
  <c r="AG203" i="40"/>
  <c r="L203" i="40"/>
  <c r="M203" i="40"/>
  <c r="AA203" i="40"/>
  <c r="AB203" i="40" s="1"/>
  <c r="F252" i="30"/>
  <c r="L252" i="30" s="1"/>
  <c r="P251" i="30"/>
  <c r="W249" i="30" s="1"/>
  <c r="P239" i="37"/>
  <c r="W237" i="37" s="1"/>
  <c r="H249" i="33"/>
  <c r="Q249" i="33" s="1"/>
  <c r="M240" i="37"/>
  <c r="I240" i="37"/>
  <c r="H240" i="37" s="1"/>
  <c r="Q240" i="37" s="1"/>
  <c r="L240" i="37"/>
  <c r="K240" i="37"/>
  <c r="Q239" i="37"/>
  <c r="E155" i="36"/>
  <c r="C156" i="36"/>
  <c r="F155" i="39"/>
  <c r="Z155" i="39"/>
  <c r="J143" i="13" l="1"/>
  <c r="W143" i="13"/>
  <c r="G217" i="46"/>
  <c r="X143" i="13"/>
  <c r="AA143" i="13"/>
  <c r="G143" i="13"/>
  <c r="G198" i="7" s="1"/>
  <c r="U236" i="46"/>
  <c r="AB235" i="46"/>
  <c r="H140" i="28"/>
  <c r="J508" i="7"/>
  <c r="P240" i="37"/>
  <c r="W238" i="37" s="1"/>
  <c r="Q203" i="40"/>
  <c r="X201" i="40"/>
  <c r="J203" i="40"/>
  <c r="AC203" i="40"/>
  <c r="I203" i="40" s="1"/>
  <c r="AF203" i="40"/>
  <c r="N252" i="30"/>
  <c r="J252" i="30" s="1"/>
  <c r="K252" i="30"/>
  <c r="M252" i="30"/>
  <c r="I252" i="30"/>
  <c r="F250" i="33"/>
  <c r="N250" i="33" s="1"/>
  <c r="J250" i="33" s="1"/>
  <c r="F241" i="37"/>
  <c r="L241" i="37" s="1"/>
  <c r="V155" i="39"/>
  <c r="J155" i="39"/>
  <c r="Q155" i="39"/>
  <c r="S155" i="39"/>
  <c r="T155" i="39" s="1"/>
  <c r="K155" i="39"/>
  <c r="Y155" i="39"/>
  <c r="X155" i="39" s="1"/>
  <c r="L155" i="39"/>
  <c r="P217" i="46" l="1"/>
  <c r="Q217" i="46"/>
  <c r="F218" i="46" s="1"/>
  <c r="Q198" i="7"/>
  <c r="P198" i="7"/>
  <c r="H218" i="46"/>
  <c r="K218" i="46"/>
  <c r="F144" i="13"/>
  <c r="F199" i="7" s="1"/>
  <c r="R199" i="7" s="1"/>
  <c r="R143" i="13"/>
  <c r="S143" i="13"/>
  <c r="Y236" i="46"/>
  <c r="X236" i="46"/>
  <c r="Z236" i="46"/>
  <c r="W236" i="46"/>
  <c r="R140" i="28"/>
  <c r="R508" i="7" s="1"/>
  <c r="F141" i="28"/>
  <c r="H508" i="7"/>
  <c r="Q140" i="28"/>
  <c r="Q508" i="7" s="1"/>
  <c r="G204" i="40"/>
  <c r="R203" i="40"/>
  <c r="H252" i="30"/>
  <c r="Q252" i="30" s="1"/>
  <c r="K250" i="33"/>
  <c r="I250" i="33"/>
  <c r="H250" i="33" s="1"/>
  <c r="Q250" i="33" s="1"/>
  <c r="P250" i="33"/>
  <c r="W248" i="33" s="1"/>
  <c r="M250" i="33"/>
  <c r="L250" i="33"/>
  <c r="J241" i="37"/>
  <c r="I241" i="37"/>
  <c r="M241" i="37"/>
  <c r="K241" i="37"/>
  <c r="U155" i="39"/>
  <c r="G155" i="39" s="1"/>
  <c r="D156" i="36" s="1"/>
  <c r="H155" i="39"/>
  <c r="I218" i="46" l="1"/>
  <c r="J218" i="46"/>
  <c r="A218" i="46"/>
  <c r="M218" i="46" s="1"/>
  <c r="L218" i="46"/>
  <c r="L144" i="13"/>
  <c r="K199" i="7" s="1"/>
  <c r="AB144" i="13"/>
  <c r="M144" i="13"/>
  <c r="L199" i="7" s="1"/>
  <c r="V144" i="13"/>
  <c r="Y144" i="13"/>
  <c r="N144" i="13"/>
  <c r="K144" i="13"/>
  <c r="J199" i="7" s="1"/>
  <c r="V236" i="46"/>
  <c r="I157" i="13"/>
  <c r="I212" i="7" s="1"/>
  <c r="AD141" i="28"/>
  <c r="K141" i="28"/>
  <c r="K509" i="7" s="1"/>
  <c r="F509" i="7"/>
  <c r="S509" i="7" s="1"/>
  <c r="M141" i="28"/>
  <c r="M509" i="7" s="1"/>
  <c r="AG141" i="28"/>
  <c r="N141" i="28"/>
  <c r="N509" i="7" s="1"/>
  <c r="L141" i="28"/>
  <c r="L509" i="7" s="1"/>
  <c r="AA141" i="28"/>
  <c r="AA204" i="40"/>
  <c r="AB204" i="40" s="1"/>
  <c r="AD204" i="40"/>
  <c r="M204" i="40"/>
  <c r="AH204" i="40"/>
  <c r="N204" i="40"/>
  <c r="AG204" i="40"/>
  <c r="L204" i="40"/>
  <c r="P252" i="30"/>
  <c r="W250" i="30" s="1"/>
  <c r="F253" i="30"/>
  <c r="N253" i="30" s="1"/>
  <c r="J253" i="30" s="1"/>
  <c r="F251" i="33"/>
  <c r="K251" i="33" s="1"/>
  <c r="I155" i="39"/>
  <c r="AC155" i="39" s="1"/>
  <c r="P241" i="37"/>
  <c r="W239" i="37" s="1"/>
  <c r="H241" i="37"/>
  <c r="Q241" i="37" s="1"/>
  <c r="O155" i="39"/>
  <c r="P155" i="39"/>
  <c r="H144" i="13" l="1"/>
  <c r="H199" i="7" s="1"/>
  <c r="G218" i="46"/>
  <c r="P218" i="46" s="1"/>
  <c r="AC144" i="13"/>
  <c r="M199" i="7"/>
  <c r="Z144" i="13"/>
  <c r="U144" i="13"/>
  <c r="W144" i="13" s="1"/>
  <c r="AB236" i="46"/>
  <c r="U237" i="46"/>
  <c r="I141" i="28"/>
  <c r="I509" i="7" s="1"/>
  <c r="AH141" i="28"/>
  <c r="AE141" i="28"/>
  <c r="AC141" i="28" s="1"/>
  <c r="X139" i="28"/>
  <c r="Z141" i="28"/>
  <c r="AB141" i="28" s="1"/>
  <c r="AF204" i="40"/>
  <c r="Q204" i="40"/>
  <c r="X202" i="40"/>
  <c r="J204" i="40"/>
  <c r="AC204" i="40"/>
  <c r="I204" i="40" s="1"/>
  <c r="K253" i="30"/>
  <c r="L253" i="30"/>
  <c r="I253" i="30"/>
  <c r="H253" i="30" s="1"/>
  <c r="M253" i="30"/>
  <c r="N251" i="33"/>
  <c r="J251" i="33" s="1"/>
  <c r="P251" i="33"/>
  <c r="W249" i="33" s="1"/>
  <c r="I251" i="33"/>
  <c r="M251" i="33"/>
  <c r="L251" i="33"/>
  <c r="F242" i="37"/>
  <c r="J242" i="37" s="1"/>
  <c r="F156" i="39"/>
  <c r="Z156" i="39"/>
  <c r="E156" i="36"/>
  <c r="C157" i="36"/>
  <c r="Q218" i="46" l="1"/>
  <c r="F219" i="46" s="1"/>
  <c r="AA144" i="13"/>
  <c r="J144" i="13"/>
  <c r="X144" i="13"/>
  <c r="W237" i="46"/>
  <c r="Y237" i="46"/>
  <c r="X237" i="46"/>
  <c r="Z237" i="46"/>
  <c r="AF141" i="28"/>
  <c r="J141" i="28"/>
  <c r="G205" i="40"/>
  <c r="R204" i="40"/>
  <c r="H251" i="33"/>
  <c r="Q251" i="33" s="1"/>
  <c r="P253" i="30"/>
  <c r="W251" i="30" s="1"/>
  <c r="F254" i="30"/>
  <c r="Q253" i="30"/>
  <c r="M242" i="37"/>
  <c r="I242" i="37"/>
  <c r="H242" i="37" s="1"/>
  <c r="F243" i="37" s="1"/>
  <c r="L243" i="37" s="1"/>
  <c r="L242" i="37"/>
  <c r="K242" i="37"/>
  <c r="S156" i="39"/>
  <c r="T156" i="39" s="1"/>
  <c r="L156" i="39"/>
  <c r="Y156" i="39"/>
  <c r="X156" i="39" s="1"/>
  <c r="Q156" i="39"/>
  <c r="J156" i="39"/>
  <c r="K156" i="39"/>
  <c r="V156" i="39"/>
  <c r="A219" i="46" l="1"/>
  <c r="M219" i="46" s="1"/>
  <c r="H219" i="46"/>
  <c r="K219" i="46"/>
  <c r="I219" i="46"/>
  <c r="J219" i="46"/>
  <c r="L219" i="46"/>
  <c r="G144" i="13"/>
  <c r="G199" i="7" s="1"/>
  <c r="Q199" i="7" s="1"/>
  <c r="V237" i="46"/>
  <c r="H141" i="28"/>
  <c r="J509" i="7"/>
  <c r="N205" i="40"/>
  <c r="AA205" i="40"/>
  <c r="AB205" i="40" s="1"/>
  <c r="AG205" i="40"/>
  <c r="L205" i="40"/>
  <c r="AD205" i="40"/>
  <c r="AH205" i="40"/>
  <c r="M205" i="40"/>
  <c r="F252" i="33"/>
  <c r="L252" i="33" s="1"/>
  <c r="M254" i="30"/>
  <c r="I254" i="30"/>
  <c r="L254" i="30"/>
  <c r="N254" i="30"/>
  <c r="J254" i="30" s="1"/>
  <c r="K254" i="30"/>
  <c r="P242" i="37"/>
  <c r="W240" i="37" s="1"/>
  <c r="Q242" i="37"/>
  <c r="J243" i="37"/>
  <c r="K243" i="37"/>
  <c r="M243" i="37"/>
  <c r="I243" i="37"/>
  <c r="H156" i="39"/>
  <c r="U156" i="39"/>
  <c r="G156" i="39" s="1"/>
  <c r="D157" i="36" s="1"/>
  <c r="G219" i="46" l="1"/>
  <c r="R144" i="13"/>
  <c r="S144" i="13"/>
  <c r="F145" i="13"/>
  <c r="F200" i="7" s="1"/>
  <c r="R200" i="7" s="1"/>
  <c r="U238" i="46"/>
  <c r="AB237" i="46"/>
  <c r="I158" i="13"/>
  <c r="F142" i="28"/>
  <c r="R141" i="28"/>
  <c r="R509" i="7" s="1"/>
  <c r="Q141" i="28"/>
  <c r="Q509" i="7" s="1"/>
  <c r="H509" i="7"/>
  <c r="AF205" i="40"/>
  <c r="AC205" i="40"/>
  <c r="I205" i="40" s="1"/>
  <c r="J205" i="40"/>
  <c r="Q205" i="40"/>
  <c r="X203" i="40"/>
  <c r="N252" i="33"/>
  <c r="J252" i="33" s="1"/>
  <c r="I252" i="33"/>
  <c r="M252" i="33"/>
  <c r="P252" i="33"/>
  <c r="W250" i="33" s="1"/>
  <c r="K252" i="33"/>
  <c r="H254" i="30"/>
  <c r="F255" i="30" s="1"/>
  <c r="M255" i="30" s="1"/>
  <c r="I156" i="39"/>
  <c r="AC156" i="39" s="1"/>
  <c r="P243" i="37"/>
  <c r="W241" i="37" s="1"/>
  <c r="H243" i="37"/>
  <c r="Q243" i="37" s="1"/>
  <c r="O156" i="39"/>
  <c r="P156" i="39"/>
  <c r="P219" i="46" l="1"/>
  <c r="Q219" i="46"/>
  <c r="F220" i="46" s="1"/>
  <c r="N145" i="13"/>
  <c r="M145" i="13"/>
  <c r="L200" i="7" s="1"/>
  <c r="AB145" i="13"/>
  <c r="Y145" i="13"/>
  <c r="H145" i="13" s="1"/>
  <c r="H200" i="7" s="1"/>
  <c r="L145" i="13"/>
  <c r="K200" i="7" s="1"/>
  <c r="V145" i="13"/>
  <c r="K145" i="13"/>
  <c r="J200" i="7" s="1"/>
  <c r="Z238" i="46"/>
  <c r="W238" i="46"/>
  <c r="Y238" i="46"/>
  <c r="X238" i="46"/>
  <c r="I213" i="7"/>
  <c r="L142" i="28"/>
  <c r="L510" i="7" s="1"/>
  <c r="AD142" i="28"/>
  <c r="M142" i="28"/>
  <c r="M510" i="7" s="1"/>
  <c r="F510" i="7"/>
  <c r="S510" i="7" s="1"/>
  <c r="AG142" i="28"/>
  <c r="AA142" i="28"/>
  <c r="K142" i="28"/>
  <c r="N142" i="28"/>
  <c r="R205" i="40"/>
  <c r="G206" i="40"/>
  <c r="H252" i="33"/>
  <c r="Q252" i="33" s="1"/>
  <c r="P254" i="30"/>
  <c r="W252" i="30" s="1"/>
  <c r="N255" i="30"/>
  <c r="J255" i="30" s="1"/>
  <c r="K255" i="30"/>
  <c r="I255" i="30"/>
  <c r="L255" i="30"/>
  <c r="Q254" i="30"/>
  <c r="F244" i="37"/>
  <c r="I244" i="37" s="1"/>
  <c r="F157" i="39"/>
  <c r="Z157" i="39"/>
  <c r="C158" i="36"/>
  <c r="E157" i="36"/>
  <c r="A220" i="46" l="1"/>
  <c r="M220" i="46" s="1"/>
  <c r="L220" i="46"/>
  <c r="K220" i="46"/>
  <c r="J220" i="46"/>
  <c r="H220" i="46"/>
  <c r="I220" i="46"/>
  <c r="U145" i="13"/>
  <c r="Z145" i="13"/>
  <c r="M200" i="7"/>
  <c r="G220" i="46"/>
  <c r="AC145" i="13"/>
  <c r="E136" i="10"/>
  <c r="V238" i="46"/>
  <c r="I142" i="28"/>
  <c r="I510" i="7" s="1"/>
  <c r="K510" i="7"/>
  <c r="X140" i="28"/>
  <c r="N510" i="7"/>
  <c r="Z142" i="28"/>
  <c r="AB142" i="28" s="1"/>
  <c r="AE142" i="28"/>
  <c r="AC142" i="28" s="1"/>
  <c r="AH142" i="28"/>
  <c r="L206" i="40"/>
  <c r="AH206" i="40"/>
  <c r="AG206" i="40"/>
  <c r="AD206" i="40"/>
  <c r="M206" i="40"/>
  <c r="AA206" i="40"/>
  <c r="AB206" i="40" s="1"/>
  <c r="N206" i="40"/>
  <c r="F253" i="33"/>
  <c r="N253" i="33" s="1"/>
  <c r="J253" i="33" s="1"/>
  <c r="H255" i="30"/>
  <c r="F256" i="30" s="1"/>
  <c r="M256" i="30" s="1"/>
  <c r="M244" i="37"/>
  <c r="K244" i="37"/>
  <c r="L244" i="37"/>
  <c r="J244" i="37"/>
  <c r="H244" i="37" s="1"/>
  <c r="Q244" i="37" s="1"/>
  <c r="V157" i="39"/>
  <c r="K157" i="39"/>
  <c r="J157" i="39"/>
  <c r="L157" i="39"/>
  <c r="S157" i="39"/>
  <c r="T157" i="39" s="1"/>
  <c r="Y157" i="39"/>
  <c r="X157" i="39" s="1"/>
  <c r="Q157" i="39"/>
  <c r="J145" i="13" l="1"/>
  <c r="W145" i="13"/>
  <c r="X145" i="13"/>
  <c r="P220" i="46"/>
  <c r="Q220" i="46"/>
  <c r="F221" i="46" s="1"/>
  <c r="AA145" i="13"/>
  <c r="AB238" i="46"/>
  <c r="U239" i="46"/>
  <c r="I159" i="13"/>
  <c r="AF142" i="28"/>
  <c r="J142" i="28"/>
  <c r="AF206" i="40"/>
  <c r="J206" i="40"/>
  <c r="AC206" i="40"/>
  <c r="I206" i="40" s="1"/>
  <c r="X204" i="40"/>
  <c r="Q206" i="40"/>
  <c r="M253" i="33"/>
  <c r="I253" i="33"/>
  <c r="H253" i="33" s="1"/>
  <c r="Q253" i="33" s="1"/>
  <c r="L253" i="33"/>
  <c r="K253" i="33"/>
  <c r="P253" i="33"/>
  <c r="W251" i="33" s="1"/>
  <c r="P255" i="30"/>
  <c r="W253" i="30" s="1"/>
  <c r="K256" i="30"/>
  <c r="Q255" i="30"/>
  <c r="N256" i="30"/>
  <c r="J256" i="30" s="1"/>
  <c r="L256" i="30"/>
  <c r="I256" i="30"/>
  <c r="P244" i="37"/>
  <c r="W242" i="37" s="1"/>
  <c r="F245" i="37"/>
  <c r="I245" i="37" s="1"/>
  <c r="U157" i="39"/>
  <c r="G157" i="39" s="1"/>
  <c r="D158" i="36" s="1"/>
  <c r="H157" i="39"/>
  <c r="G145" i="13" l="1"/>
  <c r="K221" i="46"/>
  <c r="H221" i="46"/>
  <c r="J221" i="46"/>
  <c r="L221" i="46"/>
  <c r="A221" i="46"/>
  <c r="M221" i="46" s="1"/>
  <c r="I221" i="46"/>
  <c r="G200" i="7"/>
  <c r="F146" i="13"/>
  <c r="S145" i="13"/>
  <c r="R145" i="13"/>
  <c r="Z239" i="46"/>
  <c r="W239" i="46"/>
  <c r="Y239" i="46"/>
  <c r="X239" i="46"/>
  <c r="I214" i="7"/>
  <c r="H142" i="28"/>
  <c r="J510" i="7"/>
  <c r="G207" i="40"/>
  <c r="R206" i="40"/>
  <c r="F254" i="33"/>
  <c r="I254" i="33" s="1"/>
  <c r="H256" i="30"/>
  <c r="F257" i="30" s="1"/>
  <c r="I157" i="39"/>
  <c r="AC157" i="39" s="1"/>
  <c r="L245" i="37"/>
  <c r="M245" i="37"/>
  <c r="J245" i="37"/>
  <c r="H245" i="37" s="1"/>
  <c r="F246" i="37" s="1"/>
  <c r="M246" i="37" s="1"/>
  <c r="K245" i="37"/>
  <c r="O157" i="39"/>
  <c r="P157" i="39"/>
  <c r="G221" i="46" l="1"/>
  <c r="F201" i="7"/>
  <c r="R201" i="7" s="1"/>
  <c r="P200" i="7"/>
  <c r="Q200" i="7"/>
  <c r="Y146" i="13"/>
  <c r="N146" i="13"/>
  <c r="K146" i="13"/>
  <c r="J201" i="7" s="1"/>
  <c r="M146" i="13"/>
  <c r="L201" i="7" s="1"/>
  <c r="V146" i="13"/>
  <c r="AB146" i="13"/>
  <c r="L146" i="13"/>
  <c r="K201" i="7" s="1"/>
  <c r="V239" i="46"/>
  <c r="U240" i="46" s="1"/>
  <c r="Y240" i="46" s="1"/>
  <c r="R142" i="28"/>
  <c r="R510" i="7" s="1"/>
  <c r="F143" i="28"/>
  <c r="H510" i="7"/>
  <c r="Q142" i="28"/>
  <c r="Q510" i="7" s="1"/>
  <c r="L207" i="40"/>
  <c r="N207" i="40"/>
  <c r="AH207" i="40"/>
  <c r="AD207" i="40"/>
  <c r="AG207" i="40"/>
  <c r="M207" i="40"/>
  <c r="AA207" i="40"/>
  <c r="AB207" i="40" s="1"/>
  <c r="M254" i="33"/>
  <c r="N254" i="33"/>
  <c r="J254" i="33" s="1"/>
  <c r="H254" i="33" s="1"/>
  <c r="Q254" i="33" s="1"/>
  <c r="L254" i="33"/>
  <c r="K254" i="33"/>
  <c r="P254" i="33"/>
  <c r="W252" i="33" s="1"/>
  <c r="P256" i="30"/>
  <c r="W254" i="30" s="1"/>
  <c r="Q256" i="30"/>
  <c r="M257" i="30"/>
  <c r="K257" i="30"/>
  <c r="I257" i="30"/>
  <c r="N257" i="30"/>
  <c r="J257" i="30" s="1"/>
  <c r="L257" i="30"/>
  <c r="P245" i="37"/>
  <c r="W243" i="37" s="1"/>
  <c r="J246" i="37"/>
  <c r="I246" i="37"/>
  <c r="Q245" i="37"/>
  <c r="L246" i="37"/>
  <c r="K246" i="37"/>
  <c r="F158" i="39"/>
  <c r="Z158" i="39"/>
  <c r="C159" i="36"/>
  <c r="E158" i="36"/>
  <c r="H146" i="13" l="1"/>
  <c r="H201" i="7" s="1"/>
  <c r="Q221" i="46"/>
  <c r="F222" i="46" s="1"/>
  <c r="P221" i="46"/>
  <c r="AC146" i="13"/>
  <c r="AA146" i="13" s="1"/>
  <c r="M201" i="7"/>
  <c r="Z146" i="13"/>
  <c r="U146" i="13"/>
  <c r="I222" i="46"/>
  <c r="H222" i="46"/>
  <c r="J222" i="46"/>
  <c r="K222" i="46"/>
  <c r="L222" i="46"/>
  <c r="W240" i="46"/>
  <c r="AB239" i="46"/>
  <c r="Z240" i="46"/>
  <c r="X240" i="46"/>
  <c r="I160" i="13"/>
  <c r="AG143" i="28"/>
  <c r="F511" i="7"/>
  <c r="S511" i="7" s="1"/>
  <c r="N143" i="28"/>
  <c r="N511" i="7" s="1"/>
  <c r="K143" i="28"/>
  <c r="L143" i="28"/>
  <c r="L511" i="7" s="1"/>
  <c r="M143" i="28"/>
  <c r="M511" i="7" s="1"/>
  <c r="AD143" i="28"/>
  <c r="AA143" i="28"/>
  <c r="J207" i="40"/>
  <c r="AC207" i="40"/>
  <c r="I207" i="40" s="1"/>
  <c r="AF207" i="40"/>
  <c r="Q207" i="40"/>
  <c r="X205" i="40"/>
  <c r="F255" i="33"/>
  <c r="K255" i="33" s="1"/>
  <c r="H257" i="30"/>
  <c r="Q257" i="30" s="1"/>
  <c r="P246" i="37"/>
  <c r="W244" i="37" s="1"/>
  <c r="H246" i="37"/>
  <c r="F247" i="37" s="1"/>
  <c r="J247" i="37" s="1"/>
  <c r="Q158" i="39"/>
  <c r="S158" i="39"/>
  <c r="T158" i="39" s="1"/>
  <c r="J158" i="39"/>
  <c r="K158" i="39"/>
  <c r="V158" i="39"/>
  <c r="Y158" i="39"/>
  <c r="X158" i="39" s="1"/>
  <c r="L158" i="39"/>
  <c r="A222" i="46" l="1"/>
  <c r="M222" i="46" s="1"/>
  <c r="J146" i="13"/>
  <c r="X146" i="13"/>
  <c r="W146" i="13"/>
  <c r="G146" i="13"/>
  <c r="G201" i="7" s="1"/>
  <c r="Q201" i="7" s="1"/>
  <c r="G222" i="46"/>
  <c r="V240" i="46"/>
  <c r="I215" i="7"/>
  <c r="I143" i="28"/>
  <c r="I511" i="7" s="1"/>
  <c r="AE143" i="28"/>
  <c r="AC143" i="28" s="1"/>
  <c r="AH143" i="28"/>
  <c r="AF143" i="28" s="1"/>
  <c r="Z143" i="28"/>
  <c r="AB143" i="28" s="1"/>
  <c r="K511" i="7"/>
  <c r="X141" i="28"/>
  <c r="G208" i="40"/>
  <c r="R207" i="40"/>
  <c r="N255" i="33"/>
  <c r="J255" i="33" s="1"/>
  <c r="L255" i="33"/>
  <c r="P255" i="33"/>
  <c r="W253" i="33" s="1"/>
  <c r="M255" i="33"/>
  <c r="I255" i="33"/>
  <c r="P257" i="30"/>
  <c r="W255" i="30" s="1"/>
  <c r="F258" i="30"/>
  <c r="Q246" i="37"/>
  <c r="K247" i="37"/>
  <c r="I247" i="37"/>
  <c r="H247" i="37" s="1"/>
  <c r="L247" i="37"/>
  <c r="M247" i="37"/>
  <c r="U158" i="39"/>
  <c r="G158" i="39" s="1"/>
  <c r="D159" i="36" s="1"/>
  <c r="H158" i="39"/>
  <c r="R146" i="13" l="1"/>
  <c r="S146" i="13"/>
  <c r="F147" i="13"/>
  <c r="Q222" i="46"/>
  <c r="F223" i="46" s="1"/>
  <c r="P222" i="46"/>
  <c r="U241" i="46"/>
  <c r="AB240" i="46"/>
  <c r="J143" i="28"/>
  <c r="H143" i="28" s="1"/>
  <c r="N208" i="40"/>
  <c r="L208" i="40"/>
  <c r="AD208" i="40"/>
  <c r="M208" i="40"/>
  <c r="AA208" i="40"/>
  <c r="AB208" i="40" s="1"/>
  <c r="AH208" i="40"/>
  <c r="AG208" i="40"/>
  <c r="H255" i="33"/>
  <c r="F256" i="33" s="1"/>
  <c r="P256" i="33" s="1"/>
  <c r="W254" i="33" s="1"/>
  <c r="N258" i="30"/>
  <c r="J258" i="30" s="1"/>
  <c r="L258" i="30"/>
  <c r="I258" i="30"/>
  <c r="K258" i="30"/>
  <c r="M258" i="30"/>
  <c r="I158" i="39"/>
  <c r="AC158" i="39" s="1"/>
  <c r="P247" i="37"/>
  <c r="W245" i="37" s="1"/>
  <c r="Q247" i="37"/>
  <c r="F248" i="37"/>
  <c r="O158" i="39"/>
  <c r="P158" i="39"/>
  <c r="Y147" i="13" l="1"/>
  <c r="F202" i="7"/>
  <c r="R202" i="7" s="1"/>
  <c r="K147" i="13"/>
  <c r="J202" i="7" s="1"/>
  <c r="V147" i="13"/>
  <c r="AB147" i="13"/>
  <c r="L147" i="13"/>
  <c r="K202" i="7" s="1"/>
  <c r="N147" i="13"/>
  <c r="M147" i="13"/>
  <c r="L202" i="7" s="1"/>
  <c r="L223" i="46"/>
  <c r="H223" i="46"/>
  <c r="K223" i="46"/>
  <c r="J223" i="46"/>
  <c r="A223" i="46"/>
  <c r="M223" i="46" s="1"/>
  <c r="I223" i="46"/>
  <c r="Z241" i="46"/>
  <c r="W241" i="46"/>
  <c r="Y241" i="46"/>
  <c r="X241" i="46"/>
  <c r="J511" i="7"/>
  <c r="Q143" i="28"/>
  <c r="Q511" i="7" s="1"/>
  <c r="R143" i="28"/>
  <c r="R511" i="7" s="1"/>
  <c r="F144" i="28"/>
  <c r="H511" i="7"/>
  <c r="AF208" i="40"/>
  <c r="J208" i="40"/>
  <c r="AC208" i="40"/>
  <c r="I208" i="40" s="1"/>
  <c r="Q208" i="40"/>
  <c r="X206" i="40"/>
  <c r="N256" i="33"/>
  <c r="J256" i="33" s="1"/>
  <c r="K256" i="33"/>
  <c r="Q255" i="33"/>
  <c r="M256" i="33"/>
  <c r="L256" i="33"/>
  <c r="I256" i="33"/>
  <c r="H258" i="30"/>
  <c r="I248" i="37"/>
  <c r="M248" i="37"/>
  <c r="L248" i="37"/>
  <c r="K248" i="37"/>
  <c r="J248" i="37"/>
  <c r="F159" i="39"/>
  <c r="Z159" i="39"/>
  <c r="C160" i="36"/>
  <c r="E159" i="36"/>
  <c r="H147" i="13" l="1"/>
  <c r="H202" i="7" s="1"/>
  <c r="U147" i="13"/>
  <c r="M202" i="7"/>
  <c r="Z147" i="13"/>
  <c r="AC147" i="13"/>
  <c r="G223" i="46"/>
  <c r="V241" i="46"/>
  <c r="U242" i="46" s="1"/>
  <c r="X242" i="46" s="1"/>
  <c r="I161" i="13"/>
  <c r="AG144" i="28"/>
  <c r="AD144" i="28"/>
  <c r="L144" i="28"/>
  <c r="L512" i="7" s="1"/>
  <c r="M144" i="28"/>
  <c r="M512" i="7" s="1"/>
  <c r="F512" i="7"/>
  <c r="S512" i="7" s="1"/>
  <c r="AA144" i="28"/>
  <c r="N144" i="28"/>
  <c r="Z144" i="28" s="1"/>
  <c r="K144" i="28"/>
  <c r="R208" i="40"/>
  <c r="G209" i="40"/>
  <c r="H256" i="33"/>
  <c r="F257" i="33" s="1"/>
  <c r="L257" i="33" s="1"/>
  <c r="F259" i="30"/>
  <c r="P258" i="30"/>
  <c r="W256" i="30" s="1"/>
  <c r="Q258" i="30"/>
  <c r="P248" i="37"/>
  <c r="W246" i="37" s="1"/>
  <c r="H248" i="37"/>
  <c r="Y159" i="39"/>
  <c r="X159" i="39" s="1"/>
  <c r="Q159" i="39"/>
  <c r="S159" i="39"/>
  <c r="T159" i="39" s="1"/>
  <c r="L159" i="39"/>
  <c r="J159" i="39"/>
  <c r="V159" i="39"/>
  <c r="K159" i="39"/>
  <c r="J147" i="13" l="1"/>
  <c r="W147" i="13"/>
  <c r="X147" i="13"/>
  <c r="AA147" i="13"/>
  <c r="W242" i="46"/>
  <c r="Q223" i="46"/>
  <c r="F224" i="46" s="1"/>
  <c r="P223" i="46"/>
  <c r="AB241" i="46"/>
  <c r="Z242" i="46"/>
  <c r="Y242" i="46"/>
  <c r="I216" i="7"/>
  <c r="I144" i="28"/>
  <c r="I512" i="7" s="1"/>
  <c r="AB144" i="28"/>
  <c r="AE144" i="28"/>
  <c r="AC144" i="28" s="1"/>
  <c r="N512" i="7"/>
  <c r="AH144" i="28"/>
  <c r="K512" i="7"/>
  <c r="X142" i="28"/>
  <c r="AD209" i="40"/>
  <c r="M209" i="40"/>
  <c r="AG209" i="40"/>
  <c r="AH209" i="40"/>
  <c r="AA209" i="40"/>
  <c r="AB209" i="40" s="1"/>
  <c r="L209" i="40"/>
  <c r="N209" i="40"/>
  <c r="M257" i="33"/>
  <c r="I257" i="33"/>
  <c r="N257" i="33"/>
  <c r="J257" i="33" s="1"/>
  <c r="P257" i="33"/>
  <c r="W255" i="33" s="1"/>
  <c r="U4" i="33" s="1"/>
  <c r="U5" i="33" s="1"/>
  <c r="U6" i="33" s="1"/>
  <c r="K257" i="33"/>
  <c r="Q256" i="33"/>
  <c r="K259" i="30"/>
  <c r="L259" i="30"/>
  <c r="I259" i="30"/>
  <c r="N259" i="30"/>
  <c r="J259" i="30" s="1"/>
  <c r="M259" i="30"/>
  <c r="F249" i="37"/>
  <c r="Q248" i="37"/>
  <c r="U159" i="39"/>
  <c r="G159" i="39" s="1"/>
  <c r="D160" i="36" s="1"/>
  <c r="H159" i="39"/>
  <c r="G147" i="13" l="1"/>
  <c r="G202" i="7"/>
  <c r="Q202" i="7" s="1"/>
  <c r="V242" i="46"/>
  <c r="U243" i="46" s="1"/>
  <c r="K224" i="46"/>
  <c r="H224" i="46"/>
  <c r="A224" i="46"/>
  <c r="M224" i="46" s="1"/>
  <c r="L224" i="46"/>
  <c r="J224" i="46"/>
  <c r="I224" i="46"/>
  <c r="AF144" i="28"/>
  <c r="J144" i="28"/>
  <c r="AF209" i="40"/>
  <c r="Q209" i="40"/>
  <c r="X207" i="40"/>
  <c r="AC209" i="40"/>
  <c r="I209" i="40" s="1"/>
  <c r="J209" i="40"/>
  <c r="H257" i="33"/>
  <c r="Q257" i="33" s="1"/>
  <c r="H259" i="30"/>
  <c r="F260" i="30" s="1"/>
  <c r="I159" i="39"/>
  <c r="AC159" i="39" s="1"/>
  <c r="M249" i="37"/>
  <c r="K249" i="37"/>
  <c r="J249" i="37"/>
  <c r="I249" i="37"/>
  <c r="L249" i="37"/>
  <c r="O159" i="39"/>
  <c r="P159" i="39"/>
  <c r="R147" i="13" l="1"/>
  <c r="S147" i="13"/>
  <c r="F148" i="13"/>
  <c r="F203" i="7" s="1"/>
  <c r="R203" i="7" s="1"/>
  <c r="M148" i="13"/>
  <c r="L203" i="7" s="1"/>
  <c r="W243" i="46"/>
  <c r="Y243" i="46"/>
  <c r="Z243" i="46"/>
  <c r="AB242" i="46"/>
  <c r="X243" i="46"/>
  <c r="G224" i="46"/>
  <c r="J512" i="7"/>
  <c r="H144" i="28"/>
  <c r="R209" i="40"/>
  <c r="G210" i="40"/>
  <c r="P259" i="30"/>
  <c r="W257" i="30" s="1"/>
  <c r="Q259" i="30"/>
  <c r="K260" i="30"/>
  <c r="L260" i="30"/>
  <c r="M260" i="30"/>
  <c r="N260" i="30"/>
  <c r="J260" i="30" s="1"/>
  <c r="I260" i="30"/>
  <c r="P249" i="37"/>
  <c r="W247" i="37" s="1"/>
  <c r="H249" i="37"/>
  <c r="F160" i="39"/>
  <c r="Z160" i="39"/>
  <c r="C161" i="36"/>
  <c r="E160" i="36"/>
  <c r="L148" i="13" l="1"/>
  <c r="K203" i="7" s="1"/>
  <c r="V148" i="13"/>
  <c r="AB148" i="13"/>
  <c r="H148" i="13" s="1"/>
  <c r="H203" i="7" s="1"/>
  <c r="Y148" i="13"/>
  <c r="N148" i="13"/>
  <c r="M203" i="7" s="1"/>
  <c r="K148" i="13"/>
  <c r="J203" i="7" s="1"/>
  <c r="U148" i="13"/>
  <c r="E139" i="10"/>
  <c r="AC148" i="13"/>
  <c r="Z148" i="13"/>
  <c r="V243" i="46"/>
  <c r="U244" i="46" s="1"/>
  <c r="Z244" i="46" s="1"/>
  <c r="X148" i="13"/>
  <c r="Q224" i="46"/>
  <c r="F225" i="46" s="1"/>
  <c r="P224" i="46"/>
  <c r="F145" i="28"/>
  <c r="Q144" i="28"/>
  <c r="Q512" i="7" s="1"/>
  <c r="H512" i="7"/>
  <c r="R144" i="28"/>
  <c r="R512" i="7" s="1"/>
  <c r="L210" i="40"/>
  <c r="N210" i="40"/>
  <c r="AH210" i="40"/>
  <c r="AA210" i="40"/>
  <c r="AB210" i="40" s="1"/>
  <c r="AG210" i="40"/>
  <c r="AD210" i="40"/>
  <c r="M210" i="40"/>
  <c r="H260" i="30"/>
  <c r="P260" i="30" s="1"/>
  <c r="W258" i="30" s="1"/>
  <c r="F250" i="37"/>
  <c r="Q249" i="37"/>
  <c r="L160" i="39"/>
  <c r="Q160" i="39"/>
  <c r="Y160" i="39"/>
  <c r="X160" i="39" s="1"/>
  <c r="S160" i="39"/>
  <c r="T160" i="39" s="1"/>
  <c r="V160" i="39"/>
  <c r="K160" i="39"/>
  <c r="J160" i="39"/>
  <c r="J148" i="13" l="1"/>
  <c r="W148" i="13"/>
  <c r="AA148" i="13"/>
  <c r="X244" i="46"/>
  <c r="AB243" i="46"/>
  <c r="W244" i="46"/>
  <c r="Y244" i="46"/>
  <c r="I225" i="46"/>
  <c r="A225" i="46"/>
  <c r="M225" i="46" s="1"/>
  <c r="H225" i="46"/>
  <c r="K225" i="46"/>
  <c r="J225" i="46"/>
  <c r="L225" i="46"/>
  <c r="I162" i="13"/>
  <c r="K145" i="28"/>
  <c r="F513" i="7"/>
  <c r="S513" i="7" s="1"/>
  <c r="L145" i="28"/>
  <c r="L513" i="7" s="1"/>
  <c r="AG145" i="28"/>
  <c r="M145" i="28"/>
  <c r="M513" i="7" s="1"/>
  <c r="N145" i="28"/>
  <c r="AD145" i="28"/>
  <c r="AA145" i="28"/>
  <c r="J210" i="40"/>
  <c r="AC210" i="40"/>
  <c r="I210" i="40" s="1"/>
  <c r="AF210" i="40"/>
  <c r="Q210" i="40"/>
  <c r="X208" i="40"/>
  <c r="Q260" i="30"/>
  <c r="F261" i="30"/>
  <c r="K261" i="30" s="1"/>
  <c r="J250" i="37"/>
  <c r="K250" i="37"/>
  <c r="M250" i="37"/>
  <c r="I250" i="37"/>
  <c r="L250" i="37"/>
  <c r="U160" i="39"/>
  <c r="G160" i="39" s="1"/>
  <c r="D161" i="36" s="1"/>
  <c r="H160" i="39"/>
  <c r="G148" i="13" l="1"/>
  <c r="G203" i="7" s="1"/>
  <c r="V244" i="46"/>
  <c r="U245" i="46" s="1"/>
  <c r="G225" i="46"/>
  <c r="I217" i="7"/>
  <c r="I145" i="28"/>
  <c r="I513" i="7" s="1"/>
  <c r="N513" i="7"/>
  <c r="Z145" i="28"/>
  <c r="AB145" i="28" s="1"/>
  <c r="AE145" i="28"/>
  <c r="AC145" i="28" s="1"/>
  <c r="K513" i="7"/>
  <c r="X143" i="28"/>
  <c r="AH145" i="28"/>
  <c r="G211" i="40"/>
  <c r="R210" i="40"/>
  <c r="M261" i="30"/>
  <c r="I261" i="30"/>
  <c r="N261" i="30"/>
  <c r="J261" i="30" s="1"/>
  <c r="L261" i="30"/>
  <c r="I160" i="39"/>
  <c r="AC160" i="39" s="1"/>
  <c r="P250" i="37"/>
  <c r="W248" i="37" s="1"/>
  <c r="H250" i="37"/>
  <c r="O160" i="39"/>
  <c r="P160" i="39"/>
  <c r="Q203" i="7" l="1"/>
  <c r="R148" i="13"/>
  <c r="P203" i="7"/>
  <c r="S148" i="13"/>
  <c r="F149" i="13"/>
  <c r="AB244" i="46"/>
  <c r="Z245" i="46"/>
  <c r="X245" i="46"/>
  <c r="Y245" i="46"/>
  <c r="W245" i="46"/>
  <c r="P225" i="46"/>
  <c r="Q225" i="46"/>
  <c r="F226" i="46" s="1"/>
  <c r="AF145" i="28"/>
  <c r="J145" i="28"/>
  <c r="M211" i="40"/>
  <c r="N211" i="40"/>
  <c r="AH211" i="40"/>
  <c r="AG211" i="40"/>
  <c r="L211" i="40"/>
  <c r="AD211" i="40"/>
  <c r="AA211" i="40"/>
  <c r="AB211" i="40" s="1"/>
  <c r="H261" i="30"/>
  <c r="F262" i="30" s="1"/>
  <c r="F251" i="37"/>
  <c r="Q250" i="37"/>
  <c r="F161" i="39"/>
  <c r="Z161" i="39"/>
  <c r="C162" i="36"/>
  <c r="E161" i="36"/>
  <c r="Y149" i="13" l="1"/>
  <c r="V149" i="13"/>
  <c r="L149" i="13"/>
  <c r="K204" i="7" s="1"/>
  <c r="N149" i="13"/>
  <c r="AB149" i="13"/>
  <c r="H149" i="13" s="1"/>
  <c r="H204" i="7" s="1"/>
  <c r="M149" i="13"/>
  <c r="L204" i="7" s="1"/>
  <c r="K149" i="13"/>
  <c r="J204" i="7" s="1"/>
  <c r="F204" i="7"/>
  <c r="R204" i="7" s="1"/>
  <c r="V245" i="46"/>
  <c r="U246" i="46" s="1"/>
  <c r="K226" i="46"/>
  <c r="L226" i="46"/>
  <c r="J226" i="46"/>
  <c r="I226" i="46"/>
  <c r="A226" i="46"/>
  <c r="M226" i="46" s="1"/>
  <c r="H226" i="46"/>
  <c r="I163" i="13"/>
  <c r="H145" i="28"/>
  <c r="J513" i="7"/>
  <c r="AF211" i="40"/>
  <c r="AC211" i="40"/>
  <c r="I211" i="40" s="1"/>
  <c r="J211" i="40"/>
  <c r="X209" i="40"/>
  <c r="Q211" i="40"/>
  <c r="P261" i="30"/>
  <c r="W259" i="30" s="1"/>
  <c r="Q261" i="30"/>
  <c r="N262" i="30"/>
  <c r="J262" i="30" s="1"/>
  <c r="K262" i="30"/>
  <c r="L262" i="30"/>
  <c r="M262" i="30"/>
  <c r="I262" i="30"/>
  <c r="K251" i="37"/>
  <c r="M251" i="37"/>
  <c r="L251" i="37"/>
  <c r="I251" i="37"/>
  <c r="J251" i="37"/>
  <c r="L161" i="39"/>
  <c r="K161" i="39"/>
  <c r="Q161" i="39"/>
  <c r="J161" i="39"/>
  <c r="S161" i="39"/>
  <c r="T161" i="39" s="1"/>
  <c r="Y161" i="39"/>
  <c r="X161" i="39" s="1"/>
  <c r="V161" i="39"/>
  <c r="AC149" i="13" l="1"/>
  <c r="Z149" i="13"/>
  <c r="X149" i="13" s="1"/>
  <c r="U149" i="13"/>
  <c r="W149" i="13" s="1"/>
  <c r="M204" i="7"/>
  <c r="E140" i="10"/>
  <c r="W246" i="46"/>
  <c r="X246" i="46"/>
  <c r="Y246" i="46"/>
  <c r="Z246" i="46"/>
  <c r="AB245" i="46"/>
  <c r="G226" i="46"/>
  <c r="I218" i="7"/>
  <c r="Q145" i="28"/>
  <c r="Q513" i="7" s="1"/>
  <c r="R145" i="28"/>
  <c r="R513" i="7" s="1"/>
  <c r="F146" i="28"/>
  <c r="H513" i="7"/>
  <c r="G212" i="40"/>
  <c r="R211" i="40"/>
  <c r="H262" i="30"/>
  <c r="P251" i="37"/>
  <c r="W249" i="37" s="1"/>
  <c r="H251" i="37"/>
  <c r="F252" i="37" s="1"/>
  <c r="K252" i="37" s="1"/>
  <c r="U161" i="39"/>
  <c r="G161" i="39" s="1"/>
  <c r="D162" i="36" s="1"/>
  <c r="H161" i="39"/>
  <c r="AA149" i="13" l="1"/>
  <c r="J149" i="13"/>
  <c r="V246" i="46"/>
  <c r="U247" i="46" s="1"/>
  <c r="Z247" i="46"/>
  <c r="X247" i="46"/>
  <c r="Y247" i="46"/>
  <c r="W247" i="46"/>
  <c r="P226" i="46"/>
  <c r="Q226" i="46"/>
  <c r="F227" i="46" s="1"/>
  <c r="AA146" i="28"/>
  <c r="L146" i="28"/>
  <c r="L514" i="7" s="1"/>
  <c r="F514" i="7"/>
  <c r="S514" i="7" s="1"/>
  <c r="M146" i="28"/>
  <c r="M514" i="7" s="1"/>
  <c r="AD146" i="28"/>
  <c r="K146" i="28"/>
  <c r="K514" i="7" s="1"/>
  <c r="AG146" i="28"/>
  <c r="N146" i="28"/>
  <c r="N514" i="7" s="1"/>
  <c r="AD212" i="40"/>
  <c r="M212" i="40"/>
  <c r="AA212" i="40"/>
  <c r="AB212" i="40" s="1"/>
  <c r="AH212" i="40"/>
  <c r="L212" i="40"/>
  <c r="AG212" i="40"/>
  <c r="N212" i="40"/>
  <c r="Q262" i="30"/>
  <c r="P262" i="30"/>
  <c r="W260" i="30" s="1"/>
  <c r="F263" i="30"/>
  <c r="I161" i="39"/>
  <c r="AC161" i="39" s="1"/>
  <c r="Q251" i="37"/>
  <c r="J252" i="37"/>
  <c r="M252" i="37"/>
  <c r="I252" i="37"/>
  <c r="L252" i="37"/>
  <c r="O161" i="39"/>
  <c r="P161" i="39"/>
  <c r="G149" i="13" l="1"/>
  <c r="AB246" i="46"/>
  <c r="AB5" i="46" s="1"/>
  <c r="V247" i="46"/>
  <c r="K227" i="46"/>
  <c r="L227" i="46"/>
  <c r="A227" i="46"/>
  <c r="M227" i="46" s="1"/>
  <c r="I227" i="46"/>
  <c r="H227" i="46"/>
  <c r="J227" i="46"/>
  <c r="I146" i="28"/>
  <c r="I514" i="7" s="1"/>
  <c r="X144" i="28"/>
  <c r="AH146" i="28"/>
  <c r="AF146" i="28" s="1"/>
  <c r="AE146" i="28"/>
  <c r="AC146" i="28" s="1"/>
  <c r="Z146" i="28"/>
  <c r="AB146" i="28" s="1"/>
  <c r="AF212" i="40"/>
  <c r="X210" i="40"/>
  <c r="Q212" i="40"/>
  <c r="AC212" i="40"/>
  <c r="I212" i="40" s="1"/>
  <c r="J212" i="40"/>
  <c r="N263" i="30"/>
  <c r="N265" i="30" s="1"/>
  <c r="I263" i="30"/>
  <c r="I265" i="30" s="1"/>
  <c r="M263" i="30"/>
  <c r="M265" i="30" s="1"/>
  <c r="L263" i="30"/>
  <c r="L265" i="30" s="1"/>
  <c r="K263" i="30"/>
  <c r="K265" i="30" s="1"/>
  <c r="P252" i="37"/>
  <c r="W250" i="37" s="1"/>
  <c r="H252" i="37"/>
  <c r="F253" i="37" s="1"/>
  <c r="K253" i="37" s="1"/>
  <c r="C163" i="36"/>
  <c r="E162" i="36"/>
  <c r="F162" i="39"/>
  <c r="Z162" i="39"/>
  <c r="S149" i="13" l="1"/>
  <c r="G204" i="7"/>
  <c r="R149" i="13"/>
  <c r="F150" i="13"/>
  <c r="U248" i="46"/>
  <c r="W248" i="46" s="1"/>
  <c r="AB247" i="46"/>
  <c r="G227" i="46"/>
  <c r="I164" i="13"/>
  <c r="J146" i="28"/>
  <c r="H146" i="28" s="1"/>
  <c r="R212" i="40"/>
  <c r="G213" i="40"/>
  <c r="J263" i="30"/>
  <c r="H263" i="30" s="1"/>
  <c r="P263" i="30" s="1"/>
  <c r="I253" i="37"/>
  <c r="M253" i="37"/>
  <c r="Q252" i="37"/>
  <c r="L253" i="37"/>
  <c r="J253" i="37"/>
  <c r="Y162" i="39"/>
  <c r="X162" i="39" s="1"/>
  <c r="J162" i="39"/>
  <c r="L162" i="39"/>
  <c r="Q162" i="39"/>
  <c r="S162" i="39"/>
  <c r="T162" i="39" s="1"/>
  <c r="K162" i="39"/>
  <c r="V162" i="39"/>
  <c r="P204" i="7" l="1"/>
  <c r="Q204" i="7"/>
  <c r="Z150" i="13"/>
  <c r="U150" i="13"/>
  <c r="W150" i="13" s="1"/>
  <c r="M150" i="13"/>
  <c r="L205" i="7" s="1"/>
  <c r="Y150" i="13"/>
  <c r="F205" i="7"/>
  <c r="R205" i="7" s="1"/>
  <c r="K150" i="13"/>
  <c r="J205" i="7" s="1"/>
  <c r="N150" i="13"/>
  <c r="AB150" i="13"/>
  <c r="H150" i="13" s="1"/>
  <c r="H205" i="7" s="1"/>
  <c r="V150" i="13"/>
  <c r="L150" i="13"/>
  <c r="K205" i="7" s="1"/>
  <c r="P227" i="46"/>
  <c r="X248" i="46"/>
  <c r="V248" i="46" s="1"/>
  <c r="Y248" i="46"/>
  <c r="Z248" i="46"/>
  <c r="Q227" i="46"/>
  <c r="F228" i="46" s="1"/>
  <c r="I219" i="7"/>
  <c r="J514" i="7"/>
  <c r="Q146" i="28"/>
  <c r="Q514" i="7" s="1"/>
  <c r="H514" i="7"/>
  <c r="F147" i="28"/>
  <c r="R146" i="28"/>
  <c r="R514" i="7" s="1"/>
  <c r="AG213" i="40"/>
  <c r="L213" i="40"/>
  <c r="N213" i="40"/>
  <c r="AD213" i="40"/>
  <c r="AH213" i="40"/>
  <c r="M213" i="40"/>
  <c r="AA213" i="40"/>
  <c r="AB213" i="40" s="1"/>
  <c r="J265" i="30"/>
  <c r="W261" i="30"/>
  <c r="U4" i="30" s="1"/>
  <c r="U5" i="30" s="1"/>
  <c r="U6" i="30" s="1"/>
  <c r="P265" i="30"/>
  <c r="H265" i="30"/>
  <c r="Q263" i="30"/>
  <c r="P253" i="37"/>
  <c r="W251" i="37" s="1"/>
  <c r="H253" i="37"/>
  <c r="Q253" i="37" s="1"/>
  <c r="U162" i="39"/>
  <c r="G162" i="39" s="1"/>
  <c r="D163" i="36" s="1"/>
  <c r="H162" i="39"/>
  <c r="AC150" i="13" l="1"/>
  <c r="M205" i="7"/>
  <c r="E141" i="10"/>
  <c r="X150" i="13"/>
  <c r="A228" i="46"/>
  <c r="M228" i="46" s="1"/>
  <c r="J228" i="46"/>
  <c r="L228" i="46"/>
  <c r="I228" i="46"/>
  <c r="U249" i="46"/>
  <c r="AB248" i="46"/>
  <c r="K228" i="46"/>
  <c r="H228" i="46"/>
  <c r="AG147" i="28"/>
  <c r="L147" i="28"/>
  <c r="L515" i="7" s="1"/>
  <c r="F515" i="7"/>
  <c r="S515" i="7" s="1"/>
  <c r="AD147" i="28"/>
  <c r="AA147" i="28"/>
  <c r="M147" i="28"/>
  <c r="M515" i="7" s="1"/>
  <c r="K147" i="28"/>
  <c r="N147" i="28"/>
  <c r="Z147" i="28" s="1"/>
  <c r="AF213" i="40"/>
  <c r="AC213" i="40"/>
  <c r="I213" i="40" s="1"/>
  <c r="J213" i="40"/>
  <c r="Q213" i="40"/>
  <c r="X211" i="40"/>
  <c r="I162" i="39"/>
  <c r="AC162" i="39" s="1"/>
  <c r="F254" i="37"/>
  <c r="I254" i="37" s="1"/>
  <c r="O162" i="39"/>
  <c r="P162" i="39"/>
  <c r="AA150" i="13" l="1"/>
  <c r="J150" i="13"/>
  <c r="G150" i="13" s="1"/>
  <c r="G228" i="46"/>
  <c r="Z249" i="46"/>
  <c r="X249" i="46"/>
  <c r="Y249" i="46"/>
  <c r="W249" i="46"/>
  <c r="I147" i="28"/>
  <c r="I515" i="7" s="1"/>
  <c r="AB147" i="28"/>
  <c r="K515" i="7"/>
  <c r="X145" i="28"/>
  <c r="N515" i="7"/>
  <c r="AE147" i="28"/>
  <c r="AC147" i="28" s="1"/>
  <c r="AH147" i="28"/>
  <c r="G214" i="40"/>
  <c r="R213" i="40"/>
  <c r="L254" i="37"/>
  <c r="J254" i="37"/>
  <c r="H254" i="37" s="1"/>
  <c r="Q254" i="37" s="1"/>
  <c r="K254" i="37"/>
  <c r="M254" i="37"/>
  <c r="Z163" i="39"/>
  <c r="F163" i="39"/>
  <c r="E163" i="36"/>
  <c r="C164" i="36"/>
  <c r="F151" i="13" l="1"/>
  <c r="R150" i="13"/>
  <c r="S150" i="13"/>
  <c r="G205" i="7"/>
  <c r="Q228" i="46"/>
  <c r="F229" i="46" s="1"/>
  <c r="P228" i="46"/>
  <c r="V249" i="46"/>
  <c r="U250" i="46"/>
  <c r="AB249" i="46"/>
  <c r="AF147" i="28"/>
  <c r="J147" i="28"/>
  <c r="L214" i="40"/>
  <c r="M214" i="40"/>
  <c r="N214" i="40"/>
  <c r="AG214" i="40"/>
  <c r="AD214" i="40"/>
  <c r="AA214" i="40"/>
  <c r="AB214" i="40" s="1"/>
  <c r="AH214" i="40"/>
  <c r="P254" i="37"/>
  <c r="W252" i="37" s="1"/>
  <c r="F255" i="37"/>
  <c r="K255" i="37" s="1"/>
  <c r="J163" i="39"/>
  <c r="Q163" i="39"/>
  <c r="V163" i="39"/>
  <c r="S163" i="39"/>
  <c r="T163" i="39" s="1"/>
  <c r="K163" i="39"/>
  <c r="L163" i="39"/>
  <c r="Y163" i="39"/>
  <c r="X163" i="39" s="1"/>
  <c r="Z151" i="13" l="1"/>
  <c r="X151" i="13" s="1"/>
  <c r="U151" i="13"/>
  <c r="W151" i="13" s="1"/>
  <c r="N151" i="13"/>
  <c r="AB151" i="13"/>
  <c r="H151" i="13" s="1"/>
  <c r="H206" i="7" s="1"/>
  <c r="Y151" i="13"/>
  <c r="V151" i="13"/>
  <c r="M151" i="13"/>
  <c r="L206" i="7" s="1"/>
  <c r="L151" i="13"/>
  <c r="K206" i="7" s="1"/>
  <c r="K151" i="13"/>
  <c r="J206" i="7" s="1"/>
  <c r="E142" i="10" s="1"/>
  <c r="F206" i="7"/>
  <c r="R206" i="7" s="1"/>
  <c r="Q205" i="7"/>
  <c r="P205" i="7"/>
  <c r="A229" i="46"/>
  <c r="M229" i="46" s="1"/>
  <c r="J229" i="46"/>
  <c r="L229" i="46"/>
  <c r="I229" i="46"/>
  <c r="H229" i="46"/>
  <c r="K229" i="46"/>
  <c r="Z250" i="46"/>
  <c r="W250" i="46"/>
  <c r="X250" i="46"/>
  <c r="Y250" i="46"/>
  <c r="I165" i="13"/>
  <c r="H147" i="28"/>
  <c r="J515" i="7"/>
  <c r="AF214" i="40"/>
  <c r="AC214" i="40"/>
  <c r="I214" i="40" s="1"/>
  <c r="J214" i="40"/>
  <c r="X212" i="40"/>
  <c r="Q214" i="40"/>
  <c r="J255" i="37"/>
  <c r="I255" i="37"/>
  <c r="L255" i="37"/>
  <c r="M255" i="37"/>
  <c r="H163" i="39"/>
  <c r="U163" i="39"/>
  <c r="G163" i="39" s="1"/>
  <c r="D164" i="36" s="1"/>
  <c r="AC151" i="13" l="1"/>
  <c r="M206" i="7"/>
  <c r="G229" i="46"/>
  <c r="P229" i="46"/>
  <c r="Q229" i="46"/>
  <c r="F230" i="46" s="1"/>
  <c r="V250" i="46"/>
  <c r="I220" i="7"/>
  <c r="H515" i="7"/>
  <c r="Q147" i="28"/>
  <c r="Q515" i="7" s="1"/>
  <c r="R147" i="28"/>
  <c r="R515" i="7" s="1"/>
  <c r="F148" i="28"/>
  <c r="G215" i="40"/>
  <c r="R214" i="40"/>
  <c r="I163" i="39"/>
  <c r="AC163" i="39" s="1"/>
  <c r="H255" i="37"/>
  <c r="F256" i="37" s="1"/>
  <c r="P255" i="37"/>
  <c r="W253" i="37" s="1"/>
  <c r="O163" i="39"/>
  <c r="P163" i="39"/>
  <c r="AA151" i="13" l="1"/>
  <c r="J151" i="13"/>
  <c r="G151" i="13" s="1"/>
  <c r="J230" i="46"/>
  <c r="I230" i="46"/>
  <c r="L230" i="46"/>
  <c r="A230" i="46"/>
  <c r="M230" i="46" s="1"/>
  <c r="K230" i="46"/>
  <c r="H230" i="46"/>
  <c r="AB250" i="46"/>
  <c r="U251" i="46"/>
  <c r="AD148" i="28"/>
  <c r="M148" i="28"/>
  <c r="M516" i="7" s="1"/>
  <c r="N148" i="28"/>
  <c r="F516" i="7"/>
  <c r="S516" i="7" s="1"/>
  <c r="L148" i="28"/>
  <c r="L516" i="7" s="1"/>
  <c r="K148" i="28"/>
  <c r="K516" i="7" s="1"/>
  <c r="AA148" i="28"/>
  <c r="AG148" i="28"/>
  <c r="L215" i="40"/>
  <c r="AH215" i="40"/>
  <c r="AG215" i="40"/>
  <c r="AD215" i="40"/>
  <c r="M215" i="40"/>
  <c r="N215" i="40"/>
  <c r="AA215" i="40"/>
  <c r="AB215" i="40" s="1"/>
  <c r="Q255" i="37"/>
  <c r="K256" i="37"/>
  <c r="L256" i="37"/>
  <c r="M256" i="37"/>
  <c r="J256" i="37"/>
  <c r="I256" i="37"/>
  <c r="Z164" i="39"/>
  <c r="F164" i="39"/>
  <c r="C165" i="36"/>
  <c r="E164" i="36"/>
  <c r="F152" i="13" l="1"/>
  <c r="S151" i="13"/>
  <c r="R151" i="13"/>
  <c r="G206" i="7"/>
  <c r="G230" i="46"/>
  <c r="Z251" i="46"/>
  <c r="X251" i="46"/>
  <c r="Y251" i="46"/>
  <c r="W251" i="46"/>
  <c r="I166" i="13"/>
  <c r="X146" i="28"/>
  <c r="N516" i="7"/>
  <c r="AH148" i="28"/>
  <c r="AE148" i="28"/>
  <c r="AC148" i="28" s="1"/>
  <c r="I148" i="28"/>
  <c r="I516" i="7" s="1"/>
  <c r="Z148" i="28"/>
  <c r="AB148" i="28" s="1"/>
  <c r="AF215" i="40"/>
  <c r="AC215" i="40"/>
  <c r="I215" i="40" s="1"/>
  <c r="J215" i="40"/>
  <c r="Q215" i="40"/>
  <c r="X213" i="40"/>
  <c r="P256" i="37"/>
  <c r="W254" i="37" s="1"/>
  <c r="H256" i="37"/>
  <c r="L164" i="39"/>
  <c r="V164" i="39"/>
  <c r="S164" i="39"/>
  <c r="T164" i="39" s="1"/>
  <c r="Q164" i="39"/>
  <c r="K164" i="39"/>
  <c r="J164" i="39"/>
  <c r="Y164" i="39"/>
  <c r="X164" i="39" s="1"/>
  <c r="Y152" i="13" l="1"/>
  <c r="M152" i="13"/>
  <c r="L207" i="7" s="1"/>
  <c r="N152" i="13"/>
  <c r="K152" i="13"/>
  <c r="J207" i="7" s="1"/>
  <c r="V152" i="13"/>
  <c r="L152" i="13"/>
  <c r="K207" i="7" s="1"/>
  <c r="AB152" i="13"/>
  <c r="H152" i="13" s="1"/>
  <c r="H207" i="7" s="1"/>
  <c r="F207" i="7"/>
  <c r="R207" i="7" s="1"/>
  <c r="P206" i="7"/>
  <c r="Q206" i="7"/>
  <c r="Q230" i="46"/>
  <c r="F231" i="46" s="1"/>
  <c r="P230" i="46"/>
  <c r="V251" i="46"/>
  <c r="I221" i="7"/>
  <c r="AF148" i="28"/>
  <c r="J148" i="28"/>
  <c r="R215" i="40"/>
  <c r="G216" i="40"/>
  <c r="Q256" i="37"/>
  <c r="F257" i="37"/>
  <c r="U164" i="39"/>
  <c r="G164" i="39" s="1"/>
  <c r="D165" i="36" s="1"/>
  <c r="H164" i="39"/>
  <c r="AC152" i="13" l="1"/>
  <c r="M207" i="7"/>
  <c r="U152" i="13"/>
  <c r="W152" i="13" s="1"/>
  <c r="Z152" i="13"/>
  <c r="X152" i="13" s="1"/>
  <c r="E143" i="10"/>
  <c r="I231" i="46"/>
  <c r="A231" i="46"/>
  <c r="M231" i="46" s="1"/>
  <c r="L231" i="46"/>
  <c r="K231" i="46"/>
  <c r="J231" i="46"/>
  <c r="H231" i="46"/>
  <c r="U252" i="46"/>
  <c r="AB251" i="46"/>
  <c r="H148" i="28"/>
  <c r="J516" i="7"/>
  <c r="N216" i="40"/>
  <c r="AD216" i="40"/>
  <c r="M216" i="40"/>
  <c r="AH216" i="40"/>
  <c r="AG216" i="40"/>
  <c r="AA216" i="40"/>
  <c r="AB216" i="40" s="1"/>
  <c r="L216" i="40"/>
  <c r="I164" i="39"/>
  <c r="AC164" i="39" s="1"/>
  <c r="J257" i="37"/>
  <c r="J259" i="37" s="1"/>
  <c r="M257" i="37"/>
  <c r="M259" i="37" s="1"/>
  <c r="L257" i="37"/>
  <c r="L259" i="37" s="1"/>
  <c r="K257" i="37"/>
  <c r="K259" i="37" s="1"/>
  <c r="I257" i="37"/>
  <c r="I259" i="37" s="1"/>
  <c r="O164" i="39"/>
  <c r="P164" i="39"/>
  <c r="AA152" i="13" l="1"/>
  <c r="J152" i="13"/>
  <c r="G152" i="13" s="1"/>
  <c r="G231" i="46"/>
  <c r="X252" i="46"/>
  <c r="Z252" i="46"/>
  <c r="Y252" i="46"/>
  <c r="W252" i="46"/>
  <c r="R148" i="28"/>
  <c r="R516" i="7" s="1"/>
  <c r="H516" i="7"/>
  <c r="F149" i="28"/>
  <c r="Q148" i="28"/>
  <c r="Q516" i="7" s="1"/>
  <c r="AF216" i="40"/>
  <c r="X214" i="40"/>
  <c r="Q216" i="40"/>
  <c r="J216" i="40"/>
  <c r="AC216" i="40"/>
  <c r="I216" i="40" s="1"/>
  <c r="H257" i="37"/>
  <c r="Q257" i="37" s="1"/>
  <c r="P257" i="37"/>
  <c r="F165" i="39"/>
  <c r="Z165" i="39"/>
  <c r="C166" i="36"/>
  <c r="E165" i="36"/>
  <c r="S152" i="13" l="1"/>
  <c r="R152" i="13"/>
  <c r="F153" i="13"/>
  <c r="G207" i="7"/>
  <c r="Q231" i="46"/>
  <c r="F232" i="46" s="1"/>
  <c r="P231" i="46"/>
  <c r="V252" i="46"/>
  <c r="U253" i="46" s="1"/>
  <c r="I167" i="13"/>
  <c r="F517" i="7"/>
  <c r="S517" i="7" s="1"/>
  <c r="AA149" i="28"/>
  <c r="L149" i="28"/>
  <c r="L517" i="7" s="1"/>
  <c r="M149" i="28"/>
  <c r="M517" i="7" s="1"/>
  <c r="K149" i="28"/>
  <c r="K517" i="7" s="1"/>
  <c r="AD149" i="28"/>
  <c r="AG149" i="28"/>
  <c r="N149" i="28"/>
  <c r="N517" i="7" s="1"/>
  <c r="R216" i="40"/>
  <c r="G217" i="40"/>
  <c r="H259" i="37"/>
  <c r="W255" i="37"/>
  <c r="U4" i="37" s="1"/>
  <c r="U5" i="37" s="1"/>
  <c r="U6" i="37" s="1"/>
  <c r="P259" i="37"/>
  <c r="J165" i="39"/>
  <c r="L165" i="39"/>
  <c r="V165" i="39"/>
  <c r="K165" i="39"/>
  <c r="S165" i="39"/>
  <c r="T165" i="39" s="1"/>
  <c r="Q165" i="39"/>
  <c r="Y165" i="39"/>
  <c r="X165" i="39" s="1"/>
  <c r="V153" i="13" l="1"/>
  <c r="N153" i="13"/>
  <c r="M208" i="7" s="1"/>
  <c r="M153" i="13"/>
  <c r="L208" i="7" s="1"/>
  <c r="Y153" i="13"/>
  <c r="F208" i="7"/>
  <c r="R208" i="7" s="1"/>
  <c r="L153" i="13"/>
  <c r="K208" i="7" s="1"/>
  <c r="AB153" i="13"/>
  <c r="H153" i="13" s="1"/>
  <c r="H208" i="7" s="1"/>
  <c r="K153" i="13"/>
  <c r="J208" i="7" s="1"/>
  <c r="P207" i="7"/>
  <c r="Q207" i="7"/>
  <c r="Z153" i="13"/>
  <c r="AC153" i="13"/>
  <c r="U153" i="13"/>
  <c r="X153" i="13"/>
  <c r="W153" i="13"/>
  <c r="I232" i="46"/>
  <c r="J232" i="46"/>
  <c r="K232" i="46"/>
  <c r="H232" i="46"/>
  <c r="L232" i="46"/>
  <c r="A232" i="46"/>
  <c r="M232" i="46" s="1"/>
  <c r="AB252" i="46"/>
  <c r="W253" i="46"/>
  <c r="Z253" i="46"/>
  <c r="Y253" i="46"/>
  <c r="X253" i="46"/>
  <c r="I222" i="7"/>
  <c r="I149" i="28"/>
  <c r="I517" i="7" s="1"/>
  <c r="Z149" i="28"/>
  <c r="AB149" i="28" s="1"/>
  <c r="AH149" i="28"/>
  <c r="AF149" i="28" s="1"/>
  <c r="X147" i="28"/>
  <c r="AE149" i="28"/>
  <c r="AC149" i="28" s="1"/>
  <c r="N217" i="40"/>
  <c r="AA217" i="40"/>
  <c r="AB217" i="40" s="1"/>
  <c r="AH217" i="40"/>
  <c r="AG217" i="40"/>
  <c r="L217" i="40"/>
  <c r="M217" i="40"/>
  <c r="AD217" i="40"/>
  <c r="J83" i="9"/>
  <c r="J79" i="9"/>
  <c r="J81" i="9"/>
  <c r="J78" i="9"/>
  <c r="J82" i="9"/>
  <c r="J80" i="9"/>
  <c r="G72" i="9" s="1"/>
  <c r="U165" i="39"/>
  <c r="G165" i="39" s="1"/>
  <c r="D166" i="36" s="1"/>
  <c r="H165" i="39"/>
  <c r="E144" i="10" l="1"/>
  <c r="AA153" i="13"/>
  <c r="J153" i="13"/>
  <c r="G153" i="13"/>
  <c r="G208" i="7" s="1"/>
  <c r="G232" i="46"/>
  <c r="V253" i="46"/>
  <c r="J149" i="28"/>
  <c r="H149" i="28" s="1"/>
  <c r="AF217" i="40"/>
  <c r="AC217" i="40"/>
  <c r="I217" i="40" s="1"/>
  <c r="J217" i="40"/>
  <c r="Q217" i="40"/>
  <c r="X215" i="40"/>
  <c r="I165" i="39"/>
  <c r="AC165" i="39" s="1"/>
  <c r="O165" i="39"/>
  <c r="P165" i="39"/>
  <c r="Q208" i="7" l="1"/>
  <c r="P208" i="7"/>
  <c r="R153" i="13"/>
  <c r="S153" i="13"/>
  <c r="F154" i="13"/>
  <c r="Q232" i="46"/>
  <c r="F233" i="46" s="1"/>
  <c r="P232" i="46"/>
  <c r="AB253" i="46"/>
  <c r="U254" i="46"/>
  <c r="J517" i="7"/>
  <c r="H517" i="7"/>
  <c r="Q149" i="28"/>
  <c r="Q517" i="7" s="1"/>
  <c r="R149" i="28"/>
  <c r="R517" i="7" s="1"/>
  <c r="F150" i="28"/>
  <c r="R217" i="40"/>
  <c r="G218" i="40"/>
  <c r="F166" i="39"/>
  <c r="Z166" i="39"/>
  <c r="C167" i="36"/>
  <c r="E166" i="36"/>
  <c r="F209" i="7" l="1"/>
  <c r="R209" i="7" s="1"/>
  <c r="M154" i="13"/>
  <c r="L209" i="7" s="1"/>
  <c r="AB154" i="13"/>
  <c r="V154" i="13"/>
  <c r="L154" i="13"/>
  <c r="K209" i="7" s="1"/>
  <c r="N154" i="13"/>
  <c r="M209" i="7" s="1"/>
  <c r="Y154" i="13"/>
  <c r="K154" i="13"/>
  <c r="J209" i="7" s="1"/>
  <c r="K233" i="46"/>
  <c r="L233" i="46"/>
  <c r="A233" i="46"/>
  <c r="M233" i="46" s="1"/>
  <c r="I233" i="46"/>
  <c r="H233" i="46"/>
  <c r="J233" i="46"/>
  <c r="X254" i="46"/>
  <c r="Y254" i="46"/>
  <c r="W254" i="46"/>
  <c r="Z254" i="46"/>
  <c r="I168" i="13"/>
  <c r="F518" i="7"/>
  <c r="S518" i="7" s="1"/>
  <c r="M150" i="28"/>
  <c r="M518" i="7" s="1"/>
  <c r="AD150" i="28"/>
  <c r="N150" i="28"/>
  <c r="N518" i="7" s="1"/>
  <c r="L150" i="28"/>
  <c r="L518" i="7" s="1"/>
  <c r="AA150" i="28"/>
  <c r="AG150" i="28"/>
  <c r="K150" i="28"/>
  <c r="K518" i="7" s="1"/>
  <c r="M218" i="40"/>
  <c r="N218" i="40"/>
  <c r="AG218" i="40"/>
  <c r="AA218" i="40"/>
  <c r="AB218" i="40" s="1"/>
  <c r="L218" i="40"/>
  <c r="AH218" i="40"/>
  <c r="AD218" i="40"/>
  <c r="S166" i="39"/>
  <c r="T166" i="39" s="1"/>
  <c r="V166" i="39"/>
  <c r="K166" i="39"/>
  <c r="J166" i="39"/>
  <c r="L166" i="39"/>
  <c r="Q166" i="39"/>
  <c r="Y166" i="39"/>
  <c r="X166" i="39" s="1"/>
  <c r="U154" i="13" l="1"/>
  <c r="Z154" i="13"/>
  <c r="AC154" i="13"/>
  <c r="H154" i="13"/>
  <c r="H209" i="7" s="1"/>
  <c r="G233" i="46"/>
  <c r="V254" i="46"/>
  <c r="I223" i="7"/>
  <c r="I150" i="28"/>
  <c r="I518" i="7" s="1"/>
  <c r="Z150" i="28"/>
  <c r="AB150" i="28" s="1"/>
  <c r="AH150" i="28"/>
  <c r="AE150" i="28"/>
  <c r="AC150" i="28" s="1"/>
  <c r="X148" i="28"/>
  <c r="AF218" i="40"/>
  <c r="AC218" i="40"/>
  <c r="I218" i="40" s="1"/>
  <c r="J218" i="40"/>
  <c r="Q218" i="40"/>
  <c r="X216" i="40"/>
  <c r="U166" i="39"/>
  <c r="G166" i="39" s="1"/>
  <c r="D167" i="36" s="1"/>
  <c r="H166" i="39"/>
  <c r="U255" i="46" l="1"/>
  <c r="AB254" i="46"/>
  <c r="J154" i="13"/>
  <c r="X154" i="13"/>
  <c r="W154" i="13"/>
  <c r="AA154" i="13"/>
  <c r="P233" i="46"/>
  <c r="Q233" i="46"/>
  <c r="F234" i="46" s="1"/>
  <c r="AF150" i="28"/>
  <c r="J150" i="28"/>
  <c r="R218" i="40"/>
  <c r="G219" i="40"/>
  <c r="I166" i="39"/>
  <c r="AC166" i="39" s="1"/>
  <c r="O166" i="39"/>
  <c r="P166" i="39"/>
  <c r="Y255" i="46" l="1"/>
  <c r="W255" i="46"/>
  <c r="X255" i="46"/>
  <c r="Z255" i="46"/>
  <c r="G154" i="13"/>
  <c r="G209" i="7" s="1"/>
  <c r="Q209" i="7" s="1"/>
  <c r="H234" i="46"/>
  <c r="A234" i="46"/>
  <c r="M234" i="46" s="1"/>
  <c r="I234" i="46"/>
  <c r="K234" i="46"/>
  <c r="L234" i="46"/>
  <c r="J234" i="46"/>
  <c r="I169" i="13"/>
  <c r="I224" i="7" s="1"/>
  <c r="J518" i="7"/>
  <c r="H150" i="28"/>
  <c r="M219" i="40"/>
  <c r="AA219" i="40"/>
  <c r="AB219" i="40" s="1"/>
  <c r="L219" i="40"/>
  <c r="AG219" i="40"/>
  <c r="N219" i="40"/>
  <c r="AH219" i="40"/>
  <c r="AD219" i="40"/>
  <c r="Z167" i="39"/>
  <c r="F167" i="39"/>
  <c r="E167" i="36"/>
  <c r="C168" i="36"/>
  <c r="V255" i="46" l="1"/>
  <c r="S154" i="13"/>
  <c r="F155" i="13"/>
  <c r="R154" i="13"/>
  <c r="G234" i="46"/>
  <c r="H518" i="7"/>
  <c r="Q150" i="28"/>
  <c r="Q518" i="7" s="1"/>
  <c r="F151" i="28"/>
  <c r="R150" i="28"/>
  <c r="R518" i="7" s="1"/>
  <c r="AF219" i="40"/>
  <c r="AC219" i="40"/>
  <c r="I219" i="40" s="1"/>
  <c r="J219" i="40"/>
  <c r="Q219" i="40"/>
  <c r="X217" i="40"/>
  <c r="K167" i="39"/>
  <c r="S167" i="39"/>
  <c r="T167" i="39" s="1"/>
  <c r="L167" i="39"/>
  <c r="Q167" i="39"/>
  <c r="Y167" i="39"/>
  <c r="X167" i="39" s="1"/>
  <c r="J167" i="39"/>
  <c r="V167" i="39"/>
  <c r="U256" i="46" l="1"/>
  <c r="AB255" i="46"/>
  <c r="F210" i="7"/>
  <c r="R210" i="7" s="1"/>
  <c r="L155" i="13"/>
  <c r="K210" i="7" s="1"/>
  <c r="K155" i="13"/>
  <c r="J210" i="7" s="1"/>
  <c r="AB155" i="13"/>
  <c r="M155" i="13"/>
  <c r="L210" i="7" s="1"/>
  <c r="V155" i="13"/>
  <c r="Y155" i="13"/>
  <c r="N155" i="13"/>
  <c r="M210" i="7" s="1"/>
  <c r="Q234" i="46"/>
  <c r="F235" i="46" s="1"/>
  <c r="P234" i="46"/>
  <c r="Z256" i="46"/>
  <c r="W256" i="46"/>
  <c r="X256" i="46"/>
  <c r="L151" i="28"/>
  <c r="L519" i="7" s="1"/>
  <c r="F519" i="7"/>
  <c r="S519" i="7" s="1"/>
  <c r="AG151" i="28"/>
  <c r="N151" i="28"/>
  <c r="N519" i="7" s="1"/>
  <c r="K151" i="28"/>
  <c r="K519" i="7" s="1"/>
  <c r="AA151" i="28"/>
  <c r="M151" i="28"/>
  <c r="M519" i="7" s="1"/>
  <c r="AD151" i="28"/>
  <c r="G220" i="40"/>
  <c r="R219" i="40"/>
  <c r="U167" i="39"/>
  <c r="G167" i="39" s="1"/>
  <c r="D168" i="36" s="1"/>
  <c r="H167" i="39"/>
  <c r="H155" i="13" l="1"/>
  <c r="H210" i="7" s="1"/>
  <c r="Y256" i="46"/>
  <c r="U155" i="13"/>
  <c r="Z155" i="13"/>
  <c r="AC155" i="13"/>
  <c r="E146" i="10"/>
  <c r="J235" i="46"/>
  <c r="H235" i="46"/>
  <c r="K235" i="46"/>
  <c r="L235" i="46"/>
  <c r="A235" i="46"/>
  <c r="M235" i="46" s="1"/>
  <c r="I235" i="46"/>
  <c r="V256" i="46"/>
  <c r="I151" i="28"/>
  <c r="I519" i="7" s="1"/>
  <c r="AH151" i="28"/>
  <c r="AF151" i="28" s="1"/>
  <c r="Z151" i="28"/>
  <c r="AB151" i="28" s="1"/>
  <c r="X149" i="28"/>
  <c r="AE151" i="28"/>
  <c r="AC151" i="28" s="1"/>
  <c r="M220" i="40"/>
  <c r="N220" i="40"/>
  <c r="L220" i="40"/>
  <c r="AD220" i="40"/>
  <c r="AH220" i="40"/>
  <c r="AA220" i="40"/>
  <c r="AB220" i="40" s="1"/>
  <c r="AG220" i="40"/>
  <c r="I167" i="39"/>
  <c r="AC167" i="39" s="1"/>
  <c r="O167" i="39"/>
  <c r="P167" i="39"/>
  <c r="W155" i="13" l="1"/>
  <c r="X155" i="13"/>
  <c r="J155" i="13"/>
  <c r="AA155" i="13"/>
  <c r="G235" i="46"/>
  <c r="U257" i="46"/>
  <c r="W257" i="46" s="1"/>
  <c r="AB256" i="46"/>
  <c r="J151" i="28"/>
  <c r="H151" i="28" s="1"/>
  <c r="AF220" i="40"/>
  <c r="J220" i="40"/>
  <c r="AC220" i="40"/>
  <c r="I220" i="40" s="1"/>
  <c r="X218" i="40"/>
  <c r="Q220" i="40"/>
  <c r="F168" i="39"/>
  <c r="Z168" i="39"/>
  <c r="E168" i="36"/>
  <c r="C169" i="36"/>
  <c r="G155" i="13" l="1"/>
  <c r="G210" i="7" s="1"/>
  <c r="P235" i="46"/>
  <c r="Q235" i="46"/>
  <c r="F236" i="46" s="1"/>
  <c r="X257" i="46"/>
  <c r="Z257" i="46"/>
  <c r="Y257" i="46"/>
  <c r="I170" i="13"/>
  <c r="I225" i="7" s="1"/>
  <c r="J519" i="7"/>
  <c r="R151" i="28"/>
  <c r="R519" i="7" s="1"/>
  <c r="H519" i="7"/>
  <c r="Q151" i="28"/>
  <c r="Q519" i="7" s="1"/>
  <c r="F152" i="28"/>
  <c r="R220" i="40"/>
  <c r="G221" i="40"/>
  <c r="J168" i="39"/>
  <c r="Q168" i="39"/>
  <c r="Y168" i="39"/>
  <c r="X168" i="39" s="1"/>
  <c r="L168" i="39"/>
  <c r="V168" i="39"/>
  <c r="S168" i="39"/>
  <c r="T168" i="39" s="1"/>
  <c r="K168" i="39"/>
  <c r="Q210" i="7" l="1"/>
  <c r="P210" i="7"/>
  <c r="F156" i="13"/>
  <c r="F211" i="7" s="1"/>
  <c r="R211" i="7" s="1"/>
  <c r="R155" i="13"/>
  <c r="S155" i="13"/>
  <c r="A236" i="46"/>
  <c r="M236" i="46" s="1"/>
  <c r="J236" i="46"/>
  <c r="I236" i="46"/>
  <c r="K236" i="46"/>
  <c r="L236" i="46"/>
  <c r="H236" i="46"/>
  <c r="V257" i="46"/>
  <c r="AA152" i="28"/>
  <c r="AD152" i="28"/>
  <c r="K152" i="28"/>
  <c r="K520" i="7" s="1"/>
  <c r="M152" i="28"/>
  <c r="M520" i="7" s="1"/>
  <c r="N152" i="28"/>
  <c r="N520" i="7" s="1"/>
  <c r="AG152" i="28"/>
  <c r="F520" i="7"/>
  <c r="S520" i="7" s="1"/>
  <c r="L152" i="28"/>
  <c r="L520" i="7" s="1"/>
  <c r="M221" i="40"/>
  <c r="L221" i="40"/>
  <c r="AA221" i="40"/>
  <c r="AB221" i="40" s="1"/>
  <c r="N221" i="40"/>
  <c r="AD221" i="40"/>
  <c r="AG221" i="40"/>
  <c r="AH221" i="40"/>
  <c r="U168" i="39"/>
  <c r="G168" i="39" s="1"/>
  <c r="D169" i="36" s="1"/>
  <c r="H168" i="39"/>
  <c r="N156" i="13" l="1"/>
  <c r="M211" i="7" s="1"/>
  <c r="AB156" i="13"/>
  <c r="K156" i="13"/>
  <c r="J211" i="7" s="1"/>
  <c r="M156" i="13"/>
  <c r="L211" i="7" s="1"/>
  <c r="Y156" i="13"/>
  <c r="V156" i="13"/>
  <c r="L156" i="13"/>
  <c r="K211" i="7" s="1"/>
  <c r="H156" i="13"/>
  <c r="H211" i="7" s="1"/>
  <c r="G236" i="46"/>
  <c r="U258" i="46"/>
  <c r="AB257" i="46"/>
  <c r="I152" i="28"/>
  <c r="I520" i="7" s="1"/>
  <c r="X150" i="28"/>
  <c r="Z152" i="28"/>
  <c r="AB152" i="28" s="1"/>
  <c r="AE152" i="28"/>
  <c r="AC152" i="28" s="1"/>
  <c r="AH152" i="28"/>
  <c r="AF221" i="40"/>
  <c r="AC221" i="40"/>
  <c r="I221" i="40" s="1"/>
  <c r="J221" i="40"/>
  <c r="Q221" i="40"/>
  <c r="X219" i="40"/>
  <c r="I168" i="39"/>
  <c r="AC168" i="39" s="1"/>
  <c r="O168" i="39"/>
  <c r="P168" i="39"/>
  <c r="U156" i="13" l="1"/>
  <c r="AC156" i="13"/>
  <c r="Z156" i="13"/>
  <c r="Q236" i="46"/>
  <c r="F237" i="46" s="1"/>
  <c r="P236" i="46"/>
  <c r="Z258" i="46"/>
  <c r="W258" i="46"/>
  <c r="X258" i="46"/>
  <c r="Y258" i="46"/>
  <c r="AF152" i="28"/>
  <c r="J152" i="28"/>
  <c r="R221" i="40"/>
  <c r="G222" i="40"/>
  <c r="F169" i="39"/>
  <c r="Z169" i="39"/>
  <c r="E169" i="36"/>
  <c r="C170" i="36"/>
  <c r="J156" i="13" l="1"/>
  <c r="W156" i="13"/>
  <c r="AA156" i="13"/>
  <c r="X156" i="13"/>
  <c r="H237" i="46"/>
  <c r="L237" i="46"/>
  <c r="A237" i="46"/>
  <c r="M237" i="46" s="1"/>
  <c r="K237" i="46"/>
  <c r="J237" i="46"/>
  <c r="I237" i="46"/>
  <c r="V258" i="46"/>
  <c r="I171" i="13"/>
  <c r="J520" i="7"/>
  <c r="H152" i="28"/>
  <c r="M222" i="40"/>
  <c r="L222" i="40"/>
  <c r="AG222" i="40"/>
  <c r="N222" i="40"/>
  <c r="AD222" i="40"/>
  <c r="AA222" i="40"/>
  <c r="AB222" i="40" s="1"/>
  <c r="AH222" i="40"/>
  <c r="L169" i="39"/>
  <c r="K169" i="39"/>
  <c r="Y169" i="39"/>
  <c r="X169" i="39" s="1"/>
  <c r="V169" i="39"/>
  <c r="S169" i="39"/>
  <c r="T169" i="39" s="1"/>
  <c r="J169" i="39"/>
  <c r="Q169" i="39"/>
  <c r="G156" i="13" l="1"/>
  <c r="G211" i="7" s="1"/>
  <c r="Q211" i="7" s="1"/>
  <c r="G237" i="46"/>
  <c r="AB258" i="46"/>
  <c r="U259" i="46"/>
  <c r="I226" i="7"/>
  <c r="Q152" i="28"/>
  <c r="Q520" i="7" s="1"/>
  <c r="H520" i="7"/>
  <c r="F153" i="28"/>
  <c r="R152" i="28"/>
  <c r="R520" i="7" s="1"/>
  <c r="AF222" i="40"/>
  <c r="J222" i="40"/>
  <c r="AC222" i="40"/>
  <c r="I222" i="40" s="1"/>
  <c r="Q222" i="40"/>
  <c r="X220" i="40"/>
  <c r="U169" i="39"/>
  <c r="G169" i="39" s="1"/>
  <c r="D170" i="36" s="1"/>
  <c r="H169" i="39"/>
  <c r="R156" i="13" l="1"/>
  <c r="S156" i="13"/>
  <c r="F157" i="13"/>
  <c r="Q237" i="46"/>
  <c r="F238" i="46" s="1"/>
  <c r="P237" i="46"/>
  <c r="W259" i="46"/>
  <c r="Y259" i="46"/>
  <c r="X259" i="46"/>
  <c r="Z259" i="46"/>
  <c r="N153" i="28"/>
  <c r="N521" i="7" s="1"/>
  <c r="F521" i="7"/>
  <c r="S521" i="7" s="1"/>
  <c r="AD153" i="28"/>
  <c r="AA153" i="28"/>
  <c r="K153" i="28"/>
  <c r="K521" i="7" s="1"/>
  <c r="L153" i="28"/>
  <c r="L521" i="7" s="1"/>
  <c r="AG153" i="28"/>
  <c r="M153" i="28"/>
  <c r="M521" i="7" s="1"/>
  <c r="R222" i="40"/>
  <c r="G223" i="40"/>
  <c r="I169" i="39"/>
  <c r="AC169" i="39" s="1"/>
  <c r="O169" i="39"/>
  <c r="P169" i="39"/>
  <c r="AB157" i="13" l="1"/>
  <c r="M157" i="13"/>
  <c r="L212" i="7" s="1"/>
  <c r="N157" i="13"/>
  <c r="M212" i="7" s="1"/>
  <c r="V157" i="13"/>
  <c r="K157" i="13"/>
  <c r="J212" i="7" s="1"/>
  <c r="F212" i="7"/>
  <c r="R212" i="7" s="1"/>
  <c r="L157" i="13"/>
  <c r="K212" i="7" s="1"/>
  <c r="Y157" i="13"/>
  <c r="H157" i="13" s="1"/>
  <c r="H212" i="7" s="1"/>
  <c r="K238" i="46"/>
  <c r="L238" i="46"/>
  <c r="J238" i="46"/>
  <c r="A238" i="46"/>
  <c r="M238" i="46" s="1"/>
  <c r="I238" i="46"/>
  <c r="H238" i="46"/>
  <c r="V259" i="46"/>
  <c r="AB259" i="46" s="1"/>
  <c r="I153" i="28"/>
  <c r="I521" i="7" s="1"/>
  <c r="AH153" i="28"/>
  <c r="AF153" i="28" s="1"/>
  <c r="AE153" i="28"/>
  <c r="AC153" i="28" s="1"/>
  <c r="Z153" i="28"/>
  <c r="AB153" i="28" s="1"/>
  <c r="X151" i="28"/>
  <c r="M223" i="40"/>
  <c r="L223" i="40"/>
  <c r="N223" i="40"/>
  <c r="AG223" i="40"/>
  <c r="AD223" i="40"/>
  <c r="AH223" i="40"/>
  <c r="AA223" i="40"/>
  <c r="AB223" i="40" s="1"/>
  <c r="Z170" i="39"/>
  <c r="F170" i="39"/>
  <c r="C171" i="36"/>
  <c r="E170" i="36"/>
  <c r="Z157" i="13" l="1"/>
  <c r="U157" i="13"/>
  <c r="AC157" i="13"/>
  <c r="G238" i="46"/>
  <c r="U260" i="46"/>
  <c r="I172" i="13"/>
  <c r="J153" i="28"/>
  <c r="H153" i="28" s="1"/>
  <c r="AF223" i="40"/>
  <c r="J223" i="40"/>
  <c r="AC223" i="40"/>
  <c r="I223" i="40" s="1"/>
  <c r="Q223" i="40"/>
  <c r="X221" i="40"/>
  <c r="K170" i="39"/>
  <c r="V170" i="39"/>
  <c r="Q170" i="39"/>
  <c r="Y170" i="39"/>
  <c r="X170" i="39" s="1"/>
  <c r="L170" i="39"/>
  <c r="J170" i="39"/>
  <c r="S170" i="39"/>
  <c r="T170" i="39" s="1"/>
  <c r="J157" i="13" l="1"/>
  <c r="X157" i="13"/>
  <c r="W157" i="13"/>
  <c r="AA157" i="13"/>
  <c r="G157" i="13"/>
  <c r="G212" i="7" s="1"/>
  <c r="Q212" i="7" s="1"/>
  <c r="Q238" i="46"/>
  <c r="F239" i="46" s="1"/>
  <c r="P238" i="46"/>
  <c r="X260" i="46"/>
  <c r="Y260" i="46"/>
  <c r="Z260" i="46"/>
  <c r="W260" i="46"/>
  <c r="I227" i="7"/>
  <c r="J521" i="7"/>
  <c r="H521" i="7"/>
  <c r="Q153" i="28"/>
  <c r="Q521" i="7" s="1"/>
  <c r="R153" i="28"/>
  <c r="R521" i="7" s="1"/>
  <c r="F154" i="28"/>
  <c r="G224" i="40"/>
  <c r="R223" i="40"/>
  <c r="U170" i="39"/>
  <c r="G170" i="39" s="1"/>
  <c r="D171" i="36" s="1"/>
  <c r="H170" i="39"/>
  <c r="S157" i="13" l="1"/>
  <c r="R157" i="13"/>
  <c r="F158" i="13"/>
  <c r="F213" i="7" s="1"/>
  <c r="R213" i="7" s="1"/>
  <c r="J239" i="46"/>
  <c r="L239" i="46"/>
  <c r="H239" i="46"/>
  <c r="I239" i="46"/>
  <c r="K239" i="46"/>
  <c r="A239" i="46"/>
  <c r="M239" i="46" s="1"/>
  <c r="V260" i="46"/>
  <c r="AG154" i="28"/>
  <c r="N154" i="28"/>
  <c r="N522" i="7" s="1"/>
  <c r="F522" i="7"/>
  <c r="S522" i="7" s="1"/>
  <c r="M154" i="28"/>
  <c r="M522" i="7" s="1"/>
  <c r="L154" i="28"/>
  <c r="L522" i="7" s="1"/>
  <c r="AD154" i="28"/>
  <c r="AA154" i="28"/>
  <c r="K154" i="28"/>
  <c r="K522" i="7" s="1"/>
  <c r="AA224" i="40"/>
  <c r="AB224" i="40" s="1"/>
  <c r="AD224" i="40"/>
  <c r="AG224" i="40"/>
  <c r="M224" i="40"/>
  <c r="AH224" i="40"/>
  <c r="N224" i="40"/>
  <c r="L224" i="40"/>
  <c r="I170" i="39"/>
  <c r="AC170" i="39" s="1"/>
  <c r="O170" i="39"/>
  <c r="P170" i="39"/>
  <c r="K158" i="13" l="1"/>
  <c r="J213" i="7" s="1"/>
  <c r="Y158" i="13"/>
  <c r="M158" i="13"/>
  <c r="L213" i="7" s="1"/>
  <c r="N158" i="13"/>
  <c r="M213" i="7" s="1"/>
  <c r="V158" i="13"/>
  <c r="AB158" i="13"/>
  <c r="L158" i="13"/>
  <c r="K213" i="7" s="1"/>
  <c r="G239" i="46"/>
  <c r="U261" i="46"/>
  <c r="AB260" i="46"/>
  <c r="AH154" i="28"/>
  <c r="AF154" i="28" s="1"/>
  <c r="AE154" i="28"/>
  <c r="AC154" i="28" s="1"/>
  <c r="Z154" i="28"/>
  <c r="AB154" i="28" s="1"/>
  <c r="I154" i="28"/>
  <c r="I522" i="7" s="1"/>
  <c r="X152" i="28"/>
  <c r="AF224" i="40"/>
  <c r="X222" i="40"/>
  <c r="Q224" i="40"/>
  <c r="AC224" i="40"/>
  <c r="I224" i="40" s="1"/>
  <c r="J224" i="40"/>
  <c r="F171" i="39"/>
  <c r="Z171" i="39"/>
  <c r="C172" i="36"/>
  <c r="E171" i="36"/>
  <c r="AC158" i="13" l="1"/>
  <c r="Z158" i="13"/>
  <c r="U158" i="13"/>
  <c r="H158" i="13"/>
  <c r="H213" i="7" s="1"/>
  <c r="E149" i="10"/>
  <c r="J158" i="13"/>
  <c r="P239" i="46"/>
  <c r="Q239" i="46"/>
  <c r="F240" i="46" s="1"/>
  <c r="W261" i="46"/>
  <c r="Y261" i="46"/>
  <c r="X261" i="46"/>
  <c r="Z261" i="46"/>
  <c r="I173" i="13"/>
  <c r="J154" i="28"/>
  <c r="J522" i="7" s="1"/>
  <c r="G225" i="40"/>
  <c r="R224" i="40"/>
  <c r="Q171" i="39"/>
  <c r="Y171" i="39"/>
  <c r="X171" i="39" s="1"/>
  <c r="V171" i="39"/>
  <c r="S171" i="39"/>
  <c r="T171" i="39" s="1"/>
  <c r="L171" i="39"/>
  <c r="K171" i="39"/>
  <c r="J171" i="39"/>
  <c r="W158" i="13" l="1"/>
  <c r="AA158" i="13"/>
  <c r="X158" i="13"/>
  <c r="G158" i="13"/>
  <c r="G213" i="7" s="1"/>
  <c r="J240" i="46"/>
  <c r="A240" i="46"/>
  <c r="M240" i="46" s="1"/>
  <c r="L240" i="46"/>
  <c r="I240" i="46"/>
  <c r="K240" i="46"/>
  <c r="H240" i="46"/>
  <c r="V261" i="46"/>
  <c r="I228" i="7"/>
  <c r="H154" i="28"/>
  <c r="H522" i="7" s="1"/>
  <c r="AA225" i="40"/>
  <c r="AB225" i="40" s="1"/>
  <c r="AG225" i="40"/>
  <c r="M225" i="40"/>
  <c r="N225" i="40"/>
  <c r="AD225" i="40"/>
  <c r="AH225" i="40"/>
  <c r="L225" i="40"/>
  <c r="H171" i="39"/>
  <c r="U171" i="39"/>
  <c r="G171" i="39" s="1"/>
  <c r="D172" i="36" s="1"/>
  <c r="Q213" i="7" l="1"/>
  <c r="P213" i="7"/>
  <c r="F159" i="13"/>
  <c r="F214" i="7" s="1"/>
  <c r="R214" i="7" s="1"/>
  <c r="S158" i="13"/>
  <c r="R158" i="13"/>
  <c r="G240" i="46"/>
  <c r="AB261" i="46"/>
  <c r="U262" i="46"/>
  <c r="F155" i="28"/>
  <c r="AA155" i="28" s="1"/>
  <c r="R154" i="28"/>
  <c r="R522" i="7" s="1"/>
  <c r="Q154" i="28"/>
  <c r="Q522" i="7" s="1"/>
  <c r="AF225" i="40"/>
  <c r="Q225" i="40"/>
  <c r="X223" i="40"/>
  <c r="AC225" i="40"/>
  <c r="I225" i="40" s="1"/>
  <c r="J225" i="40"/>
  <c r="I171" i="39"/>
  <c r="AC171" i="39" s="1"/>
  <c r="O171" i="39"/>
  <c r="P171" i="39"/>
  <c r="V159" i="13" l="1"/>
  <c r="N159" i="13"/>
  <c r="M214" i="7" s="1"/>
  <c r="Y159" i="13"/>
  <c r="M159" i="13"/>
  <c r="L214" i="7" s="1"/>
  <c r="AB159" i="13"/>
  <c r="K159" i="13"/>
  <c r="J214" i="7" s="1"/>
  <c r="L159" i="13"/>
  <c r="K214" i="7" s="1"/>
  <c r="Q240" i="46"/>
  <c r="F241" i="46" s="1"/>
  <c r="P240" i="46"/>
  <c r="X262" i="46"/>
  <c r="Y262" i="46"/>
  <c r="Z262" i="46"/>
  <c r="W262" i="46"/>
  <c r="L155" i="28"/>
  <c r="L523" i="7" s="1"/>
  <c r="M155" i="28"/>
  <c r="M523" i="7" s="1"/>
  <c r="N155" i="28"/>
  <c r="N523" i="7" s="1"/>
  <c r="K155" i="28"/>
  <c r="K523" i="7" s="1"/>
  <c r="AG155" i="28"/>
  <c r="AD155" i="28"/>
  <c r="F523" i="7"/>
  <c r="S523" i="7" s="1"/>
  <c r="R225" i="40"/>
  <c r="G226" i="40"/>
  <c r="F172" i="39"/>
  <c r="Z172" i="39"/>
  <c r="C173" i="36"/>
  <c r="E172" i="36"/>
  <c r="AC159" i="13" l="1"/>
  <c r="Z159" i="13"/>
  <c r="U159" i="13"/>
  <c r="H159" i="13"/>
  <c r="H214" i="7" s="1"/>
  <c r="E150" i="10"/>
  <c r="K241" i="46"/>
  <c r="H241" i="46"/>
  <c r="A241" i="46"/>
  <c r="M241" i="46" s="1"/>
  <c r="L241" i="46"/>
  <c r="I241" i="46"/>
  <c r="J241" i="46"/>
  <c r="V262" i="46"/>
  <c r="I174" i="13"/>
  <c r="I155" i="28"/>
  <c r="I523" i="7" s="1"/>
  <c r="Z155" i="28"/>
  <c r="AB155" i="28" s="1"/>
  <c r="AE155" i="28"/>
  <c r="AC155" i="28" s="1"/>
  <c r="X153" i="28"/>
  <c r="AH155" i="28"/>
  <c r="AF155" i="28" s="1"/>
  <c r="AG226" i="40"/>
  <c r="AD226" i="40"/>
  <c r="AA226" i="40"/>
  <c r="AB226" i="40" s="1"/>
  <c r="M226" i="40"/>
  <c r="N226" i="40"/>
  <c r="AH226" i="40"/>
  <c r="L226" i="40"/>
  <c r="Y172" i="39"/>
  <c r="X172" i="39" s="1"/>
  <c r="V172" i="39"/>
  <c r="K172" i="39"/>
  <c r="L172" i="39"/>
  <c r="Q172" i="39"/>
  <c r="S172" i="39"/>
  <c r="T172" i="39" s="1"/>
  <c r="J172" i="39"/>
  <c r="AA159" i="13" l="1"/>
  <c r="J159" i="13"/>
  <c r="X159" i="13"/>
  <c r="W159" i="13"/>
  <c r="G241" i="46"/>
  <c r="U263" i="46"/>
  <c r="AB262" i="46"/>
  <c r="I229" i="7"/>
  <c r="J155" i="28"/>
  <c r="H155" i="28" s="1"/>
  <c r="Q155" i="28" s="1"/>
  <c r="Q523" i="7" s="1"/>
  <c r="AF226" i="40"/>
  <c r="X224" i="40"/>
  <c r="Q226" i="40"/>
  <c r="J226" i="40"/>
  <c r="AC226" i="40"/>
  <c r="I226" i="40" s="1"/>
  <c r="H172" i="39"/>
  <c r="U172" i="39"/>
  <c r="G172" i="39" s="1"/>
  <c r="D173" i="36" s="1"/>
  <c r="G159" i="13" l="1"/>
  <c r="G214" i="7" s="1"/>
  <c r="Q241" i="46"/>
  <c r="F242" i="46" s="1"/>
  <c r="P241" i="46"/>
  <c r="Z263" i="46"/>
  <c r="X263" i="46"/>
  <c r="W263" i="46"/>
  <c r="Y263" i="46"/>
  <c r="J523" i="7"/>
  <c r="H523" i="7"/>
  <c r="R155" i="28"/>
  <c r="R523" i="7" s="1"/>
  <c r="F156" i="28"/>
  <c r="R226" i="40"/>
  <c r="G227" i="40"/>
  <c r="I172" i="39"/>
  <c r="AC172" i="39" s="1"/>
  <c r="O172" i="39"/>
  <c r="P172" i="39"/>
  <c r="Q214" i="7" l="1"/>
  <c r="P214" i="7"/>
  <c r="R159" i="13"/>
  <c r="F160" i="13"/>
  <c r="F215" i="7" s="1"/>
  <c r="R215" i="7" s="1"/>
  <c r="S159" i="13"/>
  <c r="A242" i="46"/>
  <c r="M242" i="46" s="1"/>
  <c r="J242" i="46"/>
  <c r="L242" i="46"/>
  <c r="I242" i="46"/>
  <c r="H242" i="46"/>
  <c r="K242" i="46"/>
  <c r="V263" i="46"/>
  <c r="AA156" i="28"/>
  <c r="F524" i="7"/>
  <c r="S524" i="7" s="1"/>
  <c r="AG156" i="28"/>
  <c r="N156" i="28"/>
  <c r="N524" i="7" s="1"/>
  <c r="K156" i="28"/>
  <c r="K524" i="7" s="1"/>
  <c r="M156" i="28"/>
  <c r="M524" i="7" s="1"/>
  <c r="L156" i="28"/>
  <c r="L524" i="7" s="1"/>
  <c r="AD156" i="28"/>
  <c r="AA227" i="40"/>
  <c r="AB227" i="40" s="1"/>
  <c r="L227" i="40"/>
  <c r="AG227" i="40"/>
  <c r="AH227" i="40"/>
  <c r="AD227" i="40"/>
  <c r="N227" i="40"/>
  <c r="M227" i="40"/>
  <c r="Z173" i="39"/>
  <c r="F173" i="39"/>
  <c r="E173" i="36"/>
  <c r="C174" i="36"/>
  <c r="Y160" i="13" l="1"/>
  <c r="M160" i="13"/>
  <c r="L215" i="7" s="1"/>
  <c r="V160" i="13"/>
  <c r="K160" i="13"/>
  <c r="J215" i="7" s="1"/>
  <c r="AB160" i="13"/>
  <c r="N160" i="13"/>
  <c r="M215" i="7" s="1"/>
  <c r="L160" i="13"/>
  <c r="K215" i="7" s="1"/>
  <c r="G242" i="46"/>
  <c r="U264" i="46"/>
  <c r="AB263" i="46"/>
  <c r="I175" i="13"/>
  <c r="I156" i="28"/>
  <c r="I524" i="7" s="1"/>
  <c r="AH156" i="28"/>
  <c r="AF156" i="28" s="1"/>
  <c r="AE156" i="28"/>
  <c r="AC156" i="28" s="1"/>
  <c r="X154" i="28"/>
  <c r="Z156" i="28"/>
  <c r="AB156" i="28" s="1"/>
  <c r="AF227" i="40"/>
  <c r="AC227" i="40"/>
  <c r="I227" i="40" s="1"/>
  <c r="J227" i="40"/>
  <c r="Q227" i="40"/>
  <c r="X225" i="40"/>
  <c r="L173" i="39"/>
  <c r="S173" i="39"/>
  <c r="T173" i="39" s="1"/>
  <c r="V173" i="39"/>
  <c r="Q173" i="39"/>
  <c r="Y173" i="39"/>
  <c r="X173" i="39" s="1"/>
  <c r="K173" i="39"/>
  <c r="J173" i="39"/>
  <c r="H160" i="13" l="1"/>
  <c r="H215" i="7" s="1"/>
  <c r="E151" i="10"/>
  <c r="Z160" i="13"/>
  <c r="U160" i="13"/>
  <c r="W160" i="13" s="1"/>
  <c r="AC160" i="13"/>
  <c r="Q242" i="46"/>
  <c r="F243" i="46" s="1"/>
  <c r="P242" i="46"/>
  <c r="X264" i="46"/>
  <c r="Y264" i="46"/>
  <c r="Z264" i="46"/>
  <c r="W264" i="46"/>
  <c r="I230" i="7"/>
  <c r="J156" i="28"/>
  <c r="H156" i="28" s="1"/>
  <c r="Q156" i="28" s="1"/>
  <c r="Q524" i="7" s="1"/>
  <c r="G228" i="40"/>
  <c r="R227" i="40"/>
  <c r="H173" i="39"/>
  <c r="U173" i="39"/>
  <c r="G173" i="39" s="1"/>
  <c r="D174" i="36" s="1"/>
  <c r="AA160" i="13" l="1"/>
  <c r="J160" i="13"/>
  <c r="X160" i="13"/>
  <c r="H243" i="46"/>
  <c r="K243" i="46"/>
  <c r="L243" i="46"/>
  <c r="I243" i="46"/>
  <c r="A243" i="46"/>
  <c r="M243" i="46" s="1"/>
  <c r="J243" i="46"/>
  <c r="V264" i="46"/>
  <c r="J524" i="7"/>
  <c r="H524" i="7"/>
  <c r="R156" i="28"/>
  <c r="R524" i="7" s="1"/>
  <c r="F157" i="28"/>
  <c r="L157" i="28" s="1"/>
  <c r="L525" i="7" s="1"/>
  <c r="L228" i="40"/>
  <c r="AA228" i="40"/>
  <c r="AB228" i="40" s="1"/>
  <c r="AH228" i="40"/>
  <c r="AD228" i="40"/>
  <c r="N228" i="40"/>
  <c r="M228" i="40"/>
  <c r="AG228" i="40"/>
  <c r="I173" i="39"/>
  <c r="AC173" i="39" s="1"/>
  <c r="O173" i="39"/>
  <c r="P173" i="39"/>
  <c r="G160" i="13" l="1"/>
  <c r="G215" i="7" s="1"/>
  <c r="G243" i="46"/>
  <c r="U265" i="46"/>
  <c r="AB264" i="46"/>
  <c r="I176" i="13"/>
  <c r="F525" i="7"/>
  <c r="S525" i="7" s="1"/>
  <c r="AD157" i="28"/>
  <c r="K157" i="28"/>
  <c r="K525" i="7" s="1"/>
  <c r="N157" i="28"/>
  <c r="Z157" i="28" s="1"/>
  <c r="AA157" i="28"/>
  <c r="AG157" i="28"/>
  <c r="M157" i="28"/>
  <c r="M525" i="7" s="1"/>
  <c r="AF228" i="40"/>
  <c r="AC228" i="40"/>
  <c r="I228" i="40" s="1"/>
  <c r="J228" i="40"/>
  <c r="Q228" i="40"/>
  <c r="X226" i="40"/>
  <c r="F174" i="39"/>
  <c r="Z174" i="39"/>
  <c r="E174" i="36"/>
  <c r="C175" i="36"/>
  <c r="Q215" i="7" l="1"/>
  <c r="P215" i="7"/>
  <c r="R160" i="13"/>
  <c r="F161" i="13"/>
  <c r="F216" i="7" s="1"/>
  <c r="R216" i="7" s="1"/>
  <c r="S160" i="13"/>
  <c r="Q243" i="46"/>
  <c r="F244" i="46" s="1"/>
  <c r="P243" i="46"/>
  <c r="Y265" i="46"/>
  <c r="X265" i="46"/>
  <c r="Z265" i="46"/>
  <c r="W265" i="46"/>
  <c r="I231" i="7"/>
  <c r="I157" i="28"/>
  <c r="I525" i="7" s="1"/>
  <c r="AE157" i="28"/>
  <c r="AC157" i="28" s="1"/>
  <c r="N525" i="7"/>
  <c r="AB157" i="28"/>
  <c r="AH157" i="28"/>
  <c r="AF157" i="28" s="1"/>
  <c r="X155" i="28"/>
  <c r="R228" i="40"/>
  <c r="G229" i="40"/>
  <c r="L174" i="39"/>
  <c r="S174" i="39"/>
  <c r="T174" i="39" s="1"/>
  <c r="Q174" i="39"/>
  <c r="J174" i="39"/>
  <c r="Y174" i="39"/>
  <c r="X174" i="39" s="1"/>
  <c r="V174" i="39"/>
  <c r="K174" i="39"/>
  <c r="K161" i="13" l="1"/>
  <c r="J216" i="7" s="1"/>
  <c r="M161" i="13"/>
  <c r="L216" i="7" s="1"/>
  <c r="AB161" i="13"/>
  <c r="V161" i="13"/>
  <c r="Y161" i="13"/>
  <c r="N161" i="13"/>
  <c r="M216" i="7" s="1"/>
  <c r="L161" i="13"/>
  <c r="K216" i="7" s="1"/>
  <c r="I244" i="46"/>
  <c r="H244" i="46"/>
  <c r="K244" i="46"/>
  <c r="L244" i="46"/>
  <c r="A244" i="46"/>
  <c r="M244" i="46" s="1"/>
  <c r="J244" i="46"/>
  <c r="V265" i="46"/>
  <c r="J157" i="28"/>
  <c r="H157" i="28" s="1"/>
  <c r="Q157" i="28" s="1"/>
  <c r="Q525" i="7" s="1"/>
  <c r="AH229" i="40"/>
  <c r="AD229" i="40"/>
  <c r="N229" i="40"/>
  <c r="M229" i="40"/>
  <c r="AG229" i="40"/>
  <c r="AA229" i="40"/>
  <c r="AB229" i="40" s="1"/>
  <c r="L229" i="40"/>
  <c r="U174" i="39"/>
  <c r="G174" i="39" s="1"/>
  <c r="D175" i="36" s="1"/>
  <c r="H174" i="39"/>
  <c r="H161" i="13" l="1"/>
  <c r="H216" i="7" s="1"/>
  <c r="E152" i="10"/>
  <c r="U161" i="13"/>
  <c r="W161" i="13" s="1"/>
  <c r="Z161" i="13"/>
  <c r="AC161" i="13"/>
  <c r="AA161" i="13" s="1"/>
  <c r="G244" i="46"/>
  <c r="AB265" i="46"/>
  <c r="U266" i="46"/>
  <c r="I177" i="13"/>
  <c r="I232" i="7" s="1"/>
  <c r="J525" i="7"/>
  <c r="H525" i="7"/>
  <c r="F158" i="28"/>
  <c r="AA158" i="28" s="1"/>
  <c r="R157" i="28"/>
  <c r="R525" i="7" s="1"/>
  <c r="X227" i="40"/>
  <c r="Q229" i="40"/>
  <c r="J229" i="40"/>
  <c r="AC229" i="40"/>
  <c r="I229" i="40" s="1"/>
  <c r="AF229" i="40"/>
  <c r="I174" i="39"/>
  <c r="AC174" i="39" s="1"/>
  <c r="O174" i="39"/>
  <c r="P174" i="39"/>
  <c r="J161" i="13" l="1"/>
  <c r="X161" i="13"/>
  <c r="Q244" i="46"/>
  <c r="F245" i="46" s="1"/>
  <c r="P244" i="46"/>
  <c r="Z266" i="46"/>
  <c r="X266" i="46"/>
  <c r="Y266" i="46"/>
  <c r="W266" i="46"/>
  <c r="AG158" i="28"/>
  <c r="K158" i="28"/>
  <c r="K526" i="7" s="1"/>
  <c r="M158" i="28"/>
  <c r="M526" i="7" s="1"/>
  <c r="F526" i="7"/>
  <c r="S526" i="7" s="1"/>
  <c r="N158" i="28"/>
  <c r="AE158" i="28" s="1"/>
  <c r="L158" i="28"/>
  <c r="L526" i="7" s="1"/>
  <c r="AD158" i="28"/>
  <c r="R229" i="40"/>
  <c r="G230" i="40"/>
  <c r="Z175" i="39"/>
  <c r="F175" i="39"/>
  <c r="E175" i="36"/>
  <c r="C176" i="36"/>
  <c r="G161" i="13" l="1"/>
  <c r="G216" i="7" s="1"/>
  <c r="A245" i="46"/>
  <c r="M245" i="46" s="1"/>
  <c r="I245" i="46"/>
  <c r="J245" i="46"/>
  <c r="K245" i="46"/>
  <c r="L245" i="46"/>
  <c r="H245" i="46"/>
  <c r="V266" i="46"/>
  <c r="I158" i="28"/>
  <c r="I526" i="7" s="1"/>
  <c r="AH158" i="28"/>
  <c r="J158" i="28" s="1"/>
  <c r="Z158" i="28"/>
  <c r="AB158" i="28" s="1"/>
  <c r="N526" i="7"/>
  <c r="X156" i="28"/>
  <c r="AC158" i="28"/>
  <c r="L230" i="40"/>
  <c r="M230" i="40"/>
  <c r="AH230" i="40"/>
  <c r="AA230" i="40"/>
  <c r="AB230" i="40" s="1"/>
  <c r="AG230" i="40"/>
  <c r="N230" i="40"/>
  <c r="AD230" i="40"/>
  <c r="Q175" i="39"/>
  <c r="S175" i="39"/>
  <c r="T175" i="39" s="1"/>
  <c r="K175" i="39"/>
  <c r="Y175" i="39"/>
  <c r="X175" i="39" s="1"/>
  <c r="L175" i="39"/>
  <c r="J175" i="39"/>
  <c r="V175" i="39"/>
  <c r="F162" i="13" l="1"/>
  <c r="F217" i="7" s="1"/>
  <c r="R217" i="7" s="1"/>
  <c r="Q216" i="7"/>
  <c r="P216" i="7"/>
  <c r="R161" i="13"/>
  <c r="S161" i="13"/>
  <c r="G245" i="46"/>
  <c r="AB266" i="46"/>
  <c r="U267" i="46"/>
  <c r="AF158" i="28"/>
  <c r="H158" i="28" s="1"/>
  <c r="J526" i="7"/>
  <c r="J230" i="40"/>
  <c r="AC230" i="40"/>
  <c r="I230" i="40" s="1"/>
  <c r="AF230" i="40"/>
  <c r="Q230" i="40"/>
  <c r="X228" i="40"/>
  <c r="U175" i="39"/>
  <c r="G175" i="39" s="1"/>
  <c r="D176" i="36" s="1"/>
  <c r="H175" i="39"/>
  <c r="N162" i="13" l="1"/>
  <c r="M217" i="7" s="1"/>
  <c r="L162" i="13"/>
  <c r="K217" i="7" s="1"/>
  <c r="M162" i="13"/>
  <c r="L217" i="7" s="1"/>
  <c r="V162" i="13"/>
  <c r="W267" i="46"/>
  <c r="K162" i="13"/>
  <c r="J217" i="7" s="1"/>
  <c r="AB162" i="13"/>
  <c r="Y162" i="13"/>
  <c r="H162" i="13" s="1"/>
  <c r="H217" i="7" s="1"/>
  <c r="P245" i="46"/>
  <c r="Q245" i="46"/>
  <c r="F246" i="46" s="1"/>
  <c r="Z267" i="46"/>
  <c r="X267" i="46"/>
  <c r="Y267" i="46"/>
  <c r="R158" i="28"/>
  <c r="R526" i="7" s="1"/>
  <c r="H526" i="7"/>
  <c r="F159" i="28"/>
  <c r="Q158" i="28"/>
  <c r="Q526" i="7" s="1"/>
  <c r="G231" i="40"/>
  <c r="R230" i="40"/>
  <c r="I175" i="39"/>
  <c r="AC175" i="39" s="1"/>
  <c r="O175" i="39"/>
  <c r="P175" i="39"/>
  <c r="U162" i="13" l="1"/>
  <c r="Z162" i="13"/>
  <c r="AC162" i="13"/>
  <c r="AA162" i="13" s="1"/>
  <c r="E153" i="10"/>
  <c r="L246" i="46"/>
  <c r="K246" i="46"/>
  <c r="J246" i="46"/>
  <c r="H246" i="46"/>
  <c r="I246" i="46"/>
  <c r="A246" i="46"/>
  <c r="M246" i="46" s="1"/>
  <c r="V267" i="46"/>
  <c r="U268" i="46" s="1"/>
  <c r="I178" i="13"/>
  <c r="AG159" i="28"/>
  <c r="N159" i="28"/>
  <c r="N527" i="7" s="1"/>
  <c r="AA159" i="28"/>
  <c r="K159" i="28"/>
  <c r="K527" i="7" s="1"/>
  <c r="AD159" i="28"/>
  <c r="L159" i="28"/>
  <c r="L527" i="7" s="1"/>
  <c r="F527" i="7"/>
  <c r="S527" i="7" s="1"/>
  <c r="M159" i="28"/>
  <c r="M527" i="7" s="1"/>
  <c r="AH231" i="40"/>
  <c r="M231" i="40"/>
  <c r="AG231" i="40"/>
  <c r="N231" i="40"/>
  <c r="L231" i="40"/>
  <c r="AD231" i="40"/>
  <c r="AA231" i="40"/>
  <c r="AB231" i="40" s="1"/>
  <c r="Z176" i="39"/>
  <c r="F176" i="39"/>
  <c r="E176" i="36"/>
  <c r="C177" i="36"/>
  <c r="J162" i="13" l="1"/>
  <c r="W162" i="13"/>
  <c r="X162" i="13"/>
  <c r="G246" i="46"/>
  <c r="W268" i="46"/>
  <c r="AB267" i="46"/>
  <c r="Z268" i="46"/>
  <c r="X268" i="46"/>
  <c r="Y268" i="46"/>
  <c r="I233" i="7"/>
  <c r="AE159" i="28"/>
  <c r="AC159" i="28" s="1"/>
  <c r="I159" i="28"/>
  <c r="I527" i="7" s="1"/>
  <c r="AH159" i="28"/>
  <c r="AF159" i="28" s="1"/>
  <c r="Z159" i="28"/>
  <c r="AB159" i="28" s="1"/>
  <c r="X157" i="28"/>
  <c r="AF231" i="40"/>
  <c r="AC231" i="40"/>
  <c r="I231" i="40" s="1"/>
  <c r="J231" i="40"/>
  <c r="Q231" i="40"/>
  <c r="X229" i="40"/>
  <c r="S176" i="39"/>
  <c r="T176" i="39" s="1"/>
  <c r="V176" i="39"/>
  <c r="K176" i="39"/>
  <c r="Q176" i="39"/>
  <c r="Y176" i="39"/>
  <c r="X176" i="39" s="1"/>
  <c r="J176" i="39"/>
  <c r="L176" i="39"/>
  <c r="G162" i="13" l="1"/>
  <c r="G217" i="7" s="1"/>
  <c r="F163" i="13"/>
  <c r="F218" i="7" s="1"/>
  <c r="R218" i="7" s="1"/>
  <c r="S162" i="13"/>
  <c r="P217" i="7"/>
  <c r="Q217" i="7"/>
  <c r="R162" i="13"/>
  <c r="Q246" i="46"/>
  <c r="F247" i="46" s="1"/>
  <c r="P246" i="46"/>
  <c r="P5" i="46" s="1"/>
  <c r="V268" i="46"/>
  <c r="J159" i="28"/>
  <c r="H159" i="28" s="1"/>
  <c r="G232" i="40"/>
  <c r="R231" i="40"/>
  <c r="U176" i="39"/>
  <c r="G176" i="39" s="1"/>
  <c r="D177" i="36" s="1"/>
  <c r="H176" i="39"/>
  <c r="L247" i="46" l="1"/>
  <c r="J247" i="46"/>
  <c r="H247" i="46"/>
  <c r="A247" i="46"/>
  <c r="M247" i="46" s="1"/>
  <c r="K247" i="46"/>
  <c r="I247" i="46"/>
  <c r="M163" i="13"/>
  <c r="L218" i="7" s="1"/>
  <c r="Y163" i="13"/>
  <c r="L163" i="13"/>
  <c r="K218" i="7" s="1"/>
  <c r="N163" i="13"/>
  <c r="M218" i="7" s="1"/>
  <c r="K163" i="13"/>
  <c r="J218" i="7" s="1"/>
  <c r="AB163" i="13"/>
  <c r="V163" i="13"/>
  <c r="AB268" i="46"/>
  <c r="U269" i="46"/>
  <c r="J527" i="7"/>
  <c r="F160" i="28"/>
  <c r="H527" i="7"/>
  <c r="R159" i="28"/>
  <c r="R527" i="7" s="1"/>
  <c r="Q159" i="28"/>
  <c r="Q527" i="7" s="1"/>
  <c r="N232" i="40"/>
  <c r="AH232" i="40"/>
  <c r="L232" i="40"/>
  <c r="AA232" i="40"/>
  <c r="AB232" i="40" s="1"/>
  <c r="M232" i="40"/>
  <c r="AG232" i="40"/>
  <c r="AD232" i="40"/>
  <c r="I176" i="39"/>
  <c r="AC176" i="39" s="1"/>
  <c r="O176" i="39"/>
  <c r="P176" i="39"/>
  <c r="H163" i="13" l="1"/>
  <c r="H218" i="7" s="1"/>
  <c r="G247" i="46"/>
  <c r="E154" i="10"/>
  <c r="Z163" i="13"/>
  <c r="U163" i="13"/>
  <c r="W163" i="13" s="1"/>
  <c r="AC163" i="13"/>
  <c r="AA163" i="13" s="1"/>
  <c r="J163" i="13"/>
  <c r="Z269" i="46"/>
  <c r="Y269" i="46"/>
  <c r="W269" i="46"/>
  <c r="X269" i="46"/>
  <c r="I179" i="13"/>
  <c r="L160" i="28"/>
  <c r="L528" i="7" s="1"/>
  <c r="AG160" i="28"/>
  <c r="M160" i="28"/>
  <c r="M528" i="7" s="1"/>
  <c r="K160" i="28"/>
  <c r="AD160" i="28"/>
  <c r="N160" i="28"/>
  <c r="AA160" i="28"/>
  <c r="F528" i="7"/>
  <c r="S528" i="7" s="1"/>
  <c r="J232" i="40"/>
  <c r="AC232" i="40"/>
  <c r="I232" i="40" s="1"/>
  <c r="Q232" i="40"/>
  <c r="X230" i="40"/>
  <c r="AF232" i="40"/>
  <c r="F177" i="39"/>
  <c r="Z177" i="39"/>
  <c r="E177" i="36"/>
  <c r="C178" i="36"/>
  <c r="V269" i="46" l="1"/>
  <c r="Q247" i="46"/>
  <c r="F248" i="46" s="1"/>
  <c r="P247" i="46"/>
  <c r="X163" i="13"/>
  <c r="G163" i="13"/>
  <c r="G218" i="7" s="1"/>
  <c r="I234" i="7"/>
  <c r="I160" i="28"/>
  <c r="I528" i="7" s="1"/>
  <c r="N528" i="7"/>
  <c r="Z160" i="28"/>
  <c r="AB160" i="28" s="1"/>
  <c r="AE160" i="28"/>
  <c r="AC160" i="28" s="1"/>
  <c r="K528" i="7"/>
  <c r="X158" i="28"/>
  <c r="AH160" i="28"/>
  <c r="R232" i="40"/>
  <c r="G233" i="40"/>
  <c r="K177" i="39"/>
  <c r="L177" i="39"/>
  <c r="S177" i="39"/>
  <c r="T177" i="39" s="1"/>
  <c r="Q177" i="39"/>
  <c r="Y177" i="39"/>
  <c r="X177" i="39" s="1"/>
  <c r="J177" i="39"/>
  <c r="V177" i="39"/>
  <c r="U270" i="46" l="1"/>
  <c r="AB269" i="46"/>
  <c r="L248" i="46"/>
  <c r="A248" i="46"/>
  <c r="M248" i="46" s="1"/>
  <c r="J248" i="46"/>
  <c r="H248" i="46"/>
  <c r="I248" i="46"/>
  <c r="K248" i="46"/>
  <c r="Q218" i="7"/>
  <c r="P218" i="7"/>
  <c r="S163" i="13"/>
  <c r="R163" i="13"/>
  <c r="F164" i="13"/>
  <c r="F219" i="7" s="1"/>
  <c r="R219" i="7" s="1"/>
  <c r="J160" i="28"/>
  <c r="AF160" i="28"/>
  <c r="N233" i="40"/>
  <c r="AG233" i="40"/>
  <c r="M233" i="40"/>
  <c r="AA233" i="40"/>
  <c r="AB233" i="40" s="1"/>
  <c r="AD233" i="40"/>
  <c r="AH233" i="40"/>
  <c r="L233" i="40"/>
  <c r="H177" i="39"/>
  <c r="U177" i="39"/>
  <c r="G177" i="39" s="1"/>
  <c r="D178" i="36" s="1"/>
  <c r="W270" i="46" l="1"/>
  <c r="Y270" i="46"/>
  <c r="Z270" i="46"/>
  <c r="X270" i="46"/>
  <c r="V164" i="13"/>
  <c r="G248" i="46"/>
  <c r="Y164" i="13"/>
  <c r="N164" i="13"/>
  <c r="M219" i="7" s="1"/>
  <c r="M164" i="13"/>
  <c r="L219" i="7" s="1"/>
  <c r="AB164" i="13"/>
  <c r="K164" i="13"/>
  <c r="J219" i="7" s="1"/>
  <c r="L164" i="13"/>
  <c r="K219" i="7" s="1"/>
  <c r="H160" i="28"/>
  <c r="J528" i="7"/>
  <c r="AF233" i="40"/>
  <c r="Q233" i="40"/>
  <c r="X231" i="40"/>
  <c r="J233" i="40"/>
  <c r="AC233" i="40"/>
  <c r="I233" i="40" s="1"/>
  <c r="I177" i="39"/>
  <c r="AC177" i="39" s="1"/>
  <c r="O177" i="39"/>
  <c r="P177" i="39"/>
  <c r="H164" i="13" l="1"/>
  <c r="H219" i="7" s="1"/>
  <c r="V270" i="46"/>
  <c r="AB270" i="46" s="1"/>
  <c r="Q248" i="46"/>
  <c r="F249" i="46" s="1"/>
  <c r="P248" i="46"/>
  <c r="U164" i="13"/>
  <c r="E155" i="10"/>
  <c r="Z164" i="13"/>
  <c r="AC164" i="13"/>
  <c r="I180" i="13"/>
  <c r="H528" i="7"/>
  <c r="Q160" i="28"/>
  <c r="Q528" i="7" s="1"/>
  <c r="F161" i="28"/>
  <c r="R160" i="28"/>
  <c r="R528" i="7" s="1"/>
  <c r="G234" i="40"/>
  <c r="R233" i="40"/>
  <c r="F178" i="39"/>
  <c r="Z178" i="39"/>
  <c r="C179" i="36"/>
  <c r="E178" i="36"/>
  <c r="U271" i="46" l="1"/>
  <c r="K249" i="46"/>
  <c r="J249" i="46"/>
  <c r="L249" i="46"/>
  <c r="H249" i="46"/>
  <c r="A249" i="46"/>
  <c r="M249" i="46" s="1"/>
  <c r="I249" i="46"/>
  <c r="W164" i="13"/>
  <c r="J164" i="13"/>
  <c r="X164" i="13"/>
  <c r="AA164" i="13"/>
  <c r="I235" i="7"/>
  <c r="AA161" i="28"/>
  <c r="L161" i="28"/>
  <c r="L529" i="7" s="1"/>
  <c r="M161" i="28"/>
  <c r="M529" i="7" s="1"/>
  <c r="AG161" i="28"/>
  <c r="K161" i="28"/>
  <c r="K529" i="7" s="1"/>
  <c r="AD161" i="28"/>
  <c r="F529" i="7"/>
  <c r="S529" i="7" s="1"/>
  <c r="N161" i="28"/>
  <c r="N529" i="7" s="1"/>
  <c r="AH234" i="40"/>
  <c r="M234" i="40"/>
  <c r="AG234" i="40"/>
  <c r="AA234" i="40"/>
  <c r="AB234" i="40" s="1"/>
  <c r="N234" i="40"/>
  <c r="L234" i="40"/>
  <c r="AD234" i="40"/>
  <c r="V178" i="39"/>
  <c r="K178" i="39"/>
  <c r="Q178" i="39"/>
  <c r="L178" i="39"/>
  <c r="S178" i="39"/>
  <c r="T178" i="39" s="1"/>
  <c r="J178" i="39"/>
  <c r="Y178" i="39"/>
  <c r="X178" i="39" s="1"/>
  <c r="Z271" i="46" l="1"/>
  <c r="W271" i="46"/>
  <c r="X271" i="46"/>
  <c r="Y271" i="46"/>
  <c r="G249" i="46"/>
  <c r="G164" i="13"/>
  <c r="G219" i="7" s="1"/>
  <c r="I161" i="28"/>
  <c r="I529" i="7" s="1"/>
  <c r="X159" i="28"/>
  <c r="AE161" i="28"/>
  <c r="AC161" i="28" s="1"/>
  <c r="AH161" i="28"/>
  <c r="Z161" i="28"/>
  <c r="AB161" i="28" s="1"/>
  <c r="AF234" i="40"/>
  <c r="AC234" i="40"/>
  <c r="I234" i="40" s="1"/>
  <c r="J234" i="40"/>
  <c r="X232" i="40"/>
  <c r="Q234" i="40"/>
  <c r="H178" i="39"/>
  <c r="U178" i="39"/>
  <c r="G178" i="39" s="1"/>
  <c r="D179" i="36" s="1"/>
  <c r="V271" i="46" l="1"/>
  <c r="Q249" i="46"/>
  <c r="F250" i="46" s="1"/>
  <c r="P249" i="46"/>
  <c r="Q219" i="7"/>
  <c r="P219" i="7"/>
  <c r="S164" i="13"/>
  <c r="R164" i="13"/>
  <c r="F165" i="13"/>
  <c r="F220" i="7" s="1"/>
  <c r="R220" i="7" s="1"/>
  <c r="AF161" i="28"/>
  <c r="J161" i="28"/>
  <c r="G235" i="40"/>
  <c r="R234" i="40"/>
  <c r="I178" i="39"/>
  <c r="AC178" i="39" s="1"/>
  <c r="O178" i="39"/>
  <c r="P178" i="39"/>
  <c r="AB271" i="46" l="1"/>
  <c r="U272" i="46"/>
  <c r="A250" i="46"/>
  <c r="M250" i="46" s="1"/>
  <c r="I250" i="46"/>
  <c r="K250" i="46"/>
  <c r="J250" i="46"/>
  <c r="H250" i="46"/>
  <c r="L250" i="46"/>
  <c r="N165" i="13"/>
  <c r="K165" i="13"/>
  <c r="J220" i="7" s="1"/>
  <c r="Y165" i="13"/>
  <c r="V165" i="13"/>
  <c r="AB165" i="13"/>
  <c r="L165" i="13"/>
  <c r="K220" i="7" s="1"/>
  <c r="M165" i="13"/>
  <c r="L220" i="7" s="1"/>
  <c r="I181" i="13"/>
  <c r="H161" i="28"/>
  <c r="J529" i="7"/>
  <c r="AA235" i="40"/>
  <c r="AB235" i="40" s="1"/>
  <c r="AD235" i="40"/>
  <c r="M235" i="40"/>
  <c r="L235" i="40"/>
  <c r="AH235" i="40"/>
  <c r="AG235" i="40"/>
  <c r="N235" i="40"/>
  <c r="Z179" i="39"/>
  <c r="F179" i="39"/>
  <c r="C180" i="36"/>
  <c r="E179" i="36"/>
  <c r="H165" i="13" l="1"/>
  <c r="H220" i="7" s="1"/>
  <c r="U165" i="13"/>
  <c r="Y272" i="46"/>
  <c r="X272" i="46"/>
  <c r="W272" i="46"/>
  <c r="Z272" i="46"/>
  <c r="G250" i="46"/>
  <c r="P250" i="46"/>
  <c r="Q250" i="46"/>
  <c r="F251" i="46" s="1"/>
  <c r="M220" i="7"/>
  <c r="Z165" i="13"/>
  <c r="AC165" i="13"/>
  <c r="E156" i="10"/>
  <c r="J165" i="13"/>
  <c r="I236" i="7"/>
  <c r="F162" i="28"/>
  <c r="H529" i="7"/>
  <c r="Q161" i="28"/>
  <c r="Q529" i="7" s="1"/>
  <c r="R161" i="28"/>
  <c r="R529" i="7" s="1"/>
  <c r="AF235" i="40"/>
  <c r="X233" i="40"/>
  <c r="Q235" i="40"/>
  <c r="J235" i="40"/>
  <c r="AC235" i="40"/>
  <c r="I235" i="40" s="1"/>
  <c r="S179" i="39"/>
  <c r="T179" i="39" s="1"/>
  <c r="V179" i="39"/>
  <c r="J179" i="39"/>
  <c r="K179" i="39"/>
  <c r="L179" i="39"/>
  <c r="Q179" i="39"/>
  <c r="Y179" i="39"/>
  <c r="X179" i="39" s="1"/>
  <c r="W165" i="13" l="1"/>
  <c r="V272" i="46"/>
  <c r="X165" i="13"/>
  <c r="K251" i="46"/>
  <c r="L251" i="46"/>
  <c r="A251" i="46"/>
  <c r="M251" i="46" s="1"/>
  <c r="G251" i="46" s="1"/>
  <c r="I251" i="46"/>
  <c r="J251" i="46"/>
  <c r="H251" i="46"/>
  <c r="AA165" i="13"/>
  <c r="G165" i="13"/>
  <c r="G220" i="7" s="1"/>
  <c r="F530" i="7"/>
  <c r="S530" i="7" s="1"/>
  <c r="N162" i="28"/>
  <c r="N530" i="7" s="1"/>
  <c r="AD162" i="28"/>
  <c r="AA162" i="28"/>
  <c r="K162" i="28"/>
  <c r="K530" i="7" s="1"/>
  <c r="AG162" i="28"/>
  <c r="L162" i="28"/>
  <c r="L530" i="7" s="1"/>
  <c r="M162" i="28"/>
  <c r="M530" i="7" s="1"/>
  <c r="G236" i="40"/>
  <c r="R235" i="40"/>
  <c r="U179" i="39"/>
  <c r="G179" i="39" s="1"/>
  <c r="D180" i="36" s="1"/>
  <c r="H179" i="39"/>
  <c r="U273" i="46" l="1"/>
  <c r="AB272" i="46"/>
  <c r="P251" i="46"/>
  <c r="Q251" i="46"/>
  <c r="F252" i="46" s="1"/>
  <c r="P220" i="7"/>
  <c r="Q220" i="7"/>
  <c r="F166" i="13"/>
  <c r="R165" i="13"/>
  <c r="S165" i="13"/>
  <c r="W273" i="46"/>
  <c r="Y273" i="46"/>
  <c r="Z273" i="46"/>
  <c r="X273" i="46"/>
  <c r="I162" i="28"/>
  <c r="I530" i="7" s="1"/>
  <c r="AE162" i="28"/>
  <c r="AC162" i="28" s="1"/>
  <c r="Z162" i="28"/>
  <c r="AB162" i="28" s="1"/>
  <c r="AH162" i="28"/>
  <c r="AF162" i="28" s="1"/>
  <c r="X160" i="28"/>
  <c r="AD236" i="40"/>
  <c r="L236" i="40"/>
  <c r="N236" i="40"/>
  <c r="AH236" i="40"/>
  <c r="AA236" i="40"/>
  <c r="AB236" i="40" s="1"/>
  <c r="M236" i="40"/>
  <c r="AG236" i="40"/>
  <c r="I179" i="39"/>
  <c r="AC179" i="39" s="1"/>
  <c r="O179" i="39"/>
  <c r="P179" i="39"/>
  <c r="H252" i="46" l="1"/>
  <c r="I252" i="46"/>
  <c r="A252" i="46"/>
  <c r="M252" i="46" s="1"/>
  <c r="J252" i="46"/>
  <c r="L252" i="46"/>
  <c r="K252" i="46"/>
  <c r="Y166" i="13"/>
  <c r="H166" i="13" s="1"/>
  <c r="H221" i="7" s="1"/>
  <c r="N166" i="13"/>
  <c r="K166" i="13"/>
  <c r="J221" i="7" s="1"/>
  <c r="V166" i="13"/>
  <c r="AB166" i="13"/>
  <c r="L166" i="13"/>
  <c r="K221" i="7" s="1"/>
  <c r="M166" i="13"/>
  <c r="L221" i="7" s="1"/>
  <c r="F221" i="7"/>
  <c r="R221" i="7" s="1"/>
  <c r="V273" i="46"/>
  <c r="I182" i="13"/>
  <c r="J162" i="28"/>
  <c r="H162" i="28" s="1"/>
  <c r="AF236" i="40"/>
  <c r="X234" i="40"/>
  <c r="Q236" i="40"/>
  <c r="AC236" i="40"/>
  <c r="I236" i="40" s="1"/>
  <c r="J236" i="40"/>
  <c r="F180" i="39"/>
  <c r="Z180" i="39"/>
  <c r="E180" i="36"/>
  <c r="C181" i="36"/>
  <c r="G252" i="46" l="1"/>
  <c r="E157" i="10"/>
  <c r="U166" i="13"/>
  <c r="W166" i="13" s="1"/>
  <c r="AC166" i="13"/>
  <c r="AA166" i="13" s="1"/>
  <c r="Z166" i="13"/>
  <c r="X166" i="13" s="1"/>
  <c r="M221" i="7"/>
  <c r="AB273" i="46"/>
  <c r="U274" i="46"/>
  <c r="I237" i="7"/>
  <c r="J530" i="7"/>
  <c r="Q162" i="28"/>
  <c r="Q530" i="7" s="1"/>
  <c r="H530" i="7"/>
  <c r="R162" i="28"/>
  <c r="R530" i="7" s="1"/>
  <c r="F163" i="28"/>
  <c r="R236" i="40"/>
  <c r="G237" i="40"/>
  <c r="V180" i="39"/>
  <c r="Q180" i="39"/>
  <c r="L180" i="39"/>
  <c r="S180" i="39"/>
  <c r="T180" i="39" s="1"/>
  <c r="K180" i="39"/>
  <c r="Y180" i="39"/>
  <c r="X180" i="39" s="1"/>
  <c r="J180" i="39"/>
  <c r="J166" i="13" l="1"/>
  <c r="Q252" i="46"/>
  <c r="F253" i="46" s="1"/>
  <c r="P252" i="46"/>
  <c r="W274" i="46"/>
  <c r="Z274" i="46"/>
  <c r="Y274" i="46"/>
  <c r="X274" i="46"/>
  <c r="F531" i="7"/>
  <c r="S531" i="7" s="1"/>
  <c r="AA163" i="28"/>
  <c r="N163" i="28"/>
  <c r="N531" i="7" s="1"/>
  <c r="K163" i="28"/>
  <c r="K531" i="7" s="1"/>
  <c r="AD163" i="28"/>
  <c r="AG163" i="28"/>
  <c r="L163" i="28"/>
  <c r="L531" i="7" s="1"/>
  <c r="M163" i="28"/>
  <c r="M531" i="7" s="1"/>
  <c r="AD237" i="40"/>
  <c r="AA237" i="40"/>
  <c r="AB237" i="40" s="1"/>
  <c r="M237" i="40"/>
  <c r="AH237" i="40"/>
  <c r="L237" i="40"/>
  <c r="AG237" i="40"/>
  <c r="N237" i="40"/>
  <c r="U180" i="39"/>
  <c r="G180" i="39" s="1"/>
  <c r="D181" i="36" s="1"/>
  <c r="H180" i="39"/>
  <c r="G166" i="13" l="1"/>
  <c r="G221" i="7" s="1"/>
  <c r="J253" i="46"/>
  <c r="L253" i="46"/>
  <c r="A253" i="46"/>
  <c r="M253" i="46" s="1"/>
  <c r="K253" i="46"/>
  <c r="H253" i="46"/>
  <c r="I253" i="46"/>
  <c r="G253" i="46"/>
  <c r="V274" i="46"/>
  <c r="I183" i="13"/>
  <c r="I163" i="28"/>
  <c r="I531" i="7" s="1"/>
  <c r="Z163" i="28"/>
  <c r="AB163" i="28" s="1"/>
  <c r="X161" i="28"/>
  <c r="AE163" i="28"/>
  <c r="AC163" i="28" s="1"/>
  <c r="AH163" i="28"/>
  <c r="Q237" i="40"/>
  <c r="X235" i="40"/>
  <c r="AF237" i="40"/>
  <c r="AC237" i="40"/>
  <c r="I237" i="40" s="1"/>
  <c r="J237" i="40"/>
  <c r="I180" i="39"/>
  <c r="AC180" i="39" s="1"/>
  <c r="O180" i="39"/>
  <c r="P180" i="39"/>
  <c r="Q221" i="7" l="1"/>
  <c r="P221" i="7"/>
  <c r="F167" i="13"/>
  <c r="F222" i="7" s="1"/>
  <c r="R222" i="7" s="1"/>
  <c r="S166" i="13"/>
  <c r="R166" i="13"/>
  <c r="AB167" i="13"/>
  <c r="Y167" i="13"/>
  <c r="H167" i="13" s="1"/>
  <c r="H222" i="7" s="1"/>
  <c r="M167" i="13"/>
  <c r="L222" i="7" s="1"/>
  <c r="K167" i="13"/>
  <c r="J222" i="7" s="1"/>
  <c r="L167" i="13"/>
  <c r="K222" i="7" s="1"/>
  <c r="Q253" i="46"/>
  <c r="F254" i="46" s="1"/>
  <c r="P253" i="46"/>
  <c r="U275" i="46"/>
  <c r="AB274" i="46"/>
  <c r="I238" i="7"/>
  <c r="AF163" i="28"/>
  <c r="J163" i="28"/>
  <c r="G238" i="40"/>
  <c r="R237" i="40"/>
  <c r="Z181" i="39"/>
  <c r="F181" i="39"/>
  <c r="E181" i="36"/>
  <c r="C182" i="36"/>
  <c r="V167" i="13" l="1"/>
  <c r="N167" i="13"/>
  <c r="W275" i="46"/>
  <c r="Y275" i="46"/>
  <c r="Z275" i="46"/>
  <c r="U167" i="13"/>
  <c r="W167" i="13" s="1"/>
  <c r="M222" i="7"/>
  <c r="AC167" i="13"/>
  <c r="AA167" i="13" s="1"/>
  <c r="Z167" i="13"/>
  <c r="E158" i="10"/>
  <c r="X275" i="46"/>
  <c r="J254" i="46"/>
  <c r="H254" i="46"/>
  <c r="A254" i="46"/>
  <c r="M254" i="46" s="1"/>
  <c r="L254" i="46"/>
  <c r="I254" i="46"/>
  <c r="K254" i="46"/>
  <c r="J531" i="7"/>
  <c r="H163" i="28"/>
  <c r="N238" i="40"/>
  <c r="AA238" i="40"/>
  <c r="AB238" i="40" s="1"/>
  <c r="AD238" i="40"/>
  <c r="M238" i="40"/>
  <c r="AH238" i="40"/>
  <c r="L238" i="40"/>
  <c r="AG238" i="40"/>
  <c r="L181" i="39"/>
  <c r="S181" i="39"/>
  <c r="T181" i="39" s="1"/>
  <c r="J181" i="39"/>
  <c r="Q181" i="39"/>
  <c r="V181" i="39"/>
  <c r="K181" i="39"/>
  <c r="Y181" i="39"/>
  <c r="X181" i="39" s="1"/>
  <c r="X167" i="13" l="1"/>
  <c r="J167" i="13"/>
  <c r="G167" i="13" s="1"/>
  <c r="G222" i="7" s="1"/>
  <c r="V275" i="46"/>
  <c r="AB275" i="46" s="1"/>
  <c r="G254" i="46"/>
  <c r="U276" i="46"/>
  <c r="Q163" i="28"/>
  <c r="Q531" i="7" s="1"/>
  <c r="F164" i="28"/>
  <c r="H531" i="7"/>
  <c r="R163" i="28"/>
  <c r="R531" i="7" s="1"/>
  <c r="X236" i="40"/>
  <c r="Q238" i="40"/>
  <c r="AF238" i="40"/>
  <c r="J238" i="40"/>
  <c r="AC238" i="40"/>
  <c r="I238" i="40" s="1"/>
  <c r="U181" i="39"/>
  <c r="G181" i="39" s="1"/>
  <c r="D182" i="36" s="1"/>
  <c r="H181" i="39"/>
  <c r="P222" i="7" l="1"/>
  <c r="Q222" i="7"/>
  <c r="R167" i="13"/>
  <c r="S167" i="13"/>
  <c r="F168" i="13"/>
  <c r="F223" i="7" s="1"/>
  <c r="R223" i="7" s="1"/>
  <c r="Q254" i="46"/>
  <c r="F255" i="46" s="1"/>
  <c r="P254" i="46"/>
  <c r="Y276" i="46"/>
  <c r="W276" i="46"/>
  <c r="Z276" i="46"/>
  <c r="X276" i="46"/>
  <c r="I184" i="13"/>
  <c r="I239" i="7" s="1"/>
  <c r="K164" i="28"/>
  <c r="K532" i="7" s="1"/>
  <c r="F532" i="7"/>
  <c r="S532" i="7" s="1"/>
  <c r="N164" i="28"/>
  <c r="N532" i="7" s="1"/>
  <c r="AA164" i="28"/>
  <c r="AD164" i="28"/>
  <c r="AG164" i="28"/>
  <c r="M164" i="28"/>
  <c r="M532" i="7" s="1"/>
  <c r="L164" i="28"/>
  <c r="L532" i="7" s="1"/>
  <c r="G239" i="40"/>
  <c r="R238" i="40"/>
  <c r="I181" i="39"/>
  <c r="AC181" i="39" s="1"/>
  <c r="O181" i="39"/>
  <c r="P181" i="39"/>
  <c r="L168" i="13" l="1"/>
  <c r="K223" i="7" s="1"/>
  <c r="Y168" i="13"/>
  <c r="K168" i="13"/>
  <c r="J223" i="7" s="1"/>
  <c r="AB168" i="13"/>
  <c r="N168" i="13"/>
  <c r="M223" i="7" s="1"/>
  <c r="V168" i="13"/>
  <c r="M168" i="13"/>
  <c r="L223" i="7" s="1"/>
  <c r="A255" i="46"/>
  <c r="M255" i="46" s="1"/>
  <c r="I255" i="46"/>
  <c r="K255" i="46"/>
  <c r="L255" i="46"/>
  <c r="H255" i="46"/>
  <c r="J255" i="46"/>
  <c r="V276" i="46"/>
  <c r="I164" i="28"/>
  <c r="I532" i="7" s="1"/>
  <c r="AE164" i="28"/>
  <c r="AC164" i="28" s="1"/>
  <c r="Z164" i="28"/>
  <c r="AB164" i="28" s="1"/>
  <c r="AH164" i="28"/>
  <c r="X162" i="28"/>
  <c r="AD239" i="40"/>
  <c r="M239" i="40"/>
  <c r="AG239" i="40"/>
  <c r="AA239" i="40"/>
  <c r="AB239" i="40" s="1"/>
  <c r="AH239" i="40"/>
  <c r="L239" i="40"/>
  <c r="N239" i="40"/>
  <c r="Z182" i="39"/>
  <c r="F182" i="39"/>
  <c r="E182" i="36"/>
  <c r="C183" i="36"/>
  <c r="H168" i="13" l="1"/>
  <c r="H223" i="7" s="1"/>
  <c r="U168" i="13"/>
  <c r="W168" i="13" s="1"/>
  <c r="AC168" i="13"/>
  <c r="AA168" i="13" s="1"/>
  <c r="Z168" i="13"/>
  <c r="E159" i="10"/>
  <c r="G255" i="46"/>
  <c r="U277" i="46"/>
  <c r="AB276" i="46"/>
  <c r="J164" i="28"/>
  <c r="J532" i="7" s="1"/>
  <c r="AF164" i="28"/>
  <c r="AF239" i="40"/>
  <c r="X237" i="40"/>
  <c r="Q239" i="40"/>
  <c r="J239" i="40"/>
  <c r="AC239" i="40"/>
  <c r="I239" i="40" s="1"/>
  <c r="Q182" i="39"/>
  <c r="V182" i="39"/>
  <c r="L182" i="39"/>
  <c r="S182" i="39"/>
  <c r="T182" i="39" s="1"/>
  <c r="J182" i="39"/>
  <c r="K182" i="39"/>
  <c r="Y182" i="39"/>
  <c r="X182" i="39" s="1"/>
  <c r="J168" i="13" l="1"/>
  <c r="X168" i="13"/>
  <c r="Q255" i="46"/>
  <c r="F256" i="46" s="1"/>
  <c r="P255" i="46"/>
  <c r="Y277" i="46"/>
  <c r="X277" i="46"/>
  <c r="Z277" i="46"/>
  <c r="W277" i="46"/>
  <c r="I185" i="13"/>
  <c r="H164" i="28"/>
  <c r="Q164" i="28" s="1"/>
  <c r="Q532" i="7" s="1"/>
  <c r="G240" i="40"/>
  <c r="R239" i="40"/>
  <c r="U182" i="39"/>
  <c r="G182" i="39" s="1"/>
  <c r="D183" i="36" s="1"/>
  <c r="H182" i="39"/>
  <c r="H256" i="46" l="1"/>
  <c r="K256" i="46"/>
  <c r="L256" i="46"/>
  <c r="A256" i="46"/>
  <c r="M256" i="46" s="1"/>
  <c r="J256" i="46"/>
  <c r="G168" i="13"/>
  <c r="G223" i="7" s="1"/>
  <c r="I256" i="46"/>
  <c r="V277" i="46"/>
  <c r="I240" i="7"/>
  <c r="F165" i="28"/>
  <c r="AG165" i="28" s="1"/>
  <c r="H532" i="7"/>
  <c r="R164" i="28"/>
  <c r="R532" i="7" s="1"/>
  <c r="AH240" i="40"/>
  <c r="M240" i="40"/>
  <c r="AG240" i="40"/>
  <c r="L240" i="40"/>
  <c r="N240" i="40"/>
  <c r="AA240" i="40"/>
  <c r="AB240" i="40" s="1"/>
  <c r="AD240" i="40"/>
  <c r="I182" i="39"/>
  <c r="AC182" i="39" s="1"/>
  <c r="O182" i="39"/>
  <c r="P182" i="39"/>
  <c r="G256" i="46" l="1"/>
  <c r="R168" i="13"/>
  <c r="P223" i="7"/>
  <c r="S168" i="13"/>
  <c r="F169" i="13"/>
  <c r="F224" i="7" s="1"/>
  <c r="R224" i="7" s="1"/>
  <c r="Q223" i="7"/>
  <c r="U278" i="46"/>
  <c r="AB277" i="46"/>
  <c r="F533" i="7"/>
  <c r="S533" i="7" s="1"/>
  <c r="K165" i="28"/>
  <c r="K533" i="7" s="1"/>
  <c r="N165" i="28"/>
  <c r="N533" i="7" s="1"/>
  <c r="AA165" i="28"/>
  <c r="L165" i="28"/>
  <c r="L533" i="7" s="1"/>
  <c r="M165" i="28"/>
  <c r="M533" i="7" s="1"/>
  <c r="AD165" i="28"/>
  <c r="I165" i="28" s="1"/>
  <c r="I533" i="7" s="1"/>
  <c r="AF240" i="40"/>
  <c r="AC240" i="40"/>
  <c r="I240" i="40" s="1"/>
  <c r="J240" i="40"/>
  <c r="Q240" i="40"/>
  <c r="X238" i="40"/>
  <c r="F183" i="39"/>
  <c r="Z183" i="39"/>
  <c r="E183" i="36"/>
  <c r="C184" i="36"/>
  <c r="Q256" i="46" l="1"/>
  <c r="F257" i="46" s="1"/>
  <c r="K169" i="13"/>
  <c r="J224" i="7" s="1"/>
  <c r="P256" i="46"/>
  <c r="M169" i="13"/>
  <c r="L224" i="7" s="1"/>
  <c r="L169" i="13"/>
  <c r="K224" i="7" s="1"/>
  <c r="N169" i="13"/>
  <c r="M224" i="7" s="1"/>
  <c r="Y169" i="13"/>
  <c r="V169" i="13"/>
  <c r="AB169" i="13"/>
  <c r="H169" i="13"/>
  <c r="H224" i="7" s="1"/>
  <c r="W278" i="46"/>
  <c r="X278" i="46"/>
  <c r="Y278" i="46"/>
  <c r="Z278" i="46"/>
  <c r="Z165" i="28"/>
  <c r="AB165" i="28" s="1"/>
  <c r="AH165" i="28"/>
  <c r="AF165" i="28" s="1"/>
  <c r="AE165" i="28"/>
  <c r="AC165" i="28" s="1"/>
  <c r="X163" i="28"/>
  <c r="G241" i="40"/>
  <c r="R240" i="40"/>
  <c r="Q183" i="39"/>
  <c r="Y183" i="39"/>
  <c r="X183" i="39" s="1"/>
  <c r="K183" i="39"/>
  <c r="J183" i="39"/>
  <c r="V183" i="39"/>
  <c r="S183" i="39"/>
  <c r="T183" i="39" s="1"/>
  <c r="L183" i="39"/>
  <c r="A257" i="46" l="1"/>
  <c r="M257" i="46" s="1"/>
  <c r="I257" i="46"/>
  <c r="J257" i="46"/>
  <c r="H257" i="46"/>
  <c r="K257" i="46"/>
  <c r="L257" i="46"/>
  <c r="U169" i="13"/>
  <c r="W169" i="13" s="1"/>
  <c r="Z169" i="13"/>
  <c r="AC169" i="13"/>
  <c r="V278" i="46"/>
  <c r="J165" i="28"/>
  <c r="J533" i="7" s="1"/>
  <c r="AG241" i="40"/>
  <c r="N241" i="40"/>
  <c r="AA241" i="40"/>
  <c r="AB241" i="40" s="1"/>
  <c r="M241" i="40"/>
  <c r="AH241" i="40"/>
  <c r="AD241" i="40"/>
  <c r="L241" i="40"/>
  <c r="U183" i="39"/>
  <c r="G183" i="39" s="1"/>
  <c r="D184" i="36" s="1"/>
  <c r="H183" i="39"/>
  <c r="J169" i="13" l="1"/>
  <c r="G257" i="46"/>
  <c r="AA169" i="13"/>
  <c r="X169" i="13"/>
  <c r="G169" i="13"/>
  <c r="G224" i="7" s="1"/>
  <c r="Q224" i="7" s="1"/>
  <c r="U279" i="46"/>
  <c r="AB278" i="46"/>
  <c r="H165" i="28"/>
  <c r="H533" i="7" s="1"/>
  <c r="AF241" i="40"/>
  <c r="Q241" i="40"/>
  <c r="X239" i="40"/>
  <c r="AC241" i="40"/>
  <c r="I241" i="40" s="1"/>
  <c r="J241" i="40"/>
  <c r="I183" i="39"/>
  <c r="AC183" i="39" s="1"/>
  <c r="O183" i="39"/>
  <c r="P183" i="39"/>
  <c r="Q257" i="46" l="1"/>
  <c r="F258" i="46" s="1"/>
  <c r="P257" i="46"/>
  <c r="R169" i="13"/>
  <c r="S169" i="13"/>
  <c r="F170" i="13"/>
  <c r="F225" i="7" s="1"/>
  <c r="R225" i="7" s="1"/>
  <c r="H258" i="46"/>
  <c r="A258" i="46"/>
  <c r="M258" i="46" s="1"/>
  <c r="K258" i="46"/>
  <c r="J258" i="46"/>
  <c r="L258" i="46"/>
  <c r="W279" i="46"/>
  <c r="Z279" i="46"/>
  <c r="Y279" i="46"/>
  <c r="X279" i="46"/>
  <c r="I186" i="13"/>
  <c r="R165" i="28"/>
  <c r="R533" i="7" s="1"/>
  <c r="F166" i="28"/>
  <c r="F534" i="7" s="1"/>
  <c r="S534" i="7" s="1"/>
  <c r="Q165" i="28"/>
  <c r="Q533" i="7" s="1"/>
  <c r="R241" i="40"/>
  <c r="G242" i="40"/>
  <c r="Z184" i="39"/>
  <c r="F184" i="39"/>
  <c r="C185" i="36"/>
  <c r="E184" i="36"/>
  <c r="I258" i="46" l="1"/>
  <c r="Y170" i="13"/>
  <c r="L170" i="13"/>
  <c r="K225" i="7" s="1"/>
  <c r="V170" i="13"/>
  <c r="AB170" i="13"/>
  <c r="M170" i="13"/>
  <c r="L225" i="7" s="1"/>
  <c r="N170" i="13"/>
  <c r="M225" i="7" s="1"/>
  <c r="K170" i="13"/>
  <c r="J225" i="7" s="1"/>
  <c r="G258" i="46"/>
  <c r="V279" i="46"/>
  <c r="I241" i="7"/>
  <c r="AA166" i="28"/>
  <c r="K166" i="28"/>
  <c r="K534" i="7" s="1"/>
  <c r="L166" i="28"/>
  <c r="L534" i="7" s="1"/>
  <c r="N166" i="28"/>
  <c r="N534" i="7" s="1"/>
  <c r="M166" i="28"/>
  <c r="M534" i="7" s="1"/>
  <c r="AG166" i="28"/>
  <c r="AD166" i="28"/>
  <c r="AD242" i="40"/>
  <c r="AG242" i="40"/>
  <c r="N242" i="40"/>
  <c r="M242" i="40"/>
  <c r="AA242" i="40"/>
  <c r="AB242" i="40" s="1"/>
  <c r="AH242" i="40"/>
  <c r="L242" i="40"/>
  <c r="V184" i="39"/>
  <c r="K184" i="39"/>
  <c r="J184" i="39"/>
  <c r="L184" i="39"/>
  <c r="S184" i="39"/>
  <c r="T184" i="39" s="1"/>
  <c r="Q184" i="39"/>
  <c r="Y184" i="39"/>
  <c r="X184" i="39" s="1"/>
  <c r="H170" i="13" l="1"/>
  <c r="H225" i="7" s="1"/>
  <c r="U170" i="13"/>
  <c r="W170" i="13" s="1"/>
  <c r="AC170" i="13"/>
  <c r="AA170" i="13" s="1"/>
  <c r="Z170" i="13"/>
  <c r="Q258" i="46"/>
  <c r="F259" i="46" s="1"/>
  <c r="P258" i="46"/>
  <c r="U280" i="46"/>
  <c r="AB279" i="46"/>
  <c r="I166" i="28"/>
  <c r="I534" i="7" s="1"/>
  <c r="AH166" i="28"/>
  <c r="AF166" i="28" s="1"/>
  <c r="X164" i="28"/>
  <c r="AE166" i="28"/>
  <c r="AC166" i="28" s="1"/>
  <c r="Z166" i="28"/>
  <c r="AB166" i="28" s="1"/>
  <c r="AF242" i="40"/>
  <c r="X240" i="40"/>
  <c r="Q242" i="40"/>
  <c r="J242" i="40"/>
  <c r="AC242" i="40"/>
  <c r="I242" i="40" s="1"/>
  <c r="U184" i="39"/>
  <c r="G184" i="39" s="1"/>
  <c r="D185" i="36" s="1"/>
  <c r="H184" i="39"/>
  <c r="X170" i="13" l="1"/>
  <c r="J170" i="13"/>
  <c r="G170" i="13" s="1"/>
  <c r="G225" i="7" s="1"/>
  <c r="Q225" i="7" s="1"/>
  <c r="J259" i="46"/>
  <c r="L259" i="46"/>
  <c r="A259" i="46"/>
  <c r="M259" i="46" s="1"/>
  <c r="K259" i="46"/>
  <c r="I259" i="46"/>
  <c r="H259" i="46"/>
  <c r="Y280" i="46"/>
  <c r="W280" i="46"/>
  <c r="Z280" i="46"/>
  <c r="X280" i="46"/>
  <c r="I187" i="13"/>
  <c r="I242" i="7" s="1"/>
  <c r="J166" i="28"/>
  <c r="H166" i="28" s="1"/>
  <c r="R166" i="28" s="1"/>
  <c r="R534" i="7" s="1"/>
  <c r="G243" i="40"/>
  <c r="R242" i="40"/>
  <c r="I184" i="39"/>
  <c r="AC184" i="39" s="1"/>
  <c r="O184" i="39"/>
  <c r="P184" i="39"/>
  <c r="S170" i="13" l="1"/>
  <c r="F171" i="13"/>
  <c r="F226" i="7" s="1"/>
  <c r="R226" i="7" s="1"/>
  <c r="R170" i="13"/>
  <c r="G259" i="46"/>
  <c r="V280" i="46"/>
  <c r="U281" i="46" s="1"/>
  <c r="Q166" i="28"/>
  <c r="Q534" i="7" s="1"/>
  <c r="H534" i="7"/>
  <c r="J534" i="7"/>
  <c r="F167" i="28"/>
  <c r="F535" i="7" s="1"/>
  <c r="S535" i="7" s="1"/>
  <c r="AH243" i="40"/>
  <c r="AD243" i="40"/>
  <c r="L243" i="40"/>
  <c r="AG243" i="40"/>
  <c r="AA243" i="40"/>
  <c r="AB243" i="40" s="1"/>
  <c r="M243" i="40"/>
  <c r="N243" i="40"/>
  <c r="F185" i="39"/>
  <c r="Z185" i="39"/>
  <c r="E185" i="36"/>
  <c r="C186" i="36"/>
  <c r="L171" i="13" l="1"/>
  <c r="K226" i="7" s="1"/>
  <c r="K171" i="13"/>
  <c r="J226" i="7" s="1"/>
  <c r="N171" i="13"/>
  <c r="M226" i="7" s="1"/>
  <c r="Y171" i="13"/>
  <c r="M171" i="13"/>
  <c r="L226" i="7" s="1"/>
  <c r="V171" i="13"/>
  <c r="AB171" i="13"/>
  <c r="Q259" i="46"/>
  <c r="F260" i="46" s="1"/>
  <c r="P259" i="46"/>
  <c r="AB280" i="46"/>
  <c r="X281" i="46"/>
  <c r="Z281" i="46"/>
  <c r="W281" i="46"/>
  <c r="Y281" i="46"/>
  <c r="AA167" i="28"/>
  <c r="N167" i="28"/>
  <c r="N535" i="7" s="1"/>
  <c r="AD167" i="28"/>
  <c r="AG167" i="28"/>
  <c r="M167" i="28"/>
  <c r="M535" i="7" s="1"/>
  <c r="L167" i="28"/>
  <c r="L535" i="7" s="1"/>
  <c r="K167" i="28"/>
  <c r="K535" i="7" s="1"/>
  <c r="I188" i="13"/>
  <c r="AF243" i="40"/>
  <c r="Q243" i="40"/>
  <c r="X241" i="40"/>
  <c r="AC243" i="40"/>
  <c r="I243" i="40" s="1"/>
  <c r="J243" i="40"/>
  <c r="J185" i="39"/>
  <c r="Q185" i="39"/>
  <c r="S185" i="39"/>
  <c r="T185" i="39" s="1"/>
  <c r="Y185" i="39"/>
  <c r="X185" i="39" s="1"/>
  <c r="L185" i="39"/>
  <c r="V185" i="39"/>
  <c r="K185" i="39"/>
  <c r="E162" i="10" l="1"/>
  <c r="U171" i="13"/>
  <c r="AC171" i="13"/>
  <c r="Z171" i="13"/>
  <c r="X171" i="13" s="1"/>
  <c r="H171" i="13"/>
  <c r="H226" i="7" s="1"/>
  <c r="J260" i="46"/>
  <c r="A260" i="46"/>
  <c r="M260" i="46" s="1"/>
  <c r="K260" i="46"/>
  <c r="L260" i="46"/>
  <c r="I260" i="46"/>
  <c r="H260" i="46"/>
  <c r="V281" i="46"/>
  <c r="I243" i="7"/>
  <c r="I167" i="28"/>
  <c r="I535" i="7" s="1"/>
  <c r="AH167" i="28"/>
  <c r="AF167" i="28" s="1"/>
  <c r="AE167" i="28"/>
  <c r="AC167" i="28" s="1"/>
  <c r="Z167" i="28"/>
  <c r="AB167" i="28" s="1"/>
  <c r="X165" i="28"/>
  <c r="R243" i="40"/>
  <c r="G244" i="40"/>
  <c r="H185" i="39"/>
  <c r="U185" i="39"/>
  <c r="G185" i="39" s="1"/>
  <c r="D186" i="36" s="1"/>
  <c r="J171" i="13" l="1"/>
  <c r="W171" i="13"/>
  <c r="AA171" i="13"/>
  <c r="G260" i="46"/>
  <c r="U282" i="46"/>
  <c r="AB281" i="46"/>
  <c r="J167" i="28"/>
  <c r="H167" i="28" s="1"/>
  <c r="F168" i="28" s="1"/>
  <c r="M244" i="40"/>
  <c r="AA244" i="40"/>
  <c r="AB244" i="40" s="1"/>
  <c r="AD244" i="40"/>
  <c r="L244" i="40"/>
  <c r="N244" i="40"/>
  <c r="AH244" i="40"/>
  <c r="AG244" i="40"/>
  <c r="I185" i="39"/>
  <c r="AC185" i="39" s="1"/>
  <c r="O185" i="39"/>
  <c r="P185" i="39"/>
  <c r="G171" i="13" l="1"/>
  <c r="G226" i="7" s="1"/>
  <c r="X282" i="46"/>
  <c r="W282" i="46"/>
  <c r="Z282" i="46"/>
  <c r="Y282" i="46"/>
  <c r="Q260" i="46"/>
  <c r="F261" i="46" s="1"/>
  <c r="P260" i="46"/>
  <c r="J535" i="7"/>
  <c r="H535" i="7"/>
  <c r="Q167" i="28"/>
  <c r="Q535" i="7" s="1"/>
  <c r="R167" i="28"/>
  <c r="R535" i="7" s="1"/>
  <c r="K168" i="28"/>
  <c r="F536" i="7"/>
  <c r="S536" i="7" s="1"/>
  <c r="M168" i="28"/>
  <c r="M536" i="7" s="1"/>
  <c r="AD168" i="28"/>
  <c r="N168" i="28"/>
  <c r="L168" i="28"/>
  <c r="L536" i="7" s="1"/>
  <c r="AG168" i="28"/>
  <c r="AA168" i="28"/>
  <c r="AF244" i="40"/>
  <c r="Q244" i="40"/>
  <c r="X242" i="40"/>
  <c r="AC244" i="40"/>
  <c r="I244" i="40" s="1"/>
  <c r="J244" i="40"/>
  <c r="F186" i="39"/>
  <c r="Z186" i="39"/>
  <c r="E186" i="36"/>
  <c r="C187" i="36"/>
  <c r="S171" i="13" l="1"/>
  <c r="F172" i="13"/>
  <c r="F227" i="7" s="1"/>
  <c r="R227" i="7" s="1"/>
  <c r="R171" i="13"/>
  <c r="P226" i="7"/>
  <c r="Q226" i="7"/>
  <c r="V282" i="46"/>
  <c r="A261" i="46"/>
  <c r="M261" i="46" s="1"/>
  <c r="J261" i="46"/>
  <c r="H261" i="46"/>
  <c r="K261" i="46"/>
  <c r="I261" i="46"/>
  <c r="L261" i="46"/>
  <c r="I168" i="28"/>
  <c r="I536" i="7" s="1"/>
  <c r="Z168" i="28"/>
  <c r="AB168" i="28" s="1"/>
  <c r="AE168" i="28"/>
  <c r="AC168" i="28" s="1"/>
  <c r="N536" i="7"/>
  <c r="AH168" i="28"/>
  <c r="K536" i="7"/>
  <c r="X166" i="28"/>
  <c r="G245" i="40"/>
  <c r="R244" i="40"/>
  <c r="V186" i="39"/>
  <c r="Y186" i="39"/>
  <c r="X186" i="39" s="1"/>
  <c r="K186" i="39"/>
  <c r="S186" i="39"/>
  <c r="T186" i="39" s="1"/>
  <c r="L186" i="39"/>
  <c r="J186" i="39"/>
  <c r="Q186" i="39"/>
  <c r="Y172" i="13" l="1"/>
  <c r="V172" i="13"/>
  <c r="N172" i="13"/>
  <c r="M227" i="7" s="1"/>
  <c r="L172" i="13"/>
  <c r="K227" i="7" s="1"/>
  <c r="M172" i="13"/>
  <c r="L227" i="7" s="1"/>
  <c r="AB282" i="46"/>
  <c r="U283" i="46"/>
  <c r="AB172" i="13"/>
  <c r="K172" i="13"/>
  <c r="J227" i="7" s="1"/>
  <c r="G261" i="46"/>
  <c r="I189" i="13"/>
  <c r="I244" i="7" s="1"/>
  <c r="AF168" i="28"/>
  <c r="J168" i="28"/>
  <c r="L245" i="40"/>
  <c r="N245" i="40"/>
  <c r="M245" i="40"/>
  <c r="AD245" i="40"/>
  <c r="AH245" i="40"/>
  <c r="AA245" i="40"/>
  <c r="AB245" i="40" s="1"/>
  <c r="AG245" i="40"/>
  <c r="U186" i="39"/>
  <c r="G186" i="39" s="1"/>
  <c r="D187" i="36" s="1"/>
  <c r="H186" i="39"/>
  <c r="H172" i="13" l="1"/>
  <c r="H227" i="7" s="1"/>
  <c r="Z172" i="13"/>
  <c r="U172" i="13"/>
  <c r="AC172" i="13"/>
  <c r="Z283" i="46"/>
  <c r="X283" i="46"/>
  <c r="W283" i="46"/>
  <c r="Y283" i="46"/>
  <c r="E163" i="10"/>
  <c r="J172" i="13"/>
  <c r="Q261" i="46"/>
  <c r="F262" i="46" s="1"/>
  <c r="P261" i="46"/>
  <c r="H168" i="28"/>
  <c r="J536" i="7"/>
  <c r="AF245" i="40"/>
  <c r="AC245" i="40"/>
  <c r="I245" i="40" s="1"/>
  <c r="J245" i="40"/>
  <c r="X243" i="40"/>
  <c r="Q245" i="40"/>
  <c r="I186" i="39"/>
  <c r="AC186" i="39" s="1"/>
  <c r="O186" i="39"/>
  <c r="P186" i="39"/>
  <c r="W172" i="13" l="1"/>
  <c r="X172" i="13"/>
  <c r="AA172" i="13"/>
  <c r="V283" i="46"/>
  <c r="AB283" i="46" s="1"/>
  <c r="H262" i="46"/>
  <c r="J262" i="46"/>
  <c r="I262" i="46"/>
  <c r="L262" i="46"/>
  <c r="A262" i="46"/>
  <c r="M262" i="46" s="1"/>
  <c r="K262" i="46"/>
  <c r="F169" i="28"/>
  <c r="H536" i="7"/>
  <c r="Q168" i="28"/>
  <c r="Q536" i="7" s="1"/>
  <c r="R168" i="28"/>
  <c r="R536" i="7" s="1"/>
  <c r="G246" i="40"/>
  <c r="R245" i="40"/>
  <c r="F187" i="39"/>
  <c r="Z187" i="39"/>
  <c r="C188" i="36"/>
  <c r="E187" i="36"/>
  <c r="G172" i="13" l="1"/>
  <c r="G227" i="7" s="1"/>
  <c r="U284" i="46"/>
  <c r="G262" i="46"/>
  <c r="AG169" i="28"/>
  <c r="N169" i="28"/>
  <c r="K169" i="28"/>
  <c r="M169" i="28"/>
  <c r="M537" i="7" s="1"/>
  <c r="AA169" i="28"/>
  <c r="L169" i="28"/>
  <c r="L537" i="7" s="1"/>
  <c r="AD169" i="28"/>
  <c r="F537" i="7"/>
  <c r="S537" i="7" s="1"/>
  <c r="L246" i="40"/>
  <c r="M246" i="40"/>
  <c r="AD246" i="40"/>
  <c r="AG246" i="40"/>
  <c r="AA246" i="40"/>
  <c r="AB246" i="40" s="1"/>
  <c r="AH246" i="40"/>
  <c r="N246" i="40"/>
  <c r="J187" i="39"/>
  <c r="S187" i="39"/>
  <c r="T187" i="39" s="1"/>
  <c r="Q187" i="39"/>
  <c r="L187" i="39"/>
  <c r="Y187" i="39"/>
  <c r="X187" i="39" s="1"/>
  <c r="V187" i="39"/>
  <c r="K187" i="39"/>
  <c r="Q227" i="7" l="1"/>
  <c r="S172" i="13"/>
  <c r="F173" i="13"/>
  <c r="F228" i="7" s="1"/>
  <c r="R228" i="7" s="1"/>
  <c r="R172" i="13"/>
  <c r="P227" i="7"/>
  <c r="W284" i="46"/>
  <c r="Y284" i="46"/>
  <c r="Z284" i="46"/>
  <c r="X284" i="46"/>
  <c r="Q262" i="46"/>
  <c r="F263" i="46" s="1"/>
  <c r="P262" i="46"/>
  <c r="I190" i="13"/>
  <c r="I169" i="28"/>
  <c r="I537" i="7" s="1"/>
  <c r="K537" i="7"/>
  <c r="X167" i="28"/>
  <c r="N537" i="7"/>
  <c r="Z169" i="28"/>
  <c r="AB169" i="28" s="1"/>
  <c r="AE169" i="28"/>
  <c r="AC169" i="28" s="1"/>
  <c r="AH169" i="28"/>
  <c r="AF246" i="40"/>
  <c r="AC246" i="40"/>
  <c r="I246" i="40" s="1"/>
  <c r="J246" i="40"/>
  <c r="Q246" i="40"/>
  <c r="X244" i="40"/>
  <c r="U187" i="39"/>
  <c r="G187" i="39" s="1"/>
  <c r="D188" i="36" s="1"/>
  <c r="H187" i="39"/>
  <c r="L173" i="13" l="1"/>
  <c r="K228" i="7" s="1"/>
  <c r="V173" i="13"/>
  <c r="K173" i="13"/>
  <c r="J228" i="7" s="1"/>
  <c r="Y173" i="13"/>
  <c r="N173" i="13"/>
  <c r="M228" i="7" s="1"/>
  <c r="M173" i="13"/>
  <c r="L228" i="7" s="1"/>
  <c r="AB173" i="13"/>
  <c r="V284" i="46"/>
  <c r="H173" i="13"/>
  <c r="H228" i="7" s="1"/>
  <c r="J263" i="46"/>
  <c r="H263" i="46"/>
  <c r="L263" i="46"/>
  <c r="I263" i="46"/>
  <c r="K263" i="46"/>
  <c r="A263" i="46"/>
  <c r="M263" i="46" s="1"/>
  <c r="I245" i="7"/>
  <c r="J169" i="28"/>
  <c r="AF169" i="28"/>
  <c r="G247" i="40"/>
  <c r="R246" i="40"/>
  <c r="I187" i="39"/>
  <c r="AC187" i="39" s="1"/>
  <c r="O187" i="39"/>
  <c r="P187" i="39"/>
  <c r="U173" i="13" l="1"/>
  <c r="Z173" i="13"/>
  <c r="AC173" i="13"/>
  <c r="E164" i="10"/>
  <c r="AB284" i="46"/>
  <c r="U285" i="46"/>
  <c r="G263" i="46"/>
  <c r="H169" i="28"/>
  <c r="J537" i="7"/>
  <c r="M247" i="40"/>
  <c r="AH247" i="40"/>
  <c r="N247" i="40"/>
  <c r="L247" i="40"/>
  <c r="AA247" i="40"/>
  <c r="AB247" i="40" s="1"/>
  <c r="AD247" i="40"/>
  <c r="AG247" i="40"/>
  <c r="Z188" i="39"/>
  <c r="F188" i="39"/>
  <c r="C189" i="36"/>
  <c r="E188" i="36"/>
  <c r="J173" i="13" l="1"/>
  <c r="X173" i="13"/>
  <c r="W173" i="13"/>
  <c r="AA173" i="13"/>
  <c r="W285" i="46"/>
  <c r="Z285" i="46"/>
  <c r="Y285" i="46"/>
  <c r="X285" i="46"/>
  <c r="Q263" i="46"/>
  <c r="F264" i="46" s="1"/>
  <c r="P263" i="46"/>
  <c r="V285" i="46"/>
  <c r="Q169" i="28"/>
  <c r="Q537" i="7" s="1"/>
  <c r="H537" i="7"/>
  <c r="F170" i="28"/>
  <c r="R169" i="28"/>
  <c r="R537" i="7" s="1"/>
  <c r="J247" i="40"/>
  <c r="AC247" i="40"/>
  <c r="I247" i="40" s="1"/>
  <c r="Q247" i="40"/>
  <c r="X245" i="40"/>
  <c r="AF247" i="40"/>
  <c r="L188" i="39"/>
  <c r="Y188" i="39"/>
  <c r="X188" i="39" s="1"/>
  <c r="S188" i="39"/>
  <c r="T188" i="39" s="1"/>
  <c r="Q188" i="39"/>
  <c r="J188" i="39"/>
  <c r="V188" i="39"/>
  <c r="K188" i="39"/>
  <c r="G173" i="13" l="1"/>
  <c r="G228" i="7" s="1"/>
  <c r="A264" i="46"/>
  <c r="M264" i="46" s="1"/>
  <c r="I264" i="46"/>
  <c r="L264" i="46"/>
  <c r="K264" i="46"/>
  <c r="J264" i="46"/>
  <c r="H264" i="46"/>
  <c r="U286" i="46"/>
  <c r="AB285" i="46"/>
  <c r="I191" i="13"/>
  <c r="L170" i="28"/>
  <c r="L538" i="7" s="1"/>
  <c r="AG170" i="28"/>
  <c r="K170" i="28"/>
  <c r="AD170" i="28"/>
  <c r="AA170" i="28"/>
  <c r="M170" i="28"/>
  <c r="M538" i="7" s="1"/>
  <c r="N170" i="28"/>
  <c r="F538" i="7"/>
  <c r="S538" i="7" s="1"/>
  <c r="R247" i="40"/>
  <c r="G248" i="40"/>
  <c r="U188" i="39"/>
  <c r="G188" i="39" s="1"/>
  <c r="D189" i="36" s="1"/>
  <c r="H188" i="39"/>
  <c r="S173" i="13" l="1"/>
  <c r="R173" i="13"/>
  <c r="Q228" i="7"/>
  <c r="P228" i="7"/>
  <c r="F174" i="13"/>
  <c r="F229" i="7" s="1"/>
  <c r="Y174" i="13"/>
  <c r="V174" i="13"/>
  <c r="M174" i="13"/>
  <c r="L229" i="7" s="1"/>
  <c r="N174" i="13"/>
  <c r="M229" i="7" s="1"/>
  <c r="AB174" i="13"/>
  <c r="Z286" i="46"/>
  <c r="Y286" i="46"/>
  <c r="G264" i="46"/>
  <c r="X286" i="46"/>
  <c r="W286" i="46"/>
  <c r="I246" i="7"/>
  <c r="I170" i="28"/>
  <c r="I538" i="7" s="1"/>
  <c r="N538" i="7"/>
  <c r="AH170" i="28"/>
  <c r="AE170" i="28"/>
  <c r="AC170" i="28" s="1"/>
  <c r="Z170" i="28"/>
  <c r="AB170" i="28" s="1"/>
  <c r="X168" i="28"/>
  <c r="K538" i="7"/>
  <c r="AA248" i="40"/>
  <c r="AB248" i="40" s="1"/>
  <c r="L248" i="40"/>
  <c r="M248" i="40"/>
  <c r="AH248" i="40"/>
  <c r="AG248" i="40"/>
  <c r="N248" i="40"/>
  <c r="AD248" i="40"/>
  <c r="I188" i="39"/>
  <c r="AC188" i="39" s="1"/>
  <c r="O188" i="39"/>
  <c r="P188" i="39"/>
  <c r="L174" i="13" l="1"/>
  <c r="K229" i="7" s="1"/>
  <c r="K174" i="13"/>
  <c r="J229" i="7" s="1"/>
  <c r="R229" i="7"/>
  <c r="H174" i="13"/>
  <c r="H229" i="7" s="1"/>
  <c r="Z174" i="13"/>
  <c r="U174" i="13"/>
  <c r="AC174" i="13"/>
  <c r="E165" i="10"/>
  <c r="Q264" i="46"/>
  <c r="F265" i="46" s="1"/>
  <c r="P264" i="46"/>
  <c r="V286" i="46"/>
  <c r="AF170" i="28"/>
  <c r="J170" i="28"/>
  <c r="AF248" i="40"/>
  <c r="AC248" i="40"/>
  <c r="I248" i="40" s="1"/>
  <c r="J248" i="40"/>
  <c r="Q248" i="40"/>
  <c r="X246" i="40"/>
  <c r="F189" i="39"/>
  <c r="Z189" i="39"/>
  <c r="E189" i="36"/>
  <c r="C190" i="36"/>
  <c r="J174" i="13" l="1"/>
  <c r="X174" i="13"/>
  <c r="W174" i="13"/>
  <c r="AA174" i="13"/>
  <c r="I265" i="46"/>
  <c r="K265" i="46"/>
  <c r="H265" i="46"/>
  <c r="A265" i="46"/>
  <c r="M265" i="46" s="1"/>
  <c r="J265" i="46"/>
  <c r="L265" i="46"/>
  <c r="AB286" i="46"/>
  <c r="U287" i="46"/>
  <c r="H170" i="28"/>
  <c r="J538" i="7"/>
  <c r="R248" i="40"/>
  <c r="G249" i="40"/>
  <c r="K189" i="39"/>
  <c r="J189" i="39"/>
  <c r="Q189" i="39"/>
  <c r="S189" i="39"/>
  <c r="T189" i="39" s="1"/>
  <c r="L189" i="39"/>
  <c r="Y189" i="39"/>
  <c r="X189" i="39" s="1"/>
  <c r="V189" i="39"/>
  <c r="G174" i="13" l="1"/>
  <c r="G265" i="46"/>
  <c r="Z287" i="46"/>
  <c r="Y287" i="46"/>
  <c r="W287" i="46"/>
  <c r="X287" i="46"/>
  <c r="I192" i="13"/>
  <c r="H538" i="7"/>
  <c r="F171" i="28"/>
  <c r="R170" i="28"/>
  <c r="R538" i="7" s="1"/>
  <c r="Q170" i="28"/>
  <c r="Q538" i="7" s="1"/>
  <c r="AA249" i="40"/>
  <c r="AB249" i="40" s="1"/>
  <c r="N249" i="40"/>
  <c r="AG249" i="40"/>
  <c r="AH249" i="40"/>
  <c r="M249" i="40"/>
  <c r="L249" i="40"/>
  <c r="AD249" i="40"/>
  <c r="H189" i="39"/>
  <c r="U189" i="39"/>
  <c r="G189" i="39" s="1"/>
  <c r="D190" i="36" s="1"/>
  <c r="F175" i="13" l="1"/>
  <c r="R174" i="13"/>
  <c r="G229" i="7"/>
  <c r="S174" i="13"/>
  <c r="Q265" i="46"/>
  <c r="F266" i="46" s="1"/>
  <c r="P265" i="46"/>
  <c r="V287" i="46"/>
  <c r="I247" i="7"/>
  <c r="K171" i="28"/>
  <c r="L171" i="28"/>
  <c r="L539" i="7" s="1"/>
  <c r="F539" i="7"/>
  <c r="S539" i="7" s="1"/>
  <c r="AA171" i="28"/>
  <c r="AG171" i="28"/>
  <c r="M171" i="28"/>
  <c r="M539" i="7" s="1"/>
  <c r="N171" i="28"/>
  <c r="AD171" i="28"/>
  <c r="AF249" i="40"/>
  <c r="AC249" i="40"/>
  <c r="I249" i="40" s="1"/>
  <c r="J249" i="40"/>
  <c r="Q249" i="40"/>
  <c r="X247" i="40"/>
  <c r="I189" i="39"/>
  <c r="AC189" i="39" s="1"/>
  <c r="O189" i="39"/>
  <c r="P189" i="39"/>
  <c r="Y175" i="13" l="1"/>
  <c r="AB175" i="13"/>
  <c r="F230" i="7"/>
  <c r="R230" i="7" s="1"/>
  <c r="M175" i="13"/>
  <c r="L230" i="7" s="1"/>
  <c r="V175" i="13"/>
  <c r="K175" i="13"/>
  <c r="J230" i="7" s="1"/>
  <c r="L175" i="13"/>
  <c r="K230" i="7" s="1"/>
  <c r="N175" i="13"/>
  <c r="M230" i="7" s="1"/>
  <c r="Q229" i="7"/>
  <c r="P229" i="7"/>
  <c r="Z175" i="13"/>
  <c r="U175" i="13"/>
  <c r="AC175" i="13"/>
  <c r="J175" i="13"/>
  <c r="E166" i="10"/>
  <c r="A266" i="46"/>
  <c r="M266" i="46" s="1"/>
  <c r="H266" i="46"/>
  <c r="J266" i="46"/>
  <c r="L266" i="46"/>
  <c r="K266" i="46"/>
  <c r="I266" i="46"/>
  <c r="AB287" i="46"/>
  <c r="U288" i="46"/>
  <c r="I171" i="28"/>
  <c r="I539" i="7" s="1"/>
  <c r="Z171" i="28"/>
  <c r="AB171" i="28" s="1"/>
  <c r="AE171" i="28"/>
  <c r="AC171" i="28" s="1"/>
  <c r="N539" i="7"/>
  <c r="AH171" i="28"/>
  <c r="K539" i="7"/>
  <c r="X169" i="28"/>
  <c r="R249" i="40"/>
  <c r="G250" i="40"/>
  <c r="F190" i="39"/>
  <c r="Z190" i="39"/>
  <c r="E190" i="36"/>
  <c r="C191" i="36"/>
  <c r="H175" i="13" l="1"/>
  <c r="H230" i="7" s="1"/>
  <c r="X175" i="13"/>
  <c r="W175" i="13"/>
  <c r="AA175" i="13"/>
  <c r="G266" i="46"/>
  <c r="Y288" i="46"/>
  <c r="X288" i="46"/>
  <c r="Z288" i="46"/>
  <c r="W288" i="46"/>
  <c r="AF171" i="28"/>
  <c r="J171" i="28"/>
  <c r="AD250" i="40"/>
  <c r="AH250" i="40"/>
  <c r="N250" i="40"/>
  <c r="L250" i="40"/>
  <c r="AA250" i="40"/>
  <c r="AB250" i="40" s="1"/>
  <c r="M250" i="40"/>
  <c r="AG250" i="40"/>
  <c r="V190" i="39"/>
  <c r="K190" i="39"/>
  <c r="L190" i="39"/>
  <c r="J190" i="39"/>
  <c r="S190" i="39"/>
  <c r="T190" i="39" s="1"/>
  <c r="Q190" i="39"/>
  <c r="Y190" i="39"/>
  <c r="X190" i="39" s="1"/>
  <c r="G175" i="13" l="1"/>
  <c r="G230" i="7" s="1"/>
  <c r="Q230" i="7"/>
  <c r="P230" i="7"/>
  <c r="S175" i="13"/>
  <c r="F176" i="13"/>
  <c r="R175" i="13"/>
  <c r="Q266" i="46"/>
  <c r="F267" i="46" s="1"/>
  <c r="P266" i="46"/>
  <c r="V288" i="46"/>
  <c r="I193" i="13"/>
  <c r="I248" i="7" s="1"/>
  <c r="H171" i="28"/>
  <c r="J539" i="7"/>
  <c r="X248" i="40"/>
  <c r="Q250" i="40"/>
  <c r="AF250" i="40"/>
  <c r="AC250" i="40"/>
  <c r="I250" i="40" s="1"/>
  <c r="J250" i="40"/>
  <c r="U190" i="39"/>
  <c r="G190" i="39" s="1"/>
  <c r="D191" i="36" s="1"/>
  <c r="H190" i="39"/>
  <c r="F231" i="7" l="1"/>
  <c r="R231" i="7" s="1"/>
  <c r="V176" i="13"/>
  <c r="AB176" i="13"/>
  <c r="M176" i="13"/>
  <c r="L231" i="7" s="1"/>
  <c r="K176" i="13"/>
  <c r="J231" i="7" s="1"/>
  <c r="N176" i="13"/>
  <c r="M231" i="7" s="1"/>
  <c r="Y176" i="13"/>
  <c r="L176" i="13"/>
  <c r="K231" i="7" s="1"/>
  <c r="A267" i="46"/>
  <c r="M267" i="46" s="1"/>
  <c r="J267" i="46"/>
  <c r="H267" i="46"/>
  <c r="L267" i="46"/>
  <c r="I267" i="46"/>
  <c r="K267" i="46"/>
  <c r="U289" i="46"/>
  <c r="AB288" i="46"/>
  <c r="R171" i="28"/>
  <c r="R539" i="7" s="1"/>
  <c r="H539" i="7"/>
  <c r="F172" i="28"/>
  <c r="Q171" i="28"/>
  <c r="Q539" i="7" s="1"/>
  <c r="G251" i="40"/>
  <c r="R250" i="40"/>
  <c r="I190" i="39"/>
  <c r="AC190" i="39" s="1"/>
  <c r="O190" i="39"/>
  <c r="P190" i="39"/>
  <c r="H176" i="13" l="1"/>
  <c r="H231" i="7" s="1"/>
  <c r="E167" i="10"/>
  <c r="Z176" i="13"/>
  <c r="U176" i="13"/>
  <c r="AC176" i="13"/>
  <c r="G267" i="46"/>
  <c r="X289" i="46"/>
  <c r="Y289" i="46"/>
  <c r="Z289" i="46"/>
  <c r="W289" i="46"/>
  <c r="F540" i="7"/>
  <c r="S540" i="7" s="1"/>
  <c r="M172" i="28"/>
  <c r="M540" i="7" s="1"/>
  <c r="AA172" i="28"/>
  <c r="AG172" i="28"/>
  <c r="K172" i="28"/>
  <c r="AD172" i="28"/>
  <c r="L172" i="28"/>
  <c r="L540" i="7" s="1"/>
  <c r="N172" i="28"/>
  <c r="AH251" i="40"/>
  <c r="AG251" i="40"/>
  <c r="L251" i="40"/>
  <c r="AA251" i="40"/>
  <c r="AB251" i="40" s="1"/>
  <c r="AD251" i="40"/>
  <c r="M251" i="40"/>
  <c r="N251" i="40"/>
  <c r="Z191" i="39"/>
  <c r="F191" i="39"/>
  <c r="C192" i="36"/>
  <c r="E191" i="36"/>
  <c r="W176" i="13" l="1"/>
  <c r="X176" i="13"/>
  <c r="J176" i="13"/>
  <c r="AA176" i="13"/>
  <c r="Q267" i="46"/>
  <c r="F268" i="46" s="1"/>
  <c r="P267" i="46"/>
  <c r="V289" i="46"/>
  <c r="I172" i="28"/>
  <c r="I540" i="7" s="1"/>
  <c r="K540" i="7"/>
  <c r="X170" i="28"/>
  <c r="N540" i="7"/>
  <c r="Z172" i="28"/>
  <c r="AB172" i="28" s="1"/>
  <c r="AE172" i="28"/>
  <c r="AC172" i="28" s="1"/>
  <c r="AH172" i="28"/>
  <c r="AF251" i="40"/>
  <c r="J251" i="40"/>
  <c r="AC251" i="40"/>
  <c r="I251" i="40" s="1"/>
  <c r="X249" i="40"/>
  <c r="Q251" i="40"/>
  <c r="Y191" i="39"/>
  <c r="X191" i="39" s="1"/>
  <c r="V191" i="39"/>
  <c r="Q191" i="39"/>
  <c r="L191" i="39"/>
  <c r="S191" i="39"/>
  <c r="T191" i="39" s="1"/>
  <c r="J191" i="39"/>
  <c r="K191" i="39"/>
  <c r="G176" i="13" l="1"/>
  <c r="G231" i="7" s="1"/>
  <c r="A268" i="46"/>
  <c r="M268" i="46" s="1"/>
  <c r="H268" i="46"/>
  <c r="I268" i="46"/>
  <c r="K268" i="46"/>
  <c r="J268" i="46"/>
  <c r="L268" i="46"/>
  <c r="AB289" i="46"/>
  <c r="U290" i="46"/>
  <c r="Y290" i="46" s="1"/>
  <c r="I194" i="13"/>
  <c r="AF172" i="28"/>
  <c r="J172" i="28"/>
  <c r="R251" i="40"/>
  <c r="G252" i="40"/>
  <c r="H191" i="39"/>
  <c r="U191" i="39"/>
  <c r="G191" i="39" s="1"/>
  <c r="D192" i="36" s="1"/>
  <c r="P231" i="7" l="1"/>
  <c r="Q231" i="7"/>
  <c r="R176" i="13"/>
  <c r="S176" i="13"/>
  <c r="F177" i="13"/>
  <c r="F232" i="7" s="1"/>
  <c r="R232" i="7" s="1"/>
  <c r="G268" i="46"/>
  <c r="W290" i="46"/>
  <c r="X290" i="46"/>
  <c r="Z290" i="46"/>
  <c r="I249" i="7"/>
  <c r="H172" i="28"/>
  <c r="J540" i="7"/>
  <c r="L252" i="40"/>
  <c r="AG252" i="40"/>
  <c r="AD252" i="40"/>
  <c r="AH252" i="40"/>
  <c r="N252" i="40"/>
  <c r="AA252" i="40"/>
  <c r="AB252" i="40" s="1"/>
  <c r="M252" i="40"/>
  <c r="I191" i="39"/>
  <c r="AC191" i="39" s="1"/>
  <c r="O191" i="39"/>
  <c r="P191" i="39"/>
  <c r="V177" i="13" l="1"/>
  <c r="K177" i="13"/>
  <c r="J232" i="7" s="1"/>
  <c r="N177" i="13"/>
  <c r="M232" i="7" s="1"/>
  <c r="M177" i="13"/>
  <c r="L232" i="7" s="1"/>
  <c r="AB177" i="13"/>
  <c r="Y177" i="13"/>
  <c r="H177" i="13" s="1"/>
  <c r="H232" i="7" s="1"/>
  <c r="L177" i="13"/>
  <c r="K232" i="7" s="1"/>
  <c r="Q268" i="46"/>
  <c r="F269" i="46" s="1"/>
  <c r="P268" i="46"/>
  <c r="V290" i="46"/>
  <c r="U291" i="46" s="1"/>
  <c r="H540" i="7"/>
  <c r="Q172" i="28"/>
  <c r="Q540" i="7" s="1"/>
  <c r="R172" i="28"/>
  <c r="R540" i="7" s="1"/>
  <c r="F173" i="28"/>
  <c r="AF252" i="40"/>
  <c r="AC252" i="40"/>
  <c r="I252" i="40" s="1"/>
  <c r="J252" i="40"/>
  <c r="Q252" i="40"/>
  <c r="X250" i="40"/>
  <c r="Z192" i="39"/>
  <c r="F192" i="39"/>
  <c r="E192" i="36"/>
  <c r="C193" i="36"/>
  <c r="AC177" i="13" l="1"/>
  <c r="U177" i="13"/>
  <c r="Z177" i="13"/>
  <c r="X291" i="46"/>
  <c r="I269" i="46"/>
  <c r="L269" i="46"/>
  <c r="H269" i="46"/>
  <c r="K269" i="46"/>
  <c r="A269" i="46"/>
  <c r="M269" i="46" s="1"/>
  <c r="J269" i="46"/>
  <c r="Y291" i="46"/>
  <c r="Z291" i="46"/>
  <c r="AB290" i="46"/>
  <c r="W291" i="46"/>
  <c r="F541" i="7"/>
  <c r="S541" i="7" s="1"/>
  <c r="N173" i="28"/>
  <c r="AE173" i="28" s="1"/>
  <c r="AD173" i="28"/>
  <c r="AG173" i="28"/>
  <c r="L173" i="28"/>
  <c r="L541" i="7" s="1"/>
  <c r="K173" i="28"/>
  <c r="AA173" i="28"/>
  <c r="M173" i="28"/>
  <c r="M541" i="7" s="1"/>
  <c r="G253" i="40"/>
  <c r="R252" i="40"/>
  <c r="S192" i="39"/>
  <c r="T192" i="39" s="1"/>
  <c r="J192" i="39"/>
  <c r="L192" i="39"/>
  <c r="K192" i="39"/>
  <c r="Y192" i="39"/>
  <c r="X192" i="39" s="1"/>
  <c r="Q192" i="39"/>
  <c r="V192" i="39"/>
  <c r="J177" i="13" l="1"/>
  <c r="AA177" i="13"/>
  <c r="W177" i="13"/>
  <c r="X177" i="13"/>
  <c r="G269" i="46"/>
  <c r="V291" i="46"/>
  <c r="I195" i="13"/>
  <c r="I250" i="7" s="1"/>
  <c r="I173" i="28"/>
  <c r="I541" i="7" s="1"/>
  <c r="AC173" i="28"/>
  <c r="K541" i="7"/>
  <c r="X171" i="28"/>
  <c r="N541" i="7"/>
  <c r="AH173" i="28"/>
  <c r="Z173" i="28"/>
  <c r="AB173" i="28" s="1"/>
  <c r="AA253" i="40"/>
  <c r="AB253" i="40" s="1"/>
  <c r="AG253" i="40"/>
  <c r="AH253" i="40"/>
  <c r="AD253" i="40"/>
  <c r="M253" i="40"/>
  <c r="L253" i="40"/>
  <c r="N253" i="40"/>
  <c r="U192" i="39"/>
  <c r="G192" i="39" s="1"/>
  <c r="D193" i="36" s="1"/>
  <c r="H192" i="39"/>
  <c r="G177" i="13" l="1"/>
  <c r="G232" i="7" s="1"/>
  <c r="Q232" i="7" s="1"/>
  <c r="AB291" i="46"/>
  <c r="U292" i="46"/>
  <c r="Q269" i="46"/>
  <c r="F270" i="46" s="1"/>
  <c r="P269" i="46"/>
  <c r="I192" i="39"/>
  <c r="AC192" i="39" s="1"/>
  <c r="J173" i="28"/>
  <c r="AF173" i="28"/>
  <c r="AF253" i="40"/>
  <c r="X251" i="40"/>
  <c r="Q253" i="40"/>
  <c r="AC253" i="40"/>
  <c r="I253" i="40" s="1"/>
  <c r="J253" i="40"/>
  <c r="O192" i="39"/>
  <c r="P192" i="39"/>
  <c r="S177" i="13" l="1"/>
  <c r="R177" i="13"/>
  <c r="F178" i="13"/>
  <c r="X292" i="46"/>
  <c r="Z292" i="46"/>
  <c r="Y292" i="46"/>
  <c r="W292" i="46"/>
  <c r="J270" i="46"/>
  <c r="K270" i="46"/>
  <c r="L270" i="46"/>
  <c r="H270" i="46"/>
  <c r="A270" i="46"/>
  <c r="M270" i="46" s="1"/>
  <c r="I270" i="46"/>
  <c r="J541" i="7"/>
  <c r="H173" i="28"/>
  <c r="R253" i="40"/>
  <c r="G254" i="40"/>
  <c r="Z193" i="39"/>
  <c r="F193" i="39"/>
  <c r="C194" i="36"/>
  <c r="E193" i="36"/>
  <c r="AB178" i="13" l="1"/>
  <c r="M178" i="13"/>
  <c r="L233" i="7" s="1"/>
  <c r="K178" i="13"/>
  <c r="J233" i="7" s="1"/>
  <c r="N178" i="13"/>
  <c r="M233" i="7" s="1"/>
  <c r="V178" i="13"/>
  <c r="L178" i="13"/>
  <c r="K233" i="7" s="1"/>
  <c r="Y178" i="13"/>
  <c r="F233" i="7"/>
  <c r="R233" i="7" s="1"/>
  <c r="G270" i="46"/>
  <c r="P270" i="46" s="1"/>
  <c r="V292" i="46"/>
  <c r="U293" i="46"/>
  <c r="I196" i="13"/>
  <c r="F174" i="28"/>
  <c r="Q173" i="28"/>
  <c r="Q541" i="7" s="1"/>
  <c r="H541" i="7"/>
  <c r="R173" i="28"/>
  <c r="R541" i="7" s="1"/>
  <c r="AD254" i="40"/>
  <c r="AG254" i="40"/>
  <c r="L254" i="40"/>
  <c r="M254" i="40"/>
  <c r="AA254" i="40"/>
  <c r="AB254" i="40" s="1"/>
  <c r="N254" i="40"/>
  <c r="AH254" i="40"/>
  <c r="V193" i="39"/>
  <c r="J193" i="39"/>
  <c r="Y193" i="39"/>
  <c r="X193" i="39" s="1"/>
  <c r="K193" i="39"/>
  <c r="L193" i="39"/>
  <c r="S193" i="39"/>
  <c r="T193" i="39" s="1"/>
  <c r="Q193" i="39"/>
  <c r="H178" i="13" l="1"/>
  <c r="H233" i="7" s="1"/>
  <c r="U178" i="13"/>
  <c r="Z178" i="13"/>
  <c r="AB292" i="46"/>
  <c r="AC178" i="13"/>
  <c r="E169" i="10"/>
  <c r="Q270" i="46"/>
  <c r="F271" i="46" s="1"/>
  <c r="Z293" i="46"/>
  <c r="Y293" i="46"/>
  <c r="X293" i="46"/>
  <c r="W293" i="46"/>
  <c r="I251" i="7"/>
  <c r="AA174" i="28"/>
  <c r="AD174" i="28"/>
  <c r="F542" i="7"/>
  <c r="S542" i="7" s="1"/>
  <c r="N174" i="28"/>
  <c r="N542" i="7" s="1"/>
  <c r="AG174" i="28"/>
  <c r="L174" i="28"/>
  <c r="L542" i="7" s="1"/>
  <c r="M174" i="28"/>
  <c r="M542" i="7" s="1"/>
  <c r="K174" i="28"/>
  <c r="K542" i="7" s="1"/>
  <c r="AF254" i="40"/>
  <c r="Q254" i="40"/>
  <c r="X252" i="40"/>
  <c r="J254" i="40"/>
  <c r="AC254" i="40"/>
  <c r="I254" i="40" s="1"/>
  <c r="U193" i="39"/>
  <c r="G193" i="39" s="1"/>
  <c r="D194" i="36" s="1"/>
  <c r="H193" i="39"/>
  <c r="J178" i="13" l="1"/>
  <c r="W178" i="13"/>
  <c r="X178" i="13"/>
  <c r="H271" i="46"/>
  <c r="AA178" i="13"/>
  <c r="A271" i="46"/>
  <c r="M271" i="46" s="1"/>
  <c r="L271" i="46"/>
  <c r="K271" i="46"/>
  <c r="J271" i="46"/>
  <c r="I271" i="46"/>
  <c r="G178" i="13"/>
  <c r="V293" i="46"/>
  <c r="I174" i="28"/>
  <c r="I542" i="7" s="1"/>
  <c r="I193" i="39"/>
  <c r="AC193" i="39" s="1"/>
  <c r="Z174" i="28"/>
  <c r="AB174" i="28" s="1"/>
  <c r="AH174" i="28"/>
  <c r="AF174" i="28" s="1"/>
  <c r="AE174" i="28"/>
  <c r="AC174" i="28" s="1"/>
  <c r="X172" i="28"/>
  <c r="R254" i="40"/>
  <c r="G255" i="40"/>
  <c r="O193" i="39"/>
  <c r="P193" i="39"/>
  <c r="G271" i="46" l="1"/>
  <c r="P271" i="46" s="1"/>
  <c r="G233" i="7"/>
  <c r="R178" i="13"/>
  <c r="S178" i="13"/>
  <c r="F179" i="13"/>
  <c r="U294" i="46"/>
  <c r="AB293" i="46"/>
  <c r="J174" i="28"/>
  <c r="H174" i="28" s="1"/>
  <c r="AH255" i="40"/>
  <c r="L255" i="40"/>
  <c r="N255" i="40"/>
  <c r="AG255" i="40"/>
  <c r="M255" i="40"/>
  <c r="AA255" i="40"/>
  <c r="AB255" i="40" s="1"/>
  <c r="AD255" i="40"/>
  <c r="F194" i="39"/>
  <c r="Z194" i="39"/>
  <c r="C195" i="36"/>
  <c r="E194" i="36"/>
  <c r="N179" i="13" l="1"/>
  <c r="M234" i="7" s="1"/>
  <c r="F234" i="7"/>
  <c r="R234" i="7" s="1"/>
  <c r="Q271" i="46"/>
  <c r="F272" i="46" s="1"/>
  <c r="Q233" i="7"/>
  <c r="P233" i="7"/>
  <c r="L179" i="13"/>
  <c r="K234" i="7" s="1"/>
  <c r="K179" i="13"/>
  <c r="J234" i="7" s="1"/>
  <c r="Y179" i="13"/>
  <c r="H179" i="13" s="1"/>
  <c r="H234" i="7" s="1"/>
  <c r="V179" i="13"/>
  <c r="AB179" i="13"/>
  <c r="M179" i="13"/>
  <c r="L234" i="7" s="1"/>
  <c r="Y294" i="46"/>
  <c r="Z294" i="46"/>
  <c r="X294" i="46"/>
  <c r="W294" i="46"/>
  <c r="I197" i="13"/>
  <c r="J542" i="7"/>
  <c r="Q174" i="28"/>
  <c r="Q542" i="7" s="1"/>
  <c r="F175" i="28"/>
  <c r="H542" i="7"/>
  <c r="R174" i="28"/>
  <c r="R542" i="7" s="1"/>
  <c r="J255" i="40"/>
  <c r="AC255" i="40"/>
  <c r="I255" i="40" s="1"/>
  <c r="Q255" i="40"/>
  <c r="X253" i="40"/>
  <c r="AF255" i="40"/>
  <c r="K194" i="39"/>
  <c r="V194" i="39"/>
  <c r="L194" i="39"/>
  <c r="J194" i="39"/>
  <c r="Y194" i="39"/>
  <c r="X194" i="39" s="1"/>
  <c r="Q194" i="39"/>
  <c r="S194" i="39"/>
  <c r="T194" i="39" s="1"/>
  <c r="Z179" i="13" l="1"/>
  <c r="U179" i="13"/>
  <c r="L272" i="46"/>
  <c r="AC179" i="13"/>
  <c r="J272" i="46"/>
  <c r="I272" i="46"/>
  <c r="H272" i="46"/>
  <c r="K272" i="46"/>
  <c r="A272" i="46"/>
  <c r="M272" i="46" s="1"/>
  <c r="G272" i="46" s="1"/>
  <c r="E170" i="10"/>
  <c r="V294" i="46"/>
  <c r="I252" i="7"/>
  <c r="F543" i="7"/>
  <c r="S543" i="7" s="1"/>
  <c r="N175" i="28"/>
  <c r="AD175" i="28"/>
  <c r="K175" i="28"/>
  <c r="M175" i="28"/>
  <c r="M543" i="7" s="1"/>
  <c r="L175" i="28"/>
  <c r="L543" i="7" s="1"/>
  <c r="AA175" i="28"/>
  <c r="AG175" i="28"/>
  <c r="R255" i="40"/>
  <c r="G256" i="40"/>
  <c r="U194" i="39"/>
  <c r="G194" i="39" s="1"/>
  <c r="D195" i="36" s="1"/>
  <c r="H194" i="39"/>
  <c r="J179" i="13" l="1"/>
  <c r="W179" i="13"/>
  <c r="X179" i="13"/>
  <c r="AA179" i="13"/>
  <c r="P272" i="46"/>
  <c r="Q272" i="46"/>
  <c r="F273" i="46" s="1"/>
  <c r="AB294" i="46"/>
  <c r="U295" i="46"/>
  <c r="I175" i="28"/>
  <c r="I543" i="7" s="1"/>
  <c r="I194" i="39"/>
  <c r="AC194" i="39" s="1"/>
  <c r="K543" i="7"/>
  <c r="X173" i="28"/>
  <c r="Z175" i="28"/>
  <c r="AB175" i="28" s="1"/>
  <c r="AH175" i="28"/>
  <c r="N543" i="7"/>
  <c r="AE175" i="28"/>
  <c r="AC175" i="28" s="1"/>
  <c r="N256" i="40"/>
  <c r="AH256" i="40"/>
  <c r="AA256" i="40"/>
  <c r="AB256" i="40" s="1"/>
  <c r="M256" i="40"/>
  <c r="AG256" i="40"/>
  <c r="L256" i="40"/>
  <c r="AD256" i="40"/>
  <c r="O194" i="39"/>
  <c r="P194" i="39"/>
  <c r="G179" i="13" l="1"/>
  <c r="A273" i="46"/>
  <c r="M273" i="46" s="1"/>
  <c r="L273" i="46"/>
  <c r="H273" i="46"/>
  <c r="I273" i="46"/>
  <c r="K273" i="46"/>
  <c r="J273" i="46"/>
  <c r="X295" i="46"/>
  <c r="W295" i="46"/>
  <c r="Y295" i="46"/>
  <c r="Z295" i="46"/>
  <c r="AF175" i="28"/>
  <c r="J175" i="28"/>
  <c r="AF256" i="40"/>
  <c r="AC256" i="40"/>
  <c r="I256" i="40" s="1"/>
  <c r="J256" i="40"/>
  <c r="Q256" i="40"/>
  <c r="X254" i="40"/>
  <c r="F195" i="39"/>
  <c r="Z195" i="39"/>
  <c r="E195" i="36"/>
  <c r="C196" i="36"/>
  <c r="R179" i="13" l="1"/>
  <c r="S179" i="13"/>
  <c r="F180" i="13"/>
  <c r="F235" i="7" s="1"/>
  <c r="R235" i="7" s="1"/>
  <c r="G234" i="7"/>
  <c r="G273" i="46"/>
  <c r="Q273" i="46"/>
  <c r="F274" i="46" s="1"/>
  <c r="V295" i="46"/>
  <c r="I198" i="13"/>
  <c r="I253" i="7" s="1"/>
  <c r="H175" i="28"/>
  <c r="J543" i="7"/>
  <c r="R256" i="40"/>
  <c r="G257" i="40"/>
  <c r="L195" i="39"/>
  <c r="J195" i="39"/>
  <c r="V195" i="39"/>
  <c r="S195" i="39"/>
  <c r="T195" i="39" s="1"/>
  <c r="K195" i="39"/>
  <c r="Y195" i="39"/>
  <c r="X195" i="39" s="1"/>
  <c r="Q195" i="39"/>
  <c r="V180" i="13" l="1"/>
  <c r="L180" i="13"/>
  <c r="K235" i="7" s="1"/>
  <c r="AB180" i="13"/>
  <c r="M180" i="13"/>
  <c r="L235" i="7" s="1"/>
  <c r="Y180" i="13"/>
  <c r="H180" i="13" s="1"/>
  <c r="H235" i="7" s="1"/>
  <c r="N180" i="13"/>
  <c r="M235" i="7" s="1"/>
  <c r="K180" i="13"/>
  <c r="J235" i="7" s="1"/>
  <c r="Q234" i="7"/>
  <c r="P234" i="7"/>
  <c r="P273" i="46"/>
  <c r="L274" i="46"/>
  <c r="H274" i="46"/>
  <c r="A274" i="46"/>
  <c r="M274" i="46" s="1"/>
  <c r="G274" i="46" s="1"/>
  <c r="J274" i="46"/>
  <c r="K274" i="46"/>
  <c r="I274" i="46"/>
  <c r="AB295" i="46"/>
  <c r="U296" i="46"/>
  <c r="Q175" i="28"/>
  <c r="Q543" i="7" s="1"/>
  <c r="R175" i="28"/>
  <c r="R543" i="7" s="1"/>
  <c r="F176" i="28"/>
  <c r="H543" i="7"/>
  <c r="AH257" i="40"/>
  <c r="AD257" i="40"/>
  <c r="AA257" i="40"/>
  <c r="AB257" i="40" s="1"/>
  <c r="M257" i="40"/>
  <c r="M259" i="40" s="1"/>
  <c r="AG257" i="40"/>
  <c r="N257" i="40"/>
  <c r="N259" i="40" s="1"/>
  <c r="L257" i="40"/>
  <c r="U195" i="39"/>
  <c r="G195" i="39" s="1"/>
  <c r="D196" i="36" s="1"/>
  <c r="H195" i="39"/>
  <c r="U180" i="13" l="1"/>
  <c r="Z180" i="13"/>
  <c r="E171" i="10"/>
  <c r="AC180" i="13"/>
  <c r="P274" i="46"/>
  <c r="Q274" i="46"/>
  <c r="F275" i="46" s="1"/>
  <c r="AA180" i="13"/>
  <c r="W180" i="13"/>
  <c r="X180" i="13"/>
  <c r="J180" i="13"/>
  <c r="X296" i="46"/>
  <c r="W296" i="46"/>
  <c r="Z296" i="46"/>
  <c r="Y296" i="46"/>
  <c r="I195" i="39"/>
  <c r="AC195" i="39" s="1"/>
  <c r="AG176" i="28"/>
  <c r="F544" i="7"/>
  <c r="S544" i="7" s="1"/>
  <c r="L176" i="28"/>
  <c r="L544" i="7" s="1"/>
  <c r="M176" i="28"/>
  <c r="M544" i="7" s="1"/>
  <c r="AA176" i="28"/>
  <c r="AD176" i="28"/>
  <c r="K176" i="28"/>
  <c r="N176" i="28"/>
  <c r="X255" i="40"/>
  <c r="V4" i="40" s="1"/>
  <c r="V5" i="40" s="1"/>
  <c r="V6" i="40" s="1"/>
  <c r="Q257" i="40"/>
  <c r="Q259" i="40" s="1"/>
  <c r="L259" i="40"/>
  <c r="AC257" i="40"/>
  <c r="I257" i="40" s="1"/>
  <c r="J257" i="40"/>
  <c r="J259" i="40" s="1"/>
  <c r="AF257" i="40"/>
  <c r="O195" i="39"/>
  <c r="P195" i="39"/>
  <c r="H275" i="46" l="1"/>
  <c r="L275" i="46"/>
  <c r="J275" i="46"/>
  <c r="I275" i="46"/>
  <c r="K275" i="46"/>
  <c r="A275" i="46"/>
  <c r="M275" i="46" s="1"/>
  <c r="G180" i="13"/>
  <c r="V296" i="46"/>
  <c r="I199" i="13"/>
  <c r="I176" i="28"/>
  <c r="I544" i="7" s="1"/>
  <c r="Z176" i="28"/>
  <c r="AB176" i="28" s="1"/>
  <c r="N544" i="7"/>
  <c r="AH176" i="28"/>
  <c r="AE176" i="28"/>
  <c r="AC176" i="28" s="1"/>
  <c r="K544" i="7"/>
  <c r="X174" i="28"/>
  <c r="I259" i="40"/>
  <c r="R257" i="40"/>
  <c r="J57" i="9"/>
  <c r="J59" i="9"/>
  <c r="J60" i="9"/>
  <c r="J61" i="9"/>
  <c r="J62" i="9"/>
  <c r="J58" i="9"/>
  <c r="F196" i="39"/>
  <c r="Z196" i="39"/>
  <c r="E196" i="36"/>
  <c r="C197" i="36"/>
  <c r="G275" i="46" l="1"/>
  <c r="U297" i="46"/>
  <c r="Z297" i="46" s="1"/>
  <c r="G235" i="7"/>
  <c r="AB296" i="46"/>
  <c r="F181" i="13"/>
  <c r="R180" i="13"/>
  <c r="S180" i="13"/>
  <c r="I254" i="7"/>
  <c r="AF176" i="28"/>
  <c r="J176" i="28"/>
  <c r="K196" i="39"/>
  <c r="Y196" i="39"/>
  <c r="X196" i="39" s="1"/>
  <c r="Q196" i="39"/>
  <c r="J196" i="39"/>
  <c r="L196" i="39"/>
  <c r="V196" i="39"/>
  <c r="S196" i="39"/>
  <c r="T196" i="39" s="1"/>
  <c r="Q275" i="46" l="1"/>
  <c r="F276" i="46" s="1"/>
  <c r="P275" i="46"/>
  <c r="W297" i="46"/>
  <c r="X297" i="46"/>
  <c r="Y297" i="46"/>
  <c r="V181" i="13"/>
  <c r="L181" i="13"/>
  <c r="K236" i="7" s="1"/>
  <c r="AB181" i="13"/>
  <c r="Y181" i="13"/>
  <c r="H181" i="13" s="1"/>
  <c r="H236" i="7" s="1"/>
  <c r="P235" i="7"/>
  <c r="Q235" i="7"/>
  <c r="N181" i="13"/>
  <c r="F236" i="7"/>
  <c r="R236" i="7" s="1"/>
  <c r="M181" i="13"/>
  <c r="L236" i="7" s="1"/>
  <c r="K181" i="13"/>
  <c r="J236" i="7" s="1"/>
  <c r="H176" i="28"/>
  <c r="J544" i="7"/>
  <c r="U196" i="39"/>
  <c r="G196" i="39" s="1"/>
  <c r="D197" i="36" s="1"/>
  <c r="H196" i="39"/>
  <c r="A276" i="46" l="1"/>
  <c r="M276" i="46" s="1"/>
  <c r="I276" i="46"/>
  <c r="L276" i="46"/>
  <c r="J276" i="46"/>
  <c r="H276" i="46"/>
  <c r="K276" i="46"/>
  <c r="V297" i="46"/>
  <c r="AC181" i="13"/>
  <c r="AA181" i="13" s="1"/>
  <c r="M236" i="7"/>
  <c r="U181" i="13"/>
  <c r="Z181" i="13"/>
  <c r="E172" i="10"/>
  <c r="I196" i="39"/>
  <c r="AC196" i="39" s="1"/>
  <c r="Q176" i="28"/>
  <c r="Q544" i="7" s="1"/>
  <c r="R176" i="28"/>
  <c r="R544" i="7" s="1"/>
  <c r="H544" i="7"/>
  <c r="F177" i="28"/>
  <c r="O196" i="39"/>
  <c r="P196" i="39"/>
  <c r="J181" i="13" l="1"/>
  <c r="G276" i="46"/>
  <c r="U298" i="46"/>
  <c r="AB297" i="46"/>
  <c r="X181" i="13"/>
  <c r="W181" i="13"/>
  <c r="Q276" i="46"/>
  <c r="F277" i="46" s="1"/>
  <c r="P276" i="46"/>
  <c r="X298" i="46"/>
  <c r="Y298" i="46"/>
  <c r="I200" i="13"/>
  <c r="K177" i="28"/>
  <c r="AG177" i="28"/>
  <c r="L177" i="28"/>
  <c r="L545" i="7" s="1"/>
  <c r="N177" i="28"/>
  <c r="M177" i="28"/>
  <c r="M545" i="7" s="1"/>
  <c r="AD177" i="28"/>
  <c r="AA177" i="28"/>
  <c r="F545" i="7"/>
  <c r="S545" i="7" s="1"/>
  <c r="F197" i="39"/>
  <c r="Z197" i="39"/>
  <c r="C198" i="36"/>
  <c r="E197" i="36"/>
  <c r="G181" i="13" l="1"/>
  <c r="G236" i="7" s="1"/>
  <c r="W298" i="46"/>
  <c r="Z298" i="46"/>
  <c r="J277" i="46"/>
  <c r="L277" i="46"/>
  <c r="H277" i="46"/>
  <c r="I277" i="46"/>
  <c r="K277" i="46"/>
  <c r="A277" i="46"/>
  <c r="M277" i="46" s="1"/>
  <c r="G277" i="46"/>
  <c r="I255" i="7"/>
  <c r="I177" i="28"/>
  <c r="I545" i="7" s="1"/>
  <c r="AH177" i="28"/>
  <c r="Z177" i="28"/>
  <c r="AB177" i="28" s="1"/>
  <c r="N545" i="7"/>
  <c r="AE177" i="28"/>
  <c r="AC177" i="28" s="1"/>
  <c r="K545" i="7"/>
  <c r="X175" i="28"/>
  <c r="V197" i="39"/>
  <c r="J197" i="39"/>
  <c r="Y197" i="39"/>
  <c r="X197" i="39" s="1"/>
  <c r="Q197" i="39"/>
  <c r="K197" i="39"/>
  <c r="L197" i="39"/>
  <c r="S197" i="39"/>
  <c r="T197" i="39" s="1"/>
  <c r="P236" i="7" l="1"/>
  <c r="Q236" i="7"/>
  <c r="R181" i="13"/>
  <c r="S181" i="13"/>
  <c r="F182" i="13"/>
  <c r="F237" i="7" s="1"/>
  <c r="R237" i="7" s="1"/>
  <c r="V298" i="46"/>
  <c r="P277" i="46"/>
  <c r="Q277" i="46"/>
  <c r="F278" i="46" s="1"/>
  <c r="J177" i="28"/>
  <c r="AF177" i="28"/>
  <c r="U197" i="39"/>
  <c r="G197" i="39" s="1"/>
  <c r="D198" i="36" s="1"/>
  <c r="H197" i="39"/>
  <c r="L182" i="13" l="1"/>
  <c r="K237" i="7" s="1"/>
  <c r="M182" i="13"/>
  <c r="L237" i="7" s="1"/>
  <c r="Y182" i="13"/>
  <c r="V182" i="13"/>
  <c r="AB182" i="13"/>
  <c r="K182" i="13"/>
  <c r="J237" i="7" s="1"/>
  <c r="N182" i="13"/>
  <c r="M237" i="7" s="1"/>
  <c r="AB298" i="46"/>
  <c r="U299" i="46"/>
  <c r="K278" i="46"/>
  <c r="J278" i="46"/>
  <c r="I278" i="46"/>
  <c r="H278" i="46"/>
  <c r="L278" i="46"/>
  <c r="A278" i="46"/>
  <c r="M278" i="46" s="1"/>
  <c r="W299" i="46"/>
  <c r="Z299" i="46"/>
  <c r="Y299" i="46"/>
  <c r="X299" i="46"/>
  <c r="I197" i="39"/>
  <c r="AC197" i="39" s="1"/>
  <c r="J545" i="7"/>
  <c r="H177" i="28"/>
  <c r="O197" i="39"/>
  <c r="P197" i="39"/>
  <c r="H182" i="13" l="1"/>
  <c r="H237" i="7" s="1"/>
  <c r="E173" i="10"/>
  <c r="AC182" i="13"/>
  <c r="AA182" i="13" s="1"/>
  <c r="Z182" i="13"/>
  <c r="U182" i="13"/>
  <c r="G278" i="46"/>
  <c r="V299" i="46"/>
  <c r="U300" i="46" s="1"/>
  <c r="F178" i="28"/>
  <c r="R177" i="28"/>
  <c r="R545" i="7" s="1"/>
  <c r="Q177" i="28"/>
  <c r="Q545" i="7" s="1"/>
  <c r="H545" i="7"/>
  <c r="Z198" i="39"/>
  <c r="F198" i="39"/>
  <c r="E198" i="36"/>
  <c r="C199" i="36"/>
  <c r="J182" i="13" l="1"/>
  <c r="X182" i="13"/>
  <c r="W182" i="13"/>
  <c r="G182" i="13"/>
  <c r="G237" i="7" s="1"/>
  <c r="Q278" i="46"/>
  <c r="F279" i="46" s="1"/>
  <c r="P278" i="46"/>
  <c r="Y300" i="46"/>
  <c r="Z300" i="46"/>
  <c r="AB299" i="46"/>
  <c r="W300" i="46"/>
  <c r="X300" i="46"/>
  <c r="I201" i="13"/>
  <c r="I256" i="7" s="1"/>
  <c r="N178" i="28"/>
  <c r="AA178" i="28"/>
  <c r="AG178" i="28"/>
  <c r="F546" i="7"/>
  <c r="S546" i="7" s="1"/>
  <c r="L178" i="28"/>
  <c r="L546" i="7" s="1"/>
  <c r="AD178" i="28"/>
  <c r="K178" i="28"/>
  <c r="M178" i="28"/>
  <c r="M546" i="7" s="1"/>
  <c r="V198" i="39"/>
  <c r="J198" i="39"/>
  <c r="K198" i="39"/>
  <c r="Y198" i="39"/>
  <c r="X198" i="39" s="1"/>
  <c r="S198" i="39"/>
  <c r="T198" i="39" s="1"/>
  <c r="Q198" i="39"/>
  <c r="L198" i="39"/>
  <c r="Q237" i="7" l="1"/>
  <c r="P237" i="7"/>
  <c r="R182" i="13"/>
  <c r="S182" i="13"/>
  <c r="F183" i="13"/>
  <c r="F238" i="7" s="1"/>
  <c r="R238" i="7" s="1"/>
  <c r="K279" i="46"/>
  <c r="I279" i="46"/>
  <c r="L279" i="46"/>
  <c r="H279" i="46"/>
  <c r="J279" i="46"/>
  <c r="A279" i="46"/>
  <c r="M279" i="46" s="1"/>
  <c r="V300" i="46"/>
  <c r="U301" i="46" s="1"/>
  <c r="W301" i="46" s="1"/>
  <c r="I178" i="28"/>
  <c r="I546" i="7" s="1"/>
  <c r="K546" i="7"/>
  <c r="X176" i="28"/>
  <c r="N546" i="7"/>
  <c r="AE178" i="28"/>
  <c r="AC178" i="28" s="1"/>
  <c r="Z178" i="28"/>
  <c r="AB178" i="28" s="1"/>
  <c r="AH178" i="28"/>
  <c r="U198" i="39"/>
  <c r="G198" i="39" s="1"/>
  <c r="D199" i="36" s="1"/>
  <c r="H198" i="39"/>
  <c r="Y183" i="13" l="1"/>
  <c r="H183" i="13" s="1"/>
  <c r="H238" i="7" s="1"/>
  <c r="L183" i="13"/>
  <c r="K238" i="7" s="1"/>
  <c r="M183" i="13"/>
  <c r="L238" i="7" s="1"/>
  <c r="K183" i="13"/>
  <c r="J238" i="7" s="1"/>
  <c r="V183" i="13"/>
  <c r="AB183" i="13"/>
  <c r="N183" i="13"/>
  <c r="M238" i="7" s="1"/>
  <c r="G279" i="46"/>
  <c r="AB300" i="46"/>
  <c r="Z301" i="46"/>
  <c r="X301" i="46"/>
  <c r="Y301" i="46"/>
  <c r="I198" i="39"/>
  <c r="AC198" i="39" s="1"/>
  <c r="AF178" i="28"/>
  <c r="J178" i="28"/>
  <c r="O198" i="39"/>
  <c r="P198" i="39"/>
  <c r="E174" i="10" l="1"/>
  <c r="U183" i="13"/>
  <c r="W183" i="13" s="1"/>
  <c r="Z183" i="13"/>
  <c r="AC183" i="13"/>
  <c r="AA183" i="13" s="1"/>
  <c r="Q279" i="46"/>
  <c r="F280" i="46" s="1"/>
  <c r="P279" i="46"/>
  <c r="V301" i="46"/>
  <c r="I202" i="13"/>
  <c r="J546" i="7"/>
  <c r="H178" i="28"/>
  <c r="F199" i="39"/>
  <c r="Z199" i="39"/>
  <c r="C200" i="36"/>
  <c r="E199" i="36"/>
  <c r="X183" i="13" l="1"/>
  <c r="J183" i="13"/>
  <c r="G183" i="13" s="1"/>
  <c r="I280" i="46"/>
  <c r="A280" i="46"/>
  <c r="M280" i="46" s="1"/>
  <c r="H280" i="46"/>
  <c r="L280" i="46"/>
  <c r="K280" i="46"/>
  <c r="J280" i="46"/>
  <c r="U302" i="46"/>
  <c r="AB301" i="46"/>
  <c r="I257" i="7"/>
  <c r="F179" i="28"/>
  <c r="R178" i="28"/>
  <c r="R546" i="7" s="1"/>
  <c r="Q178" i="28"/>
  <c r="Q546" i="7" s="1"/>
  <c r="H546" i="7"/>
  <c r="Y199" i="39"/>
  <c r="X199" i="39" s="1"/>
  <c r="K199" i="39"/>
  <c r="L199" i="39"/>
  <c r="J199" i="39"/>
  <c r="Q199" i="39"/>
  <c r="V199" i="39"/>
  <c r="S199" i="39"/>
  <c r="T199" i="39" s="1"/>
  <c r="G238" i="7" l="1"/>
  <c r="F184" i="13"/>
  <c r="F239" i="7" s="1"/>
  <c r="R239" i="7" s="1"/>
  <c r="R183" i="13"/>
  <c r="S183" i="13"/>
  <c r="G280" i="46"/>
  <c r="W302" i="46"/>
  <c r="X302" i="46"/>
  <c r="Z302" i="46"/>
  <c r="Y302" i="46"/>
  <c r="M179" i="28"/>
  <c r="M547" i="7" s="1"/>
  <c r="N179" i="28"/>
  <c r="N547" i="7" s="1"/>
  <c r="K179" i="28"/>
  <c r="AA179" i="28"/>
  <c r="AG179" i="28"/>
  <c r="F547" i="7"/>
  <c r="S547" i="7" s="1"/>
  <c r="L179" i="28"/>
  <c r="L547" i="7" s="1"/>
  <c r="AD179" i="28"/>
  <c r="U199" i="39"/>
  <c r="G199" i="39" s="1"/>
  <c r="D200" i="36" s="1"/>
  <c r="H199" i="39"/>
  <c r="Q238" i="7" l="1"/>
  <c r="P238" i="7"/>
  <c r="Y184" i="13"/>
  <c r="K184" i="13"/>
  <c r="J239" i="7" s="1"/>
  <c r="V184" i="13"/>
  <c r="AB184" i="13"/>
  <c r="M184" i="13"/>
  <c r="L239" i="7" s="1"/>
  <c r="L184" i="13"/>
  <c r="K239" i="7" s="1"/>
  <c r="N184" i="13"/>
  <c r="P280" i="46"/>
  <c r="Q280" i="46"/>
  <c r="F281" i="46" s="1"/>
  <c r="V302" i="46"/>
  <c r="U303" i="46" s="1"/>
  <c r="I199" i="39"/>
  <c r="AC199" i="39" s="1"/>
  <c r="AH179" i="28"/>
  <c r="AF179" i="28" s="1"/>
  <c r="Z179" i="28"/>
  <c r="AB179" i="28" s="1"/>
  <c r="I179" i="28"/>
  <c r="I547" i="7" s="1"/>
  <c r="K547" i="7"/>
  <c r="X177" i="28"/>
  <c r="AE179" i="28"/>
  <c r="AC179" i="28" s="1"/>
  <c r="O199" i="39"/>
  <c r="P199" i="39"/>
  <c r="H184" i="13" l="1"/>
  <c r="H239" i="7" s="1"/>
  <c r="Z184" i="13"/>
  <c r="U184" i="13"/>
  <c r="W184" i="13" s="1"/>
  <c r="AC184" i="13"/>
  <c r="AA184" i="13" s="1"/>
  <c r="M239" i="7"/>
  <c r="J184" i="13"/>
  <c r="K281" i="46"/>
  <c r="A281" i="46"/>
  <c r="M281" i="46" s="1"/>
  <c r="J281" i="46"/>
  <c r="I281" i="46"/>
  <c r="H281" i="46"/>
  <c r="L281" i="46"/>
  <c r="AB302" i="46"/>
  <c r="W303" i="46"/>
  <c r="Z303" i="46"/>
  <c r="X303" i="46"/>
  <c r="Y303" i="46"/>
  <c r="I203" i="13"/>
  <c r="I258" i="7" s="1"/>
  <c r="J179" i="28"/>
  <c r="J547" i="7" s="1"/>
  <c r="Z200" i="39"/>
  <c r="F200" i="39"/>
  <c r="E200" i="36"/>
  <c r="C201" i="36"/>
  <c r="X184" i="13" l="1"/>
  <c r="G281" i="46"/>
  <c r="G184" i="13"/>
  <c r="G239" i="7" s="1"/>
  <c r="Q239" i="7" s="1"/>
  <c r="V303" i="46"/>
  <c r="H179" i="28"/>
  <c r="F180" i="28" s="1"/>
  <c r="K200" i="39"/>
  <c r="Q200" i="39"/>
  <c r="J200" i="39"/>
  <c r="S200" i="39"/>
  <c r="T200" i="39" s="1"/>
  <c r="L200" i="39"/>
  <c r="Y200" i="39"/>
  <c r="X200" i="39" s="1"/>
  <c r="V200" i="39"/>
  <c r="Q281" i="46" l="1"/>
  <c r="F282" i="46" s="1"/>
  <c r="P281" i="46"/>
  <c r="S184" i="13"/>
  <c r="R184" i="13"/>
  <c r="F185" i="13"/>
  <c r="F240" i="7" s="1"/>
  <c r="R240" i="7" s="1"/>
  <c r="AB303" i="46"/>
  <c r="U304" i="46"/>
  <c r="Y304" i="46" s="1"/>
  <c r="H547" i="7"/>
  <c r="R179" i="28"/>
  <c r="R547" i="7" s="1"/>
  <c r="Q179" i="28"/>
  <c r="Q547" i="7" s="1"/>
  <c r="AA180" i="28"/>
  <c r="L180" i="28"/>
  <c r="L548" i="7" s="1"/>
  <c r="F548" i="7"/>
  <c r="S548" i="7" s="1"/>
  <c r="M180" i="28"/>
  <c r="M548" i="7" s="1"/>
  <c r="N180" i="28"/>
  <c r="K180" i="28"/>
  <c r="K548" i="7" s="1"/>
  <c r="AG180" i="28"/>
  <c r="AD180" i="28"/>
  <c r="U200" i="39"/>
  <c r="G200" i="39" s="1"/>
  <c r="D201" i="36" s="1"/>
  <c r="H200" i="39"/>
  <c r="K282" i="46" l="1"/>
  <c r="L282" i="46"/>
  <c r="J282" i="46"/>
  <c r="I282" i="46"/>
  <c r="A282" i="46"/>
  <c r="M282" i="46" s="1"/>
  <c r="H282" i="46"/>
  <c r="AB185" i="13"/>
  <c r="N185" i="13"/>
  <c r="M240" i="7" s="1"/>
  <c r="M185" i="13"/>
  <c r="L240" i="7" s="1"/>
  <c r="Y185" i="13"/>
  <c r="V185" i="13"/>
  <c r="L185" i="13"/>
  <c r="K240" i="7" s="1"/>
  <c r="K185" i="13"/>
  <c r="J240" i="7" s="1"/>
  <c r="W304" i="46"/>
  <c r="Z304" i="46"/>
  <c r="X304" i="46"/>
  <c r="I200" i="39"/>
  <c r="AC200" i="39" s="1"/>
  <c r="I180" i="28"/>
  <c r="I548" i="7" s="1"/>
  <c r="X178" i="28"/>
  <c r="Z180" i="28"/>
  <c r="AB180" i="28" s="1"/>
  <c r="N548" i="7"/>
  <c r="AH180" i="28"/>
  <c r="AE180" i="28"/>
  <c r="AC180" i="28" s="1"/>
  <c r="O200" i="39"/>
  <c r="P200" i="39"/>
  <c r="G282" i="46" l="1"/>
  <c r="Q282" i="46" s="1"/>
  <c r="F283" i="46" s="1"/>
  <c r="U185" i="13"/>
  <c r="Z185" i="13"/>
  <c r="E176" i="10"/>
  <c r="AC185" i="13"/>
  <c r="H185" i="13"/>
  <c r="H240" i="7" s="1"/>
  <c r="V304" i="46"/>
  <c r="AF180" i="28"/>
  <c r="J180" i="28"/>
  <c r="F201" i="39"/>
  <c r="Z201" i="39"/>
  <c r="E201" i="36"/>
  <c r="C202" i="36"/>
  <c r="J283" i="46" l="1"/>
  <c r="L283" i="46"/>
  <c r="H283" i="46"/>
  <c r="K283" i="46"/>
  <c r="P282" i="46"/>
  <c r="A283" i="46"/>
  <c r="M283" i="46" s="1"/>
  <c r="G283" i="46" s="1"/>
  <c r="I283" i="46"/>
  <c r="AA185" i="13"/>
  <c r="W185" i="13"/>
  <c r="J185" i="13"/>
  <c r="X185" i="13"/>
  <c r="U305" i="46"/>
  <c r="Y305" i="46" s="1"/>
  <c r="AB304" i="46"/>
  <c r="I204" i="13"/>
  <c r="I259" i="7" s="1"/>
  <c r="H180" i="28"/>
  <c r="J548" i="7"/>
  <c r="Q201" i="39"/>
  <c r="J201" i="39"/>
  <c r="S201" i="39"/>
  <c r="T201" i="39" s="1"/>
  <c r="V201" i="39"/>
  <c r="K201" i="39"/>
  <c r="L201" i="39"/>
  <c r="Y201" i="39"/>
  <c r="X201" i="39" s="1"/>
  <c r="Q283" i="46" l="1"/>
  <c r="F284" i="46" s="1"/>
  <c r="P283" i="46"/>
  <c r="H284" i="46"/>
  <c r="A284" i="46"/>
  <c r="M284" i="46" s="1"/>
  <c r="K284" i="46"/>
  <c r="L284" i="46"/>
  <c r="I284" i="46"/>
  <c r="J284" i="46"/>
  <c r="G185" i="13"/>
  <c r="G240" i="7" s="1"/>
  <c r="Z305" i="46"/>
  <c r="W305" i="46"/>
  <c r="X305" i="46"/>
  <c r="H548" i="7"/>
  <c r="R180" i="28"/>
  <c r="R548" i="7" s="1"/>
  <c r="F181" i="28"/>
  <c r="Q180" i="28"/>
  <c r="Q548" i="7" s="1"/>
  <c r="U201" i="39"/>
  <c r="G201" i="39" s="1"/>
  <c r="D202" i="36" s="1"/>
  <c r="H201" i="39"/>
  <c r="G284" i="46" l="1"/>
  <c r="R185" i="13"/>
  <c r="S185" i="13"/>
  <c r="F186" i="13"/>
  <c r="F241" i="7" s="1"/>
  <c r="R241" i="7" s="1"/>
  <c r="P240" i="7"/>
  <c r="Q240" i="7"/>
  <c r="V305" i="46"/>
  <c r="AB305" i="46" s="1"/>
  <c r="I201" i="39"/>
  <c r="AC201" i="39" s="1"/>
  <c r="L181" i="28"/>
  <c r="L549" i="7" s="1"/>
  <c r="F549" i="7"/>
  <c r="S549" i="7" s="1"/>
  <c r="N181" i="28"/>
  <c r="N549" i="7" s="1"/>
  <c r="M181" i="28"/>
  <c r="M549" i="7" s="1"/>
  <c r="AG181" i="28"/>
  <c r="AA181" i="28"/>
  <c r="AD181" i="28"/>
  <c r="K181" i="28"/>
  <c r="K549" i="7" s="1"/>
  <c r="O201" i="39"/>
  <c r="P201" i="39"/>
  <c r="Q284" i="46" l="1"/>
  <c r="F285" i="46" s="1"/>
  <c r="P284" i="46"/>
  <c r="L186" i="13"/>
  <c r="K241" i="7" s="1"/>
  <c r="N186" i="13"/>
  <c r="M241" i="7" s="1"/>
  <c r="Y186" i="13"/>
  <c r="V186" i="13"/>
  <c r="K186" i="13"/>
  <c r="J241" i="7" s="1"/>
  <c r="AB186" i="13"/>
  <c r="M186" i="13"/>
  <c r="L241" i="7" s="1"/>
  <c r="H285" i="46"/>
  <c r="L285" i="46"/>
  <c r="K285" i="46"/>
  <c r="A285" i="46"/>
  <c r="M285" i="46" s="1"/>
  <c r="I285" i="46"/>
  <c r="J285" i="46"/>
  <c r="U306" i="46"/>
  <c r="I181" i="28"/>
  <c r="I549" i="7" s="1"/>
  <c r="AH181" i="28"/>
  <c r="AF181" i="28" s="1"/>
  <c r="X179" i="28"/>
  <c r="AE181" i="28"/>
  <c r="AC181" i="28" s="1"/>
  <c r="Z181" i="28"/>
  <c r="AB181" i="28" s="1"/>
  <c r="Z202" i="39"/>
  <c r="F202" i="39"/>
  <c r="E202" i="36"/>
  <c r="C203" i="36"/>
  <c r="H186" i="13" l="1"/>
  <c r="H241" i="7" s="1"/>
  <c r="U186" i="13"/>
  <c r="Z186" i="13"/>
  <c r="AC186" i="13"/>
  <c r="E177" i="10"/>
  <c r="G285" i="46"/>
  <c r="W306" i="46"/>
  <c r="X306" i="46"/>
  <c r="Z306" i="46"/>
  <c r="Y306" i="46"/>
  <c r="J181" i="28"/>
  <c r="J549" i="7" s="1"/>
  <c r="V202" i="39"/>
  <c r="L202" i="39"/>
  <c r="J202" i="39"/>
  <c r="Q202" i="39"/>
  <c r="Y202" i="39"/>
  <c r="X202" i="39" s="1"/>
  <c r="K202" i="39"/>
  <c r="S202" i="39"/>
  <c r="T202" i="39" s="1"/>
  <c r="J186" i="13" l="1"/>
  <c r="W186" i="13"/>
  <c r="X186" i="13"/>
  <c r="AA186" i="13"/>
  <c r="Q285" i="46"/>
  <c r="F286" i="46" s="1"/>
  <c r="P285" i="46"/>
  <c r="V306" i="46"/>
  <c r="I205" i="13"/>
  <c r="I260" i="7" s="1"/>
  <c r="H181" i="28"/>
  <c r="R181" i="28" s="1"/>
  <c r="R549" i="7" s="1"/>
  <c r="U202" i="39"/>
  <c r="G202" i="39" s="1"/>
  <c r="D203" i="36" s="1"/>
  <c r="H202" i="39"/>
  <c r="G186" i="13" l="1"/>
  <c r="G241" i="7" s="1"/>
  <c r="Q241" i="7"/>
  <c r="S186" i="13"/>
  <c r="F187" i="13"/>
  <c r="R186" i="13"/>
  <c r="I286" i="46"/>
  <c r="A286" i="46"/>
  <c r="M286" i="46" s="1"/>
  <c r="K286" i="46"/>
  <c r="L286" i="46"/>
  <c r="H286" i="46"/>
  <c r="J286" i="46"/>
  <c r="AB306" i="46"/>
  <c r="AD6" i="46" s="1"/>
  <c r="AD7" i="46" s="1"/>
  <c r="AD8" i="46" s="1"/>
  <c r="I202" i="39"/>
  <c r="AC202" i="39" s="1"/>
  <c r="H549" i="7"/>
  <c r="F182" i="28"/>
  <c r="F550" i="7" s="1"/>
  <c r="S550" i="7" s="1"/>
  <c r="Q181" i="28"/>
  <c r="Q549" i="7" s="1"/>
  <c r="O202" i="39"/>
  <c r="P202" i="39"/>
  <c r="P241" i="7" l="1"/>
  <c r="K187" i="13"/>
  <c r="J242" i="7" s="1"/>
  <c r="V187" i="13"/>
  <c r="M187" i="13"/>
  <c r="L242" i="7" s="1"/>
  <c r="AB187" i="13"/>
  <c r="L187" i="13"/>
  <c r="K242" i="7" s="1"/>
  <c r="Y187" i="13"/>
  <c r="H187" i="13" s="1"/>
  <c r="H242" i="7" s="1"/>
  <c r="F242" i="7"/>
  <c r="R242" i="7" s="1"/>
  <c r="N187" i="13"/>
  <c r="M242" i="7" s="1"/>
  <c r="G286" i="46"/>
  <c r="I206" i="13"/>
  <c r="I261" i="7" s="1"/>
  <c r="AD182" i="28"/>
  <c r="L182" i="28"/>
  <c r="L550" i="7" s="1"/>
  <c r="AA182" i="28"/>
  <c r="AG182" i="28"/>
  <c r="K182" i="28"/>
  <c r="K550" i="7" s="1"/>
  <c r="M182" i="28"/>
  <c r="M550" i="7" s="1"/>
  <c r="N182" i="28"/>
  <c r="N550" i="7" s="1"/>
  <c r="Z203" i="39"/>
  <c r="F203" i="39"/>
  <c r="E203" i="36"/>
  <c r="C204" i="36"/>
  <c r="Z187" i="13" l="1"/>
  <c r="J187" i="13" s="1"/>
  <c r="U187" i="13"/>
  <c r="AC187" i="13"/>
  <c r="Q286" i="46"/>
  <c r="F287" i="46" s="1"/>
  <c r="P286" i="46"/>
  <c r="I182" i="28"/>
  <c r="I550" i="7" s="1"/>
  <c r="AH182" i="28"/>
  <c r="AF182" i="28" s="1"/>
  <c r="Z182" i="28"/>
  <c r="AB182" i="28" s="1"/>
  <c r="X180" i="28"/>
  <c r="AE182" i="28"/>
  <c r="AC182" i="28" s="1"/>
  <c r="J203" i="39"/>
  <c r="V203" i="39"/>
  <c r="K203" i="39"/>
  <c r="Q203" i="39"/>
  <c r="Y203" i="39"/>
  <c r="X203" i="39" s="1"/>
  <c r="L203" i="39"/>
  <c r="S203" i="39"/>
  <c r="T203" i="39" s="1"/>
  <c r="X187" i="13" l="1"/>
  <c r="W187" i="13"/>
  <c r="AA187" i="13"/>
  <c r="I287" i="46"/>
  <c r="J287" i="46"/>
  <c r="A287" i="46"/>
  <c r="M287" i="46" s="1"/>
  <c r="G287" i="46" s="1"/>
  <c r="K287" i="46"/>
  <c r="H287" i="46"/>
  <c r="L287" i="46"/>
  <c r="J182" i="28"/>
  <c r="H182" i="28" s="1"/>
  <c r="H203" i="39"/>
  <c r="U203" i="39"/>
  <c r="G203" i="39" s="1"/>
  <c r="D204" i="36" s="1"/>
  <c r="G187" i="13" l="1"/>
  <c r="G242" i="7" s="1"/>
  <c r="Q242" i="7" s="1"/>
  <c r="P287" i="46"/>
  <c r="Q287" i="46"/>
  <c r="F288" i="46" s="1"/>
  <c r="J550" i="7"/>
  <c r="Q182" i="28"/>
  <c r="Q550" i="7" s="1"/>
  <c r="H550" i="7"/>
  <c r="F183" i="28"/>
  <c r="R182" i="28"/>
  <c r="R550" i="7" s="1"/>
  <c r="I203" i="39"/>
  <c r="AC203" i="39" s="1"/>
  <c r="O203" i="39"/>
  <c r="P203" i="39"/>
  <c r="F188" i="13" l="1"/>
  <c r="F243" i="7" s="1"/>
  <c r="R243" i="7" s="1"/>
  <c r="R187" i="13"/>
  <c r="S187" i="13"/>
  <c r="A288" i="46"/>
  <c r="M288" i="46" s="1"/>
  <c r="K288" i="46"/>
  <c r="J288" i="46"/>
  <c r="L288" i="46"/>
  <c r="H288" i="46"/>
  <c r="I288" i="46"/>
  <c r="L183" i="28"/>
  <c r="L551" i="7" s="1"/>
  <c r="N183" i="28"/>
  <c r="AG183" i="28"/>
  <c r="M183" i="28"/>
  <c r="M551" i="7" s="1"/>
  <c r="F551" i="7"/>
  <c r="S551" i="7" s="1"/>
  <c r="AA183" i="28"/>
  <c r="AD183" i="28"/>
  <c r="K183" i="28"/>
  <c r="F204" i="39"/>
  <c r="Z204" i="39"/>
  <c r="C205" i="36"/>
  <c r="E204" i="36"/>
  <c r="AB188" i="13" l="1"/>
  <c r="V188" i="13"/>
  <c r="L188" i="13"/>
  <c r="K243" i="7" s="1"/>
  <c r="K188" i="13"/>
  <c r="J243" i="7" s="1"/>
  <c r="M188" i="13"/>
  <c r="L243" i="7" s="1"/>
  <c r="Y188" i="13"/>
  <c r="N188" i="13"/>
  <c r="M243" i="7" s="1"/>
  <c r="H188" i="13"/>
  <c r="H243" i="7" s="1"/>
  <c r="U188" i="13"/>
  <c r="AC188" i="13"/>
  <c r="Z188" i="13"/>
  <c r="X188" i="13" s="1"/>
  <c r="G288" i="46"/>
  <c r="I207" i="13"/>
  <c r="I262" i="7" s="1"/>
  <c r="I183" i="28"/>
  <c r="I551" i="7" s="1"/>
  <c r="K551" i="7"/>
  <c r="X181" i="28"/>
  <c r="AE183" i="28"/>
  <c r="AC183" i="28" s="1"/>
  <c r="AH183" i="28"/>
  <c r="N551" i="7"/>
  <c r="Z183" i="28"/>
  <c r="AB183" i="28" s="1"/>
  <c r="L204" i="39"/>
  <c r="J204" i="39"/>
  <c r="Y204" i="39"/>
  <c r="X204" i="39" s="1"/>
  <c r="S204" i="39"/>
  <c r="T204" i="39" s="1"/>
  <c r="Q204" i="39"/>
  <c r="K204" i="39"/>
  <c r="V204" i="39"/>
  <c r="E179" i="10" l="1"/>
  <c r="J188" i="13"/>
  <c r="W188" i="13"/>
  <c r="AA188" i="13"/>
  <c r="Q288" i="46"/>
  <c r="F289" i="46" s="1"/>
  <c r="P288" i="46"/>
  <c r="AF183" i="28"/>
  <c r="J183" i="28"/>
  <c r="U204" i="39"/>
  <c r="G204" i="39" s="1"/>
  <c r="D205" i="36" s="1"/>
  <c r="H204" i="39"/>
  <c r="G188" i="13" l="1"/>
  <c r="G243" i="7" s="1"/>
  <c r="J289" i="46"/>
  <c r="I289" i="46"/>
  <c r="H289" i="46"/>
  <c r="K289" i="46"/>
  <c r="L289" i="46"/>
  <c r="A289" i="46"/>
  <c r="M289" i="46" s="1"/>
  <c r="I204" i="39"/>
  <c r="AC204" i="39" s="1"/>
  <c r="J551" i="7"/>
  <c r="H183" i="28"/>
  <c r="O204" i="39"/>
  <c r="P204" i="39"/>
  <c r="S188" i="13" l="1"/>
  <c r="R188" i="13"/>
  <c r="F189" i="13"/>
  <c r="F244" i="7" s="1"/>
  <c r="R244" i="7" s="1"/>
  <c r="Q243" i="7"/>
  <c r="P243" i="7"/>
  <c r="Y189" i="13"/>
  <c r="AB189" i="13"/>
  <c r="G289" i="46"/>
  <c r="P289" i="46" s="1"/>
  <c r="I208" i="13"/>
  <c r="I263" i="7" s="1"/>
  <c r="Q183" i="28"/>
  <c r="Q551" i="7" s="1"/>
  <c r="H551" i="7"/>
  <c r="F184" i="28"/>
  <c r="R183" i="28"/>
  <c r="R551" i="7" s="1"/>
  <c r="Z205" i="39"/>
  <c r="F205" i="39"/>
  <c r="E205" i="36"/>
  <c r="C206" i="36"/>
  <c r="M189" i="13" l="1"/>
  <c r="L244" i="7" s="1"/>
  <c r="K189" i="13"/>
  <c r="J244" i="7" s="1"/>
  <c r="L189" i="13"/>
  <c r="K244" i="7" s="1"/>
  <c r="N189" i="13"/>
  <c r="M244" i="7" s="1"/>
  <c r="V189" i="13"/>
  <c r="Q289" i="46"/>
  <c r="F290" i="46" s="1"/>
  <c r="H189" i="13"/>
  <c r="H244" i="7" s="1"/>
  <c r="F552" i="7"/>
  <c r="S552" i="7" s="1"/>
  <c r="AG184" i="28"/>
  <c r="M184" i="28"/>
  <c r="M552" i="7" s="1"/>
  <c r="AD184" i="28"/>
  <c r="N184" i="28"/>
  <c r="N552" i="7" s="1"/>
  <c r="L184" i="28"/>
  <c r="L552" i="7" s="1"/>
  <c r="AA184" i="28"/>
  <c r="K184" i="28"/>
  <c r="Q205" i="39"/>
  <c r="Y205" i="39"/>
  <c r="X205" i="39" s="1"/>
  <c r="V205" i="39"/>
  <c r="J205" i="39"/>
  <c r="S205" i="39"/>
  <c r="T205" i="39" s="1"/>
  <c r="K205" i="39"/>
  <c r="L205" i="39"/>
  <c r="U189" i="13" l="1"/>
  <c r="AC189" i="13"/>
  <c r="Z189" i="13"/>
  <c r="I290" i="46"/>
  <c r="K290" i="46"/>
  <c r="L290" i="46"/>
  <c r="J290" i="46"/>
  <c r="H290" i="46"/>
  <c r="A290" i="46"/>
  <c r="M290" i="46" s="1"/>
  <c r="I184" i="28"/>
  <c r="I552" i="7" s="1"/>
  <c r="Z184" i="28"/>
  <c r="AB184" i="28" s="1"/>
  <c r="AE184" i="28"/>
  <c r="AC184" i="28" s="1"/>
  <c r="K552" i="7"/>
  <c r="X182" i="28"/>
  <c r="AH184" i="28"/>
  <c r="H205" i="39"/>
  <c r="U205" i="39"/>
  <c r="G205" i="39" s="1"/>
  <c r="D206" i="36" s="1"/>
  <c r="J189" i="13" l="1"/>
  <c r="W189" i="13"/>
  <c r="X189" i="13"/>
  <c r="AA189" i="13"/>
  <c r="G290" i="46"/>
  <c r="I205" i="39"/>
  <c r="AC205" i="39" s="1"/>
  <c r="AF184" i="28"/>
  <c r="J184" i="28"/>
  <c r="O205" i="39"/>
  <c r="P205" i="39"/>
  <c r="G189" i="13" l="1"/>
  <c r="Q290" i="46"/>
  <c r="F291" i="46" s="1"/>
  <c r="P290" i="46"/>
  <c r="I209" i="13"/>
  <c r="I264" i="7" s="1"/>
  <c r="H184" i="28"/>
  <c r="J552" i="7"/>
  <c r="Z206" i="39"/>
  <c r="F206" i="39"/>
  <c r="C207" i="36"/>
  <c r="E206" i="36"/>
  <c r="F190" i="13" l="1"/>
  <c r="S189" i="13"/>
  <c r="R189" i="13"/>
  <c r="G244" i="7"/>
  <c r="Q244" i="7" s="1"/>
  <c r="H291" i="46"/>
  <c r="K291" i="46"/>
  <c r="I291" i="46"/>
  <c r="A291" i="46"/>
  <c r="M291" i="46" s="1"/>
  <c r="L291" i="46"/>
  <c r="J291" i="46"/>
  <c r="G291" i="46"/>
  <c r="Q184" i="28"/>
  <c r="Q552" i="7" s="1"/>
  <c r="H552" i="7"/>
  <c r="R184" i="28"/>
  <c r="R552" i="7" s="1"/>
  <c r="F185" i="28"/>
  <c r="Q206" i="39"/>
  <c r="Y206" i="39"/>
  <c r="X206" i="39" s="1"/>
  <c r="L206" i="39"/>
  <c r="J206" i="39"/>
  <c r="S206" i="39"/>
  <c r="T206" i="39" s="1"/>
  <c r="V206" i="39"/>
  <c r="K206" i="39"/>
  <c r="M190" i="13" l="1"/>
  <c r="L245" i="7" s="1"/>
  <c r="Y190" i="13"/>
  <c r="N190" i="13"/>
  <c r="K190" i="13"/>
  <c r="J245" i="7" s="1"/>
  <c r="AB190" i="13"/>
  <c r="H190" i="13" s="1"/>
  <c r="H245" i="7" s="1"/>
  <c r="L190" i="13"/>
  <c r="K245" i="7" s="1"/>
  <c r="V190" i="13"/>
  <c r="F245" i="7"/>
  <c r="R245" i="7" s="1"/>
  <c r="Q291" i="46"/>
  <c r="F292" i="46" s="1"/>
  <c r="P291" i="46"/>
  <c r="L185" i="28"/>
  <c r="L553" i="7" s="1"/>
  <c r="M185" i="28"/>
  <c r="M553" i="7" s="1"/>
  <c r="N185" i="28"/>
  <c r="N553" i="7" s="1"/>
  <c r="AA185" i="28"/>
  <c r="K185" i="28"/>
  <c r="K553" i="7" s="1"/>
  <c r="AD185" i="28"/>
  <c r="AG185" i="28"/>
  <c r="F553" i="7"/>
  <c r="S553" i="7" s="1"/>
  <c r="U206" i="39"/>
  <c r="G206" i="39" s="1"/>
  <c r="D207" i="36" s="1"/>
  <c r="H206" i="39"/>
  <c r="U190" i="13" l="1"/>
  <c r="W190" i="13" s="1"/>
  <c r="Z190" i="13"/>
  <c r="X190" i="13" s="1"/>
  <c r="AC190" i="13"/>
  <c r="M245" i="7"/>
  <c r="E181" i="10"/>
  <c r="J292" i="46"/>
  <c r="K292" i="46"/>
  <c r="L292" i="46"/>
  <c r="H292" i="46"/>
  <c r="I292" i="46"/>
  <c r="A292" i="46"/>
  <c r="M292" i="46" s="1"/>
  <c r="I206" i="39"/>
  <c r="AC206" i="39" s="1"/>
  <c r="AE185" i="28"/>
  <c r="AC185" i="28" s="1"/>
  <c r="Z185" i="28"/>
  <c r="AB185" i="28" s="1"/>
  <c r="I185" i="28"/>
  <c r="I553" i="7" s="1"/>
  <c r="X183" i="28"/>
  <c r="AH185" i="28"/>
  <c r="O206" i="39"/>
  <c r="P206" i="39"/>
  <c r="AA190" i="13" l="1"/>
  <c r="J190" i="13"/>
  <c r="G190" i="13" s="1"/>
  <c r="G292" i="46"/>
  <c r="AF185" i="28"/>
  <c r="J185" i="28"/>
  <c r="J553" i="7" s="1"/>
  <c r="F207" i="39"/>
  <c r="Z207" i="39"/>
  <c r="E207" i="36"/>
  <c r="C208" i="36"/>
  <c r="G245" i="7" l="1"/>
  <c r="S190" i="13"/>
  <c r="F191" i="13"/>
  <c r="R190" i="13"/>
  <c r="P245" i="7"/>
  <c r="Q245" i="7"/>
  <c r="Q292" i="46"/>
  <c r="F293" i="46" s="1"/>
  <c r="P292" i="46"/>
  <c r="I210" i="13"/>
  <c r="H185" i="28"/>
  <c r="K207" i="39"/>
  <c r="Y207" i="39"/>
  <c r="X207" i="39" s="1"/>
  <c r="S207" i="39"/>
  <c r="T207" i="39" s="1"/>
  <c r="L207" i="39"/>
  <c r="J207" i="39"/>
  <c r="V207" i="39"/>
  <c r="Q207" i="39"/>
  <c r="M191" i="13" l="1"/>
  <c r="L246" i="7" s="1"/>
  <c r="K191" i="13"/>
  <c r="J246" i="7" s="1"/>
  <c r="V191" i="13"/>
  <c r="Y191" i="13"/>
  <c r="F246" i="7"/>
  <c r="R246" i="7" s="1"/>
  <c r="N191" i="13"/>
  <c r="M246" i="7" s="1"/>
  <c r="L191" i="13"/>
  <c r="K246" i="7" s="1"/>
  <c r="AB191" i="13"/>
  <c r="H191" i="13" s="1"/>
  <c r="H246" i="7" s="1"/>
  <c r="L293" i="46"/>
  <c r="J293" i="46"/>
  <c r="A293" i="46"/>
  <c r="M293" i="46" s="1"/>
  <c r="I293" i="46"/>
  <c r="K293" i="46"/>
  <c r="H293" i="46"/>
  <c r="I265" i="7"/>
  <c r="R185" i="28"/>
  <c r="R553" i="7" s="1"/>
  <c r="F186" i="28"/>
  <c r="Q185" i="28"/>
  <c r="Q553" i="7" s="1"/>
  <c r="H553" i="7"/>
  <c r="U207" i="39"/>
  <c r="G207" i="39" s="1"/>
  <c r="D208" i="36" s="1"/>
  <c r="H207" i="39"/>
  <c r="Z191" i="13" l="1"/>
  <c r="U191" i="13"/>
  <c r="W191" i="13" s="1"/>
  <c r="E182" i="10"/>
  <c r="AC191" i="13"/>
  <c r="X191" i="13"/>
  <c r="G293" i="46"/>
  <c r="I207" i="39"/>
  <c r="AC207" i="39" s="1"/>
  <c r="AG186" i="28"/>
  <c r="L186" i="28"/>
  <c r="L554" i="7" s="1"/>
  <c r="M186" i="28"/>
  <c r="M554" i="7" s="1"/>
  <c r="AA186" i="28"/>
  <c r="N186" i="28"/>
  <c r="F554" i="7"/>
  <c r="S554" i="7" s="1"/>
  <c r="K186" i="28"/>
  <c r="AD186" i="28"/>
  <c r="O207" i="39"/>
  <c r="P207" i="39"/>
  <c r="J191" i="13" l="1"/>
  <c r="AA191" i="13"/>
  <c r="Q293" i="46"/>
  <c r="F294" i="46" s="1"/>
  <c r="P293" i="46"/>
  <c r="I186" i="28"/>
  <c r="I554" i="7" s="1"/>
  <c r="K554" i="7"/>
  <c r="X184" i="28"/>
  <c r="AE186" i="28"/>
  <c r="AC186" i="28" s="1"/>
  <c r="N554" i="7"/>
  <c r="Z186" i="28"/>
  <c r="AB186" i="28" s="1"/>
  <c r="AH186" i="28"/>
  <c r="F208" i="39"/>
  <c r="Z208" i="39"/>
  <c r="E208" i="36"/>
  <c r="C209" i="36"/>
  <c r="G191" i="13" l="1"/>
  <c r="G246" i="7" s="1"/>
  <c r="S191" i="13"/>
  <c r="R191" i="13"/>
  <c r="F192" i="13"/>
  <c r="F247" i="7" s="1"/>
  <c r="R247" i="7" s="1"/>
  <c r="P246" i="7"/>
  <c r="Q246" i="7"/>
  <c r="K192" i="13"/>
  <c r="J247" i="7" s="1"/>
  <c r="N192" i="13"/>
  <c r="M247" i="7" s="1"/>
  <c r="Y192" i="13"/>
  <c r="V192" i="13"/>
  <c r="AB192" i="13"/>
  <c r="M192" i="13"/>
  <c r="L247" i="7" s="1"/>
  <c r="L294" i="46"/>
  <c r="J294" i="46"/>
  <c r="A294" i="46"/>
  <c r="M294" i="46" s="1"/>
  <c r="H294" i="46"/>
  <c r="I294" i="46"/>
  <c r="K294" i="46"/>
  <c r="I211" i="13"/>
  <c r="I266" i="7" s="1"/>
  <c r="J186" i="28"/>
  <c r="AF186" i="28"/>
  <c r="S208" i="39"/>
  <c r="T208" i="39" s="1"/>
  <c r="J208" i="39"/>
  <c r="Q208" i="39"/>
  <c r="V208" i="39"/>
  <c r="K208" i="39"/>
  <c r="L208" i="39"/>
  <c r="Y208" i="39"/>
  <c r="X208" i="39" s="1"/>
  <c r="H192" i="13" l="1"/>
  <c r="H247" i="7" s="1"/>
  <c r="L192" i="13"/>
  <c r="K247" i="7" s="1"/>
  <c r="U192" i="13"/>
  <c r="Z192" i="13"/>
  <c r="AC192" i="13"/>
  <c r="G294" i="46"/>
  <c r="H186" i="28"/>
  <c r="J554" i="7"/>
  <c r="U208" i="39"/>
  <c r="G208" i="39" s="1"/>
  <c r="D209" i="36" s="1"/>
  <c r="H208" i="39"/>
  <c r="E183" i="10" l="1"/>
  <c r="AA192" i="13"/>
  <c r="W192" i="13"/>
  <c r="X192" i="13"/>
  <c r="J192" i="13"/>
  <c r="Q294" i="46"/>
  <c r="F295" i="46" s="1"/>
  <c r="P294" i="46"/>
  <c r="I208" i="39"/>
  <c r="AC208" i="39" s="1"/>
  <c r="F187" i="28"/>
  <c r="H554" i="7"/>
  <c r="Q186" i="28"/>
  <c r="Q554" i="7" s="1"/>
  <c r="R186" i="28"/>
  <c r="R554" i="7" s="1"/>
  <c r="O208" i="39"/>
  <c r="P208" i="39"/>
  <c r="G192" i="13" l="1"/>
  <c r="G247" i="7" s="1"/>
  <c r="H295" i="46"/>
  <c r="L295" i="46"/>
  <c r="K295" i="46"/>
  <c r="I295" i="46"/>
  <c r="A295" i="46"/>
  <c r="M295" i="46" s="1"/>
  <c r="J295" i="46"/>
  <c r="AD187" i="28"/>
  <c r="L187" i="28"/>
  <c r="L555" i="7" s="1"/>
  <c r="AA187" i="28"/>
  <c r="N187" i="28"/>
  <c r="F555" i="7"/>
  <c r="S555" i="7" s="1"/>
  <c r="M187" i="28"/>
  <c r="M555" i="7" s="1"/>
  <c r="K187" i="28"/>
  <c r="AG187" i="28"/>
  <c r="Z209" i="39"/>
  <c r="F209" i="39"/>
  <c r="E209" i="36"/>
  <c r="C210" i="36"/>
  <c r="P247" i="7" l="1"/>
  <c r="Q247" i="7"/>
  <c r="S192" i="13"/>
  <c r="R192" i="13"/>
  <c r="F193" i="13"/>
  <c r="F248" i="7" s="1"/>
  <c r="R248" i="7" s="1"/>
  <c r="G295" i="46"/>
  <c r="I212" i="13"/>
  <c r="I267" i="7" s="1"/>
  <c r="I187" i="28"/>
  <c r="I555" i="7" s="1"/>
  <c r="K555" i="7"/>
  <c r="X185" i="28"/>
  <c r="AE187" i="28"/>
  <c r="AC187" i="28" s="1"/>
  <c r="AH187" i="28"/>
  <c r="N555" i="7"/>
  <c r="Z187" i="28"/>
  <c r="AB187" i="28" s="1"/>
  <c r="J209" i="39"/>
  <c r="Y209" i="39"/>
  <c r="X209" i="39" s="1"/>
  <c r="S209" i="39"/>
  <c r="T209" i="39" s="1"/>
  <c r="L209" i="39"/>
  <c r="Q209" i="39"/>
  <c r="V209" i="39"/>
  <c r="K209" i="39"/>
  <c r="K193" i="13" l="1"/>
  <c r="J248" i="7" s="1"/>
  <c r="N193" i="13"/>
  <c r="M248" i="7" s="1"/>
  <c r="Y193" i="13"/>
  <c r="M193" i="13"/>
  <c r="L248" i="7" s="1"/>
  <c r="L193" i="13"/>
  <c r="K248" i="7" s="1"/>
  <c r="V193" i="13"/>
  <c r="AB193" i="13"/>
  <c r="Q295" i="46"/>
  <c r="F296" i="46" s="1"/>
  <c r="P295" i="46"/>
  <c r="AF187" i="28"/>
  <c r="J187" i="28"/>
  <c r="H209" i="39"/>
  <c r="U209" i="39"/>
  <c r="G209" i="39" s="1"/>
  <c r="D210" i="36" s="1"/>
  <c r="H193" i="13" l="1"/>
  <c r="H248" i="7" s="1"/>
  <c r="U193" i="13"/>
  <c r="AC193" i="13"/>
  <c r="Z193" i="13"/>
  <c r="I296" i="46"/>
  <c r="A296" i="46"/>
  <c r="M296" i="46" s="1"/>
  <c r="L296" i="46"/>
  <c r="J296" i="46"/>
  <c r="K296" i="46"/>
  <c r="H296" i="46"/>
  <c r="I209" i="39"/>
  <c r="AC209" i="39" s="1"/>
  <c r="J555" i="7"/>
  <c r="H187" i="28"/>
  <c r="O209" i="39"/>
  <c r="P209" i="39"/>
  <c r="W193" i="13" l="1"/>
  <c r="J193" i="13"/>
  <c r="X193" i="13"/>
  <c r="AA193" i="13"/>
  <c r="G296" i="46"/>
  <c r="I213" i="13"/>
  <c r="I268" i="7" s="1"/>
  <c r="Q187" i="28"/>
  <c r="Q555" i="7" s="1"/>
  <c r="H555" i="7"/>
  <c r="R187" i="28"/>
  <c r="R555" i="7" s="1"/>
  <c r="F188" i="28"/>
  <c r="F210" i="39"/>
  <c r="Z210" i="39"/>
  <c r="C211" i="36"/>
  <c r="E210" i="36"/>
  <c r="G193" i="13" l="1"/>
  <c r="G248" i="7" s="1"/>
  <c r="Q248" i="7" s="1"/>
  <c r="Q296" i="46"/>
  <c r="F297" i="46" s="1"/>
  <c r="P296" i="46"/>
  <c r="N188" i="28"/>
  <c r="AH188" i="28" s="1"/>
  <c r="AD188" i="28"/>
  <c r="K188" i="28"/>
  <c r="K556" i="7" s="1"/>
  <c r="M188" i="28"/>
  <c r="M556" i="7" s="1"/>
  <c r="L188" i="28"/>
  <c r="L556" i="7" s="1"/>
  <c r="AA188" i="28"/>
  <c r="F556" i="7"/>
  <c r="S556" i="7" s="1"/>
  <c r="AG188" i="28"/>
  <c r="S210" i="39"/>
  <c r="T210" i="39" s="1"/>
  <c r="L210" i="39"/>
  <c r="Y210" i="39"/>
  <c r="X210" i="39" s="1"/>
  <c r="J210" i="39"/>
  <c r="Q210" i="39"/>
  <c r="V210" i="39"/>
  <c r="K210" i="39"/>
  <c r="R193" i="13" l="1"/>
  <c r="F194" i="13"/>
  <c r="F249" i="7" s="1"/>
  <c r="R249" i="7" s="1"/>
  <c r="S193" i="13"/>
  <c r="L297" i="46"/>
  <c r="A297" i="46"/>
  <c r="M297" i="46" s="1"/>
  <c r="I297" i="46"/>
  <c r="J297" i="46"/>
  <c r="K297" i="46"/>
  <c r="H297" i="46"/>
  <c r="I188" i="28"/>
  <c r="I556" i="7" s="1"/>
  <c r="AF188" i="28"/>
  <c r="Z188" i="28"/>
  <c r="AB188" i="28" s="1"/>
  <c r="AE188" i="28"/>
  <c r="AC188" i="28" s="1"/>
  <c r="N556" i="7"/>
  <c r="X186" i="28"/>
  <c r="U210" i="39"/>
  <c r="G210" i="39" s="1"/>
  <c r="D211" i="36" s="1"/>
  <c r="H210" i="39"/>
  <c r="G297" i="46" l="1"/>
  <c r="K194" i="13"/>
  <c r="J249" i="7" s="1"/>
  <c r="Y194" i="13"/>
  <c r="AB194" i="13"/>
  <c r="L194" i="13"/>
  <c r="K249" i="7" s="1"/>
  <c r="M194" i="13"/>
  <c r="L249" i="7" s="1"/>
  <c r="N194" i="13"/>
  <c r="V194" i="13"/>
  <c r="I210" i="39"/>
  <c r="AC210" i="39" s="1"/>
  <c r="I214" i="13"/>
  <c r="J188" i="28"/>
  <c r="O210" i="39"/>
  <c r="P210" i="39"/>
  <c r="H194" i="13" l="1"/>
  <c r="H249" i="7" s="1"/>
  <c r="Q297" i="46"/>
  <c r="F298" i="46" s="1"/>
  <c r="H298" i="46" s="1"/>
  <c r="P297" i="46"/>
  <c r="Z194" i="13"/>
  <c r="M249" i="7"/>
  <c r="E185" i="10"/>
  <c r="U194" i="13"/>
  <c r="W194" i="13" s="1"/>
  <c r="AC194" i="13"/>
  <c r="AA194" i="13" s="1"/>
  <c r="J194" i="13"/>
  <c r="I269" i="7"/>
  <c r="H188" i="28"/>
  <c r="J556" i="7"/>
  <c r="F211" i="39"/>
  <c r="Z211" i="39"/>
  <c r="E211" i="36"/>
  <c r="C212" i="36"/>
  <c r="J298" i="46" l="1"/>
  <c r="K298" i="46"/>
  <c r="I298" i="46"/>
  <c r="A298" i="46"/>
  <c r="M298" i="46" s="1"/>
  <c r="L298" i="46"/>
  <c r="X194" i="13"/>
  <c r="G194" i="13"/>
  <c r="G249" i="7" s="1"/>
  <c r="R188" i="28"/>
  <c r="R556" i="7" s="1"/>
  <c r="H556" i="7"/>
  <c r="F189" i="28"/>
  <c r="Q188" i="28"/>
  <c r="Q556" i="7" s="1"/>
  <c r="Y211" i="39"/>
  <c r="X211" i="39" s="1"/>
  <c r="S211" i="39"/>
  <c r="T211" i="39" s="1"/>
  <c r="V211" i="39"/>
  <c r="Q211" i="39"/>
  <c r="K211" i="39"/>
  <c r="J211" i="39"/>
  <c r="L211" i="39"/>
  <c r="G298" i="46" l="1"/>
  <c r="S194" i="13"/>
  <c r="R194" i="13"/>
  <c r="F195" i="13"/>
  <c r="F250" i="7" s="1"/>
  <c r="R250" i="7" s="1"/>
  <c r="P249" i="7"/>
  <c r="Q249" i="7"/>
  <c r="F557" i="7"/>
  <c r="S557" i="7" s="1"/>
  <c r="AA189" i="28"/>
  <c r="L189" i="28"/>
  <c r="L557" i="7" s="1"/>
  <c r="M189" i="28"/>
  <c r="M557" i="7" s="1"/>
  <c r="N189" i="28"/>
  <c r="K189" i="28"/>
  <c r="AD189" i="28"/>
  <c r="AG189" i="28"/>
  <c r="U211" i="39"/>
  <c r="G211" i="39" s="1"/>
  <c r="D212" i="36" s="1"/>
  <c r="H211" i="39"/>
  <c r="M195" i="13" l="1"/>
  <c r="L250" i="7" s="1"/>
  <c r="Q298" i="46"/>
  <c r="F299" i="46" s="1"/>
  <c r="P298" i="46"/>
  <c r="V195" i="13"/>
  <c r="AB195" i="13"/>
  <c r="Y195" i="13"/>
  <c r="H195" i="13" s="1"/>
  <c r="H250" i="7" s="1"/>
  <c r="L195" i="13"/>
  <c r="K250" i="7" s="1"/>
  <c r="K195" i="13"/>
  <c r="J250" i="7" s="1"/>
  <c r="N195" i="13"/>
  <c r="M250" i="7" s="1"/>
  <c r="I211" i="39"/>
  <c r="AC211" i="39" s="1"/>
  <c r="I215" i="13"/>
  <c r="K557" i="7"/>
  <c r="X187" i="28"/>
  <c r="N557" i="7"/>
  <c r="Z189" i="28"/>
  <c r="AB189" i="28" s="1"/>
  <c r="AH189" i="28"/>
  <c r="AF189" i="28" s="1"/>
  <c r="I189" i="28"/>
  <c r="I557" i="7" s="1"/>
  <c r="AE189" i="28"/>
  <c r="O211" i="39"/>
  <c r="P211" i="39"/>
  <c r="L299" i="46" l="1"/>
  <c r="A299" i="46"/>
  <c r="M299" i="46" s="1"/>
  <c r="J299" i="46"/>
  <c r="H299" i="46"/>
  <c r="K299" i="46"/>
  <c r="I299" i="46"/>
  <c r="U195" i="13"/>
  <c r="W195" i="13" s="1"/>
  <c r="AC195" i="13"/>
  <c r="AA195" i="13" s="1"/>
  <c r="Z195" i="13"/>
  <c r="I270" i="7"/>
  <c r="AC189" i="28"/>
  <c r="J189" i="28"/>
  <c r="Z212" i="39"/>
  <c r="F212" i="39"/>
  <c r="E212" i="36"/>
  <c r="C213" i="36"/>
  <c r="J195" i="13" l="1"/>
  <c r="X195" i="13"/>
  <c r="G299" i="46"/>
  <c r="J557" i="7"/>
  <c r="H189" i="28"/>
  <c r="J212" i="39"/>
  <c r="Y212" i="39"/>
  <c r="X212" i="39" s="1"/>
  <c r="L212" i="39"/>
  <c r="Q212" i="39"/>
  <c r="S212" i="39"/>
  <c r="T212" i="39" s="1"/>
  <c r="K212" i="39"/>
  <c r="V212" i="39"/>
  <c r="G195" i="13" l="1"/>
  <c r="G250" i="7" s="1"/>
  <c r="Q250" i="7" s="1"/>
  <c r="P299" i="46"/>
  <c r="Q299" i="46"/>
  <c r="F300" i="46" s="1"/>
  <c r="F196" i="13"/>
  <c r="F251" i="7" s="1"/>
  <c r="R251" i="7" s="1"/>
  <c r="H557" i="7"/>
  <c r="Q189" i="28"/>
  <c r="Q557" i="7" s="1"/>
  <c r="R189" i="28"/>
  <c r="R557" i="7" s="1"/>
  <c r="F190" i="28"/>
  <c r="U212" i="39"/>
  <c r="G212" i="39" s="1"/>
  <c r="D213" i="36" s="1"/>
  <c r="H212" i="39"/>
  <c r="S195" i="13" l="1"/>
  <c r="R195" i="13"/>
  <c r="A300" i="46"/>
  <c r="M300" i="46" s="1"/>
  <c r="H300" i="46"/>
  <c r="K300" i="46"/>
  <c r="L300" i="46"/>
  <c r="J300" i="46"/>
  <c r="I300" i="46"/>
  <c r="Y196" i="13"/>
  <c r="L196" i="13"/>
  <c r="K251" i="7" s="1"/>
  <c r="V196" i="13"/>
  <c r="N196" i="13"/>
  <c r="M251" i="7" s="1"/>
  <c r="M196" i="13"/>
  <c r="L251" i="7" s="1"/>
  <c r="K196" i="13"/>
  <c r="J251" i="7" s="1"/>
  <c r="AB196" i="13"/>
  <c r="I212" i="39"/>
  <c r="AC212" i="39" s="1"/>
  <c r="I216" i="13"/>
  <c r="M190" i="28"/>
  <c r="M558" i="7" s="1"/>
  <c r="AA190" i="28"/>
  <c r="K190" i="28"/>
  <c r="K558" i="7" s="1"/>
  <c r="F558" i="7"/>
  <c r="S558" i="7" s="1"/>
  <c r="N190" i="28"/>
  <c r="N558" i="7" s="1"/>
  <c r="AG190" i="28"/>
  <c r="AD190" i="28"/>
  <c r="L190" i="28"/>
  <c r="L558" i="7" s="1"/>
  <c r="O212" i="39"/>
  <c r="P212" i="39"/>
  <c r="H196" i="13" l="1"/>
  <c r="H251" i="7" s="1"/>
  <c r="G300" i="46"/>
  <c r="Z196" i="13"/>
  <c r="AC196" i="13"/>
  <c r="AA196" i="13" s="1"/>
  <c r="U196" i="13"/>
  <c r="W196" i="13" s="1"/>
  <c r="E187" i="10"/>
  <c r="I271" i="7"/>
  <c r="I190" i="28"/>
  <c r="I558" i="7" s="1"/>
  <c r="Z190" i="28"/>
  <c r="AB190" i="28" s="1"/>
  <c r="AH190" i="28"/>
  <c r="AF190" i="28" s="1"/>
  <c r="X188" i="28"/>
  <c r="AE190" i="28"/>
  <c r="AC190" i="28" s="1"/>
  <c r="F213" i="39"/>
  <c r="Z213" i="39"/>
  <c r="C214" i="36"/>
  <c r="E213" i="36"/>
  <c r="Q300" i="46" l="1"/>
  <c r="F301" i="46" s="1"/>
  <c r="P300" i="46"/>
  <c r="X196" i="13"/>
  <c r="J196" i="13"/>
  <c r="G196" i="13" s="1"/>
  <c r="J190" i="28"/>
  <c r="H190" i="28" s="1"/>
  <c r="S213" i="39"/>
  <c r="T213" i="39" s="1"/>
  <c r="L213" i="39"/>
  <c r="J213" i="39"/>
  <c r="V213" i="39"/>
  <c r="Q213" i="39"/>
  <c r="Y213" i="39"/>
  <c r="X213" i="39" s="1"/>
  <c r="K213" i="39"/>
  <c r="A301" i="46" l="1"/>
  <c r="M301" i="46" s="1"/>
  <c r="L301" i="46"/>
  <c r="K301" i="46"/>
  <c r="I301" i="46"/>
  <c r="H301" i="46"/>
  <c r="J301" i="46"/>
  <c r="G251" i="7"/>
  <c r="F197" i="13"/>
  <c r="S196" i="13"/>
  <c r="R196" i="13"/>
  <c r="J558" i="7"/>
  <c r="Q190" i="28"/>
  <c r="Q558" i="7" s="1"/>
  <c r="R190" i="28"/>
  <c r="R558" i="7" s="1"/>
  <c r="H558" i="7"/>
  <c r="F191" i="28"/>
  <c r="H213" i="39"/>
  <c r="U213" i="39"/>
  <c r="G213" i="39" s="1"/>
  <c r="D214" i="36" s="1"/>
  <c r="G301" i="46" l="1"/>
  <c r="K197" i="13"/>
  <c r="J252" i="7" s="1"/>
  <c r="F252" i="7"/>
  <c r="R252" i="7" s="1"/>
  <c r="P251" i="7"/>
  <c r="Q251" i="7"/>
  <c r="V197" i="13"/>
  <c r="N197" i="13"/>
  <c r="M197" i="13"/>
  <c r="L252" i="7" s="1"/>
  <c r="L197" i="13"/>
  <c r="K252" i="7" s="1"/>
  <c r="AB197" i="13"/>
  <c r="Y197" i="13"/>
  <c r="I213" i="39"/>
  <c r="AC213" i="39" s="1"/>
  <c r="I217" i="13"/>
  <c r="K191" i="28"/>
  <c r="L191" i="28"/>
  <c r="L559" i="7" s="1"/>
  <c r="F559" i="7"/>
  <c r="S559" i="7" s="1"/>
  <c r="N191" i="28"/>
  <c r="Z191" i="28" s="1"/>
  <c r="AG191" i="28"/>
  <c r="AA191" i="28"/>
  <c r="M191" i="28"/>
  <c r="M559" i="7" s="1"/>
  <c r="AD191" i="28"/>
  <c r="O213" i="39"/>
  <c r="P213" i="39"/>
  <c r="H197" i="13" l="1"/>
  <c r="H252" i="7" s="1"/>
  <c r="Q301" i="46"/>
  <c r="F302" i="46" s="1"/>
  <c r="P301" i="46"/>
  <c r="M252" i="7"/>
  <c r="AC197" i="13"/>
  <c r="AA197" i="13" s="1"/>
  <c r="U197" i="13"/>
  <c r="W197" i="13" s="1"/>
  <c r="E188" i="10"/>
  <c r="Z197" i="13"/>
  <c r="I272" i="7"/>
  <c r="AB191" i="28"/>
  <c r="I191" i="28"/>
  <c r="I559" i="7" s="1"/>
  <c r="AE191" i="28"/>
  <c r="AH191" i="28"/>
  <c r="AF191" i="28" s="1"/>
  <c r="N559" i="7"/>
  <c r="K559" i="7"/>
  <c r="X189" i="28"/>
  <c r="Z214" i="39"/>
  <c r="F214" i="39"/>
  <c r="E214" i="36"/>
  <c r="C215" i="36"/>
  <c r="J197" i="13" l="1"/>
  <c r="I302" i="46"/>
  <c r="A302" i="46"/>
  <c r="M302" i="46" s="1"/>
  <c r="G302" i="46" s="1"/>
  <c r="H302" i="46"/>
  <c r="L302" i="46"/>
  <c r="K302" i="46"/>
  <c r="J302" i="46"/>
  <c r="X197" i="13"/>
  <c r="AC191" i="28"/>
  <c r="J191" i="28"/>
  <c r="Q214" i="39"/>
  <c r="V214" i="39"/>
  <c r="K214" i="39"/>
  <c r="S214" i="39"/>
  <c r="T214" i="39" s="1"/>
  <c r="L214" i="39"/>
  <c r="J214" i="39"/>
  <c r="Y214" i="39"/>
  <c r="X214" i="39" s="1"/>
  <c r="G197" i="13" l="1"/>
  <c r="G252" i="7" s="1"/>
  <c r="P302" i="46"/>
  <c r="Q302" i="46"/>
  <c r="F303" i="46" s="1"/>
  <c r="J559" i="7"/>
  <c r="H191" i="28"/>
  <c r="H214" i="39"/>
  <c r="U214" i="39"/>
  <c r="G214" i="39" s="1"/>
  <c r="D215" i="36" s="1"/>
  <c r="Q252" i="7" l="1"/>
  <c r="F198" i="13"/>
  <c r="S197" i="13"/>
  <c r="P252" i="7"/>
  <c r="R197" i="13"/>
  <c r="J303" i="46"/>
  <c r="A303" i="46"/>
  <c r="M303" i="46" s="1"/>
  <c r="K303" i="46"/>
  <c r="H303" i="46"/>
  <c r="L303" i="46"/>
  <c r="I303" i="46"/>
  <c r="F253" i="7"/>
  <c r="R253" i="7" s="1"/>
  <c r="M198" i="13"/>
  <c r="L253" i="7" s="1"/>
  <c r="K198" i="13"/>
  <c r="J253" i="7" s="1"/>
  <c r="V198" i="13"/>
  <c r="AB198" i="13"/>
  <c r="N198" i="13"/>
  <c r="Y198" i="13"/>
  <c r="H198" i="13" s="1"/>
  <c r="H253" i="7" s="1"/>
  <c r="L198" i="13"/>
  <c r="K253" i="7" s="1"/>
  <c r="I214" i="39"/>
  <c r="AC214" i="39" s="1"/>
  <c r="H559" i="7"/>
  <c r="F192" i="28"/>
  <c r="R191" i="28"/>
  <c r="R559" i="7" s="1"/>
  <c r="Q191" i="28"/>
  <c r="Q559" i="7" s="1"/>
  <c r="O214" i="39"/>
  <c r="P214" i="39"/>
  <c r="G303" i="46" l="1"/>
  <c r="U198" i="13"/>
  <c r="W198" i="13" s="1"/>
  <c r="M253" i="7"/>
  <c r="AC198" i="13"/>
  <c r="AA198" i="13" s="1"/>
  <c r="Z198" i="13"/>
  <c r="I218" i="13"/>
  <c r="AA192" i="28"/>
  <c r="AD192" i="28"/>
  <c r="L192" i="28"/>
  <c r="L560" i="7" s="1"/>
  <c r="F560" i="7"/>
  <c r="S560" i="7" s="1"/>
  <c r="AG192" i="28"/>
  <c r="N192" i="28"/>
  <c r="M192" i="28"/>
  <c r="M560" i="7" s="1"/>
  <c r="K192" i="28"/>
  <c r="F215" i="39"/>
  <c r="Z215" i="39"/>
  <c r="E215" i="36"/>
  <c r="C216" i="36"/>
  <c r="Q303" i="46" l="1"/>
  <c r="F304" i="46" s="1"/>
  <c r="P303" i="46"/>
  <c r="J198" i="13"/>
  <c r="X198" i="13"/>
  <c r="I273" i="7"/>
  <c r="I192" i="28"/>
  <c r="I560" i="7" s="1"/>
  <c r="K560" i="7"/>
  <c r="X190" i="28"/>
  <c r="N560" i="7"/>
  <c r="AH192" i="28"/>
  <c r="AF192" i="28" s="1"/>
  <c r="AE192" i="28"/>
  <c r="Z192" i="28"/>
  <c r="AB192" i="28" s="1"/>
  <c r="Y215" i="39"/>
  <c r="X215" i="39" s="1"/>
  <c r="V215" i="39"/>
  <c r="Q215" i="39"/>
  <c r="L215" i="39"/>
  <c r="J215" i="39"/>
  <c r="S215" i="39"/>
  <c r="T215" i="39" s="1"/>
  <c r="K215" i="39"/>
  <c r="I304" i="46" l="1"/>
  <c r="H304" i="46"/>
  <c r="A304" i="46"/>
  <c r="M304" i="46" s="1"/>
  <c r="J304" i="46"/>
  <c r="K304" i="46"/>
  <c r="L304" i="46"/>
  <c r="G198" i="13"/>
  <c r="G253" i="7" s="1"/>
  <c r="Q253" i="7" s="1"/>
  <c r="AC192" i="28"/>
  <c r="J192" i="28"/>
  <c r="U215" i="39"/>
  <c r="G215" i="39" s="1"/>
  <c r="D216" i="36" s="1"/>
  <c r="H215" i="39"/>
  <c r="G304" i="46" l="1"/>
  <c r="S198" i="13"/>
  <c r="F199" i="13"/>
  <c r="F254" i="7" s="1"/>
  <c r="R254" i="7" s="1"/>
  <c r="R198" i="13"/>
  <c r="I215" i="39"/>
  <c r="AC215" i="39" s="1"/>
  <c r="I219" i="13"/>
  <c r="H192" i="28"/>
  <c r="J560" i="7"/>
  <c r="O215" i="39"/>
  <c r="P215" i="39"/>
  <c r="Q304" i="46" l="1"/>
  <c r="F305" i="46" s="1"/>
  <c r="P304" i="46"/>
  <c r="N199" i="13"/>
  <c r="M254" i="7" s="1"/>
  <c r="Y199" i="13"/>
  <c r="H199" i="13" s="1"/>
  <c r="H254" i="7" s="1"/>
  <c r="V199" i="13"/>
  <c r="L199" i="13"/>
  <c r="K254" i="7" s="1"/>
  <c r="AB199" i="13"/>
  <c r="K199" i="13"/>
  <c r="J254" i="7" s="1"/>
  <c r="M199" i="13"/>
  <c r="L254" i="7" s="1"/>
  <c r="I274" i="7"/>
  <c r="Q192" i="28"/>
  <c r="Q560" i="7" s="1"/>
  <c r="H560" i="7"/>
  <c r="F193" i="28"/>
  <c r="R192" i="28"/>
  <c r="R560" i="7" s="1"/>
  <c r="F216" i="39"/>
  <c r="Z216" i="39"/>
  <c r="C217" i="36"/>
  <c r="E216" i="36"/>
  <c r="L305" i="46" l="1"/>
  <c r="K305" i="46"/>
  <c r="A305" i="46"/>
  <c r="M305" i="46" s="1"/>
  <c r="H305" i="46"/>
  <c r="J305" i="46"/>
  <c r="I305" i="46"/>
  <c r="E190" i="10"/>
  <c r="AC199" i="13"/>
  <c r="AA199" i="13" s="1"/>
  <c r="U199" i="13"/>
  <c r="W199" i="13" s="1"/>
  <c r="Z199" i="13"/>
  <c r="X199" i="13" s="1"/>
  <c r="K193" i="28"/>
  <c r="N193" i="28"/>
  <c r="AD193" i="28"/>
  <c r="M193" i="28"/>
  <c r="M561" i="7" s="1"/>
  <c r="F561" i="7"/>
  <c r="S561" i="7" s="1"/>
  <c r="AA193" i="28"/>
  <c r="AG193" i="28"/>
  <c r="L193" i="28"/>
  <c r="L561" i="7" s="1"/>
  <c r="K216" i="39"/>
  <c r="S216" i="39"/>
  <c r="T216" i="39" s="1"/>
  <c r="Y216" i="39"/>
  <c r="X216" i="39" s="1"/>
  <c r="Q216" i="39"/>
  <c r="J216" i="39"/>
  <c r="V216" i="39"/>
  <c r="L216" i="39"/>
  <c r="G305" i="46" l="1"/>
  <c r="J199" i="13"/>
  <c r="G199" i="13" s="1"/>
  <c r="G254" i="7" s="1"/>
  <c r="I193" i="28"/>
  <c r="I561" i="7" s="1"/>
  <c r="AE193" i="28"/>
  <c r="N561" i="7"/>
  <c r="AH193" i="28"/>
  <c r="AF193" i="28" s="1"/>
  <c r="Z193" i="28"/>
  <c r="AB193" i="28" s="1"/>
  <c r="K561" i="7"/>
  <c r="X191" i="28"/>
  <c r="H216" i="39"/>
  <c r="U216" i="39"/>
  <c r="G216" i="39" s="1"/>
  <c r="D217" i="36" s="1"/>
  <c r="Q305" i="46" l="1"/>
  <c r="F306" i="46" s="1"/>
  <c r="P305" i="46"/>
  <c r="F200" i="13"/>
  <c r="F255" i="7" s="1"/>
  <c r="R255" i="7" s="1"/>
  <c r="R199" i="13"/>
  <c r="Q254" i="7"/>
  <c r="S199" i="13"/>
  <c r="P254" i="7"/>
  <c r="I216" i="39"/>
  <c r="AC216" i="39" s="1"/>
  <c r="AC193" i="28"/>
  <c r="J193" i="28"/>
  <c r="O216" i="39"/>
  <c r="P216" i="39"/>
  <c r="A306" i="46" l="1"/>
  <c r="M306" i="46" s="1"/>
  <c r="J306" i="46"/>
  <c r="K306" i="46"/>
  <c r="I306" i="46"/>
  <c r="H306" i="46"/>
  <c r="L306" i="46"/>
  <c r="V200" i="13"/>
  <c r="L200" i="13"/>
  <c r="K255" i="7" s="1"/>
  <c r="M200" i="13"/>
  <c r="L255" i="7" s="1"/>
  <c r="N200" i="13"/>
  <c r="M255" i="7" s="1"/>
  <c r="K200" i="13"/>
  <c r="J255" i="7" s="1"/>
  <c r="Y200" i="13"/>
  <c r="H200" i="13" s="1"/>
  <c r="H255" i="7" s="1"/>
  <c r="AB200" i="13"/>
  <c r="I220" i="13"/>
  <c r="J561" i="7"/>
  <c r="H193" i="28"/>
  <c r="Z217" i="39"/>
  <c r="F217" i="39"/>
  <c r="E217" i="36"/>
  <c r="C218" i="36"/>
  <c r="G306" i="46" l="1"/>
  <c r="P306" i="46" s="1"/>
  <c r="Z200" i="13"/>
  <c r="U200" i="13"/>
  <c r="AC200" i="13"/>
  <c r="AA200" i="13" s="1"/>
  <c r="E191" i="10"/>
  <c r="I275" i="7"/>
  <c r="Q193" i="28"/>
  <c r="Q561" i="7" s="1"/>
  <c r="H561" i="7"/>
  <c r="R193" i="28"/>
  <c r="R561" i="7" s="1"/>
  <c r="F194" i="28"/>
  <c r="K217" i="39"/>
  <c r="L217" i="39"/>
  <c r="S217" i="39"/>
  <c r="T217" i="39" s="1"/>
  <c r="J217" i="39"/>
  <c r="Q217" i="39"/>
  <c r="Y217" i="39"/>
  <c r="X217" i="39" s="1"/>
  <c r="V217" i="39"/>
  <c r="J200" i="13" l="1"/>
  <c r="Q306" i="46"/>
  <c r="X200" i="13"/>
  <c r="G200" i="13" s="1"/>
  <c r="G255" i="7" s="1"/>
  <c r="W200" i="13"/>
  <c r="K194" i="28"/>
  <c r="AG194" i="28"/>
  <c r="AA194" i="28"/>
  <c r="N194" i="28"/>
  <c r="M194" i="28"/>
  <c r="M562" i="7" s="1"/>
  <c r="F562" i="7"/>
  <c r="S562" i="7" s="1"/>
  <c r="L194" i="28"/>
  <c r="L562" i="7" s="1"/>
  <c r="AD194" i="28"/>
  <c r="U217" i="39"/>
  <c r="G217" i="39" s="1"/>
  <c r="D218" i="36" s="1"/>
  <c r="H217" i="39"/>
  <c r="R200" i="13" l="1"/>
  <c r="F201" i="13"/>
  <c r="F256" i="7" s="1"/>
  <c r="R256" i="7" s="1"/>
  <c r="S200" i="13"/>
  <c r="Q255" i="7"/>
  <c r="P255" i="7"/>
  <c r="I217" i="39"/>
  <c r="AC217" i="39" s="1"/>
  <c r="I221" i="13"/>
  <c r="AE194" i="28"/>
  <c r="AH194" i="28"/>
  <c r="AF194" i="28" s="1"/>
  <c r="N562" i="7"/>
  <c r="Z194" i="28"/>
  <c r="AB194" i="28" s="1"/>
  <c r="I194" i="28"/>
  <c r="I562" i="7" s="1"/>
  <c r="K562" i="7"/>
  <c r="X192" i="28"/>
  <c r="O217" i="39"/>
  <c r="P217" i="39"/>
  <c r="K201" i="13" l="1"/>
  <c r="J256" i="7" s="1"/>
  <c r="N201" i="13"/>
  <c r="M256" i="7" s="1"/>
  <c r="Y201" i="13"/>
  <c r="V201" i="13"/>
  <c r="L201" i="13"/>
  <c r="K256" i="7" s="1"/>
  <c r="M201" i="13"/>
  <c r="L256" i="7" s="1"/>
  <c r="AB201" i="13"/>
  <c r="H201" i="13" s="1"/>
  <c r="H256" i="7" s="1"/>
  <c r="I276" i="7"/>
  <c r="AC194" i="28"/>
  <c r="J194" i="28"/>
  <c r="Z218" i="39"/>
  <c r="F218" i="39"/>
  <c r="E218" i="36"/>
  <c r="C219" i="36"/>
  <c r="U201" i="13" l="1"/>
  <c r="Z201" i="13"/>
  <c r="AC201" i="13"/>
  <c r="E192" i="10"/>
  <c r="J562" i="7"/>
  <c r="H194" i="28"/>
  <c r="Y218" i="39"/>
  <c r="X218" i="39" s="1"/>
  <c r="Q218" i="39"/>
  <c r="S218" i="39"/>
  <c r="T218" i="39" s="1"/>
  <c r="J218" i="39"/>
  <c r="L218" i="39"/>
  <c r="K218" i="39"/>
  <c r="V218" i="39"/>
  <c r="AA201" i="13" l="1"/>
  <c r="J201" i="13"/>
  <c r="G201" i="13" s="1"/>
  <c r="G256" i="7" s="1"/>
  <c r="X201" i="13"/>
  <c r="W201" i="13"/>
  <c r="F195" i="28"/>
  <c r="Q194" i="28"/>
  <c r="Q562" i="7" s="1"/>
  <c r="R194" i="28"/>
  <c r="R562" i="7" s="1"/>
  <c r="H562" i="7"/>
  <c r="H218" i="39"/>
  <c r="U218" i="39"/>
  <c r="G218" i="39" s="1"/>
  <c r="D219" i="36" s="1"/>
  <c r="F202" i="13" l="1"/>
  <c r="F257" i="7" s="1"/>
  <c r="R257" i="7" s="1"/>
  <c r="P256" i="7"/>
  <c r="R201" i="13"/>
  <c r="Q256" i="7"/>
  <c r="S201" i="13"/>
  <c r="K202" i="13"/>
  <c r="J257" i="7" s="1"/>
  <c r="AB202" i="13"/>
  <c r="Y202" i="13"/>
  <c r="H202" i="13" s="1"/>
  <c r="H257" i="7" s="1"/>
  <c r="I218" i="39"/>
  <c r="AC218" i="39" s="1"/>
  <c r="F563" i="7"/>
  <c r="S563" i="7" s="1"/>
  <c r="AG195" i="28"/>
  <c r="L195" i="28"/>
  <c r="L563" i="7" s="1"/>
  <c r="AD195" i="28"/>
  <c r="N195" i="28"/>
  <c r="AA195" i="28"/>
  <c r="K195" i="28"/>
  <c r="M195" i="28"/>
  <c r="M563" i="7" s="1"/>
  <c r="O218" i="39"/>
  <c r="P218" i="39"/>
  <c r="N202" i="13" l="1"/>
  <c r="M257" i="7" s="1"/>
  <c r="V202" i="13"/>
  <c r="L202" i="13"/>
  <c r="K257" i="7" s="1"/>
  <c r="M202" i="13"/>
  <c r="L257" i="7" s="1"/>
  <c r="I222" i="13"/>
  <c r="I277" i="7" s="1"/>
  <c r="I195" i="28"/>
  <c r="I563" i="7" s="1"/>
  <c r="K563" i="7"/>
  <c r="X193" i="28"/>
  <c r="N563" i="7"/>
  <c r="Z195" i="28"/>
  <c r="AB195" i="28" s="1"/>
  <c r="AH195" i="28"/>
  <c r="AF195" i="28" s="1"/>
  <c r="AE195" i="28"/>
  <c r="F219" i="39"/>
  <c r="Z219" i="39"/>
  <c r="E219" i="36"/>
  <c r="C220" i="36"/>
  <c r="E193" i="10" l="1"/>
  <c r="AC202" i="13"/>
  <c r="Z202" i="13"/>
  <c r="U202" i="13"/>
  <c r="X202" i="13"/>
  <c r="AC195" i="28"/>
  <c r="J195" i="28"/>
  <c r="V219" i="39"/>
  <c r="J219" i="39"/>
  <c r="Y219" i="39"/>
  <c r="X219" i="39" s="1"/>
  <c r="Q219" i="39"/>
  <c r="L219" i="39"/>
  <c r="S219" i="39"/>
  <c r="T219" i="39" s="1"/>
  <c r="K219" i="39"/>
  <c r="J202" i="13" l="1"/>
  <c r="AA202" i="13"/>
  <c r="W202" i="13"/>
  <c r="J563" i="7"/>
  <c r="H195" i="28"/>
  <c r="H219" i="39"/>
  <c r="U219" i="39"/>
  <c r="G219" i="39" s="1"/>
  <c r="D220" i="36" s="1"/>
  <c r="G202" i="13" l="1"/>
  <c r="G257" i="7" s="1"/>
  <c r="F203" i="13"/>
  <c r="F258" i="7" s="1"/>
  <c r="R258" i="7" s="1"/>
  <c r="P257" i="7"/>
  <c r="S202" i="13"/>
  <c r="I219" i="39"/>
  <c r="AC219" i="39" s="1"/>
  <c r="R195" i="28"/>
  <c r="R563" i="7" s="1"/>
  <c r="H563" i="7"/>
  <c r="F196" i="28"/>
  <c r="Q195" i="28"/>
  <c r="Q563" i="7" s="1"/>
  <c r="O219" i="39"/>
  <c r="P219" i="39"/>
  <c r="R202" i="13" l="1"/>
  <c r="Q257" i="7"/>
  <c r="L203" i="13"/>
  <c r="K258" i="7" s="1"/>
  <c r="Y203" i="13"/>
  <c r="H203" i="13" s="1"/>
  <c r="H258" i="7" s="1"/>
  <c r="N203" i="13"/>
  <c r="M258" i="7" s="1"/>
  <c r="AB203" i="13"/>
  <c r="M203" i="13"/>
  <c r="L258" i="7" s="1"/>
  <c r="K203" i="13"/>
  <c r="J258" i="7" s="1"/>
  <c r="V203" i="13"/>
  <c r="I223" i="13"/>
  <c r="I278" i="7" s="1"/>
  <c r="N196" i="28"/>
  <c r="M196" i="28"/>
  <c r="M564" i="7" s="1"/>
  <c r="AA196" i="28"/>
  <c r="AG196" i="28"/>
  <c r="AD196" i="28"/>
  <c r="L196" i="28"/>
  <c r="L564" i="7" s="1"/>
  <c r="F564" i="7"/>
  <c r="S564" i="7" s="1"/>
  <c r="K196" i="28"/>
  <c r="F220" i="39"/>
  <c r="Z220" i="39"/>
  <c r="C221" i="36"/>
  <c r="E220" i="36"/>
  <c r="Z203" i="13" l="1"/>
  <c r="U203" i="13"/>
  <c r="W203" i="13" s="1"/>
  <c r="AC203" i="13"/>
  <c r="I196" i="28"/>
  <c r="I564" i="7" s="1"/>
  <c r="K564" i="7"/>
  <c r="X194" i="28"/>
  <c r="N564" i="7"/>
  <c r="AE196" i="28"/>
  <c r="Z196" i="28"/>
  <c r="AB196" i="28" s="1"/>
  <c r="AH196" i="28"/>
  <c r="AF196" i="28" s="1"/>
  <c r="Y220" i="39"/>
  <c r="X220" i="39" s="1"/>
  <c r="V220" i="39"/>
  <c r="K220" i="39"/>
  <c r="Q220" i="39"/>
  <c r="J220" i="39"/>
  <c r="S220" i="39"/>
  <c r="T220" i="39" s="1"/>
  <c r="L220" i="39"/>
  <c r="J203" i="13" l="1"/>
  <c r="X203" i="13"/>
  <c r="AA203" i="13"/>
  <c r="AC196" i="28"/>
  <c r="J196" i="28"/>
  <c r="H220" i="39"/>
  <c r="U220" i="39"/>
  <c r="G220" i="39" s="1"/>
  <c r="D221" i="36" s="1"/>
  <c r="G203" i="13" l="1"/>
  <c r="G258" i="7" s="1"/>
  <c r="Q258" i="7" s="1"/>
  <c r="R203" i="13"/>
  <c r="S203" i="13"/>
  <c r="F204" i="13"/>
  <c r="F259" i="7" s="1"/>
  <c r="R259" i="7" s="1"/>
  <c r="I220" i="39"/>
  <c r="AC220" i="39" s="1"/>
  <c r="J564" i="7"/>
  <c r="H196" i="28"/>
  <c r="O220" i="39"/>
  <c r="P220" i="39"/>
  <c r="K204" i="13" l="1"/>
  <c r="J259" i="7" s="1"/>
  <c r="Y204" i="13"/>
  <c r="N204" i="13"/>
  <c r="M259" i="7" s="1"/>
  <c r="M204" i="13"/>
  <c r="L259" i="7" s="1"/>
  <c r="L204" i="13"/>
  <c r="K259" i="7" s="1"/>
  <c r="V204" i="13"/>
  <c r="AB204" i="13"/>
  <c r="I224" i="13"/>
  <c r="Q196" i="28"/>
  <c r="Q564" i="7" s="1"/>
  <c r="H564" i="7"/>
  <c r="F197" i="28"/>
  <c r="R196" i="28"/>
  <c r="R564" i="7" s="1"/>
  <c r="Z221" i="39"/>
  <c r="F221" i="39"/>
  <c r="C222" i="36"/>
  <c r="E221" i="36"/>
  <c r="H204" i="13" l="1"/>
  <c r="H259" i="7" s="1"/>
  <c r="U204" i="13"/>
  <c r="Z204" i="13"/>
  <c r="E195" i="10"/>
  <c r="AC204" i="13"/>
  <c r="I279" i="7"/>
  <c r="K197" i="28"/>
  <c r="AD197" i="28"/>
  <c r="N197" i="28"/>
  <c r="AE197" i="28" s="1"/>
  <c r="F565" i="7"/>
  <c r="S565" i="7" s="1"/>
  <c r="M197" i="28"/>
  <c r="M565" i="7" s="1"/>
  <c r="L197" i="28"/>
  <c r="L565" i="7" s="1"/>
  <c r="AG197" i="28"/>
  <c r="AA197" i="28"/>
  <c r="J221" i="39"/>
  <c r="L221" i="39"/>
  <c r="Y221" i="39"/>
  <c r="X221" i="39" s="1"/>
  <c r="S221" i="39"/>
  <c r="T221" i="39" s="1"/>
  <c r="V221" i="39"/>
  <c r="K221" i="39"/>
  <c r="Q221" i="39"/>
  <c r="J204" i="13" l="1"/>
  <c r="X204" i="13"/>
  <c r="W204" i="13"/>
  <c r="AA204" i="13"/>
  <c r="I197" i="28"/>
  <c r="I565" i="7" s="1"/>
  <c r="Z197" i="28"/>
  <c r="AB197" i="28" s="1"/>
  <c r="AC197" i="28"/>
  <c r="N565" i="7"/>
  <c r="AH197" i="28"/>
  <c r="AF197" i="28" s="1"/>
  <c r="K565" i="7"/>
  <c r="X195" i="28"/>
  <c r="U221" i="39"/>
  <c r="G221" i="39" s="1"/>
  <c r="D222" i="36" s="1"/>
  <c r="H221" i="39"/>
  <c r="G204" i="13" l="1"/>
  <c r="I221" i="39"/>
  <c r="AC221" i="39" s="1"/>
  <c r="J197" i="28"/>
  <c r="H197" i="28" s="1"/>
  <c r="O221" i="39"/>
  <c r="P221" i="39"/>
  <c r="R204" i="13" l="1"/>
  <c r="G259" i="7"/>
  <c r="F205" i="13"/>
  <c r="F260" i="7" s="1"/>
  <c r="R260" i="7" s="1"/>
  <c r="S204" i="13"/>
  <c r="V205" i="13"/>
  <c r="L205" i="13"/>
  <c r="K260" i="7" s="1"/>
  <c r="K205" i="13"/>
  <c r="J260" i="7" s="1"/>
  <c r="AB205" i="13"/>
  <c r="Y205" i="13"/>
  <c r="H205" i="13" s="1"/>
  <c r="H260" i="7" s="1"/>
  <c r="M205" i="13"/>
  <c r="L260" i="7" s="1"/>
  <c r="J565" i="7"/>
  <c r="Q197" i="28"/>
  <c r="Q565" i="7" s="1"/>
  <c r="F198" i="28"/>
  <c r="R197" i="28"/>
  <c r="R565" i="7" s="1"/>
  <c r="H565" i="7"/>
  <c r="Z222" i="39"/>
  <c r="F222" i="39"/>
  <c r="E222" i="36"/>
  <c r="C223" i="36"/>
  <c r="P259" i="7" l="1"/>
  <c r="Q259" i="7"/>
  <c r="N205" i="13"/>
  <c r="E196" i="10"/>
  <c r="I225" i="13"/>
  <c r="L198" i="28"/>
  <c r="L566" i="7" s="1"/>
  <c r="AD198" i="28"/>
  <c r="M198" i="28"/>
  <c r="M566" i="7" s="1"/>
  <c r="N198" i="28"/>
  <c r="N566" i="7" s="1"/>
  <c r="K198" i="28"/>
  <c r="AA198" i="28"/>
  <c r="AG198" i="28"/>
  <c r="F566" i="7"/>
  <c r="S566" i="7" s="1"/>
  <c r="L222" i="39"/>
  <c r="Y222" i="39"/>
  <c r="X222" i="39" s="1"/>
  <c r="S222" i="39"/>
  <c r="T222" i="39" s="1"/>
  <c r="Q222" i="39"/>
  <c r="V222" i="39"/>
  <c r="K222" i="39"/>
  <c r="J222" i="39"/>
  <c r="U205" i="13" l="1"/>
  <c r="W205" i="13" s="1"/>
  <c r="M260" i="7"/>
  <c r="AC205" i="13"/>
  <c r="AA205" i="13" s="1"/>
  <c r="Z205" i="13"/>
  <c r="X205" i="13"/>
  <c r="I280" i="7"/>
  <c r="I198" i="28"/>
  <c r="I566" i="7" s="1"/>
  <c r="Z198" i="28"/>
  <c r="AB198" i="28" s="1"/>
  <c r="AH198" i="28"/>
  <c r="AF198" i="28" s="1"/>
  <c r="K566" i="7"/>
  <c r="X196" i="28"/>
  <c r="AE198" i="28"/>
  <c r="AC198" i="28" s="1"/>
  <c r="U222" i="39"/>
  <c r="G222" i="39" s="1"/>
  <c r="D223" i="36" s="1"/>
  <c r="H222" i="39"/>
  <c r="J205" i="13" l="1"/>
  <c r="I222" i="39"/>
  <c r="AC222" i="39" s="1"/>
  <c r="J198" i="28"/>
  <c r="O222" i="39"/>
  <c r="P222" i="39"/>
  <c r="G205" i="13" l="1"/>
  <c r="G260" i="7" s="1"/>
  <c r="J566" i="7"/>
  <c r="H198" i="28"/>
  <c r="F223" i="39"/>
  <c r="Z223" i="39"/>
  <c r="C224" i="36"/>
  <c r="E223" i="36"/>
  <c r="S205" i="13" l="1"/>
  <c r="R205" i="13"/>
  <c r="Q260" i="7"/>
  <c r="P260" i="7"/>
  <c r="F206" i="13"/>
  <c r="M206" i="13"/>
  <c r="L261" i="7" s="1"/>
  <c r="Y206" i="13"/>
  <c r="H206" i="13" s="1"/>
  <c r="H261" i="7" s="1"/>
  <c r="F261" i="7"/>
  <c r="R261" i="7" s="1"/>
  <c r="AB206" i="13"/>
  <c r="L206" i="13"/>
  <c r="K261" i="7" s="1"/>
  <c r="V206" i="13"/>
  <c r="N206" i="13"/>
  <c r="K206" i="13"/>
  <c r="J261" i="7" s="1"/>
  <c r="I226" i="13"/>
  <c r="H566" i="7"/>
  <c r="Q198" i="28"/>
  <c r="Q566" i="7" s="1"/>
  <c r="F199" i="28"/>
  <c r="R198" i="28"/>
  <c r="R566" i="7" s="1"/>
  <c r="L223" i="39"/>
  <c r="V223" i="39"/>
  <c r="Q223" i="39"/>
  <c r="K223" i="39"/>
  <c r="Y223" i="39"/>
  <c r="X223" i="39" s="1"/>
  <c r="J223" i="39"/>
  <c r="S223" i="39"/>
  <c r="T223" i="39" s="1"/>
  <c r="E197" i="10" l="1"/>
  <c r="Z206" i="13"/>
  <c r="U206" i="13"/>
  <c r="W206" i="13" s="1"/>
  <c r="AC206" i="13"/>
  <c r="AA206" i="13" s="1"/>
  <c r="M261" i="7"/>
  <c r="I281" i="7"/>
  <c r="L199" i="28"/>
  <c r="L567" i="7" s="1"/>
  <c r="N199" i="28"/>
  <c r="N567" i="7" s="1"/>
  <c r="AD199" i="28"/>
  <c r="M199" i="28"/>
  <c r="M567" i="7" s="1"/>
  <c r="AG199" i="28"/>
  <c r="AA199" i="28"/>
  <c r="F567" i="7"/>
  <c r="S567" i="7" s="1"/>
  <c r="K199" i="28"/>
  <c r="K567" i="7" s="1"/>
  <c r="U223" i="39"/>
  <c r="G223" i="39" s="1"/>
  <c r="D224" i="36" s="1"/>
  <c r="H223" i="39"/>
  <c r="X206" i="13" l="1"/>
  <c r="J206" i="13"/>
  <c r="G206" i="13" s="1"/>
  <c r="G261" i="7" s="1"/>
  <c r="I223" i="39"/>
  <c r="AC223" i="39" s="1"/>
  <c r="I199" i="28"/>
  <c r="I567" i="7" s="1"/>
  <c r="AH199" i="28"/>
  <c r="AF199" i="28" s="1"/>
  <c r="Z199" i="28"/>
  <c r="AB199" i="28" s="1"/>
  <c r="AE199" i="28"/>
  <c r="X197" i="28"/>
  <c r="O223" i="39"/>
  <c r="P223" i="39"/>
  <c r="Q261" i="7" l="1"/>
  <c r="P261" i="7"/>
  <c r="R206" i="13"/>
  <c r="F207" i="13"/>
  <c r="Y207" i="13" s="1"/>
  <c r="S206" i="13"/>
  <c r="AC199" i="28"/>
  <c r="J199" i="28"/>
  <c r="Z224" i="39"/>
  <c r="F224" i="39"/>
  <c r="C225" i="36"/>
  <c r="E224" i="36"/>
  <c r="K207" i="13" l="1"/>
  <c r="J262" i="7" s="1"/>
  <c r="V207" i="13"/>
  <c r="N207" i="13"/>
  <c r="M262" i="7" s="1"/>
  <c r="F262" i="7"/>
  <c r="R262" i="7" s="1"/>
  <c r="M207" i="13"/>
  <c r="L262" i="7" s="1"/>
  <c r="AB207" i="13"/>
  <c r="H207" i="13" s="1"/>
  <c r="H262" i="7" s="1"/>
  <c r="L207" i="13"/>
  <c r="K262" i="7" s="1"/>
  <c r="I227" i="13"/>
  <c r="H199" i="28"/>
  <c r="F200" i="28" s="1"/>
  <c r="J567" i="7"/>
  <c r="L224" i="39"/>
  <c r="V224" i="39"/>
  <c r="Q224" i="39"/>
  <c r="Y224" i="39"/>
  <c r="X224" i="39" s="1"/>
  <c r="J224" i="39"/>
  <c r="S224" i="39"/>
  <c r="T224" i="39" s="1"/>
  <c r="K224" i="39"/>
  <c r="Z207" i="13" l="1"/>
  <c r="U207" i="13"/>
  <c r="AC207" i="13"/>
  <c r="J207" i="13" s="1"/>
  <c r="I282" i="7"/>
  <c r="N200" i="28"/>
  <c r="Z200" i="28" s="1"/>
  <c r="AA200" i="28"/>
  <c r="F568" i="7"/>
  <c r="S568" i="7" s="1"/>
  <c r="M200" i="28"/>
  <c r="M568" i="7" s="1"/>
  <c r="AG200" i="28"/>
  <c r="R199" i="28"/>
  <c r="R567" i="7" s="1"/>
  <c r="K200" i="28"/>
  <c r="K568" i="7" s="1"/>
  <c r="AD200" i="28"/>
  <c r="L200" i="28"/>
  <c r="L568" i="7" s="1"/>
  <c r="Q199" i="28"/>
  <c r="Q567" i="7" s="1"/>
  <c r="H567" i="7"/>
  <c r="H224" i="39"/>
  <c r="U224" i="39"/>
  <c r="G224" i="39" s="1"/>
  <c r="D225" i="36" s="1"/>
  <c r="X207" i="13" l="1"/>
  <c r="W207" i="13"/>
  <c r="AA207" i="13"/>
  <c r="G207" i="13" s="1"/>
  <c r="I224" i="39"/>
  <c r="AC224" i="39" s="1"/>
  <c r="N568" i="7"/>
  <c r="I200" i="28"/>
  <c r="I568" i="7" s="1"/>
  <c r="AE200" i="28"/>
  <c r="AC200" i="28" s="1"/>
  <c r="AH200" i="28"/>
  <c r="AF200" i="28" s="1"/>
  <c r="AB200" i="28"/>
  <c r="X198" i="28"/>
  <c r="O224" i="39"/>
  <c r="P224" i="39"/>
  <c r="G262" i="7" l="1"/>
  <c r="Q262" i="7" s="1"/>
  <c r="S207" i="13"/>
  <c r="R207" i="13"/>
  <c r="F208" i="13"/>
  <c r="J200" i="28"/>
  <c r="H200" i="28" s="1"/>
  <c r="F225" i="39"/>
  <c r="Z225" i="39"/>
  <c r="C226" i="36"/>
  <c r="E225" i="36"/>
  <c r="AB208" i="13" l="1"/>
  <c r="V208" i="13"/>
  <c r="Y208" i="13"/>
  <c r="H208" i="13" s="1"/>
  <c r="H263" i="7" s="1"/>
  <c r="N208" i="13"/>
  <c r="M208" i="13"/>
  <c r="L263" i="7" s="1"/>
  <c r="K208" i="13"/>
  <c r="J263" i="7" s="1"/>
  <c r="L208" i="13"/>
  <c r="K263" i="7" s="1"/>
  <c r="F263" i="7"/>
  <c r="R263" i="7" s="1"/>
  <c r="I228" i="13"/>
  <c r="I283" i="7" s="1"/>
  <c r="J568" i="7"/>
  <c r="F201" i="28"/>
  <c r="R200" i="28"/>
  <c r="R568" i="7" s="1"/>
  <c r="Q200" i="28"/>
  <c r="Q568" i="7" s="1"/>
  <c r="H568" i="7"/>
  <c r="K225" i="39"/>
  <c r="Y225" i="39"/>
  <c r="X225" i="39" s="1"/>
  <c r="V225" i="39"/>
  <c r="J225" i="39"/>
  <c r="L225" i="39"/>
  <c r="S225" i="39"/>
  <c r="T225" i="39" s="1"/>
  <c r="Q225" i="39"/>
  <c r="Z208" i="13" l="1"/>
  <c r="X208" i="13" s="1"/>
  <c r="AC208" i="13"/>
  <c r="U208" i="13"/>
  <c r="W208" i="13" s="1"/>
  <c r="M263" i="7"/>
  <c r="F569" i="7"/>
  <c r="S569" i="7" s="1"/>
  <c r="L201" i="28"/>
  <c r="L569" i="7" s="1"/>
  <c r="AD201" i="28"/>
  <c r="AG201" i="28"/>
  <c r="AA201" i="28"/>
  <c r="M201" i="28"/>
  <c r="M569" i="7" s="1"/>
  <c r="N201" i="28"/>
  <c r="N569" i="7" s="1"/>
  <c r="K201" i="28"/>
  <c r="K569" i="7" s="1"/>
  <c r="H225" i="39"/>
  <c r="U225" i="39"/>
  <c r="G225" i="39" s="1"/>
  <c r="D226" i="36" s="1"/>
  <c r="J208" i="13" l="1"/>
  <c r="G208" i="13" s="1"/>
  <c r="AA208" i="13"/>
  <c r="I201" i="28"/>
  <c r="I569" i="7" s="1"/>
  <c r="I225" i="39"/>
  <c r="AC225" i="39" s="1"/>
  <c r="Z201" i="28"/>
  <c r="AB201" i="28" s="1"/>
  <c r="AH201" i="28"/>
  <c r="AF201" i="28" s="1"/>
  <c r="X199" i="28"/>
  <c r="AE201" i="28"/>
  <c r="O225" i="39"/>
  <c r="P225" i="39"/>
  <c r="S208" i="13" l="1"/>
  <c r="R208" i="13"/>
  <c r="F209" i="13"/>
  <c r="G263" i="7"/>
  <c r="Q263" i="7" s="1"/>
  <c r="AC201" i="28"/>
  <c r="J201" i="28"/>
  <c r="Z226" i="39"/>
  <c r="F226" i="39"/>
  <c r="E226" i="36"/>
  <c r="C227" i="36"/>
  <c r="N209" i="13" l="1"/>
  <c r="K209" i="13"/>
  <c r="J264" i="7" s="1"/>
  <c r="V209" i="13"/>
  <c r="L209" i="13"/>
  <c r="K264" i="7" s="1"/>
  <c r="AB209" i="13"/>
  <c r="Y209" i="13"/>
  <c r="H209" i="13" s="1"/>
  <c r="H264" i="7" s="1"/>
  <c r="M209" i="13"/>
  <c r="L264" i="7" s="1"/>
  <c r="F264" i="7"/>
  <c r="R264" i="7" s="1"/>
  <c r="I229" i="13"/>
  <c r="H201" i="28"/>
  <c r="J569" i="7"/>
  <c r="J226" i="39"/>
  <c r="Y226" i="39"/>
  <c r="X226" i="39" s="1"/>
  <c r="V226" i="39"/>
  <c r="K226" i="39"/>
  <c r="S226" i="39"/>
  <c r="T226" i="39" s="1"/>
  <c r="L226" i="39"/>
  <c r="Q226" i="39"/>
  <c r="U209" i="13" l="1"/>
  <c r="W209" i="13" s="1"/>
  <c r="Z209" i="13"/>
  <c r="X209" i="13" s="1"/>
  <c r="AC209" i="13"/>
  <c r="M264" i="7"/>
  <c r="I284" i="7"/>
  <c r="F202" i="28"/>
  <c r="R201" i="28"/>
  <c r="R569" i="7" s="1"/>
  <c r="Q201" i="28"/>
  <c r="Q569" i="7" s="1"/>
  <c r="H569" i="7"/>
  <c r="U226" i="39"/>
  <c r="G226" i="39" s="1"/>
  <c r="D227" i="36" s="1"/>
  <c r="H226" i="39"/>
  <c r="AA209" i="13" l="1"/>
  <c r="J209" i="13"/>
  <c r="G209" i="13" s="1"/>
  <c r="I226" i="39"/>
  <c r="AC226" i="39" s="1"/>
  <c r="N202" i="28"/>
  <c r="N570" i="7" s="1"/>
  <c r="L202" i="28"/>
  <c r="L570" i="7" s="1"/>
  <c r="F570" i="7"/>
  <c r="S570" i="7" s="1"/>
  <c r="K202" i="28"/>
  <c r="K570" i="7" s="1"/>
  <c r="AD202" i="28"/>
  <c r="AA202" i="28"/>
  <c r="AG202" i="28"/>
  <c r="M202" i="28"/>
  <c r="M570" i="7" s="1"/>
  <c r="O226" i="39"/>
  <c r="P226" i="39"/>
  <c r="F210" i="13" l="1"/>
  <c r="S209" i="13"/>
  <c r="R209" i="13"/>
  <c r="G264" i="7"/>
  <c r="Q264" i="7" s="1"/>
  <c r="Z202" i="28"/>
  <c r="AB202" i="28" s="1"/>
  <c r="AE202" i="28"/>
  <c r="AC202" i="28" s="1"/>
  <c r="AH202" i="28"/>
  <c r="AF202" i="28" s="1"/>
  <c r="X200" i="28"/>
  <c r="I202" i="28"/>
  <c r="I570" i="7" s="1"/>
  <c r="F227" i="39"/>
  <c r="Z227" i="39"/>
  <c r="E227" i="36"/>
  <c r="C228" i="36"/>
  <c r="AB210" i="13" l="1"/>
  <c r="N210" i="13"/>
  <c r="V210" i="13"/>
  <c r="Y210" i="13"/>
  <c r="H210" i="13" s="1"/>
  <c r="H265" i="7" s="1"/>
  <c r="M210" i="13"/>
  <c r="L265" i="7" s="1"/>
  <c r="L210" i="13"/>
  <c r="K265" i="7" s="1"/>
  <c r="K210" i="13"/>
  <c r="J265" i="7" s="1"/>
  <c r="F265" i="7"/>
  <c r="R265" i="7" s="1"/>
  <c r="U210" i="13"/>
  <c r="W210" i="13" s="1"/>
  <c r="I230" i="13"/>
  <c r="J202" i="28"/>
  <c r="H202" i="28" s="1"/>
  <c r="Q227" i="39"/>
  <c r="V227" i="39"/>
  <c r="L227" i="39"/>
  <c r="S227" i="39"/>
  <c r="T227" i="39" s="1"/>
  <c r="K227" i="39"/>
  <c r="Y227" i="39"/>
  <c r="X227" i="39" s="1"/>
  <c r="J227" i="39"/>
  <c r="AC210" i="13" l="1"/>
  <c r="M265" i="7"/>
  <c r="Z210" i="13"/>
  <c r="X210" i="13" s="1"/>
  <c r="E201" i="10"/>
  <c r="I285" i="7"/>
  <c r="J570" i="7"/>
  <c r="Q202" i="28"/>
  <c r="Q570" i="7" s="1"/>
  <c r="F203" i="28"/>
  <c r="R202" i="28"/>
  <c r="R570" i="7" s="1"/>
  <c r="H570" i="7"/>
  <c r="U227" i="39"/>
  <c r="G227" i="39" s="1"/>
  <c r="D228" i="36" s="1"/>
  <c r="H227" i="39"/>
  <c r="AA210" i="13" l="1"/>
  <c r="J210" i="13"/>
  <c r="G210" i="13" s="1"/>
  <c r="G265" i="7" s="1"/>
  <c r="I227" i="39"/>
  <c r="AC227" i="39" s="1"/>
  <c r="F571" i="7"/>
  <c r="S571" i="7" s="1"/>
  <c r="AD203" i="28"/>
  <c r="AA203" i="28"/>
  <c r="K203" i="28"/>
  <c r="M203" i="28"/>
  <c r="M571" i="7" s="1"/>
  <c r="L203" i="28"/>
  <c r="L571" i="7" s="1"/>
  <c r="AG203" i="28"/>
  <c r="N203" i="28"/>
  <c r="O227" i="39"/>
  <c r="P227" i="39"/>
  <c r="R210" i="13" l="1"/>
  <c r="S210" i="13"/>
  <c r="F211" i="13"/>
  <c r="F266" i="7" s="1"/>
  <c r="R266" i="7" s="1"/>
  <c r="P265" i="7"/>
  <c r="Q265" i="7"/>
  <c r="I203" i="28"/>
  <c r="I571" i="7" s="1"/>
  <c r="N571" i="7"/>
  <c r="AE203" i="28"/>
  <c r="AH203" i="28"/>
  <c r="AF203" i="28" s="1"/>
  <c r="Z203" i="28"/>
  <c r="AB203" i="28" s="1"/>
  <c r="K571" i="7"/>
  <c r="X201" i="28"/>
  <c r="F228" i="39"/>
  <c r="Z228" i="39"/>
  <c r="C229" i="36"/>
  <c r="E228" i="36"/>
  <c r="N211" i="13" l="1"/>
  <c r="M266" i="7" s="1"/>
  <c r="L211" i="13"/>
  <c r="K266" i="7" s="1"/>
  <c r="M211" i="13"/>
  <c r="L266" i="7" s="1"/>
  <c r="V211" i="13"/>
  <c r="K211" i="13"/>
  <c r="J266" i="7" s="1"/>
  <c r="Y211" i="13"/>
  <c r="H211" i="13" s="1"/>
  <c r="H266" i="7" s="1"/>
  <c r="AB211" i="13"/>
  <c r="I231" i="13"/>
  <c r="AC203" i="28"/>
  <c r="J203" i="28"/>
  <c r="K228" i="39"/>
  <c r="Y228" i="39"/>
  <c r="X228" i="39" s="1"/>
  <c r="J228" i="39"/>
  <c r="L228" i="39"/>
  <c r="Q228" i="39"/>
  <c r="V228" i="39"/>
  <c r="S228" i="39"/>
  <c r="T228" i="39" s="1"/>
  <c r="E202" i="10" l="1"/>
  <c r="Z211" i="13"/>
  <c r="AC211" i="13"/>
  <c r="U211" i="13"/>
  <c r="I286" i="7"/>
  <c r="J571" i="7"/>
  <c r="H203" i="28"/>
  <c r="H228" i="39"/>
  <c r="U228" i="39"/>
  <c r="G228" i="39" s="1"/>
  <c r="D229" i="36" s="1"/>
  <c r="X211" i="13" l="1"/>
  <c r="W211" i="13"/>
  <c r="J211" i="13"/>
  <c r="AA211" i="13"/>
  <c r="I228" i="39"/>
  <c r="AC228" i="39" s="1"/>
  <c r="Q203" i="28"/>
  <c r="Q571" i="7" s="1"/>
  <c r="H571" i="7"/>
  <c r="R203" i="28"/>
  <c r="R571" i="7" s="1"/>
  <c r="F204" i="28"/>
  <c r="O228" i="39"/>
  <c r="P228" i="39"/>
  <c r="G211" i="13" l="1"/>
  <c r="G266" i="7" s="1"/>
  <c r="AG204" i="28"/>
  <c r="F572" i="7"/>
  <c r="S572" i="7" s="1"/>
  <c r="N204" i="28"/>
  <c r="L204" i="28"/>
  <c r="L572" i="7" s="1"/>
  <c r="K204" i="28"/>
  <c r="K572" i="7" s="1"/>
  <c r="M204" i="28"/>
  <c r="M572" i="7" s="1"/>
  <c r="AA204" i="28"/>
  <c r="AD204" i="28"/>
  <c r="F229" i="39"/>
  <c r="Z229" i="39"/>
  <c r="E229" i="36"/>
  <c r="C230" i="36"/>
  <c r="S211" i="13" l="1"/>
  <c r="F212" i="13"/>
  <c r="K212" i="13" s="1"/>
  <c r="J267" i="7" s="1"/>
  <c r="Q266" i="7"/>
  <c r="R211" i="13"/>
  <c r="F267" i="7"/>
  <c r="R267" i="7" s="1"/>
  <c r="P266" i="7"/>
  <c r="AB212" i="13"/>
  <c r="N212" i="13"/>
  <c r="M267" i="7" s="1"/>
  <c r="M212" i="13"/>
  <c r="L267" i="7" s="1"/>
  <c r="V212" i="13"/>
  <c r="Y212" i="13"/>
  <c r="L212" i="13"/>
  <c r="K267" i="7" s="1"/>
  <c r="I232" i="13"/>
  <c r="I287" i="7" s="1"/>
  <c r="I204" i="28"/>
  <c r="I572" i="7" s="1"/>
  <c r="N572" i="7"/>
  <c r="AH204" i="28"/>
  <c r="AF204" i="28" s="1"/>
  <c r="Z204" i="28"/>
  <c r="AB204" i="28" s="1"/>
  <c r="AE204" i="28"/>
  <c r="X202" i="28"/>
  <c r="Q229" i="39"/>
  <c r="V229" i="39"/>
  <c r="L229" i="39"/>
  <c r="K229" i="39"/>
  <c r="Y229" i="39"/>
  <c r="X229" i="39" s="1"/>
  <c r="J229" i="39"/>
  <c r="S229" i="39"/>
  <c r="T229" i="39" s="1"/>
  <c r="E203" i="10" l="1"/>
  <c r="H212" i="13"/>
  <c r="H267" i="7" s="1"/>
  <c r="Z212" i="13"/>
  <c r="X212" i="13" s="1"/>
  <c r="U212" i="13"/>
  <c r="AC212" i="13"/>
  <c r="J212" i="13" s="1"/>
  <c r="AC204" i="28"/>
  <c r="J204" i="28"/>
  <c r="H229" i="39"/>
  <c r="U229" i="39"/>
  <c r="G229" i="39" s="1"/>
  <c r="D230" i="36" s="1"/>
  <c r="W212" i="13" l="1"/>
  <c r="AA212" i="13"/>
  <c r="G212" i="13"/>
  <c r="G267" i="7" s="1"/>
  <c r="I229" i="39"/>
  <c r="AC229" i="39" s="1"/>
  <c r="J572" i="7"/>
  <c r="H204" i="28"/>
  <c r="O229" i="39"/>
  <c r="P229" i="39"/>
  <c r="S212" i="13" l="1"/>
  <c r="Q267" i="7"/>
  <c r="R212" i="13"/>
  <c r="P267" i="7"/>
  <c r="F213" i="13"/>
  <c r="F268" i="7" s="1"/>
  <c r="R268" i="7" s="1"/>
  <c r="M213" i="13"/>
  <c r="L268" i="7" s="1"/>
  <c r="AB213" i="13"/>
  <c r="Y213" i="13"/>
  <c r="N213" i="13"/>
  <c r="M268" i="7" s="1"/>
  <c r="R204" i="28"/>
  <c r="R572" i="7" s="1"/>
  <c r="Q204" i="28"/>
  <c r="Q572" i="7" s="1"/>
  <c r="F205" i="28"/>
  <c r="H572" i="7"/>
  <c r="F230" i="39"/>
  <c r="Z230" i="39"/>
  <c r="E230" i="36"/>
  <c r="C231" i="36"/>
  <c r="V213" i="13" l="1"/>
  <c r="L213" i="13"/>
  <c r="K268" i="7" s="1"/>
  <c r="K213" i="13"/>
  <c r="J268" i="7" s="1"/>
  <c r="H213" i="13"/>
  <c r="H268" i="7" s="1"/>
  <c r="Z213" i="13"/>
  <c r="AC213" i="13"/>
  <c r="U213" i="13"/>
  <c r="I233" i="13"/>
  <c r="I288" i="7" s="1"/>
  <c r="M205" i="28"/>
  <c r="M573" i="7" s="1"/>
  <c r="F573" i="7"/>
  <c r="S573" i="7" s="1"/>
  <c r="L205" i="28"/>
  <c r="L573" i="7" s="1"/>
  <c r="K205" i="28"/>
  <c r="N205" i="28"/>
  <c r="AA205" i="28"/>
  <c r="AG205" i="28"/>
  <c r="AD205" i="28"/>
  <c r="L230" i="39"/>
  <c r="S230" i="39"/>
  <c r="T230" i="39" s="1"/>
  <c r="J230" i="39"/>
  <c r="Q230" i="39"/>
  <c r="V230" i="39"/>
  <c r="K230" i="39"/>
  <c r="Y230" i="39"/>
  <c r="X230" i="39" s="1"/>
  <c r="E204" i="10" l="1"/>
  <c r="J213" i="13"/>
  <c r="X213" i="13"/>
  <c r="AA213" i="13"/>
  <c r="W213" i="13"/>
  <c r="I205" i="28"/>
  <c r="I573" i="7" s="1"/>
  <c r="Z205" i="28"/>
  <c r="AB205" i="28" s="1"/>
  <c r="AH205" i="28"/>
  <c r="AF205" i="28" s="1"/>
  <c r="AE205" i="28"/>
  <c r="N573" i="7"/>
  <c r="K573" i="7"/>
  <c r="X203" i="28"/>
  <c r="U230" i="39"/>
  <c r="G230" i="39" s="1"/>
  <c r="D231" i="36" s="1"/>
  <c r="H230" i="39"/>
  <c r="G213" i="13" l="1"/>
  <c r="G268" i="7" s="1"/>
  <c r="R213" i="13"/>
  <c r="I230" i="39"/>
  <c r="AC230" i="39" s="1"/>
  <c r="AC205" i="28"/>
  <c r="J205" i="28"/>
  <c r="O230" i="39"/>
  <c r="P230" i="39"/>
  <c r="S213" i="13" l="1"/>
  <c r="F214" i="13"/>
  <c r="P268" i="7"/>
  <c r="Q268" i="7"/>
  <c r="AB214" i="13"/>
  <c r="Y214" i="13"/>
  <c r="V214" i="13"/>
  <c r="K214" i="13"/>
  <c r="J269" i="7" s="1"/>
  <c r="M214" i="13"/>
  <c r="L269" i="7" s="1"/>
  <c r="N214" i="13"/>
  <c r="M269" i="7" s="1"/>
  <c r="F269" i="7"/>
  <c r="R269" i="7" s="1"/>
  <c r="L214" i="13"/>
  <c r="K269" i="7" s="1"/>
  <c r="H205" i="28"/>
  <c r="J573" i="7"/>
  <c r="F231" i="39"/>
  <c r="Z231" i="39"/>
  <c r="E231" i="36"/>
  <c r="C232" i="36"/>
  <c r="H214" i="13" l="1"/>
  <c r="H269" i="7" s="1"/>
  <c r="U214" i="13"/>
  <c r="Z214" i="13"/>
  <c r="AC214" i="13"/>
  <c r="E205" i="10"/>
  <c r="I234" i="13"/>
  <c r="Q205" i="28"/>
  <c r="Q573" i="7" s="1"/>
  <c r="H573" i="7"/>
  <c r="F206" i="28"/>
  <c r="R205" i="28"/>
  <c r="R573" i="7" s="1"/>
  <c r="K231" i="39"/>
  <c r="Y231" i="39"/>
  <c r="X231" i="39" s="1"/>
  <c r="S231" i="39"/>
  <c r="T231" i="39" s="1"/>
  <c r="V231" i="39"/>
  <c r="Q231" i="39"/>
  <c r="L231" i="39"/>
  <c r="J231" i="39"/>
  <c r="J214" i="13" l="1"/>
  <c r="W214" i="13"/>
  <c r="X214" i="13"/>
  <c r="AA214" i="13"/>
  <c r="I289" i="7"/>
  <c r="F574" i="7"/>
  <c r="S574" i="7" s="1"/>
  <c r="N206" i="28"/>
  <c r="AD206" i="28"/>
  <c r="L206" i="28"/>
  <c r="L574" i="7" s="1"/>
  <c r="M206" i="28"/>
  <c r="M574" i="7" s="1"/>
  <c r="AG206" i="28"/>
  <c r="K206" i="28"/>
  <c r="K574" i="7" s="1"/>
  <c r="AA206" i="28"/>
  <c r="U231" i="39"/>
  <c r="G231" i="39" s="1"/>
  <c r="D232" i="36" s="1"/>
  <c r="H231" i="39"/>
  <c r="G214" i="13" l="1"/>
  <c r="G269" i="7" s="1"/>
  <c r="I231" i="39"/>
  <c r="AC231" i="39" s="1"/>
  <c r="I206" i="28"/>
  <c r="I574" i="7" s="1"/>
  <c r="Z206" i="28"/>
  <c r="AB206" i="28" s="1"/>
  <c r="AE206" i="28"/>
  <c r="N574" i="7"/>
  <c r="AH206" i="28"/>
  <c r="AF206" i="28" s="1"/>
  <c r="X204" i="28"/>
  <c r="O231" i="39"/>
  <c r="P231" i="39"/>
  <c r="S214" i="13" l="1"/>
  <c r="F215" i="13"/>
  <c r="R214" i="13"/>
  <c r="Q269" i="7"/>
  <c r="P269" i="7"/>
  <c r="K215" i="13"/>
  <c r="J270" i="7" s="1"/>
  <c r="I235" i="13"/>
  <c r="I290" i="7" s="1"/>
  <c r="AC206" i="28"/>
  <c r="J206" i="28"/>
  <c r="Z232" i="39"/>
  <c r="F232" i="39"/>
  <c r="C233" i="36"/>
  <c r="E232" i="36"/>
  <c r="N215" i="13" l="1"/>
  <c r="Y215" i="13"/>
  <c r="L215" i="13"/>
  <c r="K270" i="7" s="1"/>
  <c r="V215" i="13"/>
  <c r="AB215" i="13"/>
  <c r="F270" i="7"/>
  <c r="R270" i="7" s="1"/>
  <c r="M215" i="13"/>
  <c r="L270" i="7" s="1"/>
  <c r="U215" i="13"/>
  <c r="Z215" i="13"/>
  <c r="M270" i="7"/>
  <c r="AC215" i="13"/>
  <c r="AA215" i="13" s="1"/>
  <c r="J574" i="7"/>
  <c r="H206" i="28"/>
  <c r="Y232" i="39"/>
  <c r="X232" i="39" s="1"/>
  <c r="S232" i="39"/>
  <c r="T232" i="39" s="1"/>
  <c r="K232" i="39"/>
  <c r="Q232" i="39"/>
  <c r="L232" i="39"/>
  <c r="J232" i="39"/>
  <c r="V232" i="39"/>
  <c r="E206" i="10" l="1"/>
  <c r="W215" i="13"/>
  <c r="H215" i="13"/>
  <c r="H270" i="7" s="1"/>
  <c r="J215" i="13"/>
  <c r="G215" i="13" s="1"/>
  <c r="G270" i="7" s="1"/>
  <c r="X215" i="13"/>
  <c r="F207" i="28"/>
  <c r="Q206" i="28"/>
  <c r="Q574" i="7" s="1"/>
  <c r="R206" i="28"/>
  <c r="R574" i="7" s="1"/>
  <c r="H574" i="7"/>
  <c r="H232" i="39"/>
  <c r="U232" i="39"/>
  <c r="G232" i="39" s="1"/>
  <c r="D233" i="36" s="1"/>
  <c r="P270" i="7" l="1"/>
  <c r="Q270" i="7"/>
  <c r="R215" i="13"/>
  <c r="F216" i="13"/>
  <c r="S215" i="13"/>
  <c r="I232" i="39"/>
  <c r="AC232" i="39" s="1"/>
  <c r="F575" i="7"/>
  <c r="S575" i="7" s="1"/>
  <c r="K207" i="28"/>
  <c r="L207" i="28"/>
  <c r="L575" i="7" s="1"/>
  <c r="AG207" i="28"/>
  <c r="N207" i="28"/>
  <c r="AD207" i="28"/>
  <c r="M207" i="28"/>
  <c r="M575" i="7" s="1"/>
  <c r="AA207" i="28"/>
  <c r="O232" i="39"/>
  <c r="P232" i="39"/>
  <c r="N216" i="13" l="1"/>
  <c r="Y216" i="13"/>
  <c r="H216" i="13" s="1"/>
  <c r="H271" i="7" s="1"/>
  <c r="L216" i="13"/>
  <c r="K271" i="7" s="1"/>
  <c r="V216" i="13"/>
  <c r="AB216" i="13"/>
  <c r="M216" i="13"/>
  <c r="L271" i="7" s="1"/>
  <c r="K216" i="13"/>
  <c r="J271" i="7" s="1"/>
  <c r="F271" i="7"/>
  <c r="R271" i="7" s="1"/>
  <c r="I236" i="13"/>
  <c r="I207" i="28"/>
  <c r="I575" i="7" s="1"/>
  <c r="N575" i="7"/>
  <c r="AE207" i="28"/>
  <c r="AH207" i="28"/>
  <c r="AF207" i="28" s="1"/>
  <c r="Z207" i="28"/>
  <c r="AB207" i="28" s="1"/>
  <c r="K575" i="7"/>
  <c r="X205" i="28"/>
  <c r="F233" i="39"/>
  <c r="Z233" i="39"/>
  <c r="C234" i="36"/>
  <c r="E233" i="36"/>
  <c r="U216" i="13" l="1"/>
  <c r="W216" i="13" s="1"/>
  <c r="M271" i="7"/>
  <c r="E207" i="10"/>
  <c r="AC216" i="13"/>
  <c r="AA216" i="13" s="1"/>
  <c r="Z216" i="13"/>
  <c r="I291" i="7"/>
  <c r="AC207" i="28"/>
  <c r="J207" i="28"/>
  <c r="J233" i="39"/>
  <c r="K233" i="39"/>
  <c r="L233" i="39"/>
  <c r="Q233" i="39"/>
  <c r="S233" i="39"/>
  <c r="T233" i="39" s="1"/>
  <c r="Y233" i="39"/>
  <c r="X233" i="39" s="1"/>
  <c r="V233" i="39"/>
  <c r="J216" i="13" l="1"/>
  <c r="X216" i="13"/>
  <c r="I237" i="13"/>
  <c r="J575" i="7"/>
  <c r="H207" i="28"/>
  <c r="U233" i="39"/>
  <c r="G233" i="39" s="1"/>
  <c r="D234" i="36" s="1"/>
  <c r="H233" i="39"/>
  <c r="G216" i="13" l="1"/>
  <c r="I292" i="7"/>
  <c r="I233" i="39"/>
  <c r="AC233" i="39" s="1"/>
  <c r="R207" i="28"/>
  <c r="R575" i="7" s="1"/>
  <c r="Q207" i="28"/>
  <c r="Q575" i="7" s="1"/>
  <c r="H575" i="7"/>
  <c r="F208" i="28"/>
  <c r="O233" i="39"/>
  <c r="P233" i="39"/>
  <c r="G271" i="7" l="1"/>
  <c r="S216" i="13"/>
  <c r="R216" i="13"/>
  <c r="F217" i="13"/>
  <c r="N208" i="28"/>
  <c r="AD208" i="28"/>
  <c r="AA208" i="28"/>
  <c r="K208" i="28"/>
  <c r="M208" i="28"/>
  <c r="M576" i="7" s="1"/>
  <c r="L208" i="28"/>
  <c r="L576" i="7" s="1"/>
  <c r="F576" i="7"/>
  <c r="S576" i="7" s="1"/>
  <c r="AG208" i="28"/>
  <c r="F234" i="39"/>
  <c r="Z234" i="39"/>
  <c r="E234" i="36"/>
  <c r="C235" i="36"/>
  <c r="F272" i="7" l="1"/>
  <c r="R272" i="7" s="1"/>
  <c r="P271" i="7"/>
  <c r="Q271" i="7"/>
  <c r="M217" i="13"/>
  <c r="L272" i="7" s="1"/>
  <c r="Y217" i="13"/>
  <c r="V217" i="13"/>
  <c r="K217" i="13"/>
  <c r="J272" i="7" s="1"/>
  <c r="AB217" i="13"/>
  <c r="L217" i="13"/>
  <c r="K272" i="7" s="1"/>
  <c r="N217" i="13"/>
  <c r="M272" i="7" s="1"/>
  <c r="I208" i="28"/>
  <c r="I576" i="7" s="1"/>
  <c r="K576" i="7"/>
  <c r="X206" i="28"/>
  <c r="N576" i="7"/>
  <c r="AE208" i="28"/>
  <c r="AH208" i="28"/>
  <c r="AF208" i="28" s="1"/>
  <c r="Z208" i="28"/>
  <c r="AB208" i="28" s="1"/>
  <c r="V234" i="39"/>
  <c r="K234" i="39"/>
  <c r="Q234" i="39"/>
  <c r="S234" i="39"/>
  <c r="T234" i="39" s="1"/>
  <c r="L234" i="39"/>
  <c r="J234" i="39"/>
  <c r="Y234" i="39"/>
  <c r="X234" i="39" s="1"/>
  <c r="H217" i="13" l="1"/>
  <c r="H272" i="7" s="1"/>
  <c r="U217" i="13"/>
  <c r="AC217" i="13"/>
  <c r="AA217" i="13" s="1"/>
  <c r="Z217" i="13"/>
  <c r="E208" i="10"/>
  <c r="I238" i="13"/>
  <c r="I293" i="7" s="1"/>
  <c r="AC208" i="28"/>
  <c r="J208" i="28"/>
  <c r="U234" i="39"/>
  <c r="G234" i="39" s="1"/>
  <c r="D235" i="36" s="1"/>
  <c r="H234" i="39"/>
  <c r="J217" i="13" l="1"/>
  <c r="W217" i="13"/>
  <c r="X217" i="13"/>
  <c r="G217" i="13"/>
  <c r="G272" i="7" s="1"/>
  <c r="I234" i="39"/>
  <c r="AC234" i="39" s="1"/>
  <c r="H208" i="28"/>
  <c r="J576" i="7"/>
  <c r="O234" i="39"/>
  <c r="P234" i="39"/>
  <c r="P272" i="7" l="1"/>
  <c r="Q272" i="7"/>
  <c r="R217" i="13"/>
  <c r="F218" i="13"/>
  <c r="F273" i="7" s="1"/>
  <c r="R273" i="7" s="1"/>
  <c r="S217" i="13"/>
  <c r="Q208" i="28"/>
  <c r="Q576" i="7" s="1"/>
  <c r="H576" i="7"/>
  <c r="F209" i="28"/>
  <c r="R208" i="28"/>
  <c r="R576" i="7" s="1"/>
  <c r="F235" i="39"/>
  <c r="Z235" i="39"/>
  <c r="C236" i="36"/>
  <c r="E235" i="36"/>
  <c r="K218" i="13" l="1"/>
  <c r="J273" i="7" s="1"/>
  <c r="M218" i="13"/>
  <c r="L273" i="7" s="1"/>
  <c r="N218" i="13"/>
  <c r="V218" i="13"/>
  <c r="L218" i="13"/>
  <c r="K273" i="7" s="1"/>
  <c r="Y218" i="13"/>
  <c r="AB218" i="13"/>
  <c r="N209" i="28"/>
  <c r="N577" i="7" s="1"/>
  <c r="AD209" i="28"/>
  <c r="L209" i="28"/>
  <c r="L577" i="7" s="1"/>
  <c r="K209" i="28"/>
  <c r="K577" i="7" s="1"/>
  <c r="AG209" i="28"/>
  <c r="AA209" i="28"/>
  <c r="M209" i="28"/>
  <c r="M577" i="7" s="1"/>
  <c r="F577" i="7"/>
  <c r="S577" i="7" s="1"/>
  <c r="J235" i="39"/>
  <c r="K235" i="39"/>
  <c r="Q235" i="39"/>
  <c r="V235" i="39"/>
  <c r="S235" i="39"/>
  <c r="T235" i="39" s="1"/>
  <c r="L235" i="39"/>
  <c r="Y235" i="39"/>
  <c r="X235" i="39" s="1"/>
  <c r="H218" i="13" l="1"/>
  <c r="H273" i="7" s="1"/>
  <c r="E209" i="10"/>
  <c r="Z218" i="13"/>
  <c r="AC218" i="13"/>
  <c r="AA218" i="13" s="1"/>
  <c r="U218" i="13"/>
  <c r="W218" i="13" s="1"/>
  <c r="M273" i="7"/>
  <c r="I239" i="13"/>
  <c r="I294" i="7" s="1"/>
  <c r="I209" i="28"/>
  <c r="I577" i="7" s="1"/>
  <c r="Z209" i="28"/>
  <c r="AB209" i="28" s="1"/>
  <c r="AE209" i="28"/>
  <c r="AC209" i="28" s="1"/>
  <c r="AH209" i="28"/>
  <c r="AF209" i="28" s="1"/>
  <c r="X207" i="28"/>
  <c r="H235" i="39"/>
  <c r="U235" i="39"/>
  <c r="G235" i="39" s="1"/>
  <c r="D236" i="36" s="1"/>
  <c r="J218" i="13" l="1"/>
  <c r="G218" i="13" s="1"/>
  <c r="G273" i="7" s="1"/>
  <c r="X218" i="13"/>
  <c r="I235" i="39"/>
  <c r="AC235" i="39" s="1"/>
  <c r="J209" i="28"/>
  <c r="H209" i="28" s="1"/>
  <c r="O235" i="39"/>
  <c r="P235" i="39"/>
  <c r="Q273" i="7" l="1"/>
  <c r="P273" i="7"/>
  <c r="F219" i="13"/>
  <c r="R218" i="13"/>
  <c r="S218" i="13"/>
  <c r="J577" i="7"/>
  <c r="H577" i="7"/>
  <c r="R209" i="28"/>
  <c r="R577" i="7" s="1"/>
  <c r="F210" i="28"/>
  <c r="Q209" i="28"/>
  <c r="Q577" i="7" s="1"/>
  <c r="F236" i="39"/>
  <c r="Z236" i="39"/>
  <c r="C237" i="36"/>
  <c r="E236" i="36"/>
  <c r="AB219" i="13" l="1"/>
  <c r="K219" i="13"/>
  <c r="J274" i="7" s="1"/>
  <c r="M219" i="13"/>
  <c r="L274" i="7" s="1"/>
  <c r="N219" i="13"/>
  <c r="V219" i="13"/>
  <c r="L219" i="13"/>
  <c r="K274" i="7" s="1"/>
  <c r="Y219" i="13"/>
  <c r="H219" i="13" s="1"/>
  <c r="H274" i="7" s="1"/>
  <c r="F274" i="7"/>
  <c r="R274" i="7" s="1"/>
  <c r="K210" i="28"/>
  <c r="L210" i="28"/>
  <c r="L578" i="7" s="1"/>
  <c r="AA210" i="28"/>
  <c r="AD210" i="28"/>
  <c r="M210" i="28"/>
  <c r="M578" i="7" s="1"/>
  <c r="F578" i="7"/>
  <c r="S578" i="7" s="1"/>
  <c r="N210" i="28"/>
  <c r="AG210" i="28"/>
  <c r="J236" i="39"/>
  <c r="V236" i="39"/>
  <c r="Q236" i="39"/>
  <c r="K236" i="39"/>
  <c r="L236" i="39"/>
  <c r="Y236" i="39"/>
  <c r="X236" i="39" s="1"/>
  <c r="S236" i="39"/>
  <c r="T236" i="39" s="1"/>
  <c r="E210" i="10" l="1"/>
  <c r="Z219" i="13"/>
  <c r="AC219" i="13"/>
  <c r="AA219" i="13" s="1"/>
  <c r="U219" i="13"/>
  <c r="W219" i="13" s="1"/>
  <c r="M274" i="7"/>
  <c r="I240" i="13"/>
  <c r="I210" i="28"/>
  <c r="I578" i="7" s="1"/>
  <c r="AH210" i="28"/>
  <c r="AF210" i="28" s="1"/>
  <c r="N578" i="7"/>
  <c r="AE210" i="28"/>
  <c r="Z210" i="28"/>
  <c r="AB210" i="28" s="1"/>
  <c r="X208" i="28"/>
  <c r="K578" i="7"/>
  <c r="U236" i="39"/>
  <c r="G236" i="39" s="1"/>
  <c r="D237" i="36" s="1"/>
  <c r="H236" i="39"/>
  <c r="J219" i="13" l="1"/>
  <c r="G219" i="13" s="1"/>
  <c r="G274" i="7" s="1"/>
  <c r="X219" i="13"/>
  <c r="I295" i="7"/>
  <c r="I236" i="39"/>
  <c r="AC236" i="39" s="1"/>
  <c r="AC210" i="28"/>
  <c r="J210" i="28"/>
  <c r="O236" i="39"/>
  <c r="P236" i="39"/>
  <c r="P274" i="7" l="1"/>
  <c r="Q274" i="7"/>
  <c r="S219" i="13"/>
  <c r="R219" i="13"/>
  <c r="F220" i="13"/>
  <c r="F275" i="7" s="1"/>
  <c r="R275" i="7" s="1"/>
  <c r="J578" i="7"/>
  <c r="H210" i="28"/>
  <c r="Z237" i="39"/>
  <c r="F237" i="39"/>
  <c r="C238" i="36"/>
  <c r="E237" i="36"/>
  <c r="L220" i="13" l="1"/>
  <c r="K275" i="7" s="1"/>
  <c r="Y220" i="13"/>
  <c r="N220" i="13"/>
  <c r="M275" i="7" s="1"/>
  <c r="AB220" i="13"/>
  <c r="V220" i="13"/>
  <c r="K220" i="13"/>
  <c r="J275" i="7" s="1"/>
  <c r="M220" i="13"/>
  <c r="L275" i="7" s="1"/>
  <c r="Q210" i="28"/>
  <c r="Q578" i="7" s="1"/>
  <c r="R210" i="28"/>
  <c r="R578" i="7" s="1"/>
  <c r="H578" i="7"/>
  <c r="F211" i="28"/>
  <c r="S237" i="39"/>
  <c r="T237" i="39" s="1"/>
  <c r="Y237" i="39"/>
  <c r="X237" i="39" s="1"/>
  <c r="V237" i="39"/>
  <c r="L237" i="39"/>
  <c r="Q237" i="39"/>
  <c r="K237" i="39"/>
  <c r="J237" i="39"/>
  <c r="H220" i="13" l="1"/>
  <c r="H275" i="7" s="1"/>
  <c r="E211" i="10"/>
  <c r="Z220" i="13"/>
  <c r="U220" i="13"/>
  <c r="W220" i="13" s="1"/>
  <c r="AC220" i="13"/>
  <c r="I241" i="13"/>
  <c r="M211" i="28"/>
  <c r="M579" i="7" s="1"/>
  <c r="AG211" i="28"/>
  <c r="N211" i="28"/>
  <c r="F579" i="7"/>
  <c r="S579" i="7" s="1"/>
  <c r="L211" i="28"/>
  <c r="L579" i="7" s="1"/>
  <c r="AA211" i="28"/>
  <c r="AD211" i="28"/>
  <c r="K211" i="28"/>
  <c r="H237" i="39"/>
  <c r="U237" i="39"/>
  <c r="G237" i="39" s="1"/>
  <c r="D238" i="36" s="1"/>
  <c r="J220" i="13" l="1"/>
  <c r="X220" i="13"/>
  <c r="AA220" i="13"/>
  <c r="I296" i="7"/>
  <c r="I237" i="39"/>
  <c r="AC237" i="39" s="1"/>
  <c r="X209" i="28"/>
  <c r="K579" i="7"/>
  <c r="N579" i="7"/>
  <c r="AE211" i="28"/>
  <c r="Z211" i="28"/>
  <c r="AB211" i="28" s="1"/>
  <c r="AH211" i="28"/>
  <c r="AF211" i="28" s="1"/>
  <c r="I211" i="28"/>
  <c r="I579" i="7" s="1"/>
  <c r="O237" i="39"/>
  <c r="P237" i="39"/>
  <c r="G220" i="13" l="1"/>
  <c r="G275" i="7" s="1"/>
  <c r="AC211" i="28"/>
  <c r="J211" i="28"/>
  <c r="F238" i="39"/>
  <c r="Z238" i="39"/>
  <c r="C239" i="36"/>
  <c r="E238" i="36"/>
  <c r="Q275" i="7" l="1"/>
  <c r="P275" i="7"/>
  <c r="S220" i="13"/>
  <c r="R220" i="13"/>
  <c r="F221" i="13"/>
  <c r="F276" i="7" s="1"/>
  <c r="R276" i="7" s="1"/>
  <c r="I242" i="13"/>
  <c r="J579" i="7"/>
  <c r="H211" i="28"/>
  <c r="Q238" i="39"/>
  <c r="V238" i="39"/>
  <c r="S238" i="39"/>
  <c r="T238" i="39" s="1"/>
  <c r="K238" i="39"/>
  <c r="J238" i="39"/>
  <c r="L238" i="39"/>
  <c r="Y238" i="39"/>
  <c r="X238" i="39" s="1"/>
  <c r="Y221" i="13" l="1"/>
  <c r="AB221" i="13"/>
  <c r="V221" i="13"/>
  <c r="L221" i="13"/>
  <c r="K276" i="7" s="1"/>
  <c r="M221" i="13"/>
  <c r="L276" i="7" s="1"/>
  <c r="N221" i="13"/>
  <c r="M276" i="7" s="1"/>
  <c r="K221" i="13"/>
  <c r="J276" i="7" s="1"/>
  <c r="I297" i="7"/>
  <c r="F212" i="28"/>
  <c r="R211" i="28"/>
  <c r="R579" i="7" s="1"/>
  <c r="Q211" i="28"/>
  <c r="Q579" i="7" s="1"/>
  <c r="H579" i="7"/>
  <c r="H238" i="39"/>
  <c r="U238" i="39"/>
  <c r="G238" i="39" s="1"/>
  <c r="D239" i="36" s="1"/>
  <c r="H221" i="13" l="1"/>
  <c r="H276" i="7" s="1"/>
  <c r="U221" i="13"/>
  <c r="E212" i="10"/>
  <c r="Z221" i="13"/>
  <c r="X221" i="13" s="1"/>
  <c r="AC221" i="13"/>
  <c r="I238" i="39"/>
  <c r="AC238" i="39" s="1"/>
  <c r="N212" i="28"/>
  <c r="AD212" i="28"/>
  <c r="K212" i="28"/>
  <c r="AA212" i="28"/>
  <c r="AG212" i="28"/>
  <c r="F580" i="7"/>
  <c r="S580" i="7" s="1"/>
  <c r="L212" i="28"/>
  <c r="L580" i="7" s="1"/>
  <c r="M212" i="28"/>
  <c r="M580" i="7" s="1"/>
  <c r="O238" i="39"/>
  <c r="P238" i="39"/>
  <c r="W221" i="13" l="1"/>
  <c r="J221" i="13"/>
  <c r="G221" i="13" s="1"/>
  <c r="AA221" i="13"/>
  <c r="I212" i="28"/>
  <c r="I580" i="7" s="1"/>
  <c r="X210" i="28"/>
  <c r="K580" i="7"/>
  <c r="AH212" i="28"/>
  <c r="AF212" i="28" s="1"/>
  <c r="N580" i="7"/>
  <c r="AE212" i="28"/>
  <c r="Z212" i="28"/>
  <c r="AB212" i="28" s="1"/>
  <c r="Z239" i="39"/>
  <c r="F239" i="39"/>
  <c r="E239" i="36"/>
  <c r="C240" i="36"/>
  <c r="R221" i="13" l="1"/>
  <c r="G276" i="7"/>
  <c r="S221" i="13"/>
  <c r="F222" i="13"/>
  <c r="F277" i="7" s="1"/>
  <c r="R277" i="7" s="1"/>
  <c r="I243" i="13"/>
  <c r="I298" i="7" s="1"/>
  <c r="AC212" i="28"/>
  <c r="J212" i="28"/>
  <c r="J239" i="39"/>
  <c r="L239" i="39"/>
  <c r="S239" i="39"/>
  <c r="T239" i="39" s="1"/>
  <c r="V239" i="39"/>
  <c r="K239" i="39"/>
  <c r="Y239" i="39"/>
  <c r="X239" i="39" s="1"/>
  <c r="Q239" i="39"/>
  <c r="AB222" i="13" l="1"/>
  <c r="P276" i="7"/>
  <c r="Q276" i="7"/>
  <c r="K222" i="13"/>
  <c r="J277" i="7" s="1"/>
  <c r="V222" i="13"/>
  <c r="L222" i="13"/>
  <c r="K277" i="7" s="1"/>
  <c r="N222" i="13"/>
  <c r="M277" i="7" s="1"/>
  <c r="Y222" i="13"/>
  <c r="M222" i="13"/>
  <c r="L277" i="7" s="1"/>
  <c r="H212" i="28"/>
  <c r="J580" i="7"/>
  <c r="H239" i="39"/>
  <c r="U239" i="39"/>
  <c r="G239" i="39" s="1"/>
  <c r="D240" i="36" s="1"/>
  <c r="H222" i="13" l="1"/>
  <c r="H277" i="7" s="1"/>
  <c r="U222" i="13"/>
  <c r="W222" i="13" s="1"/>
  <c r="AC222" i="13"/>
  <c r="Z222" i="13"/>
  <c r="X222" i="13" s="1"/>
  <c r="I239" i="39"/>
  <c r="AC239" i="39" s="1"/>
  <c r="F213" i="28"/>
  <c r="H580" i="7"/>
  <c r="R212" i="28"/>
  <c r="R580" i="7" s="1"/>
  <c r="Q212" i="28"/>
  <c r="Q580" i="7" s="1"/>
  <c r="O239" i="39"/>
  <c r="P239" i="39"/>
  <c r="J222" i="13" l="1"/>
  <c r="G222" i="13" s="1"/>
  <c r="G277" i="7" s="1"/>
  <c r="Q277" i="7" s="1"/>
  <c r="AA222" i="13"/>
  <c r="I244" i="13"/>
  <c r="I299" i="7" s="1"/>
  <c r="F581" i="7"/>
  <c r="S581" i="7" s="1"/>
  <c r="AA213" i="28"/>
  <c r="L213" i="28"/>
  <c r="L581" i="7" s="1"/>
  <c r="M213" i="28"/>
  <c r="M581" i="7" s="1"/>
  <c r="N213" i="28"/>
  <c r="K213" i="28"/>
  <c r="AD213" i="28"/>
  <c r="AG213" i="28"/>
  <c r="F240" i="39"/>
  <c r="Z240" i="39"/>
  <c r="E240" i="36"/>
  <c r="C241" i="36"/>
  <c r="S222" i="13" l="1"/>
  <c r="R222" i="13"/>
  <c r="F223" i="13"/>
  <c r="K581" i="7"/>
  <c r="X211" i="28"/>
  <c r="Z213" i="28"/>
  <c r="AB213" i="28" s="1"/>
  <c r="AE213" i="28"/>
  <c r="AH213" i="28"/>
  <c r="AF213" i="28" s="1"/>
  <c r="N581" i="7"/>
  <c r="I213" i="28"/>
  <c r="I581" i="7" s="1"/>
  <c r="Q240" i="39"/>
  <c r="Y240" i="39"/>
  <c r="X240" i="39" s="1"/>
  <c r="V240" i="39"/>
  <c r="K240" i="39"/>
  <c r="S240" i="39"/>
  <c r="T240" i="39" s="1"/>
  <c r="L240" i="39"/>
  <c r="J240" i="39"/>
  <c r="Y223" i="13" l="1"/>
  <c r="N223" i="13"/>
  <c r="M278" i="7" s="1"/>
  <c r="L223" i="13"/>
  <c r="K278" i="7" s="1"/>
  <c r="AB223" i="13"/>
  <c r="H223" i="13" s="1"/>
  <c r="H278" i="7" s="1"/>
  <c r="V223" i="13"/>
  <c r="M223" i="13"/>
  <c r="L278" i="7" s="1"/>
  <c r="K223" i="13"/>
  <c r="J278" i="7" s="1"/>
  <c r="F278" i="7"/>
  <c r="R278" i="7" s="1"/>
  <c r="AC213" i="28"/>
  <c r="J213" i="28"/>
  <c r="U240" i="39"/>
  <c r="G240" i="39" s="1"/>
  <c r="D241" i="36" s="1"/>
  <c r="H240" i="39"/>
  <c r="Z223" i="13" l="1"/>
  <c r="X223" i="13" s="1"/>
  <c r="AC223" i="13"/>
  <c r="U223" i="13"/>
  <c r="E214" i="10"/>
  <c r="I240" i="39"/>
  <c r="AC240" i="39" s="1"/>
  <c r="H213" i="28"/>
  <c r="J581" i="7"/>
  <c r="O240" i="39"/>
  <c r="P240" i="39"/>
  <c r="AA223" i="13" l="1"/>
  <c r="W223" i="13"/>
  <c r="J223" i="13"/>
  <c r="F214" i="28"/>
  <c r="Q213" i="28"/>
  <c r="Q581" i="7" s="1"/>
  <c r="R213" i="28"/>
  <c r="R581" i="7" s="1"/>
  <c r="H581" i="7"/>
  <c r="F241" i="39"/>
  <c r="Z241" i="39"/>
  <c r="E241" i="36"/>
  <c r="C242" i="36"/>
  <c r="G223" i="13" l="1"/>
  <c r="F224" i="13" s="1"/>
  <c r="F279" i="7" s="1"/>
  <c r="R279" i="7" s="1"/>
  <c r="I245" i="13"/>
  <c r="AG214" i="28"/>
  <c r="M214" i="28"/>
  <c r="M582" i="7" s="1"/>
  <c r="AA214" i="28"/>
  <c r="L214" i="28"/>
  <c r="L582" i="7" s="1"/>
  <c r="K214" i="28"/>
  <c r="N214" i="28"/>
  <c r="F582" i="7"/>
  <c r="S582" i="7" s="1"/>
  <c r="AD214" i="28"/>
  <c r="V241" i="39"/>
  <c r="S241" i="39"/>
  <c r="T241" i="39" s="1"/>
  <c r="L241" i="39"/>
  <c r="Q241" i="39"/>
  <c r="K241" i="39"/>
  <c r="J241" i="39"/>
  <c r="Y241" i="39"/>
  <c r="X241" i="39" s="1"/>
  <c r="R223" i="13" l="1"/>
  <c r="G278" i="7"/>
  <c r="S223" i="13"/>
  <c r="L224" i="13"/>
  <c r="K279" i="7" s="1"/>
  <c r="Y224" i="13"/>
  <c r="N224" i="13"/>
  <c r="M224" i="13"/>
  <c r="L279" i="7" s="1"/>
  <c r="AB224" i="13"/>
  <c r="V224" i="13"/>
  <c r="K224" i="13"/>
  <c r="J279" i="7" s="1"/>
  <c r="H224" i="13"/>
  <c r="H279" i="7" s="1"/>
  <c r="I300" i="7"/>
  <c r="AE214" i="28"/>
  <c r="AH214" i="28"/>
  <c r="AF214" i="28" s="1"/>
  <c r="Z214" i="28"/>
  <c r="AB214" i="28" s="1"/>
  <c r="N582" i="7"/>
  <c r="K582" i="7"/>
  <c r="X212" i="28"/>
  <c r="I214" i="28"/>
  <c r="I582" i="7" s="1"/>
  <c r="U241" i="39"/>
  <c r="G241" i="39" s="1"/>
  <c r="D242" i="36" s="1"/>
  <c r="H241" i="39"/>
  <c r="P278" i="7" l="1"/>
  <c r="Q278" i="7"/>
  <c r="M279" i="7"/>
  <c r="U224" i="13"/>
  <c r="AC224" i="13"/>
  <c r="Z224" i="13"/>
  <c r="E215" i="10"/>
  <c r="I241" i="39"/>
  <c r="AC241" i="39" s="1"/>
  <c r="AC214" i="28"/>
  <c r="J214" i="28"/>
  <c r="O241" i="39"/>
  <c r="P241" i="39"/>
  <c r="J224" i="13" l="1"/>
  <c r="W224" i="13"/>
  <c r="AA224" i="13"/>
  <c r="X224" i="13"/>
  <c r="I246" i="13"/>
  <c r="I301" i="7" s="1"/>
  <c r="H214" i="28"/>
  <c r="J582" i="7"/>
  <c r="F242" i="39"/>
  <c r="Z242" i="39"/>
  <c r="C243" i="36"/>
  <c r="E242" i="36"/>
  <c r="G224" i="13" l="1"/>
  <c r="S224" i="13"/>
  <c r="R224" i="13"/>
  <c r="F215" i="28"/>
  <c r="Q214" i="28"/>
  <c r="Q582" i="7" s="1"/>
  <c r="H582" i="7"/>
  <c r="R214" i="28"/>
  <c r="R582" i="7" s="1"/>
  <c r="L242" i="39"/>
  <c r="Y242" i="39"/>
  <c r="X242" i="39" s="1"/>
  <c r="Q242" i="39"/>
  <c r="K242" i="39"/>
  <c r="J242" i="39"/>
  <c r="S242" i="39"/>
  <c r="T242" i="39" s="1"/>
  <c r="V242" i="39"/>
  <c r="G279" i="7" l="1"/>
  <c r="F225" i="13"/>
  <c r="P279" i="7"/>
  <c r="F280" i="7"/>
  <c r="R280" i="7" s="1"/>
  <c r="Q279" i="7"/>
  <c r="K225" i="13"/>
  <c r="J280" i="7" s="1"/>
  <c r="F583" i="7"/>
  <c r="S583" i="7" s="1"/>
  <c r="K215" i="28"/>
  <c r="AG215" i="28"/>
  <c r="AA215" i="28"/>
  <c r="L215" i="28"/>
  <c r="L583" i="7" s="1"/>
  <c r="N215" i="28"/>
  <c r="M215" i="28"/>
  <c r="M583" i="7" s="1"/>
  <c r="AD215" i="28"/>
  <c r="U242" i="39"/>
  <c r="G242" i="39" s="1"/>
  <c r="D243" i="36" s="1"/>
  <c r="H242" i="39"/>
  <c r="N225" i="13" l="1"/>
  <c r="V225" i="13"/>
  <c r="AB225" i="13"/>
  <c r="H225" i="13" s="1"/>
  <c r="H280" i="7" s="1"/>
  <c r="L225" i="13"/>
  <c r="K280" i="7" s="1"/>
  <c r="M225" i="13"/>
  <c r="L280" i="7" s="1"/>
  <c r="Y225" i="13"/>
  <c r="M280" i="7"/>
  <c r="U225" i="13"/>
  <c r="AC225" i="13"/>
  <c r="E216" i="10"/>
  <c r="Z225" i="13"/>
  <c r="I242" i="39"/>
  <c r="AC242" i="39" s="1"/>
  <c r="N583" i="7"/>
  <c r="AE215" i="28"/>
  <c r="Z215" i="28"/>
  <c r="AB215" i="28" s="1"/>
  <c r="AH215" i="28"/>
  <c r="AF215" i="28" s="1"/>
  <c r="I215" i="28"/>
  <c r="I583" i="7" s="1"/>
  <c r="K583" i="7"/>
  <c r="X213" i="28"/>
  <c r="O242" i="39"/>
  <c r="P242" i="39"/>
  <c r="W225" i="13" l="1"/>
  <c r="AA225" i="13"/>
  <c r="J225" i="13"/>
  <c r="X225" i="13"/>
  <c r="AC215" i="28"/>
  <c r="J215" i="28"/>
  <c r="F243" i="39"/>
  <c r="Z243" i="39"/>
  <c r="C244" i="36"/>
  <c r="E243" i="36"/>
  <c r="G225" i="13" l="1"/>
  <c r="G280" i="7" s="1"/>
  <c r="I247" i="13"/>
  <c r="I302" i="7" s="1"/>
  <c r="H215" i="28"/>
  <c r="J583" i="7"/>
  <c r="L243" i="39"/>
  <c r="Y243" i="39"/>
  <c r="X243" i="39" s="1"/>
  <c r="V243" i="39"/>
  <c r="Q243" i="39"/>
  <c r="S243" i="39"/>
  <c r="T243" i="39" s="1"/>
  <c r="K243" i="39"/>
  <c r="J243" i="39"/>
  <c r="R225" i="13" l="1"/>
  <c r="F226" i="13"/>
  <c r="F281" i="7" s="1"/>
  <c r="R281" i="7" s="1"/>
  <c r="Q280" i="7"/>
  <c r="S225" i="13"/>
  <c r="P280" i="7"/>
  <c r="R215" i="28"/>
  <c r="R583" i="7" s="1"/>
  <c r="F216" i="28"/>
  <c r="Q215" i="28"/>
  <c r="Q583" i="7" s="1"/>
  <c r="H583" i="7"/>
  <c r="H243" i="39"/>
  <c r="U243" i="39"/>
  <c r="G243" i="39" s="1"/>
  <c r="D244" i="36" s="1"/>
  <c r="V226" i="13" l="1"/>
  <c r="K226" i="13"/>
  <c r="J281" i="7" s="1"/>
  <c r="M226" i="13"/>
  <c r="L281" i="7" s="1"/>
  <c r="L226" i="13"/>
  <c r="K281" i="7" s="1"/>
  <c r="Y226" i="13"/>
  <c r="AB226" i="13"/>
  <c r="N226" i="13"/>
  <c r="M281" i="7" s="1"/>
  <c r="I243" i="39"/>
  <c r="AC243" i="39" s="1"/>
  <c r="K216" i="28"/>
  <c r="K584" i="7" s="1"/>
  <c r="M216" i="28"/>
  <c r="M584" i="7" s="1"/>
  <c r="N216" i="28"/>
  <c r="Z216" i="28" s="1"/>
  <c r="F584" i="7"/>
  <c r="S584" i="7" s="1"/>
  <c r="AA216" i="28"/>
  <c r="L216" i="28"/>
  <c r="L584" i="7" s="1"/>
  <c r="AG216" i="28"/>
  <c r="AD216" i="28"/>
  <c r="O243" i="39"/>
  <c r="P243" i="39"/>
  <c r="H226" i="13" l="1"/>
  <c r="H281" i="7" s="1"/>
  <c r="AC226" i="13"/>
  <c r="Z226" i="13"/>
  <c r="U226" i="13"/>
  <c r="E217" i="10"/>
  <c r="AH216" i="28"/>
  <c r="AF216" i="28" s="1"/>
  <c r="AB216" i="28"/>
  <c r="X214" i="28"/>
  <c r="I216" i="28"/>
  <c r="I584" i="7" s="1"/>
  <c r="AE216" i="28"/>
  <c r="N584" i="7"/>
  <c r="F244" i="39"/>
  <c r="Z244" i="39"/>
  <c r="C245" i="36"/>
  <c r="E244" i="36"/>
  <c r="J226" i="13" l="1"/>
  <c r="X226" i="13"/>
  <c r="W226" i="13"/>
  <c r="AA226" i="13"/>
  <c r="I248" i="13"/>
  <c r="I303" i="7" s="1"/>
  <c r="AC216" i="28"/>
  <c r="J216" i="28"/>
  <c r="V244" i="39"/>
  <c r="Y244" i="39"/>
  <c r="X244" i="39" s="1"/>
  <c r="L244" i="39"/>
  <c r="K244" i="39"/>
  <c r="J244" i="39"/>
  <c r="S244" i="39"/>
  <c r="T244" i="39" s="1"/>
  <c r="Q244" i="39"/>
  <c r="G226" i="13" l="1"/>
  <c r="G281" i="7" s="1"/>
  <c r="H216" i="28"/>
  <c r="J584" i="7"/>
  <c r="H244" i="39"/>
  <c r="U244" i="39"/>
  <c r="G244" i="39" s="1"/>
  <c r="D245" i="36" s="1"/>
  <c r="F227" i="13" l="1"/>
  <c r="F282" i="7" s="1"/>
  <c r="R282" i="7" s="1"/>
  <c r="Q281" i="7"/>
  <c r="P281" i="7"/>
  <c r="S226" i="13"/>
  <c r="R226" i="13"/>
  <c r="I244" i="39"/>
  <c r="AC244" i="39" s="1"/>
  <c r="Q216" i="28"/>
  <c r="Q584" i="7" s="1"/>
  <c r="F217" i="28"/>
  <c r="H584" i="7"/>
  <c r="R216" i="28"/>
  <c r="R584" i="7" s="1"/>
  <c r="O244" i="39"/>
  <c r="P244" i="39"/>
  <c r="N227" i="13" l="1"/>
  <c r="M282" i="7" s="1"/>
  <c r="Y227" i="13"/>
  <c r="M227" i="13"/>
  <c r="L282" i="7" s="1"/>
  <c r="L227" i="13"/>
  <c r="K282" i="7" s="1"/>
  <c r="V227" i="13"/>
  <c r="K227" i="13"/>
  <c r="J282" i="7" s="1"/>
  <c r="AB227" i="13"/>
  <c r="N217" i="28"/>
  <c r="N585" i="7" s="1"/>
  <c r="K217" i="28"/>
  <c r="K585" i="7" s="1"/>
  <c r="AG217" i="28"/>
  <c r="AD217" i="28"/>
  <c r="F585" i="7"/>
  <c r="S585" i="7" s="1"/>
  <c r="L217" i="28"/>
  <c r="L585" i="7" s="1"/>
  <c r="AA217" i="28"/>
  <c r="M217" i="28"/>
  <c r="M585" i="7" s="1"/>
  <c r="Z245" i="39"/>
  <c r="F245" i="39"/>
  <c r="E245" i="36"/>
  <c r="C246" i="36"/>
  <c r="H227" i="13" l="1"/>
  <c r="H282" i="7" s="1"/>
  <c r="U227" i="13"/>
  <c r="Z227" i="13"/>
  <c r="AC227" i="13"/>
  <c r="E218" i="10"/>
  <c r="I249" i="13"/>
  <c r="AE217" i="28"/>
  <c r="AC217" i="28" s="1"/>
  <c r="Z217" i="28"/>
  <c r="AB217" i="28" s="1"/>
  <c r="AH217" i="28"/>
  <c r="AF217" i="28" s="1"/>
  <c r="I217" i="28"/>
  <c r="I585" i="7" s="1"/>
  <c r="X215" i="28"/>
  <c r="Y245" i="39"/>
  <c r="X245" i="39" s="1"/>
  <c r="J245" i="39"/>
  <c r="L245" i="39"/>
  <c r="V245" i="39"/>
  <c r="K245" i="39"/>
  <c r="Q245" i="39"/>
  <c r="S245" i="39"/>
  <c r="T245" i="39" s="1"/>
  <c r="W227" i="13" l="1"/>
  <c r="J227" i="13"/>
  <c r="X227" i="13"/>
  <c r="AA227" i="13"/>
  <c r="I304" i="7"/>
  <c r="J217" i="28"/>
  <c r="H217" i="28" s="1"/>
  <c r="U245" i="39"/>
  <c r="G245" i="39" s="1"/>
  <c r="D246" i="36" s="1"/>
  <c r="H245" i="39"/>
  <c r="G227" i="13" l="1"/>
  <c r="G282" i="7" s="1"/>
  <c r="I245" i="39"/>
  <c r="AC245" i="39" s="1"/>
  <c r="J585" i="7"/>
  <c r="R217" i="28"/>
  <c r="R585" i="7" s="1"/>
  <c r="F218" i="28"/>
  <c r="H585" i="7"/>
  <c r="Q217" i="28"/>
  <c r="Q585" i="7" s="1"/>
  <c r="O245" i="39"/>
  <c r="P245" i="39"/>
  <c r="P282" i="7" l="1"/>
  <c r="Q282" i="7"/>
  <c r="F228" i="13"/>
  <c r="F283" i="7" s="1"/>
  <c r="R283" i="7" s="1"/>
  <c r="S227" i="13"/>
  <c r="R227" i="13"/>
  <c r="K218" i="28"/>
  <c r="L218" i="28"/>
  <c r="L586" i="7" s="1"/>
  <c r="AA218" i="28"/>
  <c r="F586" i="7"/>
  <c r="S586" i="7" s="1"/>
  <c r="M218" i="28"/>
  <c r="M586" i="7" s="1"/>
  <c r="N218" i="28"/>
  <c r="AD218" i="28"/>
  <c r="AG218" i="28"/>
  <c r="F246" i="39"/>
  <c r="Z246" i="39"/>
  <c r="C247" i="36"/>
  <c r="E246" i="36"/>
  <c r="N228" i="13" l="1"/>
  <c r="M283" i="7" s="1"/>
  <c r="Y228" i="13"/>
  <c r="K228" i="13"/>
  <c r="J283" i="7" s="1"/>
  <c r="AB228" i="13"/>
  <c r="L228" i="13"/>
  <c r="K283" i="7" s="1"/>
  <c r="M228" i="13"/>
  <c r="L283" i="7" s="1"/>
  <c r="V228" i="13"/>
  <c r="I250" i="13"/>
  <c r="I305" i="7" s="1"/>
  <c r="I218" i="28"/>
  <c r="I586" i="7" s="1"/>
  <c r="AH218" i="28"/>
  <c r="AF218" i="28" s="1"/>
  <c r="Z218" i="28"/>
  <c r="AB218" i="28" s="1"/>
  <c r="AE218" i="28"/>
  <c r="N586" i="7"/>
  <c r="K586" i="7"/>
  <c r="X216" i="28"/>
  <c r="L246" i="39"/>
  <c r="Q246" i="39"/>
  <c r="J246" i="39"/>
  <c r="S246" i="39"/>
  <c r="T246" i="39" s="1"/>
  <c r="K246" i="39"/>
  <c r="V246" i="39"/>
  <c r="Y246" i="39"/>
  <c r="X246" i="39" s="1"/>
  <c r="H228" i="13" l="1"/>
  <c r="H283" i="7" s="1"/>
  <c r="U228" i="13"/>
  <c r="AC228" i="13"/>
  <c r="AA228" i="13" s="1"/>
  <c r="Z228" i="13"/>
  <c r="X228" i="13" s="1"/>
  <c r="AC218" i="28"/>
  <c r="J218" i="28"/>
  <c r="U246" i="39"/>
  <c r="G246" i="39" s="1"/>
  <c r="D247" i="36" s="1"/>
  <c r="H246" i="39"/>
  <c r="W228" i="13" l="1"/>
  <c r="J228" i="13"/>
  <c r="I246" i="39"/>
  <c r="AC246" i="39" s="1"/>
  <c r="J586" i="7"/>
  <c r="H218" i="28"/>
  <c r="O246" i="39"/>
  <c r="P246" i="39"/>
  <c r="G228" i="13" l="1"/>
  <c r="G283" i="7" s="1"/>
  <c r="Q283" i="7" s="1"/>
  <c r="Q218" i="28"/>
  <c r="Q586" i="7" s="1"/>
  <c r="H586" i="7"/>
  <c r="R218" i="28"/>
  <c r="R586" i="7" s="1"/>
  <c r="F219" i="28"/>
  <c r="Z247" i="39"/>
  <c r="F247" i="39"/>
  <c r="E247" i="36"/>
  <c r="C248" i="36"/>
  <c r="R228" i="13" l="1"/>
  <c r="S228" i="13"/>
  <c r="F229" i="13"/>
  <c r="F284" i="7" s="1"/>
  <c r="R284" i="7" s="1"/>
  <c r="I251" i="13"/>
  <c r="I306" i="7" s="1"/>
  <c r="N219" i="28"/>
  <c r="AG219" i="28"/>
  <c r="AD219" i="28"/>
  <c r="M219" i="28"/>
  <c r="M587" i="7" s="1"/>
  <c r="L219" i="28"/>
  <c r="L587" i="7" s="1"/>
  <c r="K219" i="28"/>
  <c r="AA219" i="28"/>
  <c r="F587" i="7"/>
  <c r="S587" i="7" s="1"/>
  <c r="K247" i="39"/>
  <c r="V247" i="39"/>
  <c r="J247" i="39"/>
  <c r="Y247" i="39"/>
  <c r="X247" i="39" s="1"/>
  <c r="L247" i="39"/>
  <c r="S247" i="39"/>
  <c r="T247" i="39" s="1"/>
  <c r="Q247" i="39"/>
  <c r="N229" i="13" l="1"/>
  <c r="M284" i="7" s="1"/>
  <c r="V229" i="13"/>
  <c r="Y229" i="13"/>
  <c r="H229" i="13" s="1"/>
  <c r="H284" i="7" s="1"/>
  <c r="K229" i="13"/>
  <c r="J284" i="7" s="1"/>
  <c r="L229" i="13"/>
  <c r="K284" i="7" s="1"/>
  <c r="AB229" i="13"/>
  <c r="M229" i="13"/>
  <c r="L284" i="7" s="1"/>
  <c r="I219" i="28"/>
  <c r="I587" i="7" s="1"/>
  <c r="K587" i="7"/>
  <c r="X217" i="28"/>
  <c r="N587" i="7"/>
  <c r="Z219" i="28"/>
  <c r="AB219" i="28" s="1"/>
  <c r="AE219" i="28"/>
  <c r="AH219" i="28"/>
  <c r="AF219" i="28" s="1"/>
  <c r="U247" i="39"/>
  <c r="G247" i="39" s="1"/>
  <c r="D248" i="36" s="1"/>
  <c r="H247" i="39"/>
  <c r="Z229" i="13" l="1"/>
  <c r="U229" i="13"/>
  <c r="E220" i="10"/>
  <c r="AC229" i="13"/>
  <c r="AA229" i="13" s="1"/>
  <c r="J229" i="13"/>
  <c r="I247" i="39"/>
  <c r="AC247" i="39" s="1"/>
  <c r="AC219" i="28"/>
  <c r="J219" i="28"/>
  <c r="O247" i="39"/>
  <c r="P247" i="39"/>
  <c r="X229" i="13" l="1"/>
  <c r="W229" i="13"/>
  <c r="G229" i="13"/>
  <c r="G284" i="7" s="1"/>
  <c r="J587" i="7"/>
  <c r="H219" i="28"/>
  <c r="F248" i="39"/>
  <c r="Z248" i="39"/>
  <c r="E248" i="36"/>
  <c r="C249" i="36"/>
  <c r="Q284" i="7" l="1"/>
  <c r="P284" i="7"/>
  <c r="S229" i="13"/>
  <c r="F230" i="13"/>
  <c r="F285" i="7" s="1"/>
  <c r="R285" i="7" s="1"/>
  <c r="R229" i="13"/>
  <c r="I252" i="13"/>
  <c r="I307" i="7" s="1"/>
  <c r="Q219" i="28"/>
  <c r="Q587" i="7" s="1"/>
  <c r="F220" i="28"/>
  <c r="H587" i="7"/>
  <c r="R219" i="28"/>
  <c r="R587" i="7" s="1"/>
  <c r="J248" i="39"/>
  <c r="Y248" i="39"/>
  <c r="X248" i="39" s="1"/>
  <c r="V248" i="39"/>
  <c r="K248" i="39"/>
  <c r="S248" i="39"/>
  <c r="T248" i="39" s="1"/>
  <c r="L248" i="39"/>
  <c r="Q248" i="39"/>
  <c r="M230" i="13" l="1"/>
  <c r="L285" i="7" s="1"/>
  <c r="Y230" i="13"/>
  <c r="V230" i="13"/>
  <c r="N230" i="13"/>
  <c r="M285" i="7" s="1"/>
  <c r="K230" i="13"/>
  <c r="J285" i="7" s="1"/>
  <c r="L230" i="13"/>
  <c r="K285" i="7" s="1"/>
  <c r="AB230" i="13"/>
  <c r="M220" i="28"/>
  <c r="M588" i="7" s="1"/>
  <c r="AA220" i="28"/>
  <c r="N220" i="28"/>
  <c r="F588" i="7"/>
  <c r="S588" i="7" s="1"/>
  <c r="AG220" i="28"/>
  <c r="L220" i="28"/>
  <c r="L588" i="7" s="1"/>
  <c r="AD220" i="28"/>
  <c r="K220" i="28"/>
  <c r="U248" i="39"/>
  <c r="G248" i="39" s="1"/>
  <c r="D249" i="36" s="1"/>
  <c r="H248" i="39"/>
  <c r="H230" i="13" l="1"/>
  <c r="H285" i="7" s="1"/>
  <c r="AC230" i="13"/>
  <c r="AA230" i="13" s="1"/>
  <c r="E221" i="10"/>
  <c r="U230" i="13"/>
  <c r="W230" i="13" s="1"/>
  <c r="Z230" i="13"/>
  <c r="J230" i="13" s="1"/>
  <c r="I248" i="39"/>
  <c r="AC248" i="39" s="1"/>
  <c r="I220" i="28"/>
  <c r="I588" i="7" s="1"/>
  <c r="N588" i="7"/>
  <c r="AH220" i="28"/>
  <c r="AF220" i="28" s="1"/>
  <c r="Z220" i="28"/>
  <c r="AB220" i="28" s="1"/>
  <c r="AE220" i="28"/>
  <c r="K588" i="7"/>
  <c r="X218" i="28"/>
  <c r="O248" i="39"/>
  <c r="P248" i="39"/>
  <c r="X230" i="13" l="1"/>
  <c r="G230" i="13" s="1"/>
  <c r="G285" i="7" s="1"/>
  <c r="AC220" i="28"/>
  <c r="J220" i="28"/>
  <c r="Z249" i="39"/>
  <c r="F249" i="39"/>
  <c r="E249" i="36"/>
  <c r="C250" i="36"/>
  <c r="P285" i="7" l="1"/>
  <c r="Q285" i="7"/>
  <c r="R230" i="13"/>
  <c r="F231" i="13"/>
  <c r="F286" i="7" s="1"/>
  <c r="R286" i="7" s="1"/>
  <c r="S230" i="13"/>
  <c r="I253" i="13"/>
  <c r="I308" i="7" s="1"/>
  <c r="J588" i="7"/>
  <c r="H220" i="28"/>
  <c r="L249" i="39"/>
  <c r="Y249" i="39"/>
  <c r="X249" i="39" s="1"/>
  <c r="V249" i="39"/>
  <c r="Q249" i="39"/>
  <c r="J249" i="39"/>
  <c r="S249" i="39"/>
  <c r="T249" i="39" s="1"/>
  <c r="K249" i="39"/>
  <c r="M231" i="13" l="1"/>
  <c r="L286" i="7" s="1"/>
  <c r="K231" i="13"/>
  <c r="J286" i="7" s="1"/>
  <c r="AB231" i="13"/>
  <c r="Y231" i="13"/>
  <c r="H231" i="13" s="1"/>
  <c r="H286" i="7" s="1"/>
  <c r="L231" i="13"/>
  <c r="K286" i="7" s="1"/>
  <c r="V231" i="13"/>
  <c r="N231" i="13"/>
  <c r="M286" i="7" s="1"/>
  <c r="Q220" i="28"/>
  <c r="Q588" i="7" s="1"/>
  <c r="H588" i="7"/>
  <c r="F221" i="28"/>
  <c r="R220" i="28"/>
  <c r="R588" i="7" s="1"/>
  <c r="U249" i="39"/>
  <c r="G249" i="39" s="1"/>
  <c r="D250" i="36" s="1"/>
  <c r="H249" i="39"/>
  <c r="Z231" i="13" l="1"/>
  <c r="U231" i="13"/>
  <c r="W231" i="13" s="1"/>
  <c r="E222" i="10"/>
  <c r="AC231" i="13"/>
  <c r="I249" i="39"/>
  <c r="AC249" i="39" s="1"/>
  <c r="AD221" i="28"/>
  <c r="M221" i="28"/>
  <c r="M589" i="7" s="1"/>
  <c r="AG221" i="28"/>
  <c r="F589" i="7"/>
  <c r="S589" i="7" s="1"/>
  <c r="K221" i="28"/>
  <c r="N221" i="28"/>
  <c r="N589" i="7" s="1"/>
  <c r="AA221" i="28"/>
  <c r="L221" i="28"/>
  <c r="L589" i="7" s="1"/>
  <c r="O249" i="39"/>
  <c r="P249" i="39"/>
  <c r="J231" i="13" l="1"/>
  <c r="X231" i="13"/>
  <c r="AA231" i="13"/>
  <c r="I254" i="13"/>
  <c r="I309" i="7" s="1"/>
  <c r="I221" i="28"/>
  <c r="I589" i="7" s="1"/>
  <c r="K589" i="7"/>
  <c r="X219" i="28"/>
  <c r="AE221" i="28"/>
  <c r="AH221" i="28"/>
  <c r="AF221" i="28" s="1"/>
  <c r="Z221" i="28"/>
  <c r="AB221" i="28" s="1"/>
  <c r="Z250" i="39"/>
  <c r="F250" i="39"/>
  <c r="C251" i="36"/>
  <c r="E250" i="36"/>
  <c r="G231" i="13" l="1"/>
  <c r="G286" i="7" s="1"/>
  <c r="J221" i="28"/>
  <c r="AC221" i="28"/>
  <c r="L250" i="39"/>
  <c r="J250" i="39"/>
  <c r="V250" i="39"/>
  <c r="K250" i="39"/>
  <c r="S250" i="39"/>
  <c r="T250" i="39" s="1"/>
  <c r="Q250" i="39"/>
  <c r="Y250" i="39"/>
  <c r="X250" i="39" s="1"/>
  <c r="P286" i="7" l="1"/>
  <c r="R231" i="13"/>
  <c r="F232" i="13"/>
  <c r="Q286" i="7"/>
  <c r="S231" i="13"/>
  <c r="H221" i="28"/>
  <c r="J589" i="7"/>
  <c r="U250" i="39"/>
  <c r="G250" i="39" s="1"/>
  <c r="D251" i="36" s="1"/>
  <c r="H250" i="39"/>
  <c r="K232" i="13" l="1"/>
  <c r="J287" i="7" s="1"/>
  <c r="Y232" i="13"/>
  <c r="V232" i="13"/>
  <c r="L232" i="13"/>
  <c r="K287" i="7" s="1"/>
  <c r="AB232" i="13"/>
  <c r="M232" i="13"/>
  <c r="L287" i="7" s="1"/>
  <c r="N232" i="13"/>
  <c r="F287" i="7"/>
  <c r="R287" i="7" s="1"/>
  <c r="I250" i="39"/>
  <c r="AC250" i="39" s="1"/>
  <c r="H589" i="7"/>
  <c r="Q221" i="28"/>
  <c r="Q589" i="7" s="1"/>
  <c r="R221" i="28"/>
  <c r="R589" i="7" s="1"/>
  <c r="F222" i="28"/>
  <c r="O250" i="39"/>
  <c r="P250" i="39"/>
  <c r="H232" i="13" l="1"/>
  <c r="H287" i="7" s="1"/>
  <c r="E223" i="10"/>
  <c r="AC232" i="13"/>
  <c r="AA232" i="13" s="1"/>
  <c r="U232" i="13"/>
  <c r="W232" i="13" s="1"/>
  <c r="Z232" i="13"/>
  <c r="M287" i="7"/>
  <c r="K222" i="28"/>
  <c r="K590" i="7" s="1"/>
  <c r="L222" i="28"/>
  <c r="L590" i="7" s="1"/>
  <c r="F590" i="7"/>
  <c r="S590" i="7" s="1"/>
  <c r="N222" i="28"/>
  <c r="N590" i="7" s="1"/>
  <c r="AG222" i="28"/>
  <c r="AD222" i="28"/>
  <c r="M222" i="28"/>
  <c r="M590" i="7" s="1"/>
  <c r="AA222" i="28"/>
  <c r="Z251" i="39"/>
  <c r="F251" i="39"/>
  <c r="C252" i="36"/>
  <c r="E251" i="36"/>
  <c r="J232" i="13" l="1"/>
  <c r="X232" i="13"/>
  <c r="I222" i="28"/>
  <c r="I590" i="7" s="1"/>
  <c r="AH222" i="28"/>
  <c r="AF222" i="28" s="1"/>
  <c r="X220" i="28"/>
  <c r="Z222" i="28"/>
  <c r="AB222" i="28" s="1"/>
  <c r="AE222" i="28"/>
  <c r="K251" i="39"/>
  <c r="Y251" i="39"/>
  <c r="X251" i="39" s="1"/>
  <c r="S251" i="39"/>
  <c r="T251" i="39" s="1"/>
  <c r="L251" i="39"/>
  <c r="V251" i="39"/>
  <c r="J251" i="39"/>
  <c r="G232" i="13" l="1"/>
  <c r="I255" i="13"/>
  <c r="I310" i="7" s="1"/>
  <c r="AC222" i="28"/>
  <c r="J222" i="28"/>
  <c r="U251" i="39"/>
  <c r="G251" i="39" s="1"/>
  <c r="D252" i="36" s="1"/>
  <c r="H251" i="39"/>
  <c r="G287" i="7" l="1"/>
  <c r="F233" i="13"/>
  <c r="S232" i="13"/>
  <c r="R232" i="13"/>
  <c r="J590" i="7"/>
  <c r="H222" i="28"/>
  <c r="I251" i="39"/>
  <c r="AC251" i="39" s="1"/>
  <c r="O251" i="39"/>
  <c r="P251" i="39"/>
  <c r="F288" i="7" l="1"/>
  <c r="R288" i="7" s="1"/>
  <c r="Y233" i="13"/>
  <c r="H233" i="13" s="1"/>
  <c r="H288" i="7" s="1"/>
  <c r="AB233" i="13"/>
  <c r="N233" i="13"/>
  <c r="V233" i="13"/>
  <c r="L233" i="13"/>
  <c r="K288" i="7" s="1"/>
  <c r="M233" i="13"/>
  <c r="L288" i="7" s="1"/>
  <c r="K233" i="13"/>
  <c r="J288" i="7" s="1"/>
  <c r="Q287" i="7"/>
  <c r="P287" i="7"/>
  <c r="R222" i="28"/>
  <c r="R590" i="7" s="1"/>
  <c r="F223" i="28"/>
  <c r="H590" i="7"/>
  <c r="Q222" i="28"/>
  <c r="Q590" i="7" s="1"/>
  <c r="F252" i="39"/>
  <c r="Z252" i="39"/>
  <c r="C253" i="36"/>
  <c r="E252" i="36"/>
  <c r="M288" i="7" l="1"/>
  <c r="E224" i="10"/>
  <c r="AC233" i="13"/>
  <c r="AA233" i="13" s="1"/>
  <c r="Z233" i="13"/>
  <c r="U233" i="13"/>
  <c r="K223" i="28"/>
  <c r="K591" i="7" s="1"/>
  <c r="L223" i="28"/>
  <c r="L591" i="7" s="1"/>
  <c r="F591" i="7"/>
  <c r="S591" i="7" s="1"/>
  <c r="AD223" i="28"/>
  <c r="AA223" i="28"/>
  <c r="AG223" i="28"/>
  <c r="N223" i="28"/>
  <c r="N591" i="7" s="1"/>
  <c r="M223" i="28"/>
  <c r="M591" i="7" s="1"/>
  <c r="S252" i="39"/>
  <c r="T252" i="39" s="1"/>
  <c r="V252" i="39"/>
  <c r="L252" i="39"/>
  <c r="J252" i="39"/>
  <c r="K252" i="39"/>
  <c r="Y252" i="39"/>
  <c r="X252" i="39" s="1"/>
  <c r="J233" i="13" l="1"/>
  <c r="X233" i="13"/>
  <c r="W233" i="13"/>
  <c r="I223" i="28"/>
  <c r="I591" i="7" s="1"/>
  <c r="X221" i="28"/>
  <c r="Z223" i="28"/>
  <c r="AB223" i="28" s="1"/>
  <c r="AH223" i="28"/>
  <c r="AF223" i="28" s="1"/>
  <c r="AE223" i="28"/>
  <c r="U252" i="39"/>
  <c r="G252" i="39" s="1"/>
  <c r="D253" i="36" s="1"/>
  <c r="H252" i="39"/>
  <c r="G233" i="13" l="1"/>
  <c r="I252" i="39"/>
  <c r="AC252" i="39" s="1"/>
  <c r="I256" i="13"/>
  <c r="I311" i="7" s="1"/>
  <c r="AC223" i="28"/>
  <c r="J223" i="28"/>
  <c r="C254" i="36"/>
  <c r="P252" i="39"/>
  <c r="Z253" i="39" s="1"/>
  <c r="O252" i="39"/>
  <c r="G288" i="7" l="1"/>
  <c r="F234" i="13"/>
  <c r="S233" i="13"/>
  <c r="R233" i="13"/>
  <c r="J591" i="7"/>
  <c r="H223" i="28"/>
  <c r="F253" i="39"/>
  <c r="S253" i="39" s="1"/>
  <c r="T253" i="39" s="1"/>
  <c r="E253" i="36"/>
  <c r="F289" i="7" l="1"/>
  <c r="R289" i="7" s="1"/>
  <c r="Q288" i="7"/>
  <c r="P288" i="7"/>
  <c r="Y234" i="13"/>
  <c r="L234" i="13"/>
  <c r="K289" i="7" s="1"/>
  <c r="M234" i="13"/>
  <c r="L289" i="7" s="1"/>
  <c r="N234" i="13"/>
  <c r="M289" i="7" s="1"/>
  <c r="K234" i="13"/>
  <c r="J289" i="7" s="1"/>
  <c r="AB234" i="13"/>
  <c r="V234" i="13"/>
  <c r="R223" i="28"/>
  <c r="R591" i="7" s="1"/>
  <c r="H591" i="7"/>
  <c r="F224" i="28"/>
  <c r="Q223" i="28"/>
  <c r="Q591" i="7" s="1"/>
  <c r="Y253" i="39"/>
  <c r="X253" i="39" s="1"/>
  <c r="K253" i="39"/>
  <c r="J253" i="39"/>
  <c r="L253" i="39"/>
  <c r="V253" i="39"/>
  <c r="U253" i="39" s="1"/>
  <c r="G253" i="39" s="1"/>
  <c r="D254" i="36" s="1"/>
  <c r="H234" i="13" l="1"/>
  <c r="H289" i="7" s="1"/>
  <c r="E225" i="10"/>
  <c r="AC234" i="13"/>
  <c r="Z234" i="13"/>
  <c r="U234" i="13"/>
  <c r="F592" i="7"/>
  <c r="S592" i="7" s="1"/>
  <c r="L224" i="28"/>
  <c r="L592" i="7" s="1"/>
  <c r="N224" i="28"/>
  <c r="N592" i="7" s="1"/>
  <c r="K224" i="28"/>
  <c r="K592" i="7" s="1"/>
  <c r="M224" i="28"/>
  <c r="M592" i="7" s="1"/>
  <c r="AG224" i="28"/>
  <c r="AA224" i="28"/>
  <c r="AD224" i="28"/>
  <c r="H253" i="39"/>
  <c r="O253" i="39" s="1"/>
  <c r="P253" i="39"/>
  <c r="F254" i="39" s="1"/>
  <c r="Y254" i="39" s="1"/>
  <c r="X234" i="13" l="1"/>
  <c r="J234" i="13"/>
  <c r="G234" i="13" s="1"/>
  <c r="AA234" i="13"/>
  <c r="W234" i="13"/>
  <c r="I253" i="39"/>
  <c r="AC253" i="39" s="1"/>
  <c r="I257" i="13"/>
  <c r="I312" i="7" s="1"/>
  <c r="Z224" i="28"/>
  <c r="AB224" i="28" s="1"/>
  <c r="AH224" i="28"/>
  <c r="AF224" i="28" s="1"/>
  <c r="AE224" i="28"/>
  <c r="X222" i="28"/>
  <c r="I224" i="28"/>
  <c r="I592" i="7" s="1"/>
  <c r="L254" i="39"/>
  <c r="Z254" i="39"/>
  <c r="X254" i="39" s="1"/>
  <c r="V254" i="39"/>
  <c r="U254" i="39" s="1"/>
  <c r="G254" i="39" s="1"/>
  <c r="D255" i="36" s="1"/>
  <c r="J254" i="39"/>
  <c r="K254" i="39"/>
  <c r="S254" i="39"/>
  <c r="T254" i="39" s="1"/>
  <c r="C255" i="36"/>
  <c r="E254" i="36"/>
  <c r="G289" i="7" l="1"/>
  <c r="F235" i="13"/>
  <c r="F290" i="7" s="1"/>
  <c r="R290" i="7" s="1"/>
  <c r="R234" i="13"/>
  <c r="S234" i="13"/>
  <c r="J224" i="28"/>
  <c r="J592" i="7" s="1"/>
  <c r="AC224" i="28"/>
  <c r="H254" i="39"/>
  <c r="O254" i="39" s="1"/>
  <c r="P254" i="39"/>
  <c r="Z255" i="39" s="1"/>
  <c r="E255" i="36"/>
  <c r="C256" i="36"/>
  <c r="P289" i="7" l="1"/>
  <c r="Q289" i="7"/>
  <c r="V235" i="13"/>
  <c r="L235" i="13"/>
  <c r="K290" i="7" s="1"/>
  <c r="Y235" i="13"/>
  <c r="N235" i="13"/>
  <c r="M290" i="7" s="1"/>
  <c r="M235" i="13"/>
  <c r="L290" i="7" s="1"/>
  <c r="K235" i="13"/>
  <c r="J290" i="7" s="1"/>
  <c r="AB235" i="13"/>
  <c r="I254" i="39"/>
  <c r="AC254" i="39" s="1"/>
  <c r="H224" i="28"/>
  <c r="Q224" i="28" s="1"/>
  <c r="Q592" i="7" s="1"/>
  <c r="F255" i="39"/>
  <c r="Y255" i="39" s="1"/>
  <c r="X255" i="39" s="1"/>
  <c r="U235" i="13" l="1"/>
  <c r="Z235" i="13"/>
  <c r="H235" i="13"/>
  <c r="H290" i="7" s="1"/>
  <c r="AC235" i="13"/>
  <c r="E226" i="10"/>
  <c r="H592" i="7"/>
  <c r="F225" i="28"/>
  <c r="AA225" i="28" s="1"/>
  <c r="R224" i="28"/>
  <c r="R592" i="7" s="1"/>
  <c r="S255" i="39"/>
  <c r="T255" i="39" s="1"/>
  <c r="V255" i="39"/>
  <c r="U255" i="39" s="1"/>
  <c r="G255" i="39" s="1"/>
  <c r="D256" i="36" s="1"/>
  <c r="J255" i="39"/>
  <c r="L255" i="39"/>
  <c r="K255" i="39"/>
  <c r="J235" i="13" l="1"/>
  <c r="W235" i="13"/>
  <c r="X235" i="13"/>
  <c r="AA235" i="13"/>
  <c r="I258" i="13"/>
  <c r="I313" i="7" s="1"/>
  <c r="K225" i="28"/>
  <c r="K593" i="7" s="1"/>
  <c r="AG225" i="28"/>
  <c r="M225" i="28"/>
  <c r="M593" i="7" s="1"/>
  <c r="L225" i="28"/>
  <c r="L593" i="7" s="1"/>
  <c r="N225" i="28"/>
  <c r="N593" i="7" s="1"/>
  <c r="AD225" i="28"/>
  <c r="F593" i="7"/>
  <c r="S593" i="7" s="1"/>
  <c r="H255" i="39"/>
  <c r="O255" i="39" s="1"/>
  <c r="E256" i="36"/>
  <c r="P255" i="39"/>
  <c r="Z256" i="39" s="1"/>
  <c r="G235" i="13" l="1"/>
  <c r="I255" i="39"/>
  <c r="AC255" i="39" s="1"/>
  <c r="I225" i="28"/>
  <c r="I593" i="7" s="1"/>
  <c r="AE225" i="28"/>
  <c r="AC225" i="28" s="1"/>
  <c r="X223" i="28"/>
  <c r="AH225" i="28"/>
  <c r="AF225" i="28" s="1"/>
  <c r="Z225" i="28"/>
  <c r="AB225" i="28" s="1"/>
  <c r="C257" i="36"/>
  <c r="F256" i="39"/>
  <c r="S256" i="39" s="1"/>
  <c r="T256" i="39" s="1"/>
  <c r="R235" i="13" l="1"/>
  <c r="F236" i="13"/>
  <c r="G290" i="7"/>
  <c r="S235" i="13"/>
  <c r="N236" i="13"/>
  <c r="M291" i="7" s="1"/>
  <c r="F291" i="7"/>
  <c r="R291" i="7" s="1"/>
  <c r="P290" i="7"/>
  <c r="Q290" i="7"/>
  <c r="V236" i="13"/>
  <c r="L236" i="13"/>
  <c r="K291" i="7" s="1"/>
  <c r="J225" i="28"/>
  <c r="H225" i="28" s="1"/>
  <c r="Q225" i="28" s="1"/>
  <c r="Q593" i="7" s="1"/>
  <c r="K256" i="39"/>
  <c r="J256" i="39"/>
  <c r="Y256" i="39"/>
  <c r="X256" i="39" s="1"/>
  <c r="V256" i="39"/>
  <c r="U256" i="39" s="1"/>
  <c r="G256" i="39" s="1"/>
  <c r="L256" i="39"/>
  <c r="K236" i="13" l="1"/>
  <c r="J291" i="7" s="1"/>
  <c r="M236" i="13"/>
  <c r="L291" i="7" s="1"/>
  <c r="Y236" i="13"/>
  <c r="AB236" i="13"/>
  <c r="Z236" i="13"/>
  <c r="AC236" i="13"/>
  <c r="U236" i="13"/>
  <c r="P256" i="39"/>
  <c r="Z257" i="39" s="1"/>
  <c r="D257" i="36"/>
  <c r="I259" i="13"/>
  <c r="I314" i="7" s="1"/>
  <c r="J593" i="7"/>
  <c r="H593" i="7"/>
  <c r="F226" i="28"/>
  <c r="K226" i="28" s="1"/>
  <c r="R225" i="28"/>
  <c r="R593" i="7" s="1"/>
  <c r="H256" i="39"/>
  <c r="O256" i="39" s="1"/>
  <c r="J236" i="13" l="1"/>
  <c r="H236" i="13"/>
  <c r="H291" i="7" s="1"/>
  <c r="E227" i="10"/>
  <c r="X236" i="13"/>
  <c r="AA236" i="13"/>
  <c r="W236" i="13"/>
  <c r="F257" i="39"/>
  <c r="C258" i="36"/>
  <c r="I256" i="39"/>
  <c r="AC256" i="39" s="1"/>
  <c r="AG226" i="28"/>
  <c r="M226" i="28"/>
  <c r="M594" i="7" s="1"/>
  <c r="N226" i="28"/>
  <c r="AE226" i="28" s="1"/>
  <c r="L226" i="28"/>
  <c r="L594" i="7" s="1"/>
  <c r="F594" i="7"/>
  <c r="S594" i="7" s="1"/>
  <c r="AA226" i="28"/>
  <c r="AD226" i="28"/>
  <c r="K594" i="7"/>
  <c r="E257" i="36"/>
  <c r="G236" i="13" l="1"/>
  <c r="V257" i="39"/>
  <c r="K257" i="39"/>
  <c r="Y257" i="39"/>
  <c r="X257" i="39" s="1"/>
  <c r="S257" i="39"/>
  <c r="T257" i="39" s="1"/>
  <c r="L257" i="39"/>
  <c r="J257" i="39"/>
  <c r="I226" i="28"/>
  <c r="I594" i="7" s="1"/>
  <c r="X224" i="28"/>
  <c r="AH226" i="28"/>
  <c r="AF226" i="28" s="1"/>
  <c r="Z226" i="28"/>
  <c r="AB226" i="28" s="1"/>
  <c r="N594" i="7"/>
  <c r="AC226" i="28"/>
  <c r="F237" i="13" l="1"/>
  <c r="F292" i="7" s="1"/>
  <c r="R292" i="7" s="1"/>
  <c r="R236" i="13"/>
  <c r="G291" i="7"/>
  <c r="S236" i="13"/>
  <c r="L237" i="13"/>
  <c r="K292" i="7" s="1"/>
  <c r="H257" i="39"/>
  <c r="U257" i="39"/>
  <c r="G257" i="39" s="1"/>
  <c r="D258" i="36" s="1"/>
  <c r="I260" i="13"/>
  <c r="I315" i="7" s="1"/>
  <c r="J226" i="28"/>
  <c r="H226" i="28" s="1"/>
  <c r="P291" i="7" l="1"/>
  <c r="Q291" i="7"/>
  <c r="V237" i="13"/>
  <c r="Y237" i="13"/>
  <c r="M237" i="13"/>
  <c r="L292" i="7" s="1"/>
  <c r="AB237" i="13"/>
  <c r="H237" i="13" s="1"/>
  <c r="H292" i="7" s="1"/>
  <c r="K237" i="13"/>
  <c r="J292" i="7" s="1"/>
  <c r="N237" i="13"/>
  <c r="M292" i="7" s="1"/>
  <c r="I257" i="39"/>
  <c r="AC257" i="39" s="1"/>
  <c r="C259" i="36"/>
  <c r="P257" i="39"/>
  <c r="Z258" i="39" s="1"/>
  <c r="O257" i="39"/>
  <c r="J594" i="7"/>
  <c r="H594" i="7"/>
  <c r="Q226" i="28"/>
  <c r="Q594" i="7" s="1"/>
  <c r="R226" i="28"/>
  <c r="R594" i="7" s="1"/>
  <c r="F227" i="28"/>
  <c r="E258" i="36"/>
  <c r="U237" i="13" l="1"/>
  <c r="Z237" i="13"/>
  <c r="AC237" i="13"/>
  <c r="E228" i="10"/>
  <c r="AA237" i="13"/>
  <c r="F258" i="39"/>
  <c r="J258" i="39" s="1"/>
  <c r="AA227" i="28"/>
  <c r="M227" i="28"/>
  <c r="M595" i="7" s="1"/>
  <c r="AD227" i="28"/>
  <c r="L227" i="28"/>
  <c r="L595" i="7" s="1"/>
  <c r="F595" i="7"/>
  <c r="S595" i="7" s="1"/>
  <c r="K227" i="28"/>
  <c r="N227" i="28"/>
  <c r="N595" i="7" s="1"/>
  <c r="AG227" i="28"/>
  <c r="X237" i="13" l="1"/>
  <c r="W237" i="13"/>
  <c r="J237" i="13"/>
  <c r="G237" i="13"/>
  <c r="G292" i="7" s="1"/>
  <c r="V258" i="39"/>
  <c r="U258" i="39" s="1"/>
  <c r="G258" i="39" s="1"/>
  <c r="L258" i="39"/>
  <c r="K258" i="39"/>
  <c r="S258" i="39"/>
  <c r="T258" i="39" s="1"/>
  <c r="Y258" i="39"/>
  <c r="X258" i="39" s="1"/>
  <c r="I227" i="28"/>
  <c r="I595" i="7" s="1"/>
  <c r="Z227" i="28"/>
  <c r="AB227" i="28" s="1"/>
  <c r="AH227" i="28"/>
  <c r="AF227" i="28" s="1"/>
  <c r="AE227" i="28"/>
  <c r="AC227" i="28" s="1"/>
  <c r="K595" i="7"/>
  <c r="X225" i="28"/>
  <c r="F238" i="13" l="1"/>
  <c r="F293" i="7" s="1"/>
  <c r="R293" i="7" s="1"/>
  <c r="P292" i="7"/>
  <c r="Q292" i="7"/>
  <c r="S237" i="13"/>
  <c r="R237" i="13"/>
  <c r="D259" i="36"/>
  <c r="P258" i="39"/>
  <c r="Z259" i="39" s="1"/>
  <c r="H258" i="39"/>
  <c r="O258" i="39" s="1"/>
  <c r="I261" i="13"/>
  <c r="I316" i="7" s="1"/>
  <c r="I258" i="39"/>
  <c r="AC258" i="39" s="1"/>
  <c r="J227" i="28"/>
  <c r="H227" i="28" s="1"/>
  <c r="N238" i="13" l="1"/>
  <c r="M293" i="7" s="1"/>
  <c r="M238" i="13"/>
  <c r="L293" i="7" s="1"/>
  <c r="L238" i="13"/>
  <c r="K293" i="7" s="1"/>
  <c r="K238" i="13"/>
  <c r="J293" i="7" s="1"/>
  <c r="Y238" i="13"/>
  <c r="V238" i="13"/>
  <c r="AB238" i="13"/>
  <c r="H238" i="13"/>
  <c r="H293" i="7" s="1"/>
  <c r="E259" i="36"/>
  <c r="C260" i="36"/>
  <c r="F259" i="39"/>
  <c r="S259" i="39" s="1"/>
  <c r="T259" i="39" s="1"/>
  <c r="J595" i="7"/>
  <c r="H595" i="7"/>
  <c r="Q227" i="28"/>
  <c r="Q595" i="7" s="1"/>
  <c r="R227" i="28"/>
  <c r="R595" i="7" s="1"/>
  <c r="F228" i="28"/>
  <c r="Z238" i="13" l="1"/>
  <c r="U238" i="13"/>
  <c r="E229" i="10"/>
  <c r="AC238" i="13"/>
  <c r="AA238" i="13" s="1"/>
  <c r="J238" i="13"/>
  <c r="K259" i="39"/>
  <c r="L259" i="39"/>
  <c r="J259" i="39"/>
  <c r="Y259" i="39"/>
  <c r="X259" i="39" s="1"/>
  <c r="V259" i="39"/>
  <c r="U259" i="39" s="1"/>
  <c r="G259" i="39" s="1"/>
  <c r="D260" i="36" s="1"/>
  <c r="C261" i="36" s="1"/>
  <c r="N228" i="28"/>
  <c r="N596" i="7" s="1"/>
  <c r="F596" i="7"/>
  <c r="S596" i="7" s="1"/>
  <c r="M228" i="28"/>
  <c r="M596" i="7" s="1"/>
  <c r="L228" i="28"/>
  <c r="L596" i="7" s="1"/>
  <c r="AD228" i="28"/>
  <c r="AA228" i="28"/>
  <c r="K228" i="28"/>
  <c r="K596" i="7" s="1"/>
  <c r="AG228" i="28"/>
  <c r="X238" i="13" l="1"/>
  <c r="W238" i="13"/>
  <c r="G238" i="13"/>
  <c r="H259" i="39"/>
  <c r="P259" i="39"/>
  <c r="Z260" i="39" s="1"/>
  <c r="I259" i="39"/>
  <c r="AC259" i="39" s="1"/>
  <c r="E260" i="36"/>
  <c r="AH228" i="28"/>
  <c r="AF228" i="28" s="1"/>
  <c r="AE228" i="28"/>
  <c r="AC228" i="28" s="1"/>
  <c r="Z228" i="28"/>
  <c r="AB228" i="28" s="1"/>
  <c r="X226" i="28"/>
  <c r="I228" i="28"/>
  <c r="I596" i="7" s="1"/>
  <c r="G293" i="7" l="1"/>
  <c r="Q293" i="7" s="1"/>
  <c r="S238" i="13"/>
  <c r="F239" i="13"/>
  <c r="F294" i="7" s="1"/>
  <c r="R294" i="7" s="1"/>
  <c r="R238" i="13"/>
  <c r="F260" i="39"/>
  <c r="V260" i="39" s="1"/>
  <c r="O259" i="39"/>
  <c r="I262" i="13"/>
  <c r="I317" i="7" s="1"/>
  <c r="J228" i="28"/>
  <c r="H228" i="28" s="1"/>
  <c r="K239" i="13" l="1"/>
  <c r="J294" i="7" s="1"/>
  <c r="N239" i="13"/>
  <c r="M294" i="7" s="1"/>
  <c r="M239" i="13"/>
  <c r="L294" i="7" s="1"/>
  <c r="Y239" i="13"/>
  <c r="V239" i="13"/>
  <c r="P293" i="7"/>
  <c r="L239" i="13"/>
  <c r="K294" i="7" s="1"/>
  <c r="AB239" i="13"/>
  <c r="H260" i="39"/>
  <c r="L260" i="39"/>
  <c r="K260" i="39"/>
  <c r="J260" i="39"/>
  <c r="S260" i="39"/>
  <c r="T260" i="39" s="1"/>
  <c r="Y260" i="39"/>
  <c r="X260" i="39" s="1"/>
  <c r="U260" i="39"/>
  <c r="G260" i="39" s="1"/>
  <c r="D261" i="36" s="1"/>
  <c r="J596" i="7"/>
  <c r="F229" i="28"/>
  <c r="R228" i="28"/>
  <c r="R596" i="7" s="1"/>
  <c r="H596" i="7"/>
  <c r="Q228" i="28"/>
  <c r="Q596" i="7" s="1"/>
  <c r="H239" i="13" l="1"/>
  <c r="H294" i="7" s="1"/>
  <c r="U239" i="13"/>
  <c r="AC239" i="13"/>
  <c r="Z239" i="13"/>
  <c r="X239" i="13" s="1"/>
  <c r="E230" i="10"/>
  <c r="C262" i="36"/>
  <c r="E261" i="36"/>
  <c r="I260" i="39"/>
  <c r="P260" i="39"/>
  <c r="O260" i="39"/>
  <c r="K229" i="28"/>
  <c r="AD229" i="28"/>
  <c r="AG229" i="28"/>
  <c r="N229" i="28"/>
  <c r="Z229" i="28" s="1"/>
  <c r="AA229" i="28"/>
  <c r="L229" i="28"/>
  <c r="L597" i="7" s="1"/>
  <c r="M229" i="28"/>
  <c r="M597" i="7" s="1"/>
  <c r="F597" i="7"/>
  <c r="S597" i="7" s="1"/>
  <c r="J239" i="13" l="1"/>
  <c r="G239" i="13" s="1"/>
  <c r="G294" i="7" s="1"/>
  <c r="W239" i="13"/>
  <c r="AA239" i="13"/>
  <c r="AC260" i="39"/>
  <c r="Z261" i="39"/>
  <c r="F261" i="39"/>
  <c r="I263" i="13"/>
  <c r="I318" i="7" s="1"/>
  <c r="I229" i="28"/>
  <c r="I597" i="7" s="1"/>
  <c r="AB229" i="28"/>
  <c r="AE229" i="28"/>
  <c r="AC229" i="28" s="1"/>
  <c r="N597" i="7"/>
  <c r="AH229" i="28"/>
  <c r="AF229" i="28" s="1"/>
  <c r="K597" i="7"/>
  <c r="X227" i="28"/>
  <c r="Q294" i="7" l="1"/>
  <c r="R239" i="13"/>
  <c r="S239" i="13"/>
  <c r="P294" i="7"/>
  <c r="F240" i="13"/>
  <c r="Y261" i="39"/>
  <c r="X261" i="39" s="1"/>
  <c r="J261" i="39"/>
  <c r="L261" i="39"/>
  <c r="V261" i="39"/>
  <c r="S261" i="39"/>
  <c r="T261" i="39" s="1"/>
  <c r="K261" i="39"/>
  <c r="J229" i="28"/>
  <c r="H229" i="28" s="1"/>
  <c r="M240" i="13" l="1"/>
  <c r="L295" i="7" s="1"/>
  <c r="K240" i="13"/>
  <c r="J295" i="7" s="1"/>
  <c r="AB240" i="13"/>
  <c r="V240" i="13"/>
  <c r="Y240" i="13"/>
  <c r="H240" i="13" s="1"/>
  <c r="H295" i="7" s="1"/>
  <c r="L240" i="13"/>
  <c r="K295" i="7" s="1"/>
  <c r="F295" i="7"/>
  <c r="R295" i="7" s="1"/>
  <c r="N240" i="13"/>
  <c r="M295" i="7" s="1"/>
  <c r="U261" i="39"/>
  <c r="G261" i="39" s="1"/>
  <c r="I261" i="39" s="1"/>
  <c r="AC261" i="39" s="1"/>
  <c r="H261" i="39"/>
  <c r="J597" i="7"/>
  <c r="Q229" i="28"/>
  <c r="Q597" i="7" s="1"/>
  <c r="H597" i="7"/>
  <c r="F230" i="28"/>
  <c r="R229" i="28"/>
  <c r="R597" i="7" s="1"/>
  <c r="E231" i="10" l="1"/>
  <c r="U240" i="13"/>
  <c r="Z240" i="13"/>
  <c r="J240" i="13" s="1"/>
  <c r="AC240" i="13"/>
  <c r="D262" i="36"/>
  <c r="P261" i="39"/>
  <c r="O261" i="39"/>
  <c r="F598" i="7"/>
  <c r="S598" i="7" s="1"/>
  <c r="M230" i="28"/>
  <c r="M598" i="7" s="1"/>
  <c r="AG230" i="28"/>
  <c r="AD230" i="28"/>
  <c r="L230" i="28"/>
  <c r="L598" i="7" s="1"/>
  <c r="K230" i="28"/>
  <c r="N230" i="28"/>
  <c r="AA230" i="28"/>
  <c r="AA240" i="13" l="1"/>
  <c r="W240" i="13"/>
  <c r="X240" i="13"/>
  <c r="G240" i="13"/>
  <c r="G295" i="7" s="1"/>
  <c r="E262" i="36"/>
  <c r="C263" i="36"/>
  <c r="F262" i="39"/>
  <c r="Z262" i="39"/>
  <c r="I264" i="13"/>
  <c r="I319" i="7" s="1"/>
  <c r="N598" i="7"/>
  <c r="Z230" i="28"/>
  <c r="AB230" i="28" s="1"/>
  <c r="AE230" i="28"/>
  <c r="AH230" i="28"/>
  <c r="AF230" i="28" s="1"/>
  <c r="I230" i="28"/>
  <c r="I598" i="7" s="1"/>
  <c r="K598" i="7"/>
  <c r="X228" i="28"/>
  <c r="S240" i="13" l="1"/>
  <c r="R240" i="13"/>
  <c r="F241" i="13"/>
  <c r="F296" i="7" s="1"/>
  <c r="R296" i="7" s="1"/>
  <c r="Q295" i="7"/>
  <c r="P295" i="7"/>
  <c r="N241" i="13"/>
  <c r="M296" i="7" s="1"/>
  <c r="AB241" i="13"/>
  <c r="Y241" i="13"/>
  <c r="K241" i="13"/>
  <c r="J296" i="7" s="1"/>
  <c r="M241" i="13"/>
  <c r="L296" i="7" s="1"/>
  <c r="V262" i="39"/>
  <c r="L262" i="39"/>
  <c r="K262" i="39"/>
  <c r="S262" i="39"/>
  <c r="T262" i="39" s="1"/>
  <c r="Y262" i="39"/>
  <c r="J262" i="39"/>
  <c r="AC230" i="28"/>
  <c r="J230" i="28"/>
  <c r="E189" i="10"/>
  <c r="P253" i="7"/>
  <c r="E160" i="10"/>
  <c r="P224" i="7"/>
  <c r="E122" i="10"/>
  <c r="P186" i="7"/>
  <c r="E71" i="10"/>
  <c r="P135" i="7"/>
  <c r="P113" i="7"/>
  <c r="E49" i="10"/>
  <c r="E19" i="10"/>
  <c r="P83" i="7"/>
  <c r="E186" i="10"/>
  <c r="P250" i="7"/>
  <c r="E148" i="10"/>
  <c r="P212" i="7"/>
  <c r="E110" i="10"/>
  <c r="P174" i="7"/>
  <c r="E70" i="10"/>
  <c r="P134" i="7"/>
  <c r="E48" i="10"/>
  <c r="P112" i="7"/>
  <c r="E18" i="10"/>
  <c r="P82" i="7"/>
  <c r="E219" i="10"/>
  <c r="P283" i="7"/>
  <c r="E184" i="10"/>
  <c r="P248" i="7"/>
  <c r="E147" i="10"/>
  <c r="P211" i="7"/>
  <c r="E95" i="10"/>
  <c r="P159" i="7"/>
  <c r="E64" i="10"/>
  <c r="P128" i="7"/>
  <c r="E35" i="10"/>
  <c r="P99" i="7"/>
  <c r="E17" i="10"/>
  <c r="P81" i="7"/>
  <c r="E213" i="10"/>
  <c r="P277" i="7"/>
  <c r="E180" i="10"/>
  <c r="P244" i="7"/>
  <c r="E145" i="10"/>
  <c r="P209" i="7"/>
  <c r="E92" i="10"/>
  <c r="P156" i="7"/>
  <c r="E61" i="10"/>
  <c r="P125" i="7"/>
  <c r="E31" i="10"/>
  <c r="P95" i="7"/>
  <c r="E16" i="10"/>
  <c r="P80" i="7"/>
  <c r="E200" i="10"/>
  <c r="P264" i="7"/>
  <c r="E178" i="10"/>
  <c r="P242" i="7"/>
  <c r="E138" i="10"/>
  <c r="P202" i="7"/>
  <c r="E93" i="10"/>
  <c r="P157" i="7"/>
  <c r="E62" i="10"/>
  <c r="P126" i="7"/>
  <c r="E29" i="10"/>
  <c r="P93" i="7"/>
  <c r="E14" i="10"/>
  <c r="P78" i="7"/>
  <c r="E199" i="10"/>
  <c r="P263" i="7"/>
  <c r="E175" i="10"/>
  <c r="P239" i="7"/>
  <c r="E137" i="10"/>
  <c r="P201" i="7"/>
  <c r="E91" i="10"/>
  <c r="P155" i="7"/>
  <c r="E52" i="10"/>
  <c r="P116" i="7"/>
  <c r="E30" i="10"/>
  <c r="P94" i="7"/>
  <c r="E13" i="10"/>
  <c r="P77" i="7"/>
  <c r="E198" i="10"/>
  <c r="P262" i="7"/>
  <c r="E168" i="10"/>
  <c r="P232" i="7"/>
  <c r="E135" i="10"/>
  <c r="P199" i="7"/>
  <c r="E89" i="10"/>
  <c r="P153" i="7"/>
  <c r="E53" i="10"/>
  <c r="P117" i="7"/>
  <c r="E28" i="10"/>
  <c r="P92" i="7"/>
  <c r="E194" i="10"/>
  <c r="P258" i="7"/>
  <c r="E161" i="10"/>
  <c r="P225" i="7"/>
  <c r="E133" i="10"/>
  <c r="P197" i="7"/>
  <c r="E83" i="10"/>
  <c r="P147" i="7"/>
  <c r="E50" i="10"/>
  <c r="P114" i="7"/>
  <c r="E22" i="10"/>
  <c r="P86" i="7"/>
  <c r="L241" i="13" l="1"/>
  <c r="K296" i="7" s="1"/>
  <c r="V241" i="13"/>
  <c r="H241" i="13"/>
  <c r="H296" i="7" s="1"/>
  <c r="E232" i="10"/>
  <c r="Z241" i="13"/>
  <c r="U241" i="13"/>
  <c r="AC241" i="13"/>
  <c r="J241" i="13"/>
  <c r="X262" i="39"/>
  <c r="H262" i="39"/>
  <c r="U262" i="39"/>
  <c r="G262" i="39" s="1"/>
  <c r="D263" i="36" s="1"/>
  <c r="H230" i="28"/>
  <c r="J598" i="7"/>
  <c r="W241" i="13" l="1"/>
  <c r="X241" i="13"/>
  <c r="AA241" i="13"/>
  <c r="G241" i="13"/>
  <c r="G296" i="7" s="1"/>
  <c r="I262" i="39"/>
  <c r="AC262" i="39" s="1"/>
  <c r="P262" i="39"/>
  <c r="E263" i="36"/>
  <c r="O262" i="39"/>
  <c r="C264" i="36"/>
  <c r="R230" i="28"/>
  <c r="R598" i="7" s="1"/>
  <c r="F231" i="28"/>
  <c r="H598" i="7"/>
  <c r="Q230" i="28"/>
  <c r="Q598" i="7" s="1"/>
  <c r="Q296" i="7" l="1"/>
  <c r="P296" i="7"/>
  <c r="S241" i="13"/>
  <c r="R241" i="13"/>
  <c r="F242" i="13"/>
  <c r="F297" i="7" s="1"/>
  <c r="R297" i="7" s="1"/>
  <c r="Z263" i="39"/>
  <c r="F263" i="39"/>
  <c r="M231" i="28"/>
  <c r="M599" i="7" s="1"/>
  <c r="AA231" i="28"/>
  <c r="K231" i="28"/>
  <c r="K599" i="7" s="1"/>
  <c r="F599" i="7"/>
  <c r="S599" i="7" s="1"/>
  <c r="AD231" i="28"/>
  <c r="AG231" i="28"/>
  <c r="N231" i="28"/>
  <c r="N599" i="7" s="1"/>
  <c r="L231" i="28"/>
  <c r="L599" i="7" s="1"/>
  <c r="Y242" i="13" l="1"/>
  <c r="AB242" i="13"/>
  <c r="K242" i="13"/>
  <c r="J297" i="7" s="1"/>
  <c r="N242" i="13"/>
  <c r="M297" i="7" s="1"/>
  <c r="V242" i="13"/>
  <c r="L242" i="13"/>
  <c r="K297" i="7" s="1"/>
  <c r="M242" i="13"/>
  <c r="L297" i="7" s="1"/>
  <c r="V263" i="39"/>
  <c r="Y263" i="39"/>
  <c r="X263" i="39" s="1"/>
  <c r="L263" i="39"/>
  <c r="J263" i="39"/>
  <c r="K263" i="39"/>
  <c r="S263" i="39"/>
  <c r="T263" i="39" s="1"/>
  <c r="I265" i="13"/>
  <c r="I320" i="7" s="1"/>
  <c r="I231" i="28"/>
  <c r="I599" i="7" s="1"/>
  <c r="AH231" i="28"/>
  <c r="AF231" i="28" s="1"/>
  <c r="Z231" i="28"/>
  <c r="AB231" i="28" s="1"/>
  <c r="X229" i="28"/>
  <c r="AE231" i="28"/>
  <c r="H242" i="13" l="1"/>
  <c r="H297" i="7" s="1"/>
  <c r="E233" i="10"/>
  <c r="U242" i="13"/>
  <c r="Z242" i="13"/>
  <c r="AC242" i="13"/>
  <c r="U263" i="39"/>
  <c r="G263" i="39" s="1"/>
  <c r="I263" i="39" s="1"/>
  <c r="AC263" i="39" s="1"/>
  <c r="H263" i="39"/>
  <c r="AC231" i="28"/>
  <c r="J231" i="28"/>
  <c r="W242" i="13" l="1"/>
  <c r="J242" i="13"/>
  <c r="X242" i="13"/>
  <c r="AA242" i="13"/>
  <c r="P263" i="39"/>
  <c r="D264" i="36"/>
  <c r="O263" i="39"/>
  <c r="J599" i="7"/>
  <c r="H231" i="28"/>
  <c r="G242" i="13" l="1"/>
  <c r="G297" i="7" s="1"/>
  <c r="F264" i="39"/>
  <c r="Z264" i="39"/>
  <c r="E264" i="36"/>
  <c r="C265" i="36"/>
  <c r="F232" i="28"/>
  <c r="Q231" i="28"/>
  <c r="Q599" i="7" s="1"/>
  <c r="R231" i="28"/>
  <c r="R599" i="7" s="1"/>
  <c r="H599" i="7"/>
  <c r="R242" i="13" l="1"/>
  <c r="F243" i="13"/>
  <c r="S242" i="13"/>
  <c r="P297" i="7"/>
  <c r="Q297" i="7"/>
  <c r="Y264" i="39"/>
  <c r="X264" i="39" s="1"/>
  <c r="V264" i="39"/>
  <c r="S264" i="39"/>
  <c r="T264" i="39" s="1"/>
  <c r="L264" i="39"/>
  <c r="J264" i="39"/>
  <c r="K264" i="39"/>
  <c r="I266" i="13"/>
  <c r="I321" i="7" s="1"/>
  <c r="K232" i="28"/>
  <c r="K600" i="7" s="1"/>
  <c r="N232" i="28"/>
  <c r="N600" i="7" s="1"/>
  <c r="L232" i="28"/>
  <c r="L600" i="7" s="1"/>
  <c r="AD232" i="28"/>
  <c r="AA232" i="28"/>
  <c r="F600" i="7"/>
  <c r="S600" i="7" s="1"/>
  <c r="M232" i="28"/>
  <c r="M600" i="7" s="1"/>
  <c r="AG232" i="28"/>
  <c r="M243" i="13" l="1"/>
  <c r="L298" i="7" s="1"/>
  <c r="L243" i="13"/>
  <c r="K298" i="7" s="1"/>
  <c r="AB243" i="13"/>
  <c r="V243" i="13"/>
  <c r="Y243" i="13"/>
  <c r="K243" i="13"/>
  <c r="J298" i="7" s="1"/>
  <c r="N243" i="13"/>
  <c r="M298" i="7" s="1"/>
  <c r="F298" i="7"/>
  <c r="R298" i="7" s="1"/>
  <c r="H264" i="39"/>
  <c r="U264" i="39"/>
  <c r="G264" i="39" s="1"/>
  <c r="I264" i="39" s="1"/>
  <c r="I232" i="28"/>
  <c r="I600" i="7" s="1"/>
  <c r="Z232" i="28"/>
  <c r="AB232" i="28" s="1"/>
  <c r="AH232" i="28"/>
  <c r="AF232" i="28" s="1"/>
  <c r="AE232" i="28"/>
  <c r="AC232" i="28" s="1"/>
  <c r="X230" i="28"/>
  <c r="H243" i="13" l="1"/>
  <c r="H298" i="7" s="1"/>
  <c r="E234" i="10"/>
  <c r="Z243" i="13"/>
  <c r="U243" i="13"/>
  <c r="W243" i="13" s="1"/>
  <c r="AC243" i="13"/>
  <c r="AA243" i="13" s="1"/>
  <c r="AC264" i="39"/>
  <c r="P264" i="39"/>
  <c r="O264" i="39"/>
  <c r="D265" i="36"/>
  <c r="J232" i="28"/>
  <c r="J600" i="7" s="1"/>
  <c r="J243" i="13" l="1"/>
  <c r="G243" i="13" s="1"/>
  <c r="G298" i="7" s="1"/>
  <c r="X243" i="13"/>
  <c r="C266" i="36"/>
  <c r="E265" i="36"/>
  <c r="Z265" i="39"/>
  <c r="F265" i="39"/>
  <c r="I267" i="13"/>
  <c r="I322" i="7" s="1"/>
  <c r="H232" i="28"/>
  <c r="Q232" i="28" s="1"/>
  <c r="Q600" i="7" s="1"/>
  <c r="P298" i="7" l="1"/>
  <c r="F244" i="13"/>
  <c r="F299" i="7" s="1"/>
  <c r="R299" i="7" s="1"/>
  <c r="R243" i="13"/>
  <c r="S243" i="13"/>
  <c r="Q298" i="7"/>
  <c r="Y265" i="39"/>
  <c r="V265" i="39"/>
  <c r="L265" i="39"/>
  <c r="J265" i="39"/>
  <c r="K265" i="39"/>
  <c r="S265" i="39"/>
  <c r="T265" i="39" s="1"/>
  <c r="H600" i="7"/>
  <c r="F233" i="28"/>
  <c r="M233" i="28" s="1"/>
  <c r="M601" i="7" s="1"/>
  <c r="R232" i="28"/>
  <c r="R600" i="7" s="1"/>
  <c r="Y244" i="13" l="1"/>
  <c r="K244" i="13"/>
  <c r="J299" i="7" s="1"/>
  <c r="V244" i="13"/>
  <c r="AB244" i="13"/>
  <c r="N244" i="13"/>
  <c r="M299" i="7" s="1"/>
  <c r="M244" i="13"/>
  <c r="L299" i="7" s="1"/>
  <c r="L244" i="13"/>
  <c r="K299" i="7" s="1"/>
  <c r="X265" i="39"/>
  <c r="U265" i="39"/>
  <c r="G265" i="39" s="1"/>
  <c r="I265" i="39" s="1"/>
  <c r="H265" i="39"/>
  <c r="F601" i="7"/>
  <c r="S601" i="7" s="1"/>
  <c r="N233" i="28"/>
  <c r="AE233" i="28" s="1"/>
  <c r="AA233" i="28"/>
  <c r="AD233" i="28"/>
  <c r="AG233" i="28"/>
  <c r="K233" i="28"/>
  <c r="K601" i="7" s="1"/>
  <c r="L233" i="28"/>
  <c r="L601" i="7" s="1"/>
  <c r="H244" i="13" l="1"/>
  <c r="H299" i="7" s="1"/>
  <c r="AC244" i="13"/>
  <c r="AA244" i="13" s="1"/>
  <c r="U244" i="13"/>
  <c r="W244" i="13" s="1"/>
  <c r="Z244" i="13"/>
  <c r="E235" i="10"/>
  <c r="D266" i="36"/>
  <c r="AC265" i="39"/>
  <c r="P265" i="39"/>
  <c r="O265" i="39"/>
  <c r="I233" i="28"/>
  <c r="I601" i="7" s="1"/>
  <c r="Z233" i="28"/>
  <c r="AB233" i="28" s="1"/>
  <c r="N601" i="7"/>
  <c r="AH233" i="28"/>
  <c r="AF233" i="28" s="1"/>
  <c r="X231" i="28"/>
  <c r="AC233" i="28"/>
  <c r="J244" i="13" l="1"/>
  <c r="X244" i="13"/>
  <c r="E266" i="36"/>
  <c r="C267" i="36"/>
  <c r="Z266" i="39"/>
  <c r="F266" i="39"/>
  <c r="I268" i="13"/>
  <c r="I323" i="7" s="1"/>
  <c r="J233" i="28"/>
  <c r="H233" i="28" s="1"/>
  <c r="G244" i="13" l="1"/>
  <c r="G299" i="7" s="1"/>
  <c r="Y266" i="39"/>
  <c r="L266" i="39"/>
  <c r="K266" i="39"/>
  <c r="V266" i="39"/>
  <c r="S266" i="39"/>
  <c r="T266" i="39" s="1"/>
  <c r="J266" i="39"/>
  <c r="J601" i="7"/>
  <c r="H601" i="7"/>
  <c r="R233" i="28"/>
  <c r="R601" i="7" s="1"/>
  <c r="Q233" i="28"/>
  <c r="Q601" i="7" s="1"/>
  <c r="F234" i="28"/>
  <c r="P299" i="7" l="1"/>
  <c r="Q299" i="7"/>
  <c r="S244" i="13"/>
  <c r="F245" i="13"/>
  <c r="R244" i="13"/>
  <c r="X266" i="39"/>
  <c r="H266" i="39"/>
  <c r="U266" i="39"/>
  <c r="G266" i="39" s="1"/>
  <c r="N234" i="28"/>
  <c r="AD234" i="28"/>
  <c r="M234" i="28"/>
  <c r="M602" i="7" s="1"/>
  <c r="AG234" i="28"/>
  <c r="K234" i="28"/>
  <c r="L234" i="28"/>
  <c r="L602" i="7" s="1"/>
  <c r="AA234" i="28"/>
  <c r="F602" i="7"/>
  <c r="S602" i="7" s="1"/>
  <c r="V245" i="13" l="1"/>
  <c r="K245" i="13"/>
  <c r="J300" i="7" s="1"/>
  <c r="AB245" i="13"/>
  <c r="L245" i="13"/>
  <c r="K300" i="7" s="1"/>
  <c r="N245" i="13"/>
  <c r="Y245" i="13"/>
  <c r="H245" i="13" s="1"/>
  <c r="H300" i="7" s="1"/>
  <c r="M245" i="13"/>
  <c r="L300" i="7" s="1"/>
  <c r="F300" i="7"/>
  <c r="R300" i="7" s="1"/>
  <c r="D267" i="36"/>
  <c r="I266" i="39"/>
  <c r="AC266" i="39" s="1"/>
  <c r="P266" i="39"/>
  <c r="O266" i="39"/>
  <c r="I269" i="13"/>
  <c r="I324" i="7" s="1"/>
  <c r="I234" i="28"/>
  <c r="I602" i="7" s="1"/>
  <c r="K602" i="7"/>
  <c r="X232" i="28"/>
  <c r="AH234" i="28"/>
  <c r="AF234" i="28" s="1"/>
  <c r="N602" i="7"/>
  <c r="AE234" i="28"/>
  <c r="Z234" i="28"/>
  <c r="AB234" i="28" s="1"/>
  <c r="E236" i="10" l="1"/>
  <c r="AC245" i="13"/>
  <c r="AA245" i="13" s="1"/>
  <c r="Z245" i="13"/>
  <c r="U245" i="13"/>
  <c r="W245" i="13" s="1"/>
  <c r="M300" i="7"/>
  <c r="C268" i="36"/>
  <c r="E267" i="36"/>
  <c r="Z267" i="39"/>
  <c r="F267" i="39"/>
  <c r="AC234" i="28"/>
  <c r="J234" i="28"/>
  <c r="J245" i="13" l="1"/>
  <c r="X245" i="13"/>
  <c r="V267" i="39"/>
  <c r="H267" i="39" s="1"/>
  <c r="Y267" i="39"/>
  <c r="X267" i="39" s="1"/>
  <c r="S267" i="39"/>
  <c r="T267" i="39" s="1"/>
  <c r="J267" i="39"/>
  <c r="K267" i="39"/>
  <c r="L267" i="39"/>
  <c r="J602" i="7"/>
  <c r="H234" i="28"/>
  <c r="G245" i="13" l="1"/>
  <c r="U267" i="39"/>
  <c r="G267" i="39" s="1"/>
  <c r="I267" i="39" s="1"/>
  <c r="F235" i="28"/>
  <c r="H602" i="7"/>
  <c r="Q234" i="28"/>
  <c r="Q602" i="7" s="1"/>
  <c r="R234" i="28"/>
  <c r="R602" i="7" s="1"/>
  <c r="F246" i="13" l="1"/>
  <c r="R245" i="13"/>
  <c r="S245" i="13"/>
  <c r="G300" i="7"/>
  <c r="D268" i="36"/>
  <c r="O267" i="39"/>
  <c r="AC267" i="39"/>
  <c r="P267" i="39"/>
  <c r="I270" i="13"/>
  <c r="I325" i="7" s="1"/>
  <c r="F603" i="7"/>
  <c r="S603" i="7" s="1"/>
  <c r="M235" i="28"/>
  <c r="M603" i="7" s="1"/>
  <c r="AA235" i="28"/>
  <c r="AD235" i="28"/>
  <c r="K235" i="28"/>
  <c r="L235" i="28"/>
  <c r="L603" i="7" s="1"/>
  <c r="N235" i="28"/>
  <c r="AG235" i="28"/>
  <c r="K246" i="13" l="1"/>
  <c r="J301" i="7" s="1"/>
  <c r="N246" i="13"/>
  <c r="L246" i="13"/>
  <c r="K301" i="7" s="1"/>
  <c r="AB246" i="13"/>
  <c r="M246" i="13"/>
  <c r="L301" i="7" s="1"/>
  <c r="Y246" i="13"/>
  <c r="V246" i="13"/>
  <c r="F301" i="7"/>
  <c r="R301" i="7" s="1"/>
  <c r="P300" i="7"/>
  <c r="Q300" i="7"/>
  <c r="E268" i="36"/>
  <c r="C269" i="36"/>
  <c r="F268" i="39"/>
  <c r="Z268" i="39"/>
  <c r="I235" i="28"/>
  <c r="I603" i="7" s="1"/>
  <c r="N603" i="7"/>
  <c r="Z235" i="28"/>
  <c r="AB235" i="28" s="1"/>
  <c r="AE235" i="28"/>
  <c r="AH235" i="28"/>
  <c r="AF235" i="28" s="1"/>
  <c r="K603" i="7"/>
  <c r="X233" i="28"/>
  <c r="H246" i="13" l="1"/>
  <c r="H301" i="7" s="1"/>
  <c r="U246" i="13"/>
  <c r="AC246" i="13"/>
  <c r="AA246" i="13" s="1"/>
  <c r="M301" i="7"/>
  <c r="E237" i="10"/>
  <c r="Z246" i="13"/>
  <c r="S268" i="39"/>
  <c r="T268" i="39" s="1"/>
  <c r="K268" i="39"/>
  <c r="Y268" i="39"/>
  <c r="L268" i="39"/>
  <c r="J268" i="39"/>
  <c r="V268" i="39"/>
  <c r="AC235" i="28"/>
  <c r="J235" i="28"/>
  <c r="W246" i="13" l="1"/>
  <c r="J246" i="13"/>
  <c r="X246" i="13"/>
  <c r="X268" i="39"/>
  <c r="H268" i="39"/>
  <c r="U268" i="39"/>
  <c r="G268" i="39" s="1"/>
  <c r="I268" i="39" s="1"/>
  <c r="I271" i="13"/>
  <c r="I326" i="7" s="1"/>
  <c r="H235" i="28"/>
  <c r="J603" i="7"/>
  <c r="G246" i="13" l="1"/>
  <c r="AC268" i="39"/>
  <c r="P268" i="39"/>
  <c r="D269" i="36"/>
  <c r="O268" i="39"/>
  <c r="R235" i="28"/>
  <c r="R603" i="7" s="1"/>
  <c r="Q235" i="28"/>
  <c r="Q603" i="7" s="1"/>
  <c r="F236" i="28"/>
  <c r="H603" i="7"/>
  <c r="S246" i="13" l="1"/>
  <c r="R246" i="13"/>
  <c r="F247" i="13"/>
  <c r="G301" i="7"/>
  <c r="Z269" i="39"/>
  <c r="F269" i="39"/>
  <c r="C270" i="36"/>
  <c r="E269" i="36"/>
  <c r="K236" i="28"/>
  <c r="N236" i="28"/>
  <c r="M236" i="28"/>
  <c r="M604" i="7" s="1"/>
  <c r="AG236" i="28"/>
  <c r="AA236" i="28"/>
  <c r="AD236" i="28"/>
  <c r="F604" i="7"/>
  <c r="S604" i="7" s="1"/>
  <c r="L236" i="28"/>
  <c r="L604" i="7" s="1"/>
  <c r="L247" i="13" l="1"/>
  <c r="K302" i="7" s="1"/>
  <c r="AB247" i="13"/>
  <c r="V247" i="13"/>
  <c r="M247" i="13"/>
  <c r="L302" i="7" s="1"/>
  <c r="Y247" i="13"/>
  <c r="F302" i="7"/>
  <c r="R302" i="7" s="1"/>
  <c r="Q301" i="7"/>
  <c r="P301" i="7"/>
  <c r="K247" i="13"/>
  <c r="J302" i="7" s="1"/>
  <c r="N247" i="13"/>
  <c r="M302" i="7" s="1"/>
  <c r="S269" i="39"/>
  <c r="T269" i="39" s="1"/>
  <c r="V269" i="39"/>
  <c r="L269" i="39"/>
  <c r="K269" i="39"/>
  <c r="Y269" i="39"/>
  <c r="J269" i="39"/>
  <c r="I236" i="28"/>
  <c r="I604" i="7" s="1"/>
  <c r="N604" i="7"/>
  <c r="Z236" i="28"/>
  <c r="AB236" i="28" s="1"/>
  <c r="AH236" i="28"/>
  <c r="AF236" i="28" s="1"/>
  <c r="AE236" i="28"/>
  <c r="K604" i="7"/>
  <c r="X234" i="28"/>
  <c r="H247" i="13" l="1"/>
  <c r="H302" i="7" s="1"/>
  <c r="E238" i="10"/>
  <c r="AC247" i="13"/>
  <c r="U247" i="13"/>
  <c r="W247" i="13" s="1"/>
  <c r="Z247" i="13"/>
  <c r="H269" i="39"/>
  <c r="X269" i="39"/>
  <c r="U269" i="39"/>
  <c r="G269" i="39" s="1"/>
  <c r="I269" i="39" s="1"/>
  <c r="AC269" i="39" s="1"/>
  <c r="I272" i="13"/>
  <c r="I327" i="7" s="1"/>
  <c r="AC236" i="28"/>
  <c r="J236" i="28"/>
  <c r="AA247" i="13" l="1"/>
  <c r="X247" i="13"/>
  <c r="J247" i="13"/>
  <c r="G247" i="13" s="1"/>
  <c r="G302" i="7" s="1"/>
  <c r="D270" i="36"/>
  <c r="P269" i="39"/>
  <c r="O269" i="39"/>
  <c r="H236" i="28"/>
  <c r="J604" i="7"/>
  <c r="R247" i="13" l="1"/>
  <c r="S247" i="13"/>
  <c r="P302" i="7"/>
  <c r="Q302" i="7"/>
  <c r="F248" i="13"/>
  <c r="K248" i="13" s="1"/>
  <c r="J303" i="7" s="1"/>
  <c r="Z270" i="39"/>
  <c r="F270" i="39"/>
  <c r="E270" i="36"/>
  <c r="C271" i="36"/>
  <c r="R236" i="28"/>
  <c r="R604" i="7" s="1"/>
  <c r="F237" i="28"/>
  <c r="Q236" i="28"/>
  <c r="Q604" i="7" s="1"/>
  <c r="H604" i="7"/>
  <c r="V248" i="13" l="1"/>
  <c r="Y248" i="13"/>
  <c r="N248" i="13"/>
  <c r="M248" i="13"/>
  <c r="L303" i="7" s="1"/>
  <c r="AB248" i="13"/>
  <c r="H248" i="13" s="1"/>
  <c r="H303" i="7" s="1"/>
  <c r="F303" i="7"/>
  <c r="R303" i="7" s="1"/>
  <c r="L248" i="13"/>
  <c r="K303" i="7" s="1"/>
  <c r="L270" i="39"/>
  <c r="K270" i="39"/>
  <c r="V270" i="39"/>
  <c r="S270" i="39"/>
  <c r="T270" i="39" s="1"/>
  <c r="J270" i="39"/>
  <c r="Y270" i="39"/>
  <c r="X270" i="39" s="1"/>
  <c r="AD237" i="28"/>
  <c r="N237" i="28"/>
  <c r="AA237" i="28"/>
  <c r="K237" i="28"/>
  <c r="M237" i="28"/>
  <c r="M605" i="7" s="1"/>
  <c r="AG237" i="28"/>
  <c r="F605" i="7"/>
  <c r="S605" i="7" s="1"/>
  <c r="L237" i="28"/>
  <c r="L605" i="7" s="1"/>
  <c r="Z248" i="13" l="1"/>
  <c r="U248" i="13"/>
  <c r="AC248" i="13"/>
  <c r="M303" i="7"/>
  <c r="E239" i="10"/>
  <c r="H270" i="39"/>
  <c r="U270" i="39"/>
  <c r="G270" i="39" s="1"/>
  <c r="I273" i="13"/>
  <c r="I328" i="7" s="1"/>
  <c r="I237" i="28"/>
  <c r="I605" i="7" s="1"/>
  <c r="K605" i="7"/>
  <c r="X235" i="28"/>
  <c r="N605" i="7"/>
  <c r="Z237" i="28"/>
  <c r="AB237" i="28" s="1"/>
  <c r="AE237" i="28"/>
  <c r="AH237" i="28"/>
  <c r="AF237" i="28" s="1"/>
  <c r="J248" i="13" l="1"/>
  <c r="X248" i="13"/>
  <c r="W248" i="13"/>
  <c r="AA248" i="13"/>
  <c r="D271" i="36"/>
  <c r="I270" i="39"/>
  <c r="AC270" i="39" s="1"/>
  <c r="O270" i="39"/>
  <c r="P270" i="39"/>
  <c r="AC237" i="28"/>
  <c r="J237" i="28"/>
  <c r="G248" i="13" l="1"/>
  <c r="F249" i="13"/>
  <c r="S248" i="13"/>
  <c r="G303" i="7"/>
  <c r="K249" i="13"/>
  <c r="J304" i="7" s="1"/>
  <c r="M249" i="13"/>
  <c r="L304" i="7" s="1"/>
  <c r="E271" i="36"/>
  <c r="C272" i="36"/>
  <c r="Z271" i="39"/>
  <c r="F271" i="39"/>
  <c r="J605" i="7"/>
  <c r="H237" i="28"/>
  <c r="R248" i="13" l="1"/>
  <c r="N249" i="13"/>
  <c r="M304" i="7" s="1"/>
  <c r="F304" i="7"/>
  <c r="R304" i="7" s="1"/>
  <c r="Y249" i="13"/>
  <c r="P303" i="7"/>
  <c r="Q303" i="7"/>
  <c r="AB249" i="13"/>
  <c r="H249" i="13" s="1"/>
  <c r="H304" i="7" s="1"/>
  <c r="L249" i="13"/>
  <c r="K304" i="7" s="1"/>
  <c r="V249" i="13"/>
  <c r="AC249" i="13"/>
  <c r="U249" i="13"/>
  <c r="Z249" i="13"/>
  <c r="E240" i="10"/>
  <c r="S271" i="39"/>
  <c r="T271" i="39" s="1"/>
  <c r="L271" i="39"/>
  <c r="V271" i="39"/>
  <c r="Y271" i="39"/>
  <c r="K271" i="39"/>
  <c r="J271" i="39"/>
  <c r="R237" i="28"/>
  <c r="R605" i="7" s="1"/>
  <c r="H605" i="7"/>
  <c r="F238" i="28"/>
  <c r="Q237" i="28"/>
  <c r="Q605" i="7" s="1"/>
  <c r="J249" i="13" l="1"/>
  <c r="AA249" i="13"/>
  <c r="W249" i="13"/>
  <c r="X249" i="13"/>
  <c r="X271" i="39"/>
  <c r="H271" i="39"/>
  <c r="U271" i="39"/>
  <c r="G271" i="39" s="1"/>
  <c r="I271" i="39" s="1"/>
  <c r="AC271" i="39" s="1"/>
  <c r="I274" i="13"/>
  <c r="I329" i="7" s="1"/>
  <c r="F606" i="7"/>
  <c r="S606" i="7" s="1"/>
  <c r="N238" i="28"/>
  <c r="N606" i="7" s="1"/>
  <c r="K238" i="28"/>
  <c r="K606" i="7" s="1"/>
  <c r="AA238" i="28"/>
  <c r="M238" i="28"/>
  <c r="M606" i="7" s="1"/>
  <c r="AD238" i="28"/>
  <c r="L238" i="28"/>
  <c r="L606" i="7" s="1"/>
  <c r="AG238" i="28"/>
  <c r="G249" i="13" l="1"/>
  <c r="G304" i="7" s="1"/>
  <c r="D272" i="36"/>
  <c r="P271" i="39"/>
  <c r="O271" i="39"/>
  <c r="Z238" i="28"/>
  <c r="AB238" i="28" s="1"/>
  <c r="AH238" i="28"/>
  <c r="AF238" i="28" s="1"/>
  <c r="AE238" i="28"/>
  <c r="AC238" i="28" s="1"/>
  <c r="I238" i="28"/>
  <c r="I606" i="7" s="1"/>
  <c r="X236" i="28"/>
  <c r="R249" i="13" l="1"/>
  <c r="F250" i="13"/>
  <c r="F305" i="7" s="1"/>
  <c r="R305" i="7" s="1"/>
  <c r="P304" i="7"/>
  <c r="S249" i="13"/>
  <c r="Q304" i="7"/>
  <c r="C273" i="36"/>
  <c r="E272" i="36"/>
  <c r="F272" i="39"/>
  <c r="Z272" i="39"/>
  <c r="J238" i="28"/>
  <c r="H238" i="28" s="1"/>
  <c r="L250" i="13" l="1"/>
  <c r="K305" i="7" s="1"/>
  <c r="K250" i="13"/>
  <c r="J305" i="7" s="1"/>
  <c r="Y250" i="13"/>
  <c r="AB250" i="13"/>
  <c r="M250" i="13"/>
  <c r="L305" i="7" s="1"/>
  <c r="V250" i="13"/>
  <c r="N250" i="13"/>
  <c r="M305" i="7" s="1"/>
  <c r="S272" i="39"/>
  <c r="T272" i="39" s="1"/>
  <c r="Y272" i="39"/>
  <c r="L272" i="39"/>
  <c r="V272" i="39"/>
  <c r="K272" i="39"/>
  <c r="J272" i="39"/>
  <c r="J606" i="7"/>
  <c r="Q238" i="28"/>
  <c r="Q606" i="7" s="1"/>
  <c r="F239" i="28"/>
  <c r="R238" i="28"/>
  <c r="R606" i="7" s="1"/>
  <c r="H606" i="7"/>
  <c r="H250" i="13" l="1"/>
  <c r="H305" i="7" s="1"/>
  <c r="U250" i="13"/>
  <c r="Z250" i="13"/>
  <c r="AC250" i="13"/>
  <c r="E241" i="10"/>
  <c r="X272" i="39"/>
  <c r="U272" i="39"/>
  <c r="G272" i="39" s="1"/>
  <c r="H272" i="39"/>
  <c r="I275" i="13"/>
  <c r="I330" i="7" s="1"/>
  <c r="AD239" i="28"/>
  <c r="L239" i="28"/>
  <c r="L607" i="7" s="1"/>
  <c r="N239" i="28"/>
  <c r="N607" i="7" s="1"/>
  <c r="AG239" i="28"/>
  <c r="K239" i="28"/>
  <c r="F607" i="7"/>
  <c r="S607" i="7" s="1"/>
  <c r="M239" i="28"/>
  <c r="M607" i="7" s="1"/>
  <c r="AA239" i="28"/>
  <c r="J250" i="13" l="1"/>
  <c r="W250" i="13"/>
  <c r="X250" i="13"/>
  <c r="AA250" i="13"/>
  <c r="D273" i="36"/>
  <c r="I272" i="39"/>
  <c r="AC272" i="39" s="1"/>
  <c r="P272" i="39"/>
  <c r="O272" i="39"/>
  <c r="I239" i="28"/>
  <c r="I607" i="7" s="1"/>
  <c r="Z239" i="28"/>
  <c r="AB239" i="28" s="1"/>
  <c r="K607" i="7"/>
  <c r="X237" i="28"/>
  <c r="AE239" i="28"/>
  <c r="AH239" i="28"/>
  <c r="AF239" i="28" s="1"/>
  <c r="G250" i="13" l="1"/>
  <c r="G305" i="7" s="1"/>
  <c r="E273" i="36"/>
  <c r="C274" i="36"/>
  <c r="F273" i="39"/>
  <c r="Z273" i="39"/>
  <c r="J239" i="28"/>
  <c r="AC239" i="28"/>
  <c r="R250" i="13" l="1"/>
  <c r="F251" i="13"/>
  <c r="F306" i="7" s="1"/>
  <c r="R306" i="7" s="1"/>
  <c r="P305" i="7"/>
  <c r="S250" i="13"/>
  <c r="Q305" i="7"/>
  <c r="S273" i="39"/>
  <c r="T273" i="39" s="1"/>
  <c r="Y273" i="39"/>
  <c r="L273" i="39"/>
  <c r="V273" i="39"/>
  <c r="K273" i="39"/>
  <c r="J273" i="39"/>
  <c r="H239" i="28"/>
  <c r="J607" i="7"/>
  <c r="Y251" i="13" l="1"/>
  <c r="H251" i="13" s="1"/>
  <c r="H306" i="7" s="1"/>
  <c r="M251" i="13"/>
  <c r="L306" i="7" s="1"/>
  <c r="K251" i="13"/>
  <c r="J306" i="7" s="1"/>
  <c r="AB251" i="13"/>
  <c r="V251" i="13"/>
  <c r="L251" i="13"/>
  <c r="K306" i="7" s="1"/>
  <c r="N251" i="13"/>
  <c r="M306" i="7" s="1"/>
  <c r="U251" i="13"/>
  <c r="W251" i="13" s="1"/>
  <c r="U273" i="39"/>
  <c r="G273" i="39" s="1"/>
  <c r="X273" i="39"/>
  <c r="H273" i="39"/>
  <c r="I276" i="13"/>
  <c r="I331" i="7" s="1"/>
  <c r="Q239" i="28"/>
  <c r="Q607" i="7" s="1"/>
  <c r="H607" i="7"/>
  <c r="F240" i="28"/>
  <c r="R239" i="28"/>
  <c r="R607" i="7" s="1"/>
  <c r="Z251" i="13" l="1"/>
  <c r="AC251" i="13"/>
  <c r="AA251" i="13" s="1"/>
  <c r="J252" i="13"/>
  <c r="D274" i="36"/>
  <c r="I273" i="39"/>
  <c r="AC273" i="39" s="1"/>
  <c r="O273" i="39"/>
  <c r="P273" i="39"/>
  <c r="F608" i="7"/>
  <c r="S608" i="7" s="1"/>
  <c r="K240" i="28"/>
  <c r="K608" i="7" s="1"/>
  <c r="AD240" i="28"/>
  <c r="L240" i="28"/>
  <c r="L608" i="7" s="1"/>
  <c r="AG240" i="28"/>
  <c r="AA240" i="28"/>
  <c r="N240" i="28"/>
  <c r="N608" i="7" s="1"/>
  <c r="M240" i="28"/>
  <c r="M608" i="7" s="1"/>
  <c r="J251" i="13" l="1"/>
  <c r="G251" i="13" s="1"/>
  <c r="F252" i="13" s="1"/>
  <c r="X251" i="13"/>
  <c r="U252" i="13"/>
  <c r="N252" i="13"/>
  <c r="M307" i="7" s="1"/>
  <c r="AB252" i="13"/>
  <c r="V252" i="13"/>
  <c r="K252" i="13"/>
  <c r="J307" i="7" s="1"/>
  <c r="L252" i="13"/>
  <c r="K307" i="7" s="1"/>
  <c r="Y252" i="13"/>
  <c r="H252" i="13" s="1"/>
  <c r="H307" i="7" s="1"/>
  <c r="M252" i="13"/>
  <c r="L307" i="7" s="1"/>
  <c r="F307" i="7"/>
  <c r="E274" i="36"/>
  <c r="C275" i="36"/>
  <c r="F274" i="39"/>
  <c r="Z274" i="39"/>
  <c r="I240" i="28"/>
  <c r="I608" i="7" s="1"/>
  <c r="Z240" i="28"/>
  <c r="AB240" i="28" s="1"/>
  <c r="AH240" i="28"/>
  <c r="AF240" i="28" s="1"/>
  <c r="AE240" i="28"/>
  <c r="AC240" i="28" s="1"/>
  <c r="X238" i="28"/>
  <c r="S251" i="13" l="1"/>
  <c r="R251" i="13"/>
  <c r="G306" i="7"/>
  <c r="Z252" i="13"/>
  <c r="AC252" i="13"/>
  <c r="W252" i="13"/>
  <c r="R307" i="7"/>
  <c r="Q306" i="7"/>
  <c r="P306" i="7"/>
  <c r="K274" i="39"/>
  <c r="S274" i="39"/>
  <c r="T274" i="39" s="1"/>
  <c r="Y274" i="39"/>
  <c r="X274" i="39" s="1"/>
  <c r="L274" i="39"/>
  <c r="J274" i="39"/>
  <c r="V274" i="39"/>
  <c r="I277" i="13"/>
  <c r="I332" i="7" s="1"/>
  <c r="J240" i="28"/>
  <c r="H240" i="28" s="1"/>
  <c r="X252" i="13" l="1"/>
  <c r="G252" i="13" s="1"/>
  <c r="AA252" i="13"/>
  <c r="F253" i="13"/>
  <c r="S252" i="13"/>
  <c r="R252" i="13"/>
  <c r="G307" i="7"/>
  <c r="J253" i="13"/>
  <c r="H274" i="39"/>
  <c r="U274" i="39"/>
  <c r="G274" i="39" s="1"/>
  <c r="D275" i="36" s="1"/>
  <c r="J608" i="7"/>
  <c r="F241" i="28"/>
  <c r="H608" i="7"/>
  <c r="Q240" i="28"/>
  <c r="Q608" i="7" s="1"/>
  <c r="R240" i="28"/>
  <c r="R608" i="7" s="1"/>
  <c r="M253" i="13" l="1"/>
  <c r="L308" i="7" s="1"/>
  <c r="K253" i="13"/>
  <c r="J308" i="7" s="1"/>
  <c r="L253" i="13"/>
  <c r="K308" i="7" s="1"/>
  <c r="V253" i="13"/>
  <c r="Y253" i="13"/>
  <c r="H253" i="13" s="1"/>
  <c r="N253" i="13"/>
  <c r="AB253" i="13"/>
  <c r="F308" i="7"/>
  <c r="Q307" i="7"/>
  <c r="P307" i="7"/>
  <c r="I274" i="39"/>
  <c r="AC274" i="39" s="1"/>
  <c r="O274" i="39"/>
  <c r="P274" i="39"/>
  <c r="E275" i="36"/>
  <c r="C276" i="36"/>
  <c r="AA241" i="28"/>
  <c r="L241" i="28"/>
  <c r="L609" i="7" s="1"/>
  <c r="N241" i="28"/>
  <c r="M241" i="28"/>
  <c r="M609" i="7" s="1"/>
  <c r="F609" i="7"/>
  <c r="S609" i="7" s="1"/>
  <c r="K241" i="28"/>
  <c r="AD241" i="28"/>
  <c r="AG241" i="28"/>
  <c r="Z253" i="13" l="1"/>
  <c r="U253" i="13"/>
  <c r="G253" i="13"/>
  <c r="H308" i="7"/>
  <c r="M308" i="7"/>
  <c r="AC253" i="13"/>
  <c r="AA253" i="13" s="1"/>
  <c r="R308" i="7"/>
  <c r="F275" i="39"/>
  <c r="Z275" i="39"/>
  <c r="I241" i="28"/>
  <c r="I609" i="7" s="1"/>
  <c r="K609" i="7"/>
  <c r="X239" i="28"/>
  <c r="AH241" i="28"/>
  <c r="AF241" i="28" s="1"/>
  <c r="Z241" i="28"/>
  <c r="AB241" i="28" s="1"/>
  <c r="AE241" i="28"/>
  <c r="N609" i="7"/>
  <c r="X253" i="13" l="1"/>
  <c r="W253" i="13"/>
  <c r="F254" i="13"/>
  <c r="G308" i="7"/>
  <c r="R253" i="13"/>
  <c r="S253" i="13"/>
  <c r="J275" i="39"/>
  <c r="Y275" i="39"/>
  <c r="X275" i="39" s="1"/>
  <c r="K275" i="39"/>
  <c r="S275" i="39"/>
  <c r="T275" i="39" s="1"/>
  <c r="V275" i="39"/>
  <c r="L275" i="39"/>
  <c r="I278" i="13"/>
  <c r="I333" i="7" s="1"/>
  <c r="AC241" i="28"/>
  <c r="J241" i="28"/>
  <c r="Y254" i="13" l="1"/>
  <c r="H254" i="13" s="1"/>
  <c r="H309" i="7" s="1"/>
  <c r="M254" i="13"/>
  <c r="L309" i="7" s="1"/>
  <c r="V254" i="13"/>
  <c r="U254" i="13"/>
  <c r="N254" i="13"/>
  <c r="K254" i="13"/>
  <c r="J309" i="7" s="1"/>
  <c r="F309" i="7"/>
  <c r="L254" i="13"/>
  <c r="K309" i="7" s="1"/>
  <c r="AB254" i="13"/>
  <c r="Q308" i="7"/>
  <c r="P308" i="7"/>
  <c r="U275" i="39"/>
  <c r="G275" i="39" s="1"/>
  <c r="D276" i="36" s="1"/>
  <c r="H275" i="39"/>
  <c r="H241" i="28"/>
  <c r="J609" i="7"/>
  <c r="Z254" i="13" l="1"/>
  <c r="W254" i="13"/>
  <c r="J254" i="13"/>
  <c r="AC254" i="13"/>
  <c r="AA254" i="13" s="1"/>
  <c r="M309" i="7"/>
  <c r="R309" i="7"/>
  <c r="I275" i="39"/>
  <c r="AC275" i="39" s="1"/>
  <c r="P275" i="39"/>
  <c r="E276" i="36"/>
  <c r="C277" i="36"/>
  <c r="O275" i="39"/>
  <c r="H609" i="7"/>
  <c r="F242" i="28"/>
  <c r="Q241" i="28"/>
  <c r="Q609" i="7" s="1"/>
  <c r="R241" i="28"/>
  <c r="R609" i="7" s="1"/>
  <c r="X254" i="13" l="1"/>
  <c r="G254" i="13"/>
  <c r="J255" i="13"/>
  <c r="F276" i="39"/>
  <c r="Z276" i="39"/>
  <c r="I279" i="13"/>
  <c r="I334" i="7" s="1"/>
  <c r="M242" i="28"/>
  <c r="M610" i="7" s="1"/>
  <c r="L242" i="28"/>
  <c r="L610" i="7" s="1"/>
  <c r="AG242" i="28"/>
  <c r="K242" i="28"/>
  <c r="N242" i="28"/>
  <c r="AD242" i="28"/>
  <c r="F610" i="7"/>
  <c r="S610" i="7" s="1"/>
  <c r="AA242" i="28"/>
  <c r="G309" i="7" l="1"/>
  <c r="R254" i="13"/>
  <c r="F255" i="13"/>
  <c r="S254" i="13"/>
  <c r="Y276" i="39"/>
  <c r="S276" i="39"/>
  <c r="T276" i="39" s="1"/>
  <c r="V276" i="39"/>
  <c r="L276" i="39"/>
  <c r="K276" i="39"/>
  <c r="J276" i="39"/>
  <c r="I242" i="28"/>
  <c r="I610" i="7" s="1"/>
  <c r="AH242" i="28"/>
  <c r="AF242" i="28" s="1"/>
  <c r="N610" i="7"/>
  <c r="Z242" i="28"/>
  <c r="AB242" i="28" s="1"/>
  <c r="AE242" i="28"/>
  <c r="K610" i="7"/>
  <c r="X240" i="28"/>
  <c r="Q309" i="7" l="1"/>
  <c r="P309" i="7"/>
  <c r="AB255" i="13"/>
  <c r="F310" i="7"/>
  <c r="M255" i="13"/>
  <c r="L310" i="7" s="1"/>
  <c r="V255" i="13"/>
  <c r="Y255" i="13"/>
  <c r="H255" i="13" s="1"/>
  <c r="K255" i="13"/>
  <c r="J310" i="7" s="1"/>
  <c r="L255" i="13"/>
  <c r="K310" i="7" s="1"/>
  <c r="N255" i="13"/>
  <c r="X276" i="39"/>
  <c r="U276" i="39"/>
  <c r="G276" i="39" s="1"/>
  <c r="D277" i="36" s="1"/>
  <c r="H276" i="39"/>
  <c r="AC242" i="28"/>
  <c r="J242" i="28"/>
  <c r="Z255" i="13" l="1"/>
  <c r="U255" i="13"/>
  <c r="R310" i="7"/>
  <c r="G255" i="13"/>
  <c r="H310" i="7"/>
  <c r="AC255" i="13"/>
  <c r="AA255" i="13" s="1"/>
  <c r="M310" i="7"/>
  <c r="I276" i="39"/>
  <c r="AC276" i="39" s="1"/>
  <c r="E277" i="36"/>
  <c r="C278" i="36"/>
  <c r="O276" i="39"/>
  <c r="P276" i="39"/>
  <c r="J610" i="7"/>
  <c r="H242" i="28"/>
  <c r="X255" i="13" l="1"/>
  <c r="W255" i="13"/>
  <c r="R255" i="13"/>
  <c r="F256" i="13"/>
  <c r="S255" i="13"/>
  <c r="G310" i="7"/>
  <c r="Z277" i="39"/>
  <c r="F277" i="39"/>
  <c r="H610" i="7"/>
  <c r="R242" i="28"/>
  <c r="R610" i="7" s="1"/>
  <c r="F243" i="28"/>
  <c r="Q242" i="28"/>
  <c r="Q610" i="7" s="1"/>
  <c r="L256" i="13" l="1"/>
  <c r="K311" i="7" s="1"/>
  <c r="AB256" i="13"/>
  <c r="N256" i="13"/>
  <c r="M311" i="7" s="1"/>
  <c r="Y256" i="13"/>
  <c r="H256" i="13" s="1"/>
  <c r="H311" i="7" s="1"/>
  <c r="M256" i="13"/>
  <c r="L311" i="7" s="1"/>
  <c r="V256" i="13"/>
  <c r="K256" i="13"/>
  <c r="J311" i="7" s="1"/>
  <c r="F311" i="7"/>
  <c r="Q310" i="7"/>
  <c r="P310" i="7"/>
  <c r="J256" i="13"/>
  <c r="K277" i="39"/>
  <c r="J277" i="39"/>
  <c r="L277" i="39"/>
  <c r="Y277" i="39"/>
  <c r="X277" i="39" s="1"/>
  <c r="S277" i="39"/>
  <c r="T277" i="39" s="1"/>
  <c r="V277" i="39"/>
  <c r="I280" i="13"/>
  <c r="I335" i="7" s="1"/>
  <c r="AD243" i="28"/>
  <c r="AG243" i="28"/>
  <c r="K243" i="28"/>
  <c r="N243" i="28"/>
  <c r="F611" i="7"/>
  <c r="S611" i="7" s="1"/>
  <c r="M243" i="28"/>
  <c r="M611" i="7" s="1"/>
  <c r="L243" i="28"/>
  <c r="L611" i="7" s="1"/>
  <c r="AA243" i="28"/>
  <c r="U256" i="13" l="1"/>
  <c r="Z256" i="13"/>
  <c r="AC256" i="13"/>
  <c r="AA256" i="13" s="1"/>
  <c r="R311" i="7"/>
  <c r="G256" i="13"/>
  <c r="G311" i="7" s="1"/>
  <c r="P311" i="7" s="1"/>
  <c r="U277" i="39"/>
  <c r="G277" i="39" s="1"/>
  <c r="D278" i="36" s="1"/>
  <c r="H277" i="39"/>
  <c r="I243" i="28"/>
  <c r="I611" i="7" s="1"/>
  <c r="AE243" i="28"/>
  <c r="AH243" i="28"/>
  <c r="AF243" i="28" s="1"/>
  <c r="N611" i="7"/>
  <c r="Z243" i="28"/>
  <c r="AB243" i="28" s="1"/>
  <c r="X241" i="28"/>
  <c r="K611" i="7"/>
  <c r="W256" i="13" l="1"/>
  <c r="X256" i="13"/>
  <c r="F257" i="13"/>
  <c r="F312" i="7" s="1"/>
  <c r="S256" i="13"/>
  <c r="R256" i="13"/>
  <c r="Q311" i="7"/>
  <c r="I277" i="39"/>
  <c r="AC277" i="39" s="1"/>
  <c r="E278" i="36"/>
  <c r="C279" i="36"/>
  <c r="O277" i="39"/>
  <c r="P277" i="39"/>
  <c r="AC243" i="28"/>
  <c r="J243" i="28"/>
  <c r="R312" i="7" l="1"/>
  <c r="Y257" i="13"/>
  <c r="H257" i="13" s="1"/>
  <c r="H312" i="7" s="1"/>
  <c r="K257" i="13"/>
  <c r="J312" i="7" s="1"/>
  <c r="M257" i="13"/>
  <c r="L312" i="7" s="1"/>
  <c r="N257" i="13"/>
  <c r="V257" i="13"/>
  <c r="L257" i="13"/>
  <c r="K312" i="7" s="1"/>
  <c r="AB257" i="13"/>
  <c r="J257" i="13"/>
  <c r="F278" i="39"/>
  <c r="Z278" i="39"/>
  <c r="I281" i="13"/>
  <c r="I336" i="7" s="1"/>
  <c r="H243" i="28"/>
  <c r="J611" i="7"/>
  <c r="U257" i="13" l="1"/>
  <c r="Z257" i="13"/>
  <c r="AC257" i="13"/>
  <c r="M312" i="7"/>
  <c r="G257" i="13"/>
  <c r="G312" i="7" s="1"/>
  <c r="K278" i="39"/>
  <c r="Y278" i="39"/>
  <c r="S278" i="39"/>
  <c r="T278" i="39" s="1"/>
  <c r="L278" i="39"/>
  <c r="J278" i="39"/>
  <c r="V278" i="39"/>
  <c r="R243" i="28"/>
  <c r="R611" i="7" s="1"/>
  <c r="F244" i="28"/>
  <c r="H611" i="7"/>
  <c r="Q243" i="28"/>
  <c r="Q611" i="7" s="1"/>
  <c r="X257" i="13" l="1"/>
  <c r="W257" i="13"/>
  <c r="AA257" i="13"/>
  <c r="P312" i="7"/>
  <c r="Q312" i="7"/>
  <c r="R257" i="13"/>
  <c r="F258" i="13"/>
  <c r="F313" i="7" s="1"/>
  <c r="S257" i="13"/>
  <c r="X278" i="39"/>
  <c r="U278" i="39"/>
  <c r="G278" i="39" s="1"/>
  <c r="D279" i="36" s="1"/>
  <c r="H278" i="39"/>
  <c r="L244" i="28"/>
  <c r="L612" i="7" s="1"/>
  <c r="K244" i="28"/>
  <c r="M244" i="28"/>
  <c r="M612" i="7" s="1"/>
  <c r="AD244" i="28"/>
  <c r="N244" i="28"/>
  <c r="Z244" i="28" s="1"/>
  <c r="F612" i="7"/>
  <c r="S612" i="7" s="1"/>
  <c r="AG244" i="28"/>
  <c r="AA244" i="28"/>
  <c r="R313" i="7" l="1"/>
  <c r="M258" i="13"/>
  <c r="L313" i="7" s="1"/>
  <c r="K258" i="13"/>
  <c r="J313" i="7" s="1"/>
  <c r="V258" i="13"/>
  <c r="L258" i="13"/>
  <c r="K313" i="7" s="1"/>
  <c r="Y258" i="13"/>
  <c r="H258" i="13" s="1"/>
  <c r="H313" i="7" s="1"/>
  <c r="N258" i="13"/>
  <c r="AB258" i="13"/>
  <c r="I278" i="39"/>
  <c r="AC278" i="39" s="1"/>
  <c r="P278" i="39"/>
  <c r="C280" i="36"/>
  <c r="E279" i="36"/>
  <c r="O278" i="39"/>
  <c r="I282" i="13"/>
  <c r="I337" i="7" s="1"/>
  <c r="I244" i="28"/>
  <c r="I612" i="7" s="1"/>
  <c r="AB244" i="28"/>
  <c r="K612" i="7"/>
  <c r="X242" i="28"/>
  <c r="N612" i="7"/>
  <c r="AH244" i="28"/>
  <c r="AF244" i="28" s="1"/>
  <c r="AE244" i="28"/>
  <c r="AC258" i="13" l="1"/>
  <c r="M313" i="7"/>
  <c r="U258" i="13"/>
  <c r="W258" i="13" s="1"/>
  <c r="Z258" i="13"/>
  <c r="F279" i="39"/>
  <c r="Z279" i="39"/>
  <c r="AC244" i="28"/>
  <c r="J244" i="28"/>
  <c r="AA258" i="13" l="1"/>
  <c r="J258" i="13"/>
  <c r="X258" i="13"/>
  <c r="L279" i="39"/>
  <c r="K279" i="39"/>
  <c r="V279" i="39"/>
  <c r="S279" i="39"/>
  <c r="T279" i="39" s="1"/>
  <c r="Y279" i="39"/>
  <c r="X279" i="39" s="1"/>
  <c r="J279" i="39"/>
  <c r="H244" i="28"/>
  <c r="J612" i="7"/>
  <c r="G258" i="13" l="1"/>
  <c r="G313" i="7" s="1"/>
  <c r="H279" i="39"/>
  <c r="U279" i="39"/>
  <c r="G279" i="39" s="1"/>
  <c r="D280" i="36" s="1"/>
  <c r="F245" i="28"/>
  <c r="R244" i="28"/>
  <c r="R612" i="7" s="1"/>
  <c r="H612" i="7"/>
  <c r="Q244" i="28"/>
  <c r="Q612" i="7" s="1"/>
  <c r="Q313" i="7" l="1"/>
  <c r="P313" i="7"/>
  <c r="R258" i="13"/>
  <c r="S258" i="13"/>
  <c r="F259" i="13"/>
  <c r="I279" i="39"/>
  <c r="AC279" i="39" s="1"/>
  <c r="P279" i="39"/>
  <c r="O279" i="39"/>
  <c r="C281" i="36"/>
  <c r="E280" i="36"/>
  <c r="AG245" i="28"/>
  <c r="L245" i="28"/>
  <c r="L613" i="7" s="1"/>
  <c r="N245" i="28"/>
  <c r="F613" i="7"/>
  <c r="S613" i="7" s="1"/>
  <c r="AA245" i="28"/>
  <c r="M245" i="28"/>
  <c r="M613" i="7" s="1"/>
  <c r="K245" i="28"/>
  <c r="AD245" i="28"/>
  <c r="F314" i="7" l="1"/>
  <c r="AB259" i="13"/>
  <c r="L259" i="13"/>
  <c r="K314" i="7" s="1"/>
  <c r="V259" i="13"/>
  <c r="Y259" i="13"/>
  <c r="H259" i="13" s="1"/>
  <c r="H314" i="7" s="1"/>
  <c r="K259" i="13"/>
  <c r="J314" i="7" s="1"/>
  <c r="N259" i="13"/>
  <c r="M259" i="13"/>
  <c r="L314" i="7" s="1"/>
  <c r="Z280" i="39"/>
  <c r="F280" i="39"/>
  <c r="K613" i="7"/>
  <c r="X243" i="28"/>
  <c r="N613" i="7"/>
  <c r="AE245" i="28"/>
  <c r="AH245" i="28"/>
  <c r="AF245" i="28" s="1"/>
  <c r="Z245" i="28"/>
  <c r="AB245" i="28" s="1"/>
  <c r="I245" i="28"/>
  <c r="I613" i="7" s="1"/>
  <c r="Z259" i="13" l="1"/>
  <c r="R314" i="7"/>
  <c r="J259" i="13"/>
  <c r="AC259" i="13"/>
  <c r="AA259" i="13" s="1"/>
  <c r="M314" i="7"/>
  <c r="U259" i="13"/>
  <c r="W259" i="13" s="1"/>
  <c r="L280" i="39"/>
  <c r="K280" i="39"/>
  <c r="V280" i="39"/>
  <c r="J280" i="39"/>
  <c r="S280" i="39"/>
  <c r="T280" i="39" s="1"/>
  <c r="Y280" i="39"/>
  <c r="X280" i="39" s="1"/>
  <c r="I283" i="13"/>
  <c r="I338" i="7" s="1"/>
  <c r="AC245" i="28"/>
  <c r="J245" i="28"/>
  <c r="X259" i="13" l="1"/>
  <c r="G259" i="13" s="1"/>
  <c r="U280" i="39"/>
  <c r="G280" i="39" s="1"/>
  <c r="D281" i="36" s="1"/>
  <c r="H280" i="39"/>
  <c r="H245" i="28"/>
  <c r="J613" i="7"/>
  <c r="S259" i="13" l="1"/>
  <c r="F260" i="13"/>
  <c r="R259" i="13"/>
  <c r="G314" i="7"/>
  <c r="I280" i="39"/>
  <c r="AC280" i="39" s="1"/>
  <c r="E281" i="36"/>
  <c r="C282" i="36"/>
  <c r="P280" i="39"/>
  <c r="O280" i="39"/>
  <c r="R245" i="28"/>
  <c r="R613" i="7" s="1"/>
  <c r="H613" i="7"/>
  <c r="Q245" i="28"/>
  <c r="Q613" i="7" s="1"/>
  <c r="F246" i="28"/>
  <c r="F315" i="7" l="1"/>
  <c r="M260" i="13"/>
  <c r="L315" i="7" s="1"/>
  <c r="AB260" i="13"/>
  <c r="L260" i="13"/>
  <c r="K315" i="7" s="1"/>
  <c r="K260" i="13"/>
  <c r="J315" i="7" s="1"/>
  <c r="V260" i="13"/>
  <c r="Y260" i="13"/>
  <c r="H260" i="13" s="1"/>
  <c r="H315" i="7" s="1"/>
  <c r="N260" i="13"/>
  <c r="Q314" i="7"/>
  <c r="P314" i="7"/>
  <c r="Z260" i="13"/>
  <c r="U260" i="13"/>
  <c r="J260" i="13"/>
  <c r="F281" i="39"/>
  <c r="Z281" i="39"/>
  <c r="I284" i="13"/>
  <c r="I339" i="7" s="1"/>
  <c r="AD246" i="28"/>
  <c r="M246" i="28"/>
  <c r="M614" i="7" s="1"/>
  <c r="F614" i="7"/>
  <c r="S614" i="7" s="1"/>
  <c r="AG246" i="28"/>
  <c r="L246" i="28"/>
  <c r="L614" i="7" s="1"/>
  <c r="N246" i="28"/>
  <c r="N614" i="7" s="1"/>
  <c r="AA246" i="28"/>
  <c r="K246" i="28"/>
  <c r="K614" i="7" s="1"/>
  <c r="R315" i="7" l="1"/>
  <c r="AC260" i="13"/>
  <c r="AA260" i="13" s="1"/>
  <c r="M315" i="7"/>
  <c r="X260" i="13"/>
  <c r="G260" i="13" s="1"/>
  <c r="G315" i="7" s="1"/>
  <c r="W260" i="13"/>
  <c r="S281" i="39"/>
  <c r="T281" i="39" s="1"/>
  <c r="V281" i="39"/>
  <c r="L281" i="39"/>
  <c r="K281" i="39"/>
  <c r="Y281" i="39"/>
  <c r="X281" i="39" s="1"/>
  <c r="J281" i="39"/>
  <c r="I246" i="28"/>
  <c r="I614" i="7" s="1"/>
  <c r="AH246" i="28"/>
  <c r="AF246" i="28" s="1"/>
  <c r="AE246" i="28"/>
  <c r="Z246" i="28"/>
  <c r="AB246" i="28" s="1"/>
  <c r="X244" i="28"/>
  <c r="F261" i="13" l="1"/>
  <c r="S260" i="13"/>
  <c r="R260" i="13"/>
  <c r="P315" i="7"/>
  <c r="Q315" i="7"/>
  <c r="H281" i="39"/>
  <c r="U281" i="39"/>
  <c r="G281" i="39" s="1"/>
  <c r="D282" i="36" s="1"/>
  <c r="AC246" i="28"/>
  <c r="J246" i="28"/>
  <c r="L261" i="13" l="1"/>
  <c r="K316" i="7" s="1"/>
  <c r="M261" i="13"/>
  <c r="L316" i="7" s="1"/>
  <c r="F316" i="7"/>
  <c r="Y261" i="13"/>
  <c r="H261" i="13" s="1"/>
  <c r="H316" i="7" s="1"/>
  <c r="V261" i="13"/>
  <c r="K261" i="13"/>
  <c r="J316" i="7" s="1"/>
  <c r="AB261" i="13"/>
  <c r="N261" i="13"/>
  <c r="J261" i="13"/>
  <c r="I281" i="39"/>
  <c r="AC281" i="39" s="1"/>
  <c r="E282" i="36"/>
  <c r="C283" i="36"/>
  <c r="O281" i="39"/>
  <c r="P281" i="39"/>
  <c r="H246" i="28"/>
  <c r="J614" i="7"/>
  <c r="U261" i="13" l="1"/>
  <c r="Z261" i="13"/>
  <c r="R316" i="7"/>
  <c r="M316" i="7"/>
  <c r="AC261" i="13"/>
  <c r="AA261" i="13" s="1"/>
  <c r="G261" i="13"/>
  <c r="G316" i="7" s="1"/>
  <c r="Z282" i="39"/>
  <c r="F282" i="39"/>
  <c r="Q246" i="28"/>
  <c r="Q614" i="7" s="1"/>
  <c r="F247" i="28"/>
  <c r="R246" i="28"/>
  <c r="R614" i="7" s="1"/>
  <c r="H614" i="7"/>
  <c r="W261" i="13" l="1"/>
  <c r="X261" i="13"/>
  <c r="P316" i="7"/>
  <c r="Q316" i="7"/>
  <c r="R261" i="13"/>
  <c r="S261" i="13"/>
  <c r="F262" i="13"/>
  <c r="F317" i="7" s="1"/>
  <c r="J282" i="39"/>
  <c r="L282" i="39"/>
  <c r="V282" i="39"/>
  <c r="Y282" i="39"/>
  <c r="X282" i="39" s="1"/>
  <c r="S282" i="39"/>
  <c r="T282" i="39" s="1"/>
  <c r="K282" i="39"/>
  <c r="I285" i="13"/>
  <c r="I340" i="7" s="1"/>
  <c r="L247" i="28"/>
  <c r="L615" i="7" s="1"/>
  <c r="AA247" i="28"/>
  <c r="AG247" i="28"/>
  <c r="N247" i="28"/>
  <c r="N615" i="7" s="1"/>
  <c r="M247" i="28"/>
  <c r="M615" i="7" s="1"/>
  <c r="K247" i="28"/>
  <c r="K615" i="7" s="1"/>
  <c r="F615" i="7"/>
  <c r="S615" i="7" s="1"/>
  <c r="AD247" i="28"/>
  <c r="R317" i="7" l="1"/>
  <c r="Y262" i="13"/>
  <c r="H262" i="13" s="1"/>
  <c r="H317" i="7" s="1"/>
  <c r="AB262" i="13"/>
  <c r="M262" i="13"/>
  <c r="L317" i="7" s="1"/>
  <c r="K262" i="13"/>
  <c r="J317" i="7" s="1"/>
  <c r="L262" i="13"/>
  <c r="K317" i="7" s="1"/>
  <c r="V262" i="13"/>
  <c r="N262" i="13"/>
  <c r="H282" i="39"/>
  <c r="U282" i="39"/>
  <c r="G282" i="39" s="1"/>
  <c r="D283" i="36" s="1"/>
  <c r="AH247" i="28"/>
  <c r="AF247" i="28" s="1"/>
  <c r="I247" i="28"/>
  <c r="I615" i="7" s="1"/>
  <c r="X245" i="28"/>
  <c r="AE247" i="28"/>
  <c r="Z247" i="28"/>
  <c r="AB247" i="28" s="1"/>
  <c r="AC262" i="13" l="1"/>
  <c r="M317" i="7"/>
  <c r="Z262" i="13"/>
  <c r="U262" i="13"/>
  <c r="W262" i="13" s="1"/>
  <c r="I282" i="39"/>
  <c r="AC282" i="39" s="1"/>
  <c r="P282" i="39"/>
  <c r="E283" i="36"/>
  <c r="O282" i="39"/>
  <c r="C284" i="36"/>
  <c r="AC247" i="28"/>
  <c r="J247" i="28"/>
  <c r="AA262" i="13" l="1"/>
  <c r="J262" i="13"/>
  <c r="G262" i="13" s="1"/>
  <c r="G317" i="7" s="1"/>
  <c r="X262" i="13"/>
  <c r="F283" i="39"/>
  <c r="Z283" i="39"/>
  <c r="H247" i="28"/>
  <c r="J615" i="7"/>
  <c r="Q317" i="7" l="1"/>
  <c r="P317" i="7"/>
  <c r="S262" i="13"/>
  <c r="F263" i="13"/>
  <c r="F318" i="7" s="1"/>
  <c r="R262" i="13"/>
  <c r="V283" i="39"/>
  <c r="Y283" i="39"/>
  <c r="X283" i="39" s="1"/>
  <c r="J283" i="39"/>
  <c r="S283" i="39"/>
  <c r="T283" i="39" s="1"/>
  <c r="K283" i="39"/>
  <c r="L283" i="39"/>
  <c r="Q247" i="28"/>
  <c r="Q615" i="7" s="1"/>
  <c r="F248" i="28"/>
  <c r="R247" i="28"/>
  <c r="R615" i="7" s="1"/>
  <c r="H615" i="7"/>
  <c r="R318" i="7" l="1"/>
  <c r="AB263" i="13"/>
  <c r="N263" i="13"/>
  <c r="Y263" i="13"/>
  <c r="H263" i="13" s="1"/>
  <c r="H318" i="7" s="1"/>
  <c r="V263" i="13"/>
  <c r="L263" i="13"/>
  <c r="K318" i="7" s="1"/>
  <c r="M263" i="13"/>
  <c r="L318" i="7" s="1"/>
  <c r="K263" i="13"/>
  <c r="J318" i="7" s="1"/>
  <c r="H283" i="39"/>
  <c r="U283" i="39"/>
  <c r="G283" i="39" s="1"/>
  <c r="D284" i="36" s="1"/>
  <c r="I286" i="13"/>
  <c r="I341" i="7" s="1"/>
  <c r="M248" i="28"/>
  <c r="M616" i="7" s="1"/>
  <c r="K248" i="28"/>
  <c r="K616" i="7" s="1"/>
  <c r="AD248" i="28"/>
  <c r="AG248" i="28"/>
  <c r="AA248" i="28"/>
  <c r="L248" i="28"/>
  <c r="L616" i="7" s="1"/>
  <c r="F616" i="7"/>
  <c r="S616" i="7" s="1"/>
  <c r="N248" i="28"/>
  <c r="N616" i="7" s="1"/>
  <c r="AC263" i="13" l="1"/>
  <c r="M318" i="7"/>
  <c r="Z263" i="13"/>
  <c r="U263" i="13"/>
  <c r="W263" i="13" s="1"/>
  <c r="I283" i="39"/>
  <c r="AC283" i="39" s="1"/>
  <c r="C285" i="36"/>
  <c r="E284" i="36"/>
  <c r="O283" i="39"/>
  <c r="P283" i="39"/>
  <c r="I248" i="28"/>
  <c r="I616" i="7" s="1"/>
  <c r="Z248" i="28"/>
  <c r="AB248" i="28" s="1"/>
  <c r="X246" i="28"/>
  <c r="AE248" i="28"/>
  <c r="AH248" i="28"/>
  <c r="AF248" i="28" s="1"/>
  <c r="AA263" i="13" l="1"/>
  <c r="J263" i="13"/>
  <c r="X263" i="13"/>
  <c r="F284" i="39"/>
  <c r="Z284" i="39"/>
  <c r="AC248" i="28"/>
  <c r="J248" i="28"/>
  <c r="G263" i="13" l="1"/>
  <c r="G318" i="7" s="1"/>
  <c r="V284" i="39"/>
  <c r="K284" i="39"/>
  <c r="S284" i="39"/>
  <c r="T284" i="39" s="1"/>
  <c r="J284" i="39"/>
  <c r="Y284" i="39"/>
  <c r="L284" i="39"/>
  <c r="J616" i="7"/>
  <c r="H248" i="28"/>
  <c r="P318" i="7" l="1"/>
  <c r="Q318" i="7"/>
  <c r="R263" i="13"/>
  <c r="S263" i="13"/>
  <c r="F264" i="13"/>
  <c r="F319" i="7" s="1"/>
  <c r="X284" i="39"/>
  <c r="U284" i="39"/>
  <c r="G284" i="39" s="1"/>
  <c r="D285" i="36" s="1"/>
  <c r="H284" i="39"/>
  <c r="Q248" i="28"/>
  <c r="Q616" i="7" s="1"/>
  <c r="R248" i="28"/>
  <c r="R616" i="7" s="1"/>
  <c r="H616" i="7"/>
  <c r="F249" i="28"/>
  <c r="R319" i="7" l="1"/>
  <c r="N264" i="13"/>
  <c r="K264" i="13"/>
  <c r="J319" i="7" s="1"/>
  <c r="Y264" i="13"/>
  <c r="H264" i="13" s="1"/>
  <c r="H319" i="7" s="1"/>
  <c r="L264" i="13"/>
  <c r="K319" i="7" s="1"/>
  <c r="AB264" i="13"/>
  <c r="V264" i="13"/>
  <c r="M264" i="13"/>
  <c r="L319" i="7" s="1"/>
  <c r="I284" i="39"/>
  <c r="AC284" i="39" s="1"/>
  <c r="C286" i="36"/>
  <c r="E285" i="36"/>
  <c r="O284" i="39"/>
  <c r="P284" i="39"/>
  <c r="I287" i="13"/>
  <c r="I342" i="7" s="1"/>
  <c r="F617" i="7"/>
  <c r="S617" i="7" s="1"/>
  <c r="AA249" i="28"/>
  <c r="AD249" i="28"/>
  <c r="N249" i="28"/>
  <c r="N617" i="7" s="1"/>
  <c r="K249" i="28"/>
  <c r="K617" i="7" s="1"/>
  <c r="M249" i="28"/>
  <c r="M617" i="7" s="1"/>
  <c r="L249" i="28"/>
  <c r="L617" i="7" s="1"/>
  <c r="AG249" i="28"/>
  <c r="AC264" i="13" l="1"/>
  <c r="AA264" i="13" s="1"/>
  <c r="M319" i="7"/>
  <c r="U264" i="13"/>
  <c r="W264" i="13" s="1"/>
  <c r="Z264" i="13"/>
  <c r="Z285" i="39"/>
  <c r="F285" i="39"/>
  <c r="I249" i="28"/>
  <c r="I617" i="7" s="1"/>
  <c r="Z249" i="28"/>
  <c r="AB249" i="28" s="1"/>
  <c r="AH249" i="28"/>
  <c r="AF249" i="28" s="1"/>
  <c r="AE249" i="28"/>
  <c r="X247" i="28"/>
  <c r="J264" i="13" l="1"/>
  <c r="X264" i="13"/>
  <c r="J285" i="39"/>
  <c r="S285" i="39"/>
  <c r="T285" i="39" s="1"/>
  <c r="K285" i="39"/>
  <c r="Y285" i="39"/>
  <c r="X285" i="39" s="1"/>
  <c r="V285" i="39"/>
  <c r="L285" i="39"/>
  <c r="AC249" i="28"/>
  <c r="J249" i="28"/>
  <c r="G264" i="13" l="1"/>
  <c r="G319" i="7" s="1"/>
  <c r="H285" i="39"/>
  <c r="U285" i="39"/>
  <c r="G285" i="39" s="1"/>
  <c r="D286" i="36" s="1"/>
  <c r="I288" i="13"/>
  <c r="I343" i="7" s="1"/>
  <c r="H249" i="28"/>
  <c r="J617" i="7"/>
  <c r="P319" i="7" l="1"/>
  <c r="Q319" i="7"/>
  <c r="F265" i="13"/>
  <c r="F320" i="7" s="1"/>
  <c r="R264" i="13"/>
  <c r="S264" i="13"/>
  <c r="I285" i="39"/>
  <c r="AC285" i="39" s="1"/>
  <c r="E286" i="36"/>
  <c r="C287" i="36"/>
  <c r="O285" i="39"/>
  <c r="P285" i="39"/>
  <c r="Q249" i="28"/>
  <c r="Q617" i="7" s="1"/>
  <c r="H617" i="7"/>
  <c r="F250" i="28"/>
  <c r="R249" i="28"/>
  <c r="R617" i="7" s="1"/>
  <c r="AB265" i="13" l="1"/>
  <c r="V265" i="13"/>
  <c r="Y265" i="13"/>
  <c r="H265" i="13" s="1"/>
  <c r="H320" i="7" s="1"/>
  <c r="L265" i="13"/>
  <c r="K320" i="7" s="1"/>
  <c r="K265" i="13"/>
  <c r="J320" i="7" s="1"/>
  <c r="N265" i="13"/>
  <c r="M265" i="13"/>
  <c r="L320" i="7" s="1"/>
  <c r="R320" i="7"/>
  <c r="Z286" i="39"/>
  <c r="F286" i="39"/>
  <c r="AG250" i="28"/>
  <c r="M250" i="28"/>
  <c r="M618" i="7" s="1"/>
  <c r="AD250" i="28"/>
  <c r="L250" i="28"/>
  <c r="L618" i="7" s="1"/>
  <c r="F618" i="7"/>
  <c r="S618" i="7" s="1"/>
  <c r="N250" i="28"/>
  <c r="N618" i="7" s="1"/>
  <c r="K250" i="28"/>
  <c r="K618" i="7" s="1"/>
  <c r="AA250" i="28"/>
  <c r="U265" i="13" l="1"/>
  <c r="Z265" i="13"/>
  <c r="AC265" i="13"/>
  <c r="M320" i="7"/>
  <c r="J265" i="13"/>
  <c r="G265" i="13" s="1"/>
  <c r="G320" i="7" s="1"/>
  <c r="S286" i="39"/>
  <c r="T286" i="39" s="1"/>
  <c r="V286" i="39"/>
  <c r="L286" i="39"/>
  <c r="J286" i="39"/>
  <c r="K286" i="39"/>
  <c r="Y286" i="39"/>
  <c r="X286" i="39" s="1"/>
  <c r="I250" i="28"/>
  <c r="I618" i="7" s="1"/>
  <c r="AH250" i="28"/>
  <c r="AF250" i="28" s="1"/>
  <c r="Z250" i="28"/>
  <c r="AB250" i="28" s="1"/>
  <c r="AE250" i="28"/>
  <c r="X248" i="28"/>
  <c r="X265" i="13" l="1"/>
  <c r="W265" i="13"/>
  <c r="AA265" i="13"/>
  <c r="Q320" i="7"/>
  <c r="P320" i="7"/>
  <c r="S265" i="13"/>
  <c r="F266" i="13"/>
  <c r="F321" i="7" s="1"/>
  <c r="R265" i="13"/>
  <c r="U286" i="39"/>
  <c r="G286" i="39" s="1"/>
  <c r="D287" i="36" s="1"/>
  <c r="H286" i="39"/>
  <c r="AC250" i="28"/>
  <c r="J250" i="28"/>
  <c r="R321" i="7" l="1"/>
  <c r="AB266" i="13"/>
  <c r="K266" i="13"/>
  <c r="J321" i="7" s="1"/>
  <c r="Y266" i="13"/>
  <c r="H266" i="13" s="1"/>
  <c r="H321" i="7" s="1"/>
  <c r="N266" i="13"/>
  <c r="M266" i="13"/>
  <c r="L321" i="7" s="1"/>
  <c r="L266" i="13"/>
  <c r="K321" i="7" s="1"/>
  <c r="V266" i="13"/>
  <c r="I286" i="39"/>
  <c r="AC286" i="39" s="1"/>
  <c r="O286" i="39"/>
  <c r="E287" i="36"/>
  <c r="C288" i="36"/>
  <c r="P286" i="39"/>
  <c r="I289" i="13"/>
  <c r="I344" i="7" s="1"/>
  <c r="H250" i="28"/>
  <c r="J618" i="7"/>
  <c r="AC266" i="13" l="1"/>
  <c r="M321" i="7"/>
  <c r="Z266" i="13"/>
  <c r="U266" i="13"/>
  <c r="W266" i="13" s="1"/>
  <c r="F287" i="39"/>
  <c r="Z287" i="39"/>
  <c r="F251" i="28"/>
  <c r="H618" i="7"/>
  <c r="R250" i="28"/>
  <c r="R618" i="7" s="1"/>
  <c r="Q250" i="28"/>
  <c r="Q618" i="7" s="1"/>
  <c r="AA266" i="13" l="1"/>
  <c r="J266" i="13"/>
  <c r="G266" i="13" s="1"/>
  <c r="G321" i="7" s="1"/>
  <c r="X266" i="13"/>
  <c r="V287" i="39"/>
  <c r="L287" i="39"/>
  <c r="J287" i="39"/>
  <c r="K287" i="39"/>
  <c r="Y287" i="39"/>
  <c r="X287" i="39" s="1"/>
  <c r="S287" i="39"/>
  <c r="T287" i="39" s="1"/>
  <c r="K251" i="28"/>
  <c r="K619" i="7" s="1"/>
  <c r="AA251" i="28"/>
  <c r="AD251" i="28"/>
  <c r="N251" i="28"/>
  <c r="N619" i="7" s="1"/>
  <c r="L251" i="28"/>
  <c r="L619" i="7" s="1"/>
  <c r="M251" i="28"/>
  <c r="M619" i="7" s="1"/>
  <c r="F619" i="7"/>
  <c r="S619" i="7" s="1"/>
  <c r="AG251" i="28"/>
  <c r="Q321" i="7" l="1"/>
  <c r="P321" i="7"/>
  <c r="F267" i="13"/>
  <c r="F322" i="7" s="1"/>
  <c r="S266" i="13"/>
  <c r="R266" i="13"/>
  <c r="H287" i="39"/>
  <c r="U287" i="39"/>
  <c r="G287" i="39" s="1"/>
  <c r="D288" i="36" s="1"/>
  <c r="I251" i="28"/>
  <c r="I619" i="7" s="1"/>
  <c r="X249" i="28"/>
  <c r="AH251" i="28"/>
  <c r="AF251" i="28" s="1"/>
  <c r="AE251" i="28"/>
  <c r="Z251" i="28"/>
  <c r="AB251" i="28" s="1"/>
  <c r="R322" i="7" l="1"/>
  <c r="N267" i="13"/>
  <c r="Y267" i="13"/>
  <c r="H267" i="13" s="1"/>
  <c r="H322" i="7" s="1"/>
  <c r="M267" i="13"/>
  <c r="L322" i="7" s="1"/>
  <c r="L267" i="13"/>
  <c r="K322" i="7" s="1"/>
  <c r="K267" i="13"/>
  <c r="J322" i="7" s="1"/>
  <c r="AB267" i="13"/>
  <c r="V267" i="13"/>
  <c r="I287" i="39"/>
  <c r="AC287" i="39" s="1"/>
  <c r="C289" i="36"/>
  <c r="O287" i="39"/>
  <c r="E288" i="36"/>
  <c r="P287" i="39"/>
  <c r="AC251" i="28"/>
  <c r="J251" i="28"/>
  <c r="AC267" i="13" l="1"/>
  <c r="M322" i="7"/>
  <c r="U267" i="13"/>
  <c r="W267" i="13" s="1"/>
  <c r="Z267" i="13"/>
  <c r="Z288" i="39"/>
  <c r="F288" i="39"/>
  <c r="I290" i="13"/>
  <c r="I345" i="7" s="1"/>
  <c r="H251" i="28"/>
  <c r="J619" i="7"/>
  <c r="AA267" i="13" l="1"/>
  <c r="J267" i="13"/>
  <c r="X267" i="13"/>
  <c r="V288" i="39"/>
  <c r="K288" i="39"/>
  <c r="J288" i="39"/>
  <c r="L288" i="39"/>
  <c r="Y288" i="39"/>
  <c r="X288" i="39" s="1"/>
  <c r="S288" i="39"/>
  <c r="T288" i="39" s="1"/>
  <c r="F252" i="28"/>
  <c r="R251" i="28"/>
  <c r="R619" i="7" s="1"/>
  <c r="Q251" i="28"/>
  <c r="Q619" i="7" s="1"/>
  <c r="H619" i="7"/>
  <c r="G267" i="13" l="1"/>
  <c r="G322" i="7" s="1"/>
  <c r="U288" i="39"/>
  <c r="G288" i="39" s="1"/>
  <c r="D289" i="36" s="1"/>
  <c r="H288" i="39"/>
  <c r="L252" i="28"/>
  <c r="L620" i="7" s="1"/>
  <c r="M252" i="28"/>
  <c r="M620" i="7" s="1"/>
  <c r="AA252" i="28"/>
  <c r="F620" i="7"/>
  <c r="S620" i="7" s="1"/>
  <c r="AD252" i="28"/>
  <c r="AG252" i="28"/>
  <c r="K252" i="28"/>
  <c r="K620" i="7" s="1"/>
  <c r="N252" i="28"/>
  <c r="N620" i="7" s="1"/>
  <c r="Q322" i="7" l="1"/>
  <c r="P322" i="7"/>
  <c r="R267" i="13"/>
  <c r="S267" i="13"/>
  <c r="F268" i="13"/>
  <c r="F323" i="7" s="1"/>
  <c r="I288" i="39"/>
  <c r="AC288" i="39" s="1"/>
  <c r="C290" i="36"/>
  <c r="E289" i="36"/>
  <c r="P288" i="39"/>
  <c r="O288" i="39"/>
  <c r="I252" i="28"/>
  <c r="I620" i="7" s="1"/>
  <c r="Z252" i="28"/>
  <c r="AB252" i="28" s="1"/>
  <c r="AH252" i="28"/>
  <c r="AF252" i="28" s="1"/>
  <c r="AE252" i="28"/>
  <c r="X250" i="28"/>
  <c r="R323" i="7" l="1"/>
  <c r="N268" i="13"/>
  <c r="M268" i="13"/>
  <c r="L323" i="7" s="1"/>
  <c r="K268" i="13"/>
  <c r="J323" i="7" s="1"/>
  <c r="L268" i="13"/>
  <c r="K323" i="7" s="1"/>
  <c r="Y268" i="13"/>
  <c r="H268" i="13" s="1"/>
  <c r="H323" i="7" s="1"/>
  <c r="AB268" i="13"/>
  <c r="V268" i="13"/>
  <c r="Z289" i="39"/>
  <c r="F289" i="39"/>
  <c r="I291" i="13"/>
  <c r="I346" i="7" s="1"/>
  <c r="AC252" i="28"/>
  <c r="J252" i="28"/>
  <c r="AC268" i="13" l="1"/>
  <c r="M323" i="7"/>
  <c r="Z268" i="13"/>
  <c r="J268" i="13"/>
  <c r="G268" i="13" s="1"/>
  <c r="G323" i="7" s="1"/>
  <c r="U268" i="13"/>
  <c r="W268" i="13" s="1"/>
  <c r="V289" i="39"/>
  <c r="L289" i="39"/>
  <c r="Y289" i="39"/>
  <c r="X289" i="39" s="1"/>
  <c r="J289" i="39"/>
  <c r="K289" i="39"/>
  <c r="S289" i="39"/>
  <c r="T289" i="39" s="1"/>
  <c r="H252" i="28"/>
  <c r="J620" i="7"/>
  <c r="AA268" i="13" l="1"/>
  <c r="Q323" i="7"/>
  <c r="P323" i="7"/>
  <c r="X268" i="13"/>
  <c r="F269" i="13"/>
  <c r="F324" i="7" s="1"/>
  <c r="S268" i="13"/>
  <c r="R268" i="13"/>
  <c r="H289" i="39"/>
  <c r="U289" i="39"/>
  <c r="G289" i="39" s="1"/>
  <c r="D290" i="36" s="1"/>
  <c r="F253" i="28"/>
  <c r="H620" i="7"/>
  <c r="Q252" i="28"/>
  <c r="Q620" i="7" s="1"/>
  <c r="R252" i="28"/>
  <c r="R620" i="7" s="1"/>
  <c r="R324" i="7" l="1"/>
  <c r="K269" i="13"/>
  <c r="J324" i="7" s="1"/>
  <c r="AB269" i="13"/>
  <c r="M269" i="13"/>
  <c r="L324" i="7" s="1"/>
  <c r="Y269" i="13"/>
  <c r="H269" i="13" s="1"/>
  <c r="H324" i="7" s="1"/>
  <c r="N269" i="13"/>
  <c r="L269" i="13"/>
  <c r="K324" i="7" s="1"/>
  <c r="V269" i="13"/>
  <c r="I289" i="39"/>
  <c r="AC289" i="39" s="1"/>
  <c r="O289" i="39"/>
  <c r="E290" i="36"/>
  <c r="C291" i="36"/>
  <c r="P289" i="39"/>
  <c r="K253" i="28"/>
  <c r="K621" i="7" s="1"/>
  <c r="M253" i="28"/>
  <c r="M621" i="7" s="1"/>
  <c r="L253" i="28"/>
  <c r="L621" i="7" s="1"/>
  <c r="F621" i="7"/>
  <c r="S621" i="7" s="1"/>
  <c r="N253" i="28"/>
  <c r="N621" i="7" s="1"/>
  <c r="AA253" i="28"/>
  <c r="AD253" i="28"/>
  <c r="AG253" i="28"/>
  <c r="AC269" i="13" l="1"/>
  <c r="M324" i="7"/>
  <c r="Z269" i="13"/>
  <c r="U269" i="13"/>
  <c r="W269" i="13" s="1"/>
  <c r="J269" i="13"/>
  <c r="G269" i="13" s="1"/>
  <c r="G324" i="7" s="1"/>
  <c r="F290" i="39"/>
  <c r="Z290" i="39"/>
  <c r="I292" i="13"/>
  <c r="I347" i="7" s="1"/>
  <c r="I253" i="28"/>
  <c r="I621" i="7" s="1"/>
  <c r="AH253" i="28"/>
  <c r="AF253" i="28" s="1"/>
  <c r="AE253" i="28"/>
  <c r="Z253" i="28"/>
  <c r="AB253" i="28" s="1"/>
  <c r="X251" i="28"/>
  <c r="AA269" i="13" l="1"/>
  <c r="P324" i="7"/>
  <c r="Q324" i="7"/>
  <c r="X269" i="13"/>
  <c r="S269" i="13"/>
  <c r="F270" i="13"/>
  <c r="F325" i="7" s="1"/>
  <c r="R269" i="13"/>
  <c r="V290" i="39"/>
  <c r="J290" i="39"/>
  <c r="L290" i="39"/>
  <c r="S290" i="39"/>
  <c r="T290" i="39" s="1"/>
  <c r="K290" i="39"/>
  <c r="Y290" i="39"/>
  <c r="AC253" i="28"/>
  <c r="J253" i="28"/>
  <c r="R325" i="7" l="1"/>
  <c r="AB270" i="13"/>
  <c r="L270" i="13"/>
  <c r="K325" i="7" s="1"/>
  <c r="V270" i="13"/>
  <c r="K270" i="13"/>
  <c r="J325" i="7" s="1"/>
  <c r="Y270" i="13"/>
  <c r="H270" i="13" s="1"/>
  <c r="H325" i="7" s="1"/>
  <c r="M270" i="13"/>
  <c r="L325" i="7" s="1"/>
  <c r="N270" i="13"/>
  <c r="X290" i="39"/>
  <c r="H290" i="39"/>
  <c r="U290" i="39"/>
  <c r="G290" i="39" s="1"/>
  <c r="D291" i="36" s="1"/>
  <c r="H253" i="28"/>
  <c r="J621" i="7"/>
  <c r="AC270" i="13" l="1"/>
  <c r="M325" i="7"/>
  <c r="U270" i="13"/>
  <c r="W270" i="13" s="1"/>
  <c r="Z270" i="13"/>
  <c r="I290" i="39"/>
  <c r="AC290" i="39" s="1"/>
  <c r="C292" i="36"/>
  <c r="P290" i="39"/>
  <c r="O290" i="39"/>
  <c r="E291" i="36"/>
  <c r="I293" i="13"/>
  <c r="I348" i="7" s="1"/>
  <c r="H621" i="7"/>
  <c r="Q253" i="28"/>
  <c r="Q621" i="7" s="1"/>
  <c r="R253" i="28"/>
  <c r="R621" i="7" s="1"/>
  <c r="F254" i="28"/>
  <c r="AA270" i="13" l="1"/>
  <c r="J270" i="13"/>
  <c r="G270" i="13" s="1"/>
  <c r="G325" i="7" s="1"/>
  <c r="X270" i="13"/>
  <c r="Z291" i="39"/>
  <c r="F291" i="39"/>
  <c r="AD254" i="28"/>
  <c r="K254" i="28"/>
  <c r="AG254" i="28"/>
  <c r="M254" i="28"/>
  <c r="M622" i="7" s="1"/>
  <c r="F622" i="7"/>
  <c r="S622" i="7" s="1"/>
  <c r="L254" i="28"/>
  <c r="L622" i="7" s="1"/>
  <c r="N254" i="28"/>
  <c r="AA254" i="28"/>
  <c r="P325" i="7" l="1"/>
  <c r="Q325" i="7"/>
  <c r="S270" i="13"/>
  <c r="F271" i="13"/>
  <c r="F326" i="7" s="1"/>
  <c r="R270" i="13"/>
  <c r="K291" i="39"/>
  <c r="J291" i="39"/>
  <c r="S291" i="39"/>
  <c r="T291" i="39" s="1"/>
  <c r="V291" i="39"/>
  <c r="L291" i="39"/>
  <c r="Y291" i="39"/>
  <c r="X291" i="39" s="1"/>
  <c r="I254" i="28"/>
  <c r="I622" i="7" s="1"/>
  <c r="AH254" i="28"/>
  <c r="AF254" i="28" s="1"/>
  <c r="AE254" i="28"/>
  <c r="N622" i="7"/>
  <c r="Z254" i="28"/>
  <c r="AB254" i="28" s="1"/>
  <c r="K622" i="7"/>
  <c r="X252" i="28"/>
  <c r="R326" i="7" l="1"/>
  <c r="Y271" i="13"/>
  <c r="H271" i="13" s="1"/>
  <c r="H326" i="7" s="1"/>
  <c r="K271" i="13"/>
  <c r="J326" i="7" s="1"/>
  <c r="M271" i="13"/>
  <c r="L326" i="7" s="1"/>
  <c r="N271" i="13"/>
  <c r="AB271" i="13"/>
  <c r="L271" i="13"/>
  <c r="K326" i="7" s="1"/>
  <c r="V271" i="13"/>
  <c r="U291" i="39"/>
  <c r="G291" i="39" s="1"/>
  <c r="D292" i="36" s="1"/>
  <c r="H291" i="39"/>
  <c r="I294" i="13"/>
  <c r="I349" i="7" s="1"/>
  <c r="AC254" i="28"/>
  <c r="J254" i="28"/>
  <c r="AC271" i="13" l="1"/>
  <c r="M326" i="7"/>
  <c r="Z271" i="13"/>
  <c r="U271" i="13"/>
  <c r="J271" i="13"/>
  <c r="G271" i="13" s="1"/>
  <c r="G326" i="7" s="1"/>
  <c r="I291" i="39"/>
  <c r="AC291" i="39" s="1"/>
  <c r="P291" i="39"/>
  <c r="C293" i="36"/>
  <c r="E292" i="36"/>
  <c r="O291" i="39"/>
  <c r="H254" i="28"/>
  <c r="J622" i="7"/>
  <c r="AA271" i="13" l="1"/>
  <c r="Q326" i="7"/>
  <c r="P326" i="7"/>
  <c r="X271" i="13"/>
  <c r="W271" i="13"/>
  <c r="F272" i="13"/>
  <c r="F327" i="7" s="1"/>
  <c r="S271" i="13"/>
  <c r="R271" i="13"/>
  <c r="Z292" i="39"/>
  <c r="F292" i="39"/>
  <c r="Q254" i="28"/>
  <c r="Q622" i="7" s="1"/>
  <c r="H622" i="7"/>
  <c r="R254" i="28"/>
  <c r="R622" i="7" s="1"/>
  <c r="F255" i="28"/>
  <c r="R327" i="7" l="1"/>
  <c r="V272" i="13"/>
  <c r="AB272" i="13"/>
  <c r="L272" i="13"/>
  <c r="K327" i="7" s="1"/>
  <c r="M272" i="13"/>
  <c r="L327" i="7" s="1"/>
  <c r="Y272" i="13"/>
  <c r="H272" i="13" s="1"/>
  <c r="H327" i="7" s="1"/>
  <c r="K272" i="13"/>
  <c r="J327" i="7" s="1"/>
  <c r="N272" i="13"/>
  <c r="Y292" i="39"/>
  <c r="X292" i="39" s="1"/>
  <c r="V292" i="39"/>
  <c r="S292" i="39"/>
  <c r="T292" i="39" s="1"/>
  <c r="J292" i="39"/>
  <c r="L292" i="39"/>
  <c r="K292" i="39"/>
  <c r="L255" i="28"/>
  <c r="L623" i="7" s="1"/>
  <c r="K255" i="28"/>
  <c r="AG255" i="28"/>
  <c r="AA255" i="28"/>
  <c r="N255" i="28"/>
  <c r="AD255" i="28"/>
  <c r="M255" i="28"/>
  <c r="M623" i="7" s="1"/>
  <c r="F623" i="7"/>
  <c r="S623" i="7" s="1"/>
  <c r="AC272" i="13" l="1"/>
  <c r="M327" i="7"/>
  <c r="Z272" i="13"/>
  <c r="U272" i="13"/>
  <c r="W272" i="13" s="1"/>
  <c r="U292" i="39"/>
  <c r="G292" i="39" s="1"/>
  <c r="D293" i="36" s="1"/>
  <c r="H292" i="39"/>
  <c r="I255" i="28"/>
  <c r="I623" i="7" s="1"/>
  <c r="N623" i="7"/>
  <c r="AE255" i="28"/>
  <c r="Z255" i="28"/>
  <c r="AB255" i="28" s="1"/>
  <c r="AH255" i="28"/>
  <c r="AF255" i="28" s="1"/>
  <c r="K623" i="7"/>
  <c r="X253" i="28"/>
  <c r="AA272" i="13" l="1"/>
  <c r="X272" i="13"/>
  <c r="J272" i="13"/>
  <c r="G272" i="13" s="1"/>
  <c r="G327" i="7" s="1"/>
  <c r="I292" i="39"/>
  <c r="AC292" i="39" s="1"/>
  <c r="C294" i="36"/>
  <c r="E293" i="36"/>
  <c r="P292" i="39"/>
  <c r="O292" i="39"/>
  <c r="I295" i="13"/>
  <c r="I350" i="7" s="1"/>
  <c r="AC255" i="28"/>
  <c r="J255" i="28"/>
  <c r="P327" i="7" l="1"/>
  <c r="Q327" i="7"/>
  <c r="F273" i="13"/>
  <c r="F328" i="7" s="1"/>
  <c r="S272" i="13"/>
  <c r="R272" i="13"/>
  <c r="F293" i="39"/>
  <c r="Z293" i="39"/>
  <c r="H255" i="28"/>
  <c r="J623" i="7"/>
  <c r="R328" i="7" l="1"/>
  <c r="Y273" i="13"/>
  <c r="H273" i="13" s="1"/>
  <c r="H328" i="7" s="1"/>
  <c r="AB273" i="13"/>
  <c r="L273" i="13"/>
  <c r="K328" i="7" s="1"/>
  <c r="M273" i="13"/>
  <c r="L328" i="7" s="1"/>
  <c r="V273" i="13"/>
  <c r="N273" i="13"/>
  <c r="K273" i="13"/>
  <c r="J328" i="7" s="1"/>
  <c r="Y293" i="39"/>
  <c r="X293" i="39" s="1"/>
  <c r="J293" i="39"/>
  <c r="L293" i="39"/>
  <c r="V293" i="39"/>
  <c r="K293" i="39"/>
  <c r="S293" i="39"/>
  <c r="T293" i="39" s="1"/>
  <c r="R255" i="28"/>
  <c r="R623" i="7" s="1"/>
  <c r="F256" i="28"/>
  <c r="H623" i="7"/>
  <c r="Q255" i="28"/>
  <c r="Q623" i="7" s="1"/>
  <c r="AC273" i="13" l="1"/>
  <c r="M328" i="7"/>
  <c r="U273" i="13"/>
  <c r="W273" i="13" s="1"/>
  <c r="Z273" i="13"/>
  <c r="U293" i="39"/>
  <c r="G293" i="39" s="1"/>
  <c r="D294" i="36" s="1"/>
  <c r="H293" i="39"/>
  <c r="K256" i="28"/>
  <c r="AA256" i="28"/>
  <c r="L256" i="28"/>
  <c r="L624" i="7" s="1"/>
  <c r="AD256" i="28"/>
  <c r="M256" i="28"/>
  <c r="M624" i="7" s="1"/>
  <c r="F624" i="7"/>
  <c r="S624" i="7" s="1"/>
  <c r="N256" i="28"/>
  <c r="AG256" i="28"/>
  <c r="AA273" i="13" l="1"/>
  <c r="X273" i="13"/>
  <c r="J273" i="13"/>
  <c r="G273" i="13" s="1"/>
  <c r="G328" i="7" s="1"/>
  <c r="I293" i="39"/>
  <c r="AC293" i="39" s="1"/>
  <c r="E294" i="36"/>
  <c r="P293" i="39"/>
  <c r="C295" i="36"/>
  <c r="O293" i="39"/>
  <c r="I296" i="13"/>
  <c r="I351" i="7" s="1"/>
  <c r="I256" i="28"/>
  <c r="I624" i="7" s="1"/>
  <c r="Z256" i="28"/>
  <c r="AB256" i="28" s="1"/>
  <c r="N624" i="7"/>
  <c r="AE256" i="28"/>
  <c r="AH256" i="28"/>
  <c r="AF256" i="28" s="1"/>
  <c r="X254" i="28"/>
  <c r="K624" i="7"/>
  <c r="P328" i="7" l="1"/>
  <c r="Q328" i="7"/>
  <c r="S273" i="13"/>
  <c r="F274" i="13"/>
  <c r="F329" i="7" s="1"/>
  <c r="R273" i="13"/>
  <c r="F294" i="39"/>
  <c r="Z294" i="39"/>
  <c r="AC256" i="28"/>
  <c r="J256" i="28"/>
  <c r="R329" i="7" l="1"/>
  <c r="L274" i="13"/>
  <c r="K329" i="7" s="1"/>
  <c r="V274" i="13"/>
  <c r="K274" i="13"/>
  <c r="J329" i="7" s="1"/>
  <c r="AB274" i="13"/>
  <c r="N274" i="13"/>
  <c r="Y274" i="13"/>
  <c r="H274" i="13" s="1"/>
  <c r="H329" i="7" s="1"/>
  <c r="M274" i="13"/>
  <c r="L329" i="7" s="1"/>
  <c r="V294" i="39"/>
  <c r="S294" i="39"/>
  <c r="T294" i="39" s="1"/>
  <c r="K294" i="39"/>
  <c r="J294" i="39"/>
  <c r="L294" i="39"/>
  <c r="Y294" i="39"/>
  <c r="X294" i="39" s="1"/>
  <c r="J624" i="7"/>
  <c r="H256" i="28"/>
  <c r="AC274" i="13" l="1"/>
  <c r="M329" i="7"/>
  <c r="Z274" i="13"/>
  <c r="U274" i="13"/>
  <c r="J274" i="13"/>
  <c r="H294" i="39"/>
  <c r="U294" i="39"/>
  <c r="G294" i="39" s="1"/>
  <c r="D295" i="36" s="1"/>
  <c r="F257" i="28"/>
  <c r="R256" i="28"/>
  <c r="R624" i="7" s="1"/>
  <c r="H624" i="7"/>
  <c r="Q256" i="28"/>
  <c r="Q624" i="7" s="1"/>
  <c r="AA274" i="13" l="1"/>
  <c r="X274" i="13"/>
  <c r="W274" i="13"/>
  <c r="G274" i="13"/>
  <c r="G329" i="7" s="1"/>
  <c r="I294" i="39"/>
  <c r="AC294" i="39" s="1"/>
  <c r="C296" i="36"/>
  <c r="E295" i="36"/>
  <c r="P294" i="39"/>
  <c r="O294" i="39"/>
  <c r="K257" i="28"/>
  <c r="L257" i="28"/>
  <c r="L625" i="7" s="1"/>
  <c r="AA257" i="28"/>
  <c r="N257" i="28"/>
  <c r="Z257" i="28" s="1"/>
  <c r="M257" i="28"/>
  <c r="M625" i="7" s="1"/>
  <c r="AG257" i="28"/>
  <c r="F625" i="7"/>
  <c r="S625" i="7" s="1"/>
  <c r="AD257" i="28"/>
  <c r="P329" i="7" l="1"/>
  <c r="Q329" i="7"/>
  <c r="R274" i="13"/>
  <c r="F275" i="13"/>
  <c r="F330" i="7" s="1"/>
  <c r="S274" i="13"/>
  <c r="F295" i="39"/>
  <c r="Z295" i="39"/>
  <c r="I257" i="28"/>
  <c r="I625" i="7" s="1"/>
  <c r="AB257" i="28"/>
  <c r="N625" i="7"/>
  <c r="AE257" i="28"/>
  <c r="AH257" i="28"/>
  <c r="AF257" i="28" s="1"/>
  <c r="K625" i="7"/>
  <c r="X255" i="28"/>
  <c r="R330" i="7" l="1"/>
  <c r="N275" i="13"/>
  <c r="AB275" i="13"/>
  <c r="L275" i="13"/>
  <c r="K330" i="7" s="1"/>
  <c r="Y275" i="13"/>
  <c r="H275" i="13" s="1"/>
  <c r="H330" i="7" s="1"/>
  <c r="M275" i="13"/>
  <c r="L330" i="7" s="1"/>
  <c r="V275" i="13"/>
  <c r="K275" i="13"/>
  <c r="J330" i="7" s="1"/>
  <c r="S295" i="39"/>
  <c r="T295" i="39" s="1"/>
  <c r="V295" i="39"/>
  <c r="K295" i="39"/>
  <c r="L295" i="39"/>
  <c r="J295" i="39"/>
  <c r="Y295" i="39"/>
  <c r="X295" i="39" s="1"/>
  <c r="I297" i="13"/>
  <c r="I352" i="7" s="1"/>
  <c r="AC257" i="28"/>
  <c r="J257" i="28"/>
  <c r="AC275" i="13" l="1"/>
  <c r="M330" i="7"/>
  <c r="U275" i="13"/>
  <c r="W275" i="13" s="1"/>
  <c r="Z275" i="13"/>
  <c r="U295" i="39"/>
  <c r="G295" i="39" s="1"/>
  <c r="D296" i="36" s="1"/>
  <c r="H295" i="39"/>
  <c r="H257" i="28"/>
  <c r="J625" i="7"/>
  <c r="AA275" i="13" l="1"/>
  <c r="J275" i="13"/>
  <c r="X275" i="13"/>
  <c r="I295" i="39"/>
  <c r="AC295" i="39" s="1"/>
  <c r="C297" i="36"/>
  <c r="E296" i="36"/>
  <c r="P295" i="39"/>
  <c r="O295" i="39"/>
  <c r="F258" i="28"/>
  <c r="Q257" i="28"/>
  <c r="Q625" i="7" s="1"/>
  <c r="R257" i="28"/>
  <c r="R625" i="7" s="1"/>
  <c r="H625" i="7"/>
  <c r="G275" i="13" l="1"/>
  <c r="G330" i="7" s="1"/>
  <c r="F296" i="39"/>
  <c r="Z296" i="39"/>
  <c r="I298" i="13"/>
  <c r="I353" i="7" s="1"/>
  <c r="AA258" i="28"/>
  <c r="K258" i="28"/>
  <c r="K626" i="7" s="1"/>
  <c r="AD258" i="28"/>
  <c r="N258" i="28"/>
  <c r="N626" i="7" s="1"/>
  <c r="M258" i="28"/>
  <c r="M626" i="7" s="1"/>
  <c r="L258" i="28"/>
  <c r="L626" i="7" s="1"/>
  <c r="AG258" i="28"/>
  <c r="F626" i="7"/>
  <c r="S626" i="7" s="1"/>
  <c r="Q330" i="7" l="1"/>
  <c r="P330" i="7"/>
  <c r="R275" i="13"/>
  <c r="F276" i="13"/>
  <c r="F331" i="7" s="1"/>
  <c r="S275" i="13"/>
  <c r="K296" i="39"/>
  <c r="Y296" i="39"/>
  <c r="X296" i="39" s="1"/>
  <c r="J296" i="39"/>
  <c r="S296" i="39"/>
  <c r="T296" i="39" s="1"/>
  <c r="L296" i="39"/>
  <c r="V296" i="39"/>
  <c r="I258" i="28"/>
  <c r="I626" i="7" s="1"/>
  <c r="X256" i="28"/>
  <c r="AE258" i="28"/>
  <c r="AC258" i="28" s="1"/>
  <c r="AH258" i="28"/>
  <c r="AF258" i="28" s="1"/>
  <c r="Z258" i="28"/>
  <c r="AB258" i="28" s="1"/>
  <c r="R331" i="7" l="1"/>
  <c r="AB276" i="13"/>
  <c r="M276" i="13"/>
  <c r="L331" i="7" s="1"/>
  <c r="L276" i="13"/>
  <c r="K331" i="7" s="1"/>
  <c r="K276" i="13"/>
  <c r="J331" i="7" s="1"/>
  <c r="V276" i="13"/>
  <c r="N276" i="13"/>
  <c r="Y276" i="13"/>
  <c r="H276" i="13" s="1"/>
  <c r="H331" i="7" s="1"/>
  <c r="U296" i="39"/>
  <c r="G296" i="39" s="1"/>
  <c r="D297" i="36" s="1"/>
  <c r="H296" i="39"/>
  <c r="J258" i="28"/>
  <c r="H258" i="28" s="1"/>
  <c r="AC276" i="13" l="1"/>
  <c r="M331" i="7"/>
  <c r="U276" i="13"/>
  <c r="W276" i="13" s="1"/>
  <c r="Z276" i="13"/>
  <c r="I296" i="39"/>
  <c r="AC296" i="39" s="1"/>
  <c r="E297" i="36"/>
  <c r="C298" i="36"/>
  <c r="P296" i="39"/>
  <c r="O296" i="39"/>
  <c r="J626" i="7"/>
  <c r="H626" i="7"/>
  <c r="Q258" i="28"/>
  <c r="Q626" i="7" s="1"/>
  <c r="F259" i="28"/>
  <c r="R258" i="28"/>
  <c r="R626" i="7" s="1"/>
  <c r="AA276" i="13" l="1"/>
  <c r="J276" i="13"/>
  <c r="G276" i="13" s="1"/>
  <c r="G331" i="7" s="1"/>
  <c r="X276" i="13"/>
  <c r="Z297" i="39"/>
  <c r="F297" i="39"/>
  <c r="I299" i="13"/>
  <c r="I354" i="7" s="1"/>
  <c r="N259" i="28"/>
  <c r="AA259" i="28"/>
  <c r="AD259" i="28"/>
  <c r="K259" i="28"/>
  <c r="AG259" i="28"/>
  <c r="M259" i="28"/>
  <c r="M627" i="7" s="1"/>
  <c r="L259" i="28"/>
  <c r="L627" i="7" s="1"/>
  <c r="F627" i="7"/>
  <c r="S627" i="7" s="1"/>
  <c r="P331" i="7" l="1"/>
  <c r="Q331" i="7"/>
  <c r="S276" i="13"/>
  <c r="F277" i="13"/>
  <c r="F332" i="7" s="1"/>
  <c r="R276" i="13"/>
  <c r="K297" i="39"/>
  <c r="V297" i="39"/>
  <c r="L297" i="39"/>
  <c r="S297" i="39"/>
  <c r="T297" i="39" s="1"/>
  <c r="Y297" i="39"/>
  <c r="X297" i="39" s="1"/>
  <c r="J297" i="39"/>
  <c r="I259" i="28"/>
  <c r="I627" i="7" s="1"/>
  <c r="X257" i="28"/>
  <c r="K627" i="7"/>
  <c r="AH259" i="28"/>
  <c r="AF259" i="28" s="1"/>
  <c r="N627" i="7"/>
  <c r="Z259" i="28"/>
  <c r="AB259" i="28" s="1"/>
  <c r="AE259" i="28"/>
  <c r="R332" i="7" l="1"/>
  <c r="M277" i="13"/>
  <c r="L332" i="7" s="1"/>
  <c r="Y277" i="13"/>
  <c r="H277" i="13" s="1"/>
  <c r="H332" i="7" s="1"/>
  <c r="K277" i="13"/>
  <c r="J332" i="7" s="1"/>
  <c r="AB277" i="13"/>
  <c r="L277" i="13"/>
  <c r="K332" i="7" s="1"/>
  <c r="N277" i="13"/>
  <c r="V277" i="13"/>
  <c r="H297" i="39"/>
  <c r="U297" i="39"/>
  <c r="G297" i="39" s="1"/>
  <c r="D298" i="36" s="1"/>
  <c r="AC259" i="28"/>
  <c r="J259" i="28"/>
  <c r="AC277" i="13" l="1"/>
  <c r="M332" i="7"/>
  <c r="U277" i="13"/>
  <c r="W277" i="13" s="1"/>
  <c r="Z277" i="13"/>
  <c r="J277" i="13"/>
  <c r="G277" i="13" s="1"/>
  <c r="G332" i="7" s="1"/>
  <c r="I297" i="39"/>
  <c r="AC297" i="39" s="1"/>
  <c r="E298" i="36"/>
  <c r="C299" i="36"/>
  <c r="P297" i="39"/>
  <c r="O297" i="39"/>
  <c r="I300" i="13"/>
  <c r="I355" i="7" s="1"/>
  <c r="H259" i="28"/>
  <c r="J627" i="7"/>
  <c r="AA277" i="13" l="1"/>
  <c r="P332" i="7"/>
  <c r="Q332" i="7"/>
  <c r="X277" i="13"/>
  <c r="S277" i="13"/>
  <c r="F278" i="13"/>
  <c r="F333" i="7" s="1"/>
  <c r="R277" i="13"/>
  <c r="Z298" i="39"/>
  <c r="F298" i="39"/>
  <c r="H627" i="7"/>
  <c r="Q259" i="28"/>
  <c r="Q627" i="7" s="1"/>
  <c r="R259" i="28"/>
  <c r="R627" i="7" s="1"/>
  <c r="F260" i="28"/>
  <c r="R333" i="7" l="1"/>
  <c r="K278" i="13"/>
  <c r="J333" i="7" s="1"/>
  <c r="M278" i="13"/>
  <c r="L333" i="7" s="1"/>
  <c r="V278" i="13"/>
  <c r="N278" i="13"/>
  <c r="L278" i="13"/>
  <c r="K333" i="7" s="1"/>
  <c r="AB278" i="13"/>
  <c r="Y278" i="13"/>
  <c r="H278" i="13" s="1"/>
  <c r="H333" i="7" s="1"/>
  <c r="S298" i="39"/>
  <c r="T298" i="39" s="1"/>
  <c r="K298" i="39"/>
  <c r="Y298" i="39"/>
  <c r="X298" i="39" s="1"/>
  <c r="V298" i="39"/>
  <c r="J298" i="39"/>
  <c r="L298" i="39"/>
  <c r="M260" i="28"/>
  <c r="M628" i="7" s="1"/>
  <c r="L260" i="28"/>
  <c r="L628" i="7" s="1"/>
  <c r="AD260" i="28"/>
  <c r="AG260" i="28"/>
  <c r="N260" i="28"/>
  <c r="K260" i="28"/>
  <c r="AA260" i="28"/>
  <c r="F628" i="7"/>
  <c r="S628" i="7" s="1"/>
  <c r="AC278" i="13" l="1"/>
  <c r="M333" i="7"/>
  <c r="U278" i="13"/>
  <c r="Z278" i="13"/>
  <c r="J278" i="13"/>
  <c r="G278" i="13" s="1"/>
  <c r="G333" i="7" s="1"/>
  <c r="H298" i="39"/>
  <c r="U298" i="39"/>
  <c r="G298" i="39" s="1"/>
  <c r="D299" i="36" s="1"/>
  <c r="I260" i="28"/>
  <c r="I628" i="7" s="1"/>
  <c r="K628" i="7"/>
  <c r="X258" i="28"/>
  <c r="N628" i="7"/>
  <c r="Z260" i="28"/>
  <c r="AB260" i="28" s="1"/>
  <c r="AH260" i="28"/>
  <c r="AF260" i="28" s="1"/>
  <c r="AE260" i="28"/>
  <c r="AA278" i="13" l="1"/>
  <c r="P333" i="7"/>
  <c r="Q333" i="7"/>
  <c r="W278" i="13"/>
  <c r="X278" i="13"/>
  <c r="F279" i="13"/>
  <c r="F334" i="7" s="1"/>
  <c r="S278" i="13"/>
  <c r="R278" i="13"/>
  <c r="I298" i="39"/>
  <c r="AC298" i="39" s="1"/>
  <c r="E299" i="36"/>
  <c r="P298" i="39"/>
  <c r="O298" i="39"/>
  <c r="C300" i="36"/>
  <c r="AC260" i="28"/>
  <c r="J260" i="28"/>
  <c r="R334" i="7" l="1"/>
  <c r="N279" i="13"/>
  <c r="L279" i="13"/>
  <c r="K334" i="7" s="1"/>
  <c r="Y279" i="13"/>
  <c r="H279" i="13" s="1"/>
  <c r="H334" i="7" s="1"/>
  <c r="K279" i="13"/>
  <c r="J334" i="7" s="1"/>
  <c r="V279" i="13"/>
  <c r="M279" i="13"/>
  <c r="L334" i="7" s="1"/>
  <c r="AB279" i="13"/>
  <c r="Z299" i="39"/>
  <c r="F299" i="39"/>
  <c r="I301" i="13"/>
  <c r="I356" i="7" s="1"/>
  <c r="H260" i="28"/>
  <c r="J628" i="7"/>
  <c r="K299" i="39" l="1"/>
  <c r="AC279" i="13"/>
  <c r="M334" i="7"/>
  <c r="Z279" i="13"/>
  <c r="U279" i="13"/>
  <c r="W279" i="13" s="1"/>
  <c r="L299" i="39"/>
  <c r="J299" i="39"/>
  <c r="S299" i="39"/>
  <c r="T299" i="39" s="1"/>
  <c r="V299" i="39"/>
  <c r="Y299" i="39"/>
  <c r="X299" i="39" s="1"/>
  <c r="H628" i="7"/>
  <c r="R260" i="28"/>
  <c r="R628" i="7" s="1"/>
  <c r="Q260" i="28"/>
  <c r="Q628" i="7" s="1"/>
  <c r="F261" i="28"/>
  <c r="AA279" i="13" l="1"/>
  <c r="X279" i="13"/>
  <c r="J279" i="13"/>
  <c r="G279" i="13" s="1"/>
  <c r="G334" i="7" s="1"/>
  <c r="U299" i="39"/>
  <c r="G299" i="39" s="1"/>
  <c r="D300" i="36" s="1"/>
  <c r="H299" i="39"/>
  <c r="K261" i="28"/>
  <c r="L261" i="28"/>
  <c r="L629" i="7" s="1"/>
  <c r="AD261" i="28"/>
  <c r="N261" i="28"/>
  <c r="M261" i="28"/>
  <c r="M629" i="7" s="1"/>
  <c r="F629" i="7"/>
  <c r="S629" i="7" s="1"/>
  <c r="AG261" i="28"/>
  <c r="AA261" i="28"/>
  <c r="Q334" i="7" l="1"/>
  <c r="P334" i="7"/>
  <c r="F280" i="13"/>
  <c r="F335" i="7" s="1"/>
  <c r="S279" i="13"/>
  <c r="R279" i="13"/>
  <c r="P299" i="39"/>
  <c r="C301" i="36"/>
  <c r="E300" i="36"/>
  <c r="O299" i="39"/>
  <c r="I299" i="39"/>
  <c r="AC299" i="39" s="1"/>
  <c r="I261" i="28"/>
  <c r="I629" i="7" s="1"/>
  <c r="AE261" i="28"/>
  <c r="AH261" i="28"/>
  <c r="AF261" i="28" s="1"/>
  <c r="N629" i="7"/>
  <c r="K629" i="7"/>
  <c r="X259" i="28"/>
  <c r="Z261" i="28"/>
  <c r="AB261" i="28" s="1"/>
  <c r="R335" i="7" l="1"/>
  <c r="AB280" i="13"/>
  <c r="L280" i="13"/>
  <c r="K335" i="7" s="1"/>
  <c r="N280" i="13"/>
  <c r="K280" i="13"/>
  <c r="J335" i="7" s="1"/>
  <c r="V280" i="13"/>
  <c r="Y280" i="13"/>
  <c r="H280" i="13" s="1"/>
  <c r="H335" i="7" s="1"/>
  <c r="M280" i="13"/>
  <c r="L335" i="7" s="1"/>
  <c r="F300" i="39"/>
  <c r="Z300" i="39"/>
  <c r="I302" i="13"/>
  <c r="I357" i="7" s="1"/>
  <c r="AC261" i="28"/>
  <c r="J261" i="28"/>
  <c r="AC280" i="13" l="1"/>
  <c r="M335" i="7"/>
  <c r="U280" i="13"/>
  <c r="W280" i="13" s="1"/>
  <c r="Z280" i="13"/>
  <c r="Y300" i="39"/>
  <c r="X300" i="39" s="1"/>
  <c r="J300" i="39"/>
  <c r="S300" i="39"/>
  <c r="T300" i="39" s="1"/>
  <c r="V300" i="39"/>
  <c r="K300" i="39"/>
  <c r="L300" i="39"/>
  <c r="J629" i="7"/>
  <c r="H261" i="28"/>
  <c r="AA280" i="13" l="1"/>
  <c r="X280" i="13"/>
  <c r="J280" i="13"/>
  <c r="G280" i="13" s="1"/>
  <c r="G335" i="7" s="1"/>
  <c r="U300" i="39"/>
  <c r="G300" i="39" s="1"/>
  <c r="D301" i="36" s="1"/>
  <c r="H300" i="39"/>
  <c r="Q261" i="28"/>
  <c r="Q629" i="7" s="1"/>
  <c r="R261" i="28"/>
  <c r="R629" i="7" s="1"/>
  <c r="H629" i="7"/>
  <c r="F262" i="28"/>
  <c r="Q335" i="7" l="1"/>
  <c r="P335" i="7"/>
  <c r="S280" i="13"/>
  <c r="F281" i="13"/>
  <c r="F336" i="7" s="1"/>
  <c r="R280" i="13"/>
  <c r="E301" i="36"/>
  <c r="C302" i="36"/>
  <c r="P300" i="39"/>
  <c r="O300" i="39"/>
  <c r="I300" i="39"/>
  <c r="AC300" i="39" s="1"/>
  <c r="I303" i="13"/>
  <c r="I358" i="7" s="1"/>
  <c r="M262" i="28"/>
  <c r="M630" i="7" s="1"/>
  <c r="N262" i="28"/>
  <c r="AG262" i="28"/>
  <c r="AA262" i="28"/>
  <c r="L262" i="28"/>
  <c r="L630" i="7" s="1"/>
  <c r="F630" i="7"/>
  <c r="S630" i="7" s="1"/>
  <c r="AD262" i="28"/>
  <c r="K262" i="28"/>
  <c r="R336" i="7" l="1"/>
  <c r="L281" i="13"/>
  <c r="K336" i="7" s="1"/>
  <c r="K281" i="13"/>
  <c r="J336" i="7" s="1"/>
  <c r="M281" i="13"/>
  <c r="L336" i="7" s="1"/>
  <c r="Y281" i="13"/>
  <c r="H281" i="13" s="1"/>
  <c r="H336" i="7" s="1"/>
  <c r="V281" i="13"/>
  <c r="N281" i="13"/>
  <c r="AB281" i="13"/>
  <c r="F301" i="39"/>
  <c r="Z301" i="39"/>
  <c r="I262" i="28"/>
  <c r="I630" i="7" s="1"/>
  <c r="K630" i="7"/>
  <c r="X260" i="28"/>
  <c r="Z262" i="28"/>
  <c r="AB262" i="28" s="1"/>
  <c r="AE262" i="28"/>
  <c r="N630" i="7"/>
  <c r="AH262" i="28"/>
  <c r="AF262" i="28" s="1"/>
  <c r="AC281" i="13" l="1"/>
  <c r="M336" i="7"/>
  <c r="U281" i="13"/>
  <c r="W281" i="13" s="1"/>
  <c r="Z281" i="13"/>
  <c r="J281" i="13"/>
  <c r="G281" i="13" s="1"/>
  <c r="G336" i="7" s="1"/>
  <c r="L301" i="39"/>
  <c r="V301" i="39"/>
  <c r="S301" i="39"/>
  <c r="T301" i="39" s="1"/>
  <c r="J301" i="39"/>
  <c r="Y301" i="39"/>
  <c r="X301" i="39" s="1"/>
  <c r="K301" i="39"/>
  <c r="AC262" i="28"/>
  <c r="J262" i="28"/>
  <c r="AA281" i="13" l="1"/>
  <c r="P336" i="7"/>
  <c r="Q336" i="7"/>
  <c r="X281" i="13"/>
  <c r="F282" i="13"/>
  <c r="F337" i="7" s="1"/>
  <c r="S281" i="13"/>
  <c r="R281" i="13"/>
  <c r="U301" i="39"/>
  <c r="G301" i="39" s="1"/>
  <c r="D302" i="36" s="1"/>
  <c r="H301" i="39"/>
  <c r="H262" i="28"/>
  <c r="J630" i="7"/>
  <c r="R337" i="7" l="1"/>
  <c r="AB282" i="13"/>
  <c r="K282" i="13"/>
  <c r="J337" i="7" s="1"/>
  <c r="V282" i="13"/>
  <c r="N282" i="13"/>
  <c r="M282" i="13"/>
  <c r="L337" i="7" s="1"/>
  <c r="Y282" i="13"/>
  <c r="H282" i="13" s="1"/>
  <c r="H337" i="7" s="1"/>
  <c r="L282" i="13"/>
  <c r="K337" i="7" s="1"/>
  <c r="E302" i="36"/>
  <c r="C303" i="36"/>
  <c r="P301" i="39"/>
  <c r="O301" i="39"/>
  <c r="I301" i="39"/>
  <c r="AC301" i="39" s="1"/>
  <c r="H630" i="7"/>
  <c r="F263" i="28"/>
  <c r="Q262" i="28"/>
  <c r="Q630" i="7" s="1"/>
  <c r="R262" i="28"/>
  <c r="R630" i="7" s="1"/>
  <c r="AC282" i="13" l="1"/>
  <c r="M337" i="7"/>
  <c r="Z282" i="13"/>
  <c r="U282" i="13"/>
  <c r="W282" i="13" s="1"/>
  <c r="J282" i="13"/>
  <c r="G282" i="13" s="1"/>
  <c r="G337" i="7" s="1"/>
  <c r="Z302" i="39"/>
  <c r="F302" i="39"/>
  <c r="I304" i="13"/>
  <c r="I359" i="7" s="1"/>
  <c r="F631" i="7"/>
  <c r="S631" i="7" s="1"/>
  <c r="L263" i="28"/>
  <c r="K263" i="28"/>
  <c r="AA263" i="28"/>
  <c r="AD263" i="28"/>
  <c r="AG263" i="28"/>
  <c r="N263" i="28"/>
  <c r="M263" i="28"/>
  <c r="AA282" i="13" l="1"/>
  <c r="P337" i="7"/>
  <c r="Q337" i="7"/>
  <c r="X282" i="13"/>
  <c r="S282" i="13"/>
  <c r="F283" i="13"/>
  <c r="F338" i="7" s="1"/>
  <c r="R282" i="13"/>
  <c r="S302" i="39"/>
  <c r="T302" i="39" s="1"/>
  <c r="V302" i="39"/>
  <c r="L302" i="39"/>
  <c r="Y302" i="39"/>
  <c r="X302" i="39" s="1"/>
  <c r="J302" i="39"/>
  <c r="K302" i="39"/>
  <c r="I263" i="28"/>
  <c r="I631" i="7" s="1"/>
  <c r="I633" i="7" s="1"/>
  <c r="M265" i="28"/>
  <c r="M631" i="7"/>
  <c r="M633" i="7" s="1"/>
  <c r="AE263" i="28"/>
  <c r="AH263" i="28"/>
  <c r="AF263" i="28" s="1"/>
  <c r="N631" i="7"/>
  <c r="Z263" i="28"/>
  <c r="AB263" i="28" s="1"/>
  <c r="N265" i="28"/>
  <c r="K631" i="7"/>
  <c r="K633" i="7" s="1"/>
  <c r="X261" i="28"/>
  <c r="V4" i="28" s="1"/>
  <c r="V5" i="28" s="1"/>
  <c r="V6" i="28" s="1"/>
  <c r="K265" i="28"/>
  <c r="L265" i="28"/>
  <c r="L631" i="7"/>
  <c r="L633" i="7" s="1"/>
  <c r="R338" i="7" l="1"/>
  <c r="V283" i="13"/>
  <c r="L283" i="13"/>
  <c r="K338" i="7" s="1"/>
  <c r="M283" i="13"/>
  <c r="L338" i="7" s="1"/>
  <c r="Y283" i="13"/>
  <c r="H283" i="13" s="1"/>
  <c r="H338" i="7" s="1"/>
  <c r="AB283" i="13"/>
  <c r="N283" i="13"/>
  <c r="K283" i="13"/>
  <c r="J338" i="7" s="1"/>
  <c r="U302" i="39"/>
  <c r="G302" i="39" s="1"/>
  <c r="D303" i="36" s="1"/>
  <c r="H302" i="39"/>
  <c r="I265" i="28"/>
  <c r="AC263" i="28"/>
  <c r="J263" i="28"/>
  <c r="AC283" i="13" l="1"/>
  <c r="M338" i="7"/>
  <c r="Z283" i="13"/>
  <c r="U283" i="13"/>
  <c r="W283" i="13" s="1"/>
  <c r="C304" i="36"/>
  <c r="E303" i="36"/>
  <c r="P302" i="39"/>
  <c r="O302" i="39"/>
  <c r="I302" i="39"/>
  <c r="AC302" i="39" s="1"/>
  <c r="I305" i="13"/>
  <c r="I360" i="7" s="1"/>
  <c r="H263" i="28"/>
  <c r="J631" i="7"/>
  <c r="J265" i="28"/>
  <c r="AA283" i="13" l="1"/>
  <c r="F303" i="39"/>
  <c r="Z303" i="39"/>
  <c r="X283" i="13"/>
  <c r="J283" i="13"/>
  <c r="G283" i="13" s="1"/>
  <c r="G338" i="7" s="1"/>
  <c r="Q263" i="28"/>
  <c r="H265" i="28"/>
  <c r="R263" i="28"/>
  <c r="R631" i="7" s="1"/>
  <c r="H631" i="7"/>
  <c r="H633" i="7" s="1"/>
  <c r="Y303" i="39" l="1"/>
  <c r="J303" i="39"/>
  <c r="L303" i="39"/>
  <c r="S303" i="39"/>
  <c r="T303" i="39" s="1"/>
  <c r="K303" i="39"/>
  <c r="V303" i="39"/>
  <c r="P338" i="7"/>
  <c r="Q338" i="7"/>
  <c r="S283" i="13"/>
  <c r="F284" i="13"/>
  <c r="F339" i="7" s="1"/>
  <c r="R283" i="13"/>
  <c r="Q265" i="28"/>
  <c r="Q631" i="7"/>
  <c r="Q633" i="7" s="1"/>
  <c r="X303" i="39" l="1"/>
  <c r="H303" i="39"/>
  <c r="U303" i="39"/>
  <c r="G303" i="39" s="1"/>
  <c r="D304" i="36" s="1"/>
  <c r="R339" i="7"/>
  <c r="L284" i="13"/>
  <c r="K339" i="7" s="1"/>
  <c r="M284" i="13"/>
  <c r="L339" i="7" s="1"/>
  <c r="K284" i="13"/>
  <c r="J339" i="7" s="1"/>
  <c r="V284" i="13"/>
  <c r="Y284" i="13"/>
  <c r="H284" i="13" s="1"/>
  <c r="H339" i="7" s="1"/>
  <c r="N284" i="13"/>
  <c r="AB284" i="13"/>
  <c r="I303" i="39"/>
  <c r="AC303" i="39" s="1"/>
  <c r="C305" i="36" l="1"/>
  <c r="E304" i="36"/>
  <c r="O303" i="39"/>
  <c r="P303" i="39"/>
  <c r="AC284" i="13"/>
  <c r="M339" i="7"/>
  <c r="U284" i="13"/>
  <c r="W284" i="13" s="1"/>
  <c r="Z284" i="13"/>
  <c r="AA284" i="13" l="1"/>
  <c r="F304" i="39"/>
  <c r="Z304" i="39"/>
  <c r="J284" i="13"/>
  <c r="X284" i="13"/>
  <c r="I306" i="13"/>
  <c r="I361" i="7" s="1"/>
  <c r="S304" i="39" l="1"/>
  <c r="T304" i="39" s="1"/>
  <c r="Y304" i="39"/>
  <c r="X304" i="39" s="1"/>
  <c r="K304" i="39"/>
  <c r="V304" i="39"/>
  <c r="L304" i="39"/>
  <c r="J304" i="39"/>
  <c r="G284" i="13"/>
  <c r="G339" i="7" s="1"/>
  <c r="H304" i="39" l="1"/>
  <c r="U304" i="39"/>
  <c r="G304" i="39" s="1"/>
  <c r="D305" i="36" s="1"/>
  <c r="P339" i="7"/>
  <c r="Q339" i="7"/>
  <c r="R284" i="13"/>
  <c r="S284" i="13"/>
  <c r="F285" i="13"/>
  <c r="F340" i="7" s="1"/>
  <c r="I304" i="39"/>
  <c r="AC304" i="39" s="1"/>
  <c r="P304" i="39" l="1"/>
  <c r="O304" i="39"/>
  <c r="E305" i="36"/>
  <c r="C306" i="36"/>
  <c r="R340" i="7"/>
  <c r="M285" i="13"/>
  <c r="L340" i="7" s="1"/>
  <c r="N285" i="13"/>
  <c r="L285" i="13"/>
  <c r="K340" i="7" s="1"/>
  <c r="K285" i="13"/>
  <c r="J340" i="7" s="1"/>
  <c r="Y285" i="13"/>
  <c r="H285" i="13" s="1"/>
  <c r="H340" i="7" s="1"/>
  <c r="V285" i="13"/>
  <c r="AB285" i="13"/>
  <c r="F305" i="39" l="1"/>
  <c r="Z305" i="39"/>
  <c r="AC285" i="13"/>
  <c r="M340" i="7"/>
  <c r="U285" i="13"/>
  <c r="W285" i="13" s="1"/>
  <c r="Z285" i="13"/>
  <c r="Y305" i="39" l="1"/>
  <c r="X305" i="39" s="1"/>
  <c r="V305" i="39"/>
  <c r="J305" i="39"/>
  <c r="S305" i="39"/>
  <c r="T305" i="39" s="1"/>
  <c r="L305" i="39"/>
  <c r="K305" i="39"/>
  <c r="AA285" i="13"/>
  <c r="J285" i="13"/>
  <c r="X285" i="13"/>
  <c r="I307" i="13"/>
  <c r="I362" i="7" s="1"/>
  <c r="H305" i="39" l="1"/>
  <c r="U305" i="39"/>
  <c r="G305" i="39" s="1"/>
  <c r="D306" i="36" s="1"/>
  <c r="G285" i="13"/>
  <c r="G340" i="7" s="1"/>
  <c r="I305" i="39"/>
  <c r="AC305" i="39" s="1"/>
  <c r="C307" i="36" l="1"/>
  <c r="E306" i="36"/>
  <c r="P305" i="39"/>
  <c r="O305" i="39"/>
  <c r="P340" i="7"/>
  <c r="Q340" i="7"/>
  <c r="R285" i="13"/>
  <c r="S285" i="13"/>
  <c r="F286" i="13"/>
  <c r="F341" i="7" s="1"/>
  <c r="F306" i="39" l="1"/>
  <c r="Z306" i="39"/>
  <c r="R341" i="7"/>
  <c r="L286" i="13"/>
  <c r="K341" i="7" s="1"/>
  <c r="V286" i="13"/>
  <c r="AB286" i="13"/>
  <c r="N286" i="13"/>
  <c r="M286" i="13"/>
  <c r="L341" i="7" s="1"/>
  <c r="K286" i="13"/>
  <c r="J341" i="7" s="1"/>
  <c r="Y286" i="13"/>
  <c r="H286" i="13" s="1"/>
  <c r="H341" i="7" s="1"/>
  <c r="V306" i="39" l="1"/>
  <c r="Y306" i="39"/>
  <c r="X306" i="39" s="1"/>
  <c r="S306" i="39"/>
  <c r="T306" i="39" s="1"/>
  <c r="L306" i="39"/>
  <c r="K306" i="39"/>
  <c r="J306" i="39"/>
  <c r="AC286" i="13"/>
  <c r="M341" i="7"/>
  <c r="Z286" i="13"/>
  <c r="J286" i="13"/>
  <c r="G286" i="13" s="1"/>
  <c r="G341" i="7" s="1"/>
  <c r="U286" i="13"/>
  <c r="W286" i="13" s="1"/>
  <c r="I308" i="13"/>
  <c r="I363" i="7" s="1"/>
  <c r="U306" i="39" l="1"/>
  <c r="G306" i="39" s="1"/>
  <c r="D307" i="36" s="1"/>
  <c r="H306" i="39"/>
  <c r="AA286" i="13"/>
  <c r="P341" i="7"/>
  <c r="Q341" i="7"/>
  <c r="X286" i="13"/>
  <c r="F287" i="13"/>
  <c r="F342" i="7" s="1"/>
  <c r="S286" i="13"/>
  <c r="R286" i="13"/>
  <c r="I306" i="39"/>
  <c r="AC306" i="39" s="1"/>
  <c r="C308" i="36" l="1"/>
  <c r="E307" i="36"/>
  <c r="P306" i="39"/>
  <c r="O306" i="39"/>
  <c r="R342" i="7"/>
  <c r="M287" i="13"/>
  <c r="L342" i="7" s="1"/>
  <c r="K287" i="13"/>
  <c r="J342" i="7" s="1"/>
  <c r="AB287" i="13"/>
  <c r="L287" i="13"/>
  <c r="K342" i="7" s="1"/>
  <c r="Y287" i="13"/>
  <c r="H287" i="13" s="1"/>
  <c r="H342" i="7" s="1"/>
  <c r="V287" i="13"/>
  <c r="N287" i="13"/>
  <c r="Z307" i="39" l="1"/>
  <c r="F307" i="39"/>
  <c r="AC287" i="13"/>
  <c r="M342" i="7"/>
  <c r="U287" i="13"/>
  <c r="W287" i="13" s="1"/>
  <c r="Z287" i="13"/>
  <c r="Y307" i="39" l="1"/>
  <c r="X307" i="39" s="1"/>
  <c r="S307" i="39"/>
  <c r="T307" i="39" s="1"/>
  <c r="K307" i="39"/>
  <c r="V307" i="39"/>
  <c r="L307" i="39"/>
  <c r="J307" i="39"/>
  <c r="AA287" i="13"/>
  <c r="X287" i="13"/>
  <c r="J287" i="13"/>
  <c r="G287" i="13" s="1"/>
  <c r="G342" i="7" s="1"/>
  <c r="I309" i="13"/>
  <c r="I364" i="7" s="1"/>
  <c r="H307" i="39" l="1"/>
  <c r="U307" i="39"/>
  <c r="G307" i="39" s="1"/>
  <c r="D308" i="36" s="1"/>
  <c r="P342" i="7"/>
  <c r="Q342" i="7"/>
  <c r="S287" i="13"/>
  <c r="F288" i="13"/>
  <c r="F343" i="7" s="1"/>
  <c r="R287" i="13"/>
  <c r="I307" i="39"/>
  <c r="AC307" i="39" s="1"/>
  <c r="E308" i="36" l="1"/>
  <c r="P307" i="39"/>
  <c r="O307" i="39"/>
  <c r="C309" i="36"/>
  <c r="R343" i="7"/>
  <c r="V288" i="13"/>
  <c r="Y288" i="13"/>
  <c r="H288" i="13" s="1"/>
  <c r="H343" i="7" s="1"/>
  <c r="AB288" i="13"/>
  <c r="N288" i="13"/>
  <c r="K288" i="13"/>
  <c r="J343" i="7" s="1"/>
  <c r="L288" i="13"/>
  <c r="K343" i="7" s="1"/>
  <c r="M288" i="13"/>
  <c r="L343" i="7" s="1"/>
  <c r="Z308" i="39" l="1"/>
  <c r="F308" i="39"/>
  <c r="AC288" i="13"/>
  <c r="M343" i="7"/>
  <c r="U288" i="13"/>
  <c r="Z288" i="13"/>
  <c r="J288" i="13"/>
  <c r="V308" i="39" l="1"/>
  <c r="L308" i="39"/>
  <c r="Y308" i="39"/>
  <c r="X308" i="39" s="1"/>
  <c r="S308" i="39"/>
  <c r="T308" i="39" s="1"/>
  <c r="J308" i="39"/>
  <c r="K308" i="39"/>
  <c r="AA288" i="13"/>
  <c r="W288" i="13"/>
  <c r="X288" i="13"/>
  <c r="G288" i="13"/>
  <c r="G343" i="7" s="1"/>
  <c r="I310" i="13"/>
  <c r="I365" i="7" s="1"/>
  <c r="H308" i="39" l="1"/>
  <c r="U308" i="39"/>
  <c r="G308" i="39" s="1"/>
  <c r="P343" i="7"/>
  <c r="Q343" i="7"/>
  <c r="R288" i="13"/>
  <c r="S288" i="13"/>
  <c r="F289" i="13"/>
  <c r="F344" i="7" s="1"/>
  <c r="I308" i="39"/>
  <c r="AC308" i="39" s="1"/>
  <c r="D309" i="36" l="1"/>
  <c r="P308" i="39"/>
  <c r="O308" i="39"/>
  <c r="R344" i="7"/>
  <c r="AB289" i="13"/>
  <c r="V289" i="13"/>
  <c r="M289" i="13"/>
  <c r="L344" i="7" s="1"/>
  <c r="L289" i="13"/>
  <c r="K344" i="7" s="1"/>
  <c r="K289" i="13"/>
  <c r="J344" i="7" s="1"/>
  <c r="Y289" i="13"/>
  <c r="H289" i="13" s="1"/>
  <c r="H344" i="7" s="1"/>
  <c r="N289" i="13"/>
  <c r="C310" i="36" l="1"/>
  <c r="E309" i="36"/>
  <c r="F309" i="39"/>
  <c r="Z309" i="39"/>
  <c r="AC289" i="13"/>
  <c r="M344" i="7"/>
  <c r="U289" i="13"/>
  <c r="W289" i="13" s="1"/>
  <c r="Z289" i="13"/>
  <c r="S309" i="39" l="1"/>
  <c r="T309" i="39" s="1"/>
  <c r="K309" i="39"/>
  <c r="Y309" i="39"/>
  <c r="X309" i="39" s="1"/>
  <c r="V309" i="39"/>
  <c r="L309" i="39"/>
  <c r="J309" i="39"/>
  <c r="AA289" i="13"/>
  <c r="J289" i="13"/>
  <c r="G289" i="13" s="1"/>
  <c r="G344" i="7" s="1"/>
  <c r="X289" i="13"/>
  <c r="U309" i="39" l="1"/>
  <c r="G309" i="39" s="1"/>
  <c r="H309" i="39"/>
  <c r="P344" i="7"/>
  <c r="Q344" i="7"/>
  <c r="F290" i="13"/>
  <c r="F345" i="7" s="1"/>
  <c r="S289" i="13"/>
  <c r="R289" i="13"/>
  <c r="D310" i="36"/>
  <c r="I309" i="39"/>
  <c r="AC309" i="39" s="1"/>
  <c r="P309" i="39"/>
  <c r="I311" i="13"/>
  <c r="O309" i="39" l="1"/>
  <c r="R345" i="7"/>
  <c r="M290" i="13"/>
  <c r="L345" i="7" s="1"/>
  <c r="L290" i="13"/>
  <c r="K345" i="7" s="1"/>
  <c r="K290" i="13"/>
  <c r="J345" i="7" s="1"/>
  <c r="N290" i="13"/>
  <c r="AB290" i="13"/>
  <c r="Y290" i="13"/>
  <c r="H290" i="13" s="1"/>
  <c r="H345" i="7" s="1"/>
  <c r="V290" i="13"/>
  <c r="E310" i="36"/>
  <c r="C311" i="36"/>
  <c r="Z310" i="39"/>
  <c r="F310" i="39"/>
  <c r="I366" i="7"/>
  <c r="I368" i="7" s="1"/>
  <c r="AC290" i="13" l="1"/>
  <c r="M345" i="7"/>
  <c r="U290" i="13"/>
  <c r="W290" i="13" s="1"/>
  <c r="Z290" i="13"/>
  <c r="V310" i="39"/>
  <c r="K310" i="39"/>
  <c r="J310" i="39"/>
  <c r="L310" i="39"/>
  <c r="S310" i="39"/>
  <c r="T310" i="39" s="1"/>
  <c r="Y310" i="39"/>
  <c r="X310" i="39" s="1"/>
  <c r="AA290" i="13" l="1"/>
  <c r="J290" i="13"/>
  <c r="G290" i="13" s="1"/>
  <c r="G345" i="7" s="1"/>
  <c r="X290" i="13"/>
  <c r="H310" i="39"/>
  <c r="U310" i="39"/>
  <c r="G310" i="39" s="1"/>
  <c r="P345" i="7" l="1"/>
  <c r="Q345" i="7"/>
  <c r="F291" i="13"/>
  <c r="F346" i="7" s="1"/>
  <c r="S290" i="13"/>
  <c r="R290" i="13"/>
  <c r="D311" i="36"/>
  <c r="I310" i="39"/>
  <c r="AC310" i="39" s="1"/>
  <c r="P310" i="39"/>
  <c r="O310" i="39"/>
  <c r="R346" i="7" l="1"/>
  <c r="M291" i="13"/>
  <c r="L346" i="7" s="1"/>
  <c r="Y291" i="13"/>
  <c r="H291" i="13" s="1"/>
  <c r="H346" i="7" s="1"/>
  <c r="L291" i="13"/>
  <c r="K346" i="7" s="1"/>
  <c r="AB291" i="13"/>
  <c r="K291" i="13"/>
  <c r="J346" i="7" s="1"/>
  <c r="V291" i="13"/>
  <c r="N291" i="13"/>
  <c r="C312" i="36"/>
  <c r="E311" i="36"/>
  <c r="F311" i="39"/>
  <c r="Z311" i="39"/>
  <c r="AC291" i="13" l="1"/>
  <c r="M346" i="7"/>
  <c r="U291" i="13"/>
  <c r="W291" i="13" s="1"/>
  <c r="Z291" i="13"/>
  <c r="J291" i="13"/>
  <c r="K311" i="39"/>
  <c r="K313" i="39" s="1"/>
  <c r="V311" i="39"/>
  <c r="J311" i="39"/>
  <c r="J313" i="39" s="1"/>
  <c r="L311" i="39"/>
  <c r="L313" i="39" s="1"/>
  <c r="S311" i="39"/>
  <c r="T311" i="39" s="1"/>
  <c r="Y311" i="39"/>
  <c r="X311" i="39" s="1"/>
  <c r="AA291" i="13" l="1"/>
  <c r="X291" i="13"/>
  <c r="G291" i="13"/>
  <c r="G346" i="7" s="1"/>
  <c r="U311" i="39"/>
  <c r="G311" i="39" s="1"/>
  <c r="H311" i="39"/>
  <c r="H313" i="39" s="1"/>
  <c r="P346" i="7" l="1"/>
  <c r="Q346" i="7"/>
  <c r="R291" i="13"/>
  <c r="F292" i="13"/>
  <c r="F347" i="7" s="1"/>
  <c r="S291" i="13"/>
  <c r="G313" i="39"/>
  <c r="I311" i="39"/>
  <c r="AC311" i="39" s="1"/>
  <c r="AB12" i="39" s="1"/>
  <c r="AB13" i="39" s="1"/>
  <c r="AB14" i="39" s="1"/>
  <c r="J47" i="9" s="1"/>
  <c r="P311" i="39"/>
  <c r="O311" i="39"/>
  <c r="O313" i="39" s="1"/>
  <c r="D312" i="36"/>
  <c r="E312" i="36" s="1"/>
  <c r="R347" i="7" l="1"/>
  <c r="V292" i="13"/>
  <c r="Y292" i="13"/>
  <c r="H292" i="13" s="1"/>
  <c r="H347" i="7" s="1"/>
  <c r="N292" i="13"/>
  <c r="AB292" i="13"/>
  <c r="L292" i="13"/>
  <c r="K347" i="7" s="1"/>
  <c r="K292" i="13"/>
  <c r="J347" i="7" s="1"/>
  <c r="M292" i="13"/>
  <c r="L347" i="7" s="1"/>
  <c r="J54" i="9"/>
  <c r="J56" i="9"/>
  <c r="J65" i="9"/>
  <c r="J63" i="9"/>
  <c r="J50" i="9"/>
  <c r="J52" i="9"/>
  <c r="J55" i="9"/>
  <c r="J48" i="9"/>
  <c r="J53" i="9"/>
  <c r="J49" i="9"/>
  <c r="J64" i="9"/>
  <c r="J51" i="9"/>
  <c r="G50" i="9"/>
  <c r="D64" i="7" s="1"/>
  <c r="D16" i="34" s="1"/>
  <c r="G62" i="9"/>
  <c r="AC292" i="13" l="1"/>
  <c r="M347" i="7"/>
  <c r="Z292" i="13"/>
  <c r="U292" i="13"/>
  <c r="W292" i="13" s="1"/>
  <c r="AA292" i="13" l="1"/>
  <c r="X292" i="13"/>
  <c r="J292" i="13"/>
  <c r="G292" i="13" l="1"/>
  <c r="G347" i="7" s="1"/>
  <c r="P347" i="7" l="1"/>
  <c r="Q347" i="7"/>
  <c r="R292" i="13"/>
  <c r="F293" i="13"/>
  <c r="F348" i="7" s="1"/>
  <c r="S292" i="13"/>
  <c r="R348" i="7" l="1"/>
  <c r="M293" i="13"/>
  <c r="L348" i="7" s="1"/>
  <c r="K293" i="13"/>
  <c r="J348" i="7" s="1"/>
  <c r="L293" i="13"/>
  <c r="K348" i="7" s="1"/>
  <c r="N293" i="13"/>
  <c r="AB293" i="13"/>
  <c r="V293" i="13"/>
  <c r="Y293" i="13"/>
  <c r="H293" i="13" s="1"/>
  <c r="H348" i="7" s="1"/>
  <c r="AC293" i="13" l="1"/>
  <c r="M348" i="7"/>
  <c r="U293" i="13"/>
  <c r="W293" i="13" s="1"/>
  <c r="Z293" i="13"/>
  <c r="AA293" i="13" l="1"/>
  <c r="J293" i="13"/>
  <c r="G293" i="13" s="1"/>
  <c r="G348" i="7" s="1"/>
  <c r="X293" i="13"/>
  <c r="P348" i="7" l="1"/>
  <c r="Q348" i="7"/>
  <c r="F294" i="13"/>
  <c r="F349" i="7" s="1"/>
  <c r="S293" i="13"/>
  <c r="R293" i="13"/>
  <c r="R349" i="7" l="1"/>
  <c r="N294" i="13"/>
  <c r="Y294" i="13"/>
  <c r="H294" i="13" s="1"/>
  <c r="H349" i="7" s="1"/>
  <c r="AB294" i="13"/>
  <c r="M294" i="13"/>
  <c r="L349" i="7" s="1"/>
  <c r="L294" i="13"/>
  <c r="K349" i="7" s="1"/>
  <c r="V294" i="13"/>
  <c r="K294" i="13"/>
  <c r="J349" i="7" s="1"/>
  <c r="AC294" i="13" l="1"/>
  <c r="M349" i="7"/>
  <c r="U294" i="13"/>
  <c r="W294" i="13" s="1"/>
  <c r="Z294" i="13"/>
  <c r="AA294" i="13" l="1"/>
  <c r="X294" i="13"/>
  <c r="J294" i="13"/>
  <c r="G294" i="13" s="1"/>
  <c r="G349" i="7" s="1"/>
  <c r="Q349" i="7" l="1"/>
  <c r="P349" i="7"/>
  <c r="F295" i="13"/>
  <c r="F350" i="7" s="1"/>
  <c r="S294" i="13"/>
  <c r="R294" i="13"/>
  <c r="R350" i="7" l="1"/>
  <c r="M295" i="13"/>
  <c r="L350" i="7" s="1"/>
  <c r="V295" i="13"/>
  <c r="Y295" i="13"/>
  <c r="H295" i="13" s="1"/>
  <c r="H350" i="7" s="1"/>
  <c r="K295" i="13"/>
  <c r="J350" i="7" s="1"/>
  <c r="AB295" i="13"/>
  <c r="L295" i="13"/>
  <c r="K350" i="7" s="1"/>
  <c r="N295" i="13"/>
  <c r="AC295" i="13" l="1"/>
  <c r="M350" i="7"/>
  <c r="Z295" i="13"/>
  <c r="J295" i="13"/>
  <c r="G295" i="13" s="1"/>
  <c r="G350" i="7" s="1"/>
  <c r="U295" i="13"/>
  <c r="W295" i="13" s="1"/>
  <c r="AA295" i="13" l="1"/>
  <c r="P350" i="7"/>
  <c r="Q350" i="7"/>
  <c r="X295" i="13"/>
  <c r="F296" i="13"/>
  <c r="F351" i="7" s="1"/>
  <c r="S295" i="13"/>
  <c r="R295" i="13"/>
  <c r="R351" i="7" l="1"/>
  <c r="L296" i="13"/>
  <c r="K351" i="7" s="1"/>
  <c r="K296" i="13"/>
  <c r="J351" i="7" s="1"/>
  <c r="AB296" i="13"/>
  <c r="Y296" i="13"/>
  <c r="H296" i="13" s="1"/>
  <c r="H351" i="7" s="1"/>
  <c r="N296" i="13"/>
  <c r="M296" i="13"/>
  <c r="L351" i="7" s="1"/>
  <c r="V296" i="13"/>
  <c r="AC296" i="13" l="1"/>
  <c r="M351" i="7"/>
  <c r="Z296" i="13"/>
  <c r="U296" i="13"/>
  <c r="J296" i="13"/>
  <c r="G296" i="13" s="1"/>
  <c r="G351" i="7" s="1"/>
  <c r="AA296" i="13" l="1"/>
  <c r="P351" i="7"/>
  <c r="Q351" i="7"/>
  <c r="X296" i="13"/>
  <c r="W296" i="13"/>
  <c r="S296" i="13"/>
  <c r="F297" i="13"/>
  <c r="F352" i="7" s="1"/>
  <c r="R296" i="13"/>
  <c r="R352" i="7" l="1"/>
  <c r="Y297" i="13"/>
  <c r="H297" i="13" s="1"/>
  <c r="H352" i="7" s="1"/>
  <c r="K297" i="13"/>
  <c r="J352" i="7" s="1"/>
  <c r="M297" i="13"/>
  <c r="L352" i="7" s="1"/>
  <c r="N297" i="13"/>
  <c r="V297" i="13"/>
  <c r="L297" i="13"/>
  <c r="K352" i="7" s="1"/>
  <c r="AB297" i="13"/>
  <c r="AC297" i="13" l="1"/>
  <c r="M352" i="7"/>
  <c r="Z297" i="13"/>
  <c r="J297" i="13"/>
  <c r="G297" i="13" s="1"/>
  <c r="G352" i="7" s="1"/>
  <c r="U297" i="13"/>
  <c r="W297" i="13" s="1"/>
  <c r="AA297" i="13" l="1"/>
  <c r="P352" i="7"/>
  <c r="Q352" i="7"/>
  <c r="X297" i="13"/>
  <c r="F298" i="13"/>
  <c r="F353" i="7" s="1"/>
  <c r="S297" i="13"/>
  <c r="R297" i="13"/>
  <c r="R353" i="7" l="1"/>
  <c r="M298" i="13"/>
  <c r="L353" i="7" s="1"/>
  <c r="K298" i="13"/>
  <c r="J353" i="7" s="1"/>
  <c r="N298" i="13"/>
  <c r="Y298" i="13"/>
  <c r="H298" i="13" s="1"/>
  <c r="H353" i="7" s="1"/>
  <c r="AB298" i="13"/>
  <c r="V298" i="13"/>
  <c r="L298" i="13"/>
  <c r="K353" i="7" s="1"/>
  <c r="AC298" i="13" l="1"/>
  <c r="M353" i="7"/>
  <c r="U298" i="13"/>
  <c r="W298" i="13" s="1"/>
  <c r="Z298" i="13"/>
  <c r="AA298" i="13" l="1"/>
  <c r="X298" i="13"/>
  <c r="J298" i="13"/>
  <c r="G298" i="13" s="1"/>
  <c r="G353" i="7" s="1"/>
  <c r="P353" i="7" l="1"/>
  <c r="Q353" i="7"/>
  <c r="S298" i="13"/>
  <c r="F299" i="13"/>
  <c r="F354" i="7" s="1"/>
  <c r="R298" i="13"/>
  <c r="R354" i="7" l="1"/>
  <c r="AB299" i="13"/>
  <c r="Y299" i="13"/>
  <c r="H299" i="13" s="1"/>
  <c r="H354" i="7" s="1"/>
  <c r="M299" i="13"/>
  <c r="L354" i="7" s="1"/>
  <c r="L299" i="13"/>
  <c r="K354" i="7" s="1"/>
  <c r="N299" i="13"/>
  <c r="V299" i="13"/>
  <c r="K299" i="13"/>
  <c r="J354" i="7" s="1"/>
  <c r="AC299" i="13" l="1"/>
  <c r="M354" i="7"/>
  <c r="U299" i="13"/>
  <c r="W299" i="13" s="1"/>
  <c r="Z299" i="13"/>
  <c r="AA299" i="13" l="1"/>
  <c r="X299" i="13"/>
  <c r="J299" i="13"/>
  <c r="G299" i="13" s="1"/>
  <c r="G354" i="7" s="1"/>
  <c r="P354" i="7" l="1"/>
  <c r="Q354" i="7"/>
  <c r="F300" i="13"/>
  <c r="F355" i="7" s="1"/>
  <c r="S299" i="13"/>
  <c r="R299" i="13"/>
  <c r="R355" i="7" l="1"/>
  <c r="L300" i="13"/>
  <c r="K355" i="7" s="1"/>
  <c r="M300" i="13"/>
  <c r="L355" i="7" s="1"/>
  <c r="V300" i="13"/>
  <c r="N300" i="13"/>
  <c r="K300" i="13"/>
  <c r="J355" i="7" s="1"/>
  <c r="Y300" i="13"/>
  <c r="H300" i="13" s="1"/>
  <c r="H355" i="7" s="1"/>
  <c r="AB300" i="13"/>
  <c r="AC300" i="13" l="1"/>
  <c r="M355" i="7"/>
  <c r="Z300" i="13"/>
  <c r="U300" i="13"/>
  <c r="W300" i="13" s="1"/>
  <c r="AA300" i="13" l="1"/>
  <c r="J300" i="13"/>
  <c r="G300" i="13" s="1"/>
  <c r="G355" i="7" s="1"/>
  <c r="X300" i="13"/>
  <c r="P355" i="7" l="1"/>
  <c r="Q355" i="7"/>
  <c r="S300" i="13"/>
  <c r="F301" i="13"/>
  <c r="F356" i="7" s="1"/>
  <c r="R300" i="13"/>
  <c r="R356" i="7" l="1"/>
  <c r="N301" i="13"/>
  <c r="M301" i="13"/>
  <c r="L356" i="7" s="1"/>
  <c r="V301" i="13"/>
  <c r="L301" i="13"/>
  <c r="K356" i="7" s="1"/>
  <c r="AB301" i="13"/>
  <c r="Y301" i="13"/>
  <c r="H301" i="13" s="1"/>
  <c r="H356" i="7" s="1"/>
  <c r="K301" i="13"/>
  <c r="J356" i="7" s="1"/>
  <c r="AC301" i="13" l="1"/>
  <c r="M356" i="7"/>
  <c r="U301" i="13"/>
  <c r="Z301" i="13"/>
  <c r="AA301" i="13" l="1"/>
  <c r="W301" i="13"/>
  <c r="X301" i="13"/>
  <c r="J301" i="13"/>
  <c r="G301" i="13" s="1"/>
  <c r="G356" i="7" s="1"/>
  <c r="P356" i="7" l="1"/>
  <c r="Q356" i="7"/>
  <c r="S301" i="13"/>
  <c r="F302" i="13"/>
  <c r="F357" i="7" s="1"/>
  <c r="R301" i="13"/>
  <c r="R357" i="7" l="1"/>
  <c r="N302" i="13"/>
  <c r="V302" i="13"/>
  <c r="Y302" i="13"/>
  <c r="H302" i="13" s="1"/>
  <c r="H357" i="7" s="1"/>
  <c r="K302" i="13"/>
  <c r="J357" i="7" s="1"/>
  <c r="AB302" i="13"/>
  <c r="L302" i="13"/>
  <c r="K357" i="7" s="1"/>
  <c r="M302" i="13"/>
  <c r="L357" i="7" s="1"/>
  <c r="AC302" i="13" l="1"/>
  <c r="M357" i="7"/>
  <c r="U302" i="13"/>
  <c r="W302" i="13" s="1"/>
  <c r="Z302" i="13"/>
  <c r="AA302" i="13" l="1"/>
  <c r="J302" i="13"/>
  <c r="G302" i="13" s="1"/>
  <c r="G357" i="7" s="1"/>
  <c r="X302" i="13"/>
  <c r="P357" i="7" l="1"/>
  <c r="Q357" i="7"/>
  <c r="F303" i="13"/>
  <c r="F358" i="7" s="1"/>
  <c r="S302" i="13"/>
  <c r="R302" i="13"/>
  <c r="R358" i="7" l="1"/>
  <c r="AB303" i="13"/>
  <c r="V303" i="13"/>
  <c r="Y303" i="13"/>
  <c r="H303" i="13" s="1"/>
  <c r="H358" i="7" s="1"/>
  <c r="N303" i="13"/>
  <c r="L303" i="13"/>
  <c r="K358" i="7" s="1"/>
  <c r="M303" i="13"/>
  <c r="L358" i="7" s="1"/>
  <c r="K303" i="13"/>
  <c r="J358" i="7" s="1"/>
  <c r="AC303" i="13" l="1"/>
  <c r="M358" i="7"/>
  <c r="Z303" i="13"/>
  <c r="U303" i="13"/>
  <c r="W303" i="13" s="1"/>
  <c r="J303" i="13"/>
  <c r="G303" i="13" s="1"/>
  <c r="G358" i="7" s="1"/>
  <c r="AA303" i="13" l="1"/>
  <c r="P358" i="7"/>
  <c r="Q358" i="7"/>
  <c r="X303" i="13"/>
  <c r="F304" i="13"/>
  <c r="F359" i="7" s="1"/>
  <c r="S303" i="13"/>
  <c r="R303" i="13"/>
  <c r="R359" i="7" l="1"/>
  <c r="M304" i="13"/>
  <c r="L359" i="7" s="1"/>
  <c r="L304" i="13"/>
  <c r="K359" i="7" s="1"/>
  <c r="K304" i="13"/>
  <c r="J359" i="7" s="1"/>
  <c r="V304" i="13"/>
  <c r="AB304" i="13"/>
  <c r="N304" i="13"/>
  <c r="Y304" i="13"/>
  <c r="H304" i="13" s="1"/>
  <c r="H359" i="7" s="1"/>
  <c r="AC304" i="13" l="1"/>
  <c r="M359" i="7"/>
  <c r="U304" i="13"/>
  <c r="W304" i="13" s="1"/>
  <c r="Z304" i="13"/>
  <c r="AA304" i="13" l="1"/>
  <c r="J304" i="13"/>
  <c r="G304" i="13" s="1"/>
  <c r="G359" i="7" s="1"/>
  <c r="X304" i="13"/>
  <c r="P359" i="7" l="1"/>
  <c r="Q359" i="7"/>
  <c r="F305" i="13"/>
  <c r="F360" i="7" s="1"/>
  <c r="S304" i="13"/>
  <c r="R304" i="13"/>
  <c r="R360" i="7" l="1"/>
  <c r="L305" i="13"/>
  <c r="K360" i="7" s="1"/>
  <c r="Y305" i="13"/>
  <c r="H305" i="13" s="1"/>
  <c r="H360" i="7" s="1"/>
  <c r="AB305" i="13"/>
  <c r="K305" i="13"/>
  <c r="J360" i="7" s="1"/>
  <c r="V305" i="13"/>
  <c r="M305" i="13"/>
  <c r="L360" i="7" s="1"/>
  <c r="N305" i="13"/>
  <c r="AC305" i="13" l="1"/>
  <c r="M360" i="7"/>
  <c r="U305" i="13"/>
  <c r="Z305" i="13"/>
  <c r="J305" i="13"/>
  <c r="G305" i="13" s="1"/>
  <c r="G360" i="7" s="1"/>
  <c r="AA305" i="13" l="1"/>
  <c r="Q360" i="7"/>
  <c r="P360" i="7"/>
  <c r="W305" i="13"/>
  <c r="X305" i="13"/>
  <c r="S305" i="13"/>
  <c r="F306" i="13"/>
  <c r="F361" i="7" s="1"/>
  <c r="R305" i="13"/>
  <c r="R361" i="7" l="1"/>
  <c r="Y306" i="13"/>
  <c r="H306" i="13" s="1"/>
  <c r="H361" i="7" s="1"/>
  <c r="N306" i="13"/>
  <c r="K306" i="13"/>
  <c r="J361" i="7" s="1"/>
  <c r="AB306" i="13"/>
  <c r="V306" i="13"/>
  <c r="M306" i="13"/>
  <c r="L361" i="7" s="1"/>
  <c r="L306" i="13"/>
  <c r="K361" i="7" s="1"/>
  <c r="AC306" i="13" l="1"/>
  <c r="M361" i="7"/>
  <c r="Z306" i="13"/>
  <c r="U306" i="13"/>
  <c r="W306" i="13" s="1"/>
  <c r="AA306" i="13" l="1"/>
  <c r="J306" i="13"/>
  <c r="G306" i="13" s="1"/>
  <c r="G361" i="7" s="1"/>
  <c r="X306" i="13"/>
  <c r="P361" i="7" l="1"/>
  <c r="Q361" i="7"/>
  <c r="S306" i="13"/>
  <c r="F307" i="13"/>
  <c r="F362" i="7" s="1"/>
  <c r="R306" i="13"/>
  <c r="R362" i="7" l="1"/>
  <c r="Y307" i="13"/>
  <c r="H307" i="13" s="1"/>
  <c r="H362" i="7" s="1"/>
  <c r="AB307" i="13"/>
  <c r="M307" i="13"/>
  <c r="L362" i="7" s="1"/>
  <c r="N307" i="13"/>
  <c r="V307" i="13"/>
  <c r="L307" i="13"/>
  <c r="K362" i="7" s="1"/>
  <c r="K307" i="13"/>
  <c r="J362" i="7" s="1"/>
  <c r="AC307" i="13" l="1"/>
  <c r="AA307" i="13" s="1"/>
  <c r="M362" i="7"/>
  <c r="U307" i="13"/>
  <c r="W307" i="13" s="1"/>
  <c r="Z307" i="13"/>
  <c r="J307" i="13"/>
  <c r="G307" i="13" s="1"/>
  <c r="G362" i="7" s="1"/>
  <c r="P362" i="7" l="1"/>
  <c r="Q362" i="7"/>
  <c r="X307" i="13"/>
  <c r="S307" i="13"/>
  <c r="F308" i="13"/>
  <c r="F363" i="7" s="1"/>
  <c r="R307" i="13"/>
  <c r="R363" i="7" l="1"/>
  <c r="N308" i="13"/>
  <c r="M308" i="13"/>
  <c r="L363" i="7" s="1"/>
  <c r="AB308" i="13"/>
  <c r="Y308" i="13"/>
  <c r="H308" i="13" s="1"/>
  <c r="H363" i="7" s="1"/>
  <c r="V308" i="13"/>
  <c r="L308" i="13"/>
  <c r="K363" i="7" s="1"/>
  <c r="K308" i="13"/>
  <c r="J363" i="7" s="1"/>
  <c r="AC308" i="13" l="1"/>
  <c r="M363" i="7"/>
  <c r="Z308" i="13"/>
  <c r="U308" i="13"/>
  <c r="W308" i="13" s="1"/>
  <c r="J308" i="13"/>
  <c r="G308" i="13" s="1"/>
  <c r="G363" i="7" s="1"/>
  <c r="AA308" i="13" l="1"/>
  <c r="P363" i="7"/>
  <c r="Q363" i="7"/>
  <c r="X308" i="13"/>
  <c r="F309" i="13"/>
  <c r="F364" i="7" s="1"/>
  <c r="S308" i="13"/>
  <c r="R308" i="13"/>
  <c r="R364" i="7" l="1"/>
  <c r="V309" i="13"/>
  <c r="N309" i="13"/>
  <c r="M309" i="13"/>
  <c r="L364" i="7" s="1"/>
  <c r="L309" i="13"/>
  <c r="K364" i="7" s="1"/>
  <c r="AB309" i="13"/>
  <c r="Y309" i="13"/>
  <c r="H309" i="13" s="1"/>
  <c r="H364" i="7" s="1"/>
  <c r="K309" i="13"/>
  <c r="J364" i="7" s="1"/>
  <c r="AC309" i="13" l="1"/>
  <c r="M364" i="7"/>
  <c r="Z309" i="13"/>
  <c r="U309" i="13"/>
  <c r="W309" i="13" s="1"/>
  <c r="AA309" i="13" l="1"/>
  <c r="J309" i="13"/>
  <c r="G309" i="13" s="1"/>
  <c r="G364" i="7" s="1"/>
  <c r="X309" i="13"/>
  <c r="P364" i="7" l="1"/>
  <c r="Q364" i="7"/>
  <c r="F310" i="13"/>
  <c r="F365" i="7" s="1"/>
  <c r="S309" i="13"/>
  <c r="R309" i="13"/>
  <c r="R365" i="7" l="1"/>
  <c r="L310" i="13"/>
  <c r="K365" i="7" s="1"/>
  <c r="V310" i="13"/>
  <c r="AB310" i="13"/>
  <c r="N310" i="13"/>
  <c r="M310" i="13"/>
  <c r="L365" i="7" s="1"/>
  <c r="Y310" i="13"/>
  <c r="H310" i="13" s="1"/>
  <c r="H365" i="7" s="1"/>
  <c r="K310" i="13"/>
  <c r="J365" i="7" s="1"/>
  <c r="AC310" i="13" l="1"/>
  <c r="M365" i="7"/>
  <c r="U310" i="13"/>
  <c r="Z310" i="13"/>
  <c r="J310" i="13"/>
  <c r="G310" i="13" s="1"/>
  <c r="G365" i="7" s="1"/>
  <c r="AA310" i="13" l="1"/>
  <c r="P365" i="7"/>
  <c r="Q365" i="7"/>
  <c r="W310" i="13"/>
  <c r="X310" i="13"/>
  <c r="S310" i="13"/>
  <c r="F311" i="13"/>
  <c r="F366" i="7" s="1"/>
  <c r="R310" i="13"/>
  <c r="R366" i="7" l="1"/>
  <c r="N63" i="7" s="1"/>
  <c r="M311" i="13"/>
  <c r="N311" i="13"/>
  <c r="V311" i="13"/>
  <c r="Y311" i="13"/>
  <c r="H311" i="13" s="1"/>
  <c r="L311" i="13"/>
  <c r="K311" i="13"/>
  <c r="AB311" i="13"/>
  <c r="M313" i="13" l="1"/>
  <c r="L366" i="7"/>
  <c r="L368" i="7" s="1"/>
  <c r="AC311" i="13"/>
  <c r="M366" i="7"/>
  <c r="H313" i="13"/>
  <c r="H366" i="7"/>
  <c r="H368" i="7" s="1"/>
  <c r="L313" i="13"/>
  <c r="K366" i="7"/>
  <c r="K368" i="7" s="1"/>
  <c r="K313" i="13"/>
  <c r="J366" i="7"/>
  <c r="J368" i="7" s="1"/>
  <c r="Z311" i="13"/>
  <c r="U311" i="13"/>
  <c r="W311" i="13" s="1"/>
  <c r="E242" i="10" l="1"/>
  <c r="C4" i="10" s="1"/>
  <c r="C5" i="10" s="1"/>
  <c r="C6" i="10" s="1"/>
  <c r="AA311" i="13"/>
  <c r="X311" i="13"/>
  <c r="J311" i="13"/>
  <c r="G311" i="13" s="1"/>
  <c r="G366" i="7" s="1"/>
  <c r="G368" i="7" s="1"/>
  <c r="Q366" i="7" l="1"/>
  <c r="P366" i="7"/>
  <c r="P368" i="7" s="1"/>
  <c r="S311" i="13"/>
  <c r="G313" i="13"/>
  <c r="R311" i="13"/>
  <c r="R313"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GERARDO ARTURO GUADARRAMA GUADARRAMA</author>
  </authors>
  <commentList>
    <comment ref="N7" authorId="0" shapeId="0" xr:uid="{00000000-0006-0000-0000-000001000000}">
      <text>
        <r>
          <rPr>
            <b/>
            <sz val="9"/>
            <color indexed="81"/>
            <rFont val="Tahoma"/>
            <family val="2"/>
          </rPr>
          <t>Al seleccionar programas de Cofinanciamiento solo captura el Monto de Vivienda</t>
        </r>
      </text>
    </comment>
    <comment ref="F9" authorId="0" shapeId="0" xr:uid="{00000000-0006-0000-0000-000002000000}">
      <text>
        <r>
          <rPr>
            <b/>
            <sz val="9"/>
            <color indexed="81"/>
            <rFont val="Tahoma"/>
            <family val="2"/>
          </rPr>
          <t>Para los destinos de Contrucción, Terreno más Construcción y Preventa Captura las ministraciones en la Tabla de Amortización</t>
        </r>
      </text>
    </comment>
    <comment ref="O13" authorId="0" shapeId="0" xr:uid="{63ADB1A5-3797-4EA3-A47D-76F641F84BFD}">
      <text>
        <r>
          <rPr>
            <b/>
            <sz val="9"/>
            <color indexed="81"/>
            <rFont val="Tahoma"/>
            <family val="2"/>
          </rPr>
          <t xml:space="preserve">Captura la Suma Asegurable.
</t>
        </r>
      </text>
    </comment>
    <comment ref="F62" authorId="0" shapeId="0" xr:uid="{00000000-0006-0000-0000-000004000000}">
      <text>
        <r>
          <rPr>
            <b/>
            <sz val="9"/>
            <color indexed="81"/>
            <rFont val="Tahoma"/>
            <family val="2"/>
          </rPr>
          <t>Selecciona la tasa de acuerdo al producto</t>
        </r>
      </text>
    </comment>
    <comment ref="N62" authorId="0" shapeId="0" xr:uid="{00000000-0006-0000-0000-000005000000}">
      <text>
        <r>
          <rPr>
            <sz val="9"/>
            <color indexed="81"/>
            <rFont val="Tahoma"/>
            <family val="2"/>
          </rPr>
          <t>Actualiza el tipo de prepago para aplicar al capital</t>
        </r>
      </text>
    </comment>
    <comment ref="E372" authorId="0" shapeId="0" xr:uid="{00000000-0006-0000-0000-000006000000}">
      <text>
        <r>
          <rPr>
            <b/>
            <sz val="9"/>
            <color indexed="81"/>
            <rFont val="Tahoma"/>
            <family val="2"/>
          </rPr>
          <t>Captura tus ministraciones conforme a política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<sst xmlns="http://schemas.openxmlformats.org/spreadsheetml/2006/main" count="2587" uniqueCount="819">
  <si>
    <t>Ministraciones</t>
  </si>
  <si>
    <t>Producto:</t>
  </si>
  <si>
    <t>Destino</t>
  </si>
  <si>
    <t>Días PMT</t>
  </si>
  <si>
    <t>Comisión Apertura</t>
  </si>
  <si>
    <t>Relación Ingreso Pago</t>
  </si>
  <si>
    <t>Aportación Patronal</t>
  </si>
  <si>
    <t>Apoyo INFONAVIT</t>
  </si>
  <si>
    <t>Cofinavit</t>
  </si>
  <si>
    <t>Alia2+</t>
  </si>
  <si>
    <t>Respalda2</t>
  </si>
  <si>
    <t>Mejora</t>
  </si>
  <si>
    <t>Construcción</t>
  </si>
  <si>
    <t>Remodelación</t>
  </si>
  <si>
    <t>Liquidez</t>
  </si>
  <si>
    <t>Adquisición</t>
  </si>
  <si>
    <t>Periodo</t>
  </si>
  <si>
    <t/>
  </si>
  <si>
    <t>TOTALES</t>
  </si>
  <si>
    <t>Fecha</t>
  </si>
  <si>
    <t>Seguro de Vida</t>
  </si>
  <si>
    <t>Avalúo</t>
  </si>
  <si>
    <t xml:space="preserve">Su crédito se amortizará en </t>
  </si>
  <si>
    <t>Tasa</t>
  </si>
  <si>
    <t>Mes</t>
  </si>
  <si>
    <t>Datos del Crédito</t>
  </si>
  <si>
    <t>Plazo en meses</t>
  </si>
  <si>
    <t>Programa</t>
  </si>
  <si>
    <t>Reduce Plazo y Pago</t>
  </si>
  <si>
    <t>Días</t>
  </si>
  <si>
    <t>Saldo Inicial</t>
  </si>
  <si>
    <t>Capital</t>
  </si>
  <si>
    <t>Seguro de Daños y Contenidos</t>
  </si>
  <si>
    <t>Comisión Diferida</t>
  </si>
  <si>
    <t>Aportaciones a Capital</t>
  </si>
  <si>
    <t>Pago Mensual</t>
  </si>
  <si>
    <t>Saldo Final</t>
  </si>
  <si>
    <t>Interés</t>
  </si>
  <si>
    <t>Aguascalientes</t>
  </si>
  <si>
    <t>Baja California Norte</t>
  </si>
  <si>
    <t>Baja California Sur</t>
  </si>
  <si>
    <t>Campeche</t>
  </si>
  <si>
    <t>Coahuila</t>
  </si>
  <si>
    <t>Colima</t>
  </si>
  <si>
    <t>Chiapas</t>
  </si>
  <si>
    <t>Chihuahua</t>
  </si>
  <si>
    <t>Ciudad de México</t>
  </si>
  <si>
    <t>Durango</t>
  </si>
  <si>
    <t>Estado de México</t>
  </si>
  <si>
    <t>Guanajuato</t>
  </si>
  <si>
    <t>Guerrero</t>
  </si>
  <si>
    <t>Hidalgo</t>
  </si>
  <si>
    <t>Jalisco</t>
  </si>
  <si>
    <t>Michoacán</t>
  </si>
  <si>
    <t>Morelos</t>
  </si>
  <si>
    <t>Nayarit</t>
  </si>
  <si>
    <t>Oaxaca</t>
  </si>
  <si>
    <t>Puebla</t>
  </si>
  <si>
    <t>Querétaro</t>
  </si>
  <si>
    <t>Quintana Roo</t>
  </si>
  <si>
    <t>San Luis Potosí</t>
  </si>
  <si>
    <t>Sinaloa</t>
  </si>
  <si>
    <t>Sonora</t>
  </si>
  <si>
    <t>Tabasco</t>
  </si>
  <si>
    <t>Tamaulipas</t>
  </si>
  <si>
    <t>Tlaxcala</t>
  </si>
  <si>
    <t>Veracruz</t>
  </si>
  <si>
    <t>Yucatán</t>
  </si>
  <si>
    <t>Zacatecas</t>
  </si>
  <si>
    <t>Estado</t>
  </si>
  <si>
    <t>Monto</t>
  </si>
  <si>
    <t xml:space="preserve"> </t>
  </si>
  <si>
    <t>Nombre Tasa</t>
  </si>
  <si>
    <t>En General</t>
  </si>
  <si>
    <t>Fac Pago p/Mil</t>
  </si>
  <si>
    <t>Fac Ajuste Pago</t>
  </si>
  <si>
    <t>Tasas</t>
  </si>
  <si>
    <t>Constantes</t>
  </si>
  <si>
    <t>=== HIPOTECA FUERTE ===</t>
  </si>
  <si>
    <t>=== HIPOTECA MÁS POR MENOS ===</t>
  </si>
  <si>
    <t>Terreno Urbanizado</t>
  </si>
  <si>
    <t>Mejora/Mejora + Remodelación</t>
  </si>
  <si>
    <t>Aforo</t>
  </si>
  <si>
    <t>Programas</t>
  </si>
  <si>
    <t>Vivienda</t>
  </si>
  <si>
    <t xml:space="preserve">Liquidez </t>
  </si>
  <si>
    <t>Comisiones</t>
  </si>
  <si>
    <t>Apertura</t>
  </si>
  <si>
    <t>Mejora / Mejora +Remodelación</t>
  </si>
  <si>
    <t>Diferida</t>
  </si>
  <si>
    <t>$3 al millar + IVA</t>
  </si>
  <si>
    <t>Socioeconómico</t>
  </si>
  <si>
    <t>Mínimo Vivienda</t>
  </si>
  <si>
    <t>Terreno + Construcción</t>
  </si>
  <si>
    <t>Mínimo Crédito</t>
  </si>
  <si>
    <t>Construcción/Terreno + Construcción</t>
  </si>
  <si>
    <t>Parametros avalúo</t>
  </si>
  <si>
    <t>Comisión Avalúo Escalonada</t>
  </si>
  <si>
    <t>Parámetros</t>
  </si>
  <si>
    <t>Cálculos</t>
  </si>
  <si>
    <t>Resultados</t>
  </si>
  <si>
    <t>Valor Avalúo</t>
  </si>
  <si>
    <t>Mínimo</t>
  </si>
  <si>
    <t>Comisión Avalúo</t>
  </si>
  <si>
    <t>Destinos</t>
  </si>
  <si>
    <t>Por monto del crédito</t>
  </si>
  <si>
    <t>Por valor de la vivienda</t>
  </si>
  <si>
    <t>Por pago mensual</t>
  </si>
  <si>
    <t>Por ingreso mensual</t>
  </si>
  <si>
    <t>Tipo evaluación</t>
  </si>
  <si>
    <t>Seguros</t>
  </si>
  <si>
    <t>Amplio</t>
  </si>
  <si>
    <t>Básico</t>
  </si>
  <si>
    <t>Pago Mensual Promedio</t>
  </si>
  <si>
    <t>Tasa Interés Promedio</t>
  </si>
  <si>
    <t>Hipoteca Fuerte</t>
  </si>
  <si>
    <t>Seguro:</t>
  </si>
  <si>
    <t>Valor Vivienda:</t>
  </si>
  <si>
    <t>Monto de Crédito:</t>
  </si>
  <si>
    <t>Avalúo:</t>
  </si>
  <si>
    <t>Plazo:</t>
  </si>
  <si>
    <t>Notariales Estimados:</t>
  </si>
  <si>
    <t>Tasa de Interés Anual Fija</t>
  </si>
  <si>
    <t>Pago Por Mil</t>
  </si>
  <si>
    <t>Pago Total Mensual</t>
  </si>
  <si>
    <t>Ingreso Requerido</t>
  </si>
  <si>
    <t>Condiciones Financieras</t>
  </si>
  <si>
    <t>Desembolso Inicial Estimado:</t>
  </si>
  <si>
    <t>Pago Fijo</t>
  </si>
  <si>
    <t>Pago Creciente</t>
  </si>
  <si>
    <t>Factor Vida</t>
  </si>
  <si>
    <t>Factor Daños</t>
  </si>
  <si>
    <t>Comisión Investigación</t>
  </si>
  <si>
    <t>HIPOTECA FUERTE</t>
  </si>
  <si>
    <t>Más por Menos</t>
  </si>
  <si>
    <t>Monto de Crédito</t>
  </si>
  <si>
    <t>Tasa de interes</t>
  </si>
  <si>
    <t>TIR Mensual</t>
  </si>
  <si>
    <t>TIR Anual simple</t>
  </si>
  <si>
    <t>CAT</t>
  </si>
  <si>
    <t>Pagos para TIR</t>
  </si>
  <si>
    <t>HIPOTECA MÁS POR MENOS</t>
  </si>
  <si>
    <t>i.Tasas Gémini</t>
  </si>
  <si>
    <t>Ayudante Paso Tasas</t>
  </si>
  <si>
    <t>i.Días PMT</t>
  </si>
  <si>
    <t>i.Plazo Crédito</t>
  </si>
  <si>
    <t>DETALLE DEL CRÉDITO</t>
  </si>
  <si>
    <t>i.Monto Total Crédito</t>
  </si>
  <si>
    <t>i.Relación Ingreso Pago</t>
  </si>
  <si>
    <t>i.IVA Intereses</t>
  </si>
  <si>
    <t>i.Factor Seguro Vida</t>
  </si>
  <si>
    <t>i.Factor Seguro Daños</t>
  </si>
  <si>
    <t>i.Comisión Diferida</t>
  </si>
  <si>
    <t>i.Aplica IVA?</t>
  </si>
  <si>
    <t>i.Nombre Producto</t>
  </si>
  <si>
    <t>i.Valor Vivienda</t>
  </si>
  <si>
    <t>Pago Crédito</t>
  </si>
  <si>
    <t>i.Etiqueta Seguro</t>
  </si>
  <si>
    <t>I.V.A.</t>
  </si>
  <si>
    <t>i.Apertura Sin IVA</t>
  </si>
  <si>
    <t>i.Avalúo con IVA</t>
  </si>
  <si>
    <t>Seguro de Daños</t>
  </si>
  <si>
    <t>i.Gastos Notariales</t>
  </si>
  <si>
    <t>Comisión Dif</t>
  </si>
  <si>
    <t>i.Etiqueta Apertura</t>
  </si>
  <si>
    <t>Pago Mensual sin PP</t>
  </si>
  <si>
    <t>Ahorro</t>
  </si>
  <si>
    <t>Fecha Corte</t>
  </si>
  <si>
    <t>Salida Combo</t>
  </si>
  <si>
    <t>Fecha Cotización</t>
  </si>
  <si>
    <t>Fórmula</t>
  </si>
  <si>
    <t>Día Fecha Cotización</t>
  </si>
  <si>
    <t>Duración Intereses</t>
  </si>
  <si>
    <t>Mes Fecha Cotización</t>
  </si>
  <si>
    <t>Año Fecha Cotización</t>
  </si>
  <si>
    <t>Día Primer Pago</t>
  </si>
  <si>
    <t>Fecha Diferente / Se utiliza para validar fecha de captura</t>
  </si>
  <si>
    <t>Mes Primer Pago</t>
  </si>
  <si>
    <t>Fecha Primer Pago</t>
  </si>
  <si>
    <t>Día</t>
  </si>
  <si>
    <t>Año</t>
  </si>
  <si>
    <t>Día máximo</t>
  </si>
  <si>
    <t>Enero</t>
  </si>
  <si>
    <t>Febrero</t>
  </si>
  <si>
    <t>Marzo</t>
  </si>
  <si>
    <t>Abril</t>
  </si>
  <si>
    <t>Mayo</t>
  </si>
  <si>
    <t>Junio</t>
  </si>
  <si>
    <t>Julio</t>
  </si>
  <si>
    <t>Agosto</t>
  </si>
  <si>
    <t>Septiembre</t>
  </si>
  <si>
    <t>Octubre</t>
  </si>
  <si>
    <t>Noviembre</t>
  </si>
  <si>
    <t>Diciembre</t>
  </si>
  <si>
    <t>Plazo</t>
  </si>
  <si>
    <t>Promoción</t>
  </si>
  <si>
    <t>Tipo de Pago</t>
  </si>
  <si>
    <t>Crédito</t>
  </si>
  <si>
    <t>Financiada</t>
  </si>
  <si>
    <t>Si</t>
  </si>
  <si>
    <t>No</t>
  </si>
  <si>
    <t>Prepago</t>
  </si>
  <si>
    <t>Pago</t>
  </si>
  <si>
    <t>Plazo y Pago</t>
  </si>
  <si>
    <t>Seguro</t>
  </si>
  <si>
    <t>Com. Apertura</t>
  </si>
  <si>
    <t>Com. Apertura Finan</t>
  </si>
  <si>
    <t>Vida</t>
  </si>
  <si>
    <t>Daños</t>
  </si>
  <si>
    <t>Meses de Gracia</t>
  </si>
  <si>
    <t>Mínima</t>
  </si>
  <si>
    <t>Apertura 1.00%</t>
  </si>
  <si>
    <t>i.Tasas Mejora</t>
  </si>
  <si>
    <t>SI</t>
  </si>
  <si>
    <t>NO</t>
  </si>
  <si>
    <t>Valor Destructible</t>
  </si>
  <si>
    <t>Aforo Max</t>
  </si>
  <si>
    <t>Dcto Eco</t>
  </si>
  <si>
    <t>Dcto</t>
  </si>
  <si>
    <t>i.Ninguno</t>
  </si>
  <si>
    <t>Comisión Financiada</t>
  </si>
  <si>
    <t>Mejora más Remodelación</t>
  </si>
  <si>
    <t>Celda Referencia</t>
  </si>
  <si>
    <t>Ingreso Mínimo</t>
  </si>
  <si>
    <t>Ingreso</t>
  </si>
  <si>
    <t>Ingreso Tit en VSM</t>
  </si>
  <si>
    <t>Saldo Subcuenta</t>
  </si>
  <si>
    <t>Crédito Institución</t>
  </si>
  <si>
    <t>Descuento Total</t>
  </si>
  <si>
    <t>Ingreso Neto</t>
  </si>
  <si>
    <t>Capacidad de Pago</t>
  </si>
  <si>
    <t>Incremento Programa</t>
  </si>
  <si>
    <t>Selección de Incremento</t>
  </si>
  <si>
    <t>Incremento Avalúo</t>
  </si>
  <si>
    <t>Avalúo Ajustado</t>
  </si>
  <si>
    <t>Crédito por Ingreso</t>
  </si>
  <si>
    <t>Crédito por Diferencia</t>
  </si>
  <si>
    <t>Crédito Banorte Máximo</t>
  </si>
  <si>
    <t>Crédito Banorte Tentativo</t>
  </si>
  <si>
    <t>Aportación Obligada Tentativa</t>
  </si>
  <si>
    <t>Aportación Opcional Máxima</t>
  </si>
  <si>
    <t>Aportación Obligada</t>
  </si>
  <si>
    <t>Aportación Sobrante</t>
  </si>
  <si>
    <t>Crédito Banorte</t>
  </si>
  <si>
    <t>Recurso Inicial</t>
  </si>
  <si>
    <t>Recurso Extra</t>
  </si>
  <si>
    <t>Gastos Infonavit</t>
  </si>
  <si>
    <t>Ingreso Titular + Conyuge</t>
  </si>
  <si>
    <t>Factor Mes</t>
  </si>
  <si>
    <t>Subcuenta Titular + Subcuenta Conyuge</t>
  </si>
  <si>
    <t>Crédito Titular + Crédito Conyuge</t>
  </si>
  <si>
    <t>Descuento Ecotec</t>
  </si>
  <si>
    <t>Desc Titular + Desc Conyuge + Ecotec</t>
  </si>
  <si>
    <t>Ingreso - Desc Total</t>
  </si>
  <si>
    <t>Ingreso Neto / Relación Ingreso Pago</t>
  </si>
  <si>
    <t>Factor Incremento Avalúo</t>
  </si>
  <si>
    <t>Avalúo * Factor Incremento Avalúo</t>
  </si>
  <si>
    <t>MIN(Incremento Programa,Saldo Subcuenta)</t>
  </si>
  <si>
    <t>Umbral Incremento Avalúo</t>
  </si>
  <si>
    <t>Selección de Incremento * (Avalúo &lt;= Umbral Incremento Avalúo)</t>
  </si>
  <si>
    <t>Avalúo + Incremento Avalúo</t>
  </si>
  <si>
    <t>Crédito Banorte Mínimo</t>
  </si>
  <si>
    <t>Periodos</t>
  </si>
  <si>
    <t>Periodos por Año</t>
  </si>
  <si>
    <t>MAX( -VA(Tasa/Periodos por Año,Periodos, Capacidad de Pago), Crédito Banorte Mínimo)</t>
  </si>
  <si>
    <t>MAX( Avalúo Ajustado - Saldo Subcuenta - Crédito Institución, Crédito Banorte Mínimo)</t>
  </si>
  <si>
    <t xml:space="preserve">Aforo Max </t>
  </si>
  <si>
    <t>Avalúo * Aforo Máximo</t>
  </si>
  <si>
    <t>MIN( Crédito por Ingreso, Crédito por Diferencia, Crédito Banorte Máximo)</t>
  </si>
  <si>
    <t>MAX( Avalúo - Saldo Subcuenta - Crédito Institución - Crédito Banorte Tentativo, 0)</t>
  </si>
  <si>
    <t>Aportación Obligada Tentativa + Crédito Banorte Tentativo - Crédito Banorte Mínimo</t>
  </si>
  <si>
    <t>MAX(Aportación Obligada Tentativa - Aportación Opcional, 0)</t>
  </si>
  <si>
    <t>Aportación Opcional</t>
  </si>
  <si>
    <t>MAX(Aportación Opcional - Aportación Obligada Tentativa, 0)</t>
  </si>
  <si>
    <t>Crédito Banorte Tentativo - Aportación Sobrante</t>
  </si>
  <si>
    <t>Saldo Subcuenta + Crédito Institución + Crédito Banorte</t>
  </si>
  <si>
    <t>MAX(Recurso Inicial - Avalúo, 0)</t>
  </si>
  <si>
    <t>Crédito Institución * Comisión de Crédito</t>
  </si>
  <si>
    <t>Comisión de Crédito</t>
  </si>
  <si>
    <t>Titular</t>
  </si>
  <si>
    <t>Ingreso Mensual Bruto</t>
  </si>
  <si>
    <t>Aportación Patronal Porcentaje</t>
  </si>
  <si>
    <t>Aportación Patronal Frecuencia</t>
  </si>
  <si>
    <t>Aportación Patronal Tope</t>
  </si>
  <si>
    <t>Componente</t>
  </si>
  <si>
    <t>Locals</t>
  </si>
  <si>
    <t xml:space="preserve">   </t>
  </si>
  <si>
    <t>_AutoExport</t>
  </si>
  <si>
    <t>_Versión</t>
  </si>
  <si>
    <t>Dev</t>
  </si>
  <si>
    <t>Aportación</t>
  </si>
  <si>
    <t>Constantes y Catálogos - Refs</t>
  </si>
  <si>
    <r>
      <t xml:space="preserve">Catálogos y Constantes - </t>
    </r>
    <r>
      <rPr>
        <b/>
        <i/>
        <sz val="11"/>
        <color theme="1"/>
        <rFont val="Calibri"/>
        <family val="2"/>
        <scheme val="minor"/>
      </rPr>
      <t>Lookup</t>
    </r>
  </si>
  <si>
    <t>Db.\Constantes</t>
  </si>
  <si>
    <t>Nombre en Catálogo</t>
  </si>
  <si>
    <t>Nombre Local</t>
  </si>
  <si>
    <t>Valor</t>
  </si>
  <si>
    <t>Periodo Inicio Aport Pat</t>
  </si>
  <si>
    <t>PERIODO_INICIAL</t>
  </si>
  <si>
    <t>Entradas</t>
  </si>
  <si>
    <t>Sanitización</t>
  </si>
  <si>
    <t>Frecuencia</t>
  </si>
  <si>
    <t>Salidas</t>
  </si>
  <si>
    <t>\Aportaciones</t>
  </si>
  <si>
    <t>AportPat</t>
  </si>
  <si>
    <t>'Datos Generales'!A:B</t>
  </si>
  <si>
    <t>o.\Aportaciones</t>
  </si>
  <si>
    <t>AportPat!Aportaciones</t>
  </si>
  <si>
    <t>Reduce Pago</t>
  </si>
  <si>
    <t>Reduce Plazo</t>
  </si>
  <si>
    <t>Crédito Banorte:</t>
  </si>
  <si>
    <t>Cálculo del Flujo Cero para el CAT</t>
  </si>
  <si>
    <t>Financiamientos</t>
  </si>
  <si>
    <t>Pagos</t>
  </si>
  <si>
    <t>Crédito Principal*</t>
  </si>
  <si>
    <t>…</t>
  </si>
  <si>
    <t>Gastos Notariales</t>
  </si>
  <si>
    <t>N/A</t>
  </si>
  <si>
    <t>Investigación</t>
  </si>
  <si>
    <t>Flujo Cero</t>
  </si>
  <si>
    <r>
      <t>* Nota:</t>
    </r>
    <r>
      <rPr>
        <sz val="11"/>
        <color theme="1"/>
        <rFont val="Calibri"/>
        <family val="2"/>
        <scheme val="minor"/>
      </rPr>
      <t xml:space="preserve"> Queda fuera de este cálculo la disposición del Crédito Principal.</t>
    </r>
  </si>
  <si>
    <t>Esto es porque en el caso del CAT con Ministraciones, el flujo cero no considera la totalidad del monto del crédito principal.</t>
  </si>
  <si>
    <t>Esto dificultaría el reuso de estos cálculos tal cual están.</t>
  </si>
  <si>
    <t>Por lo tanto, la disposición/disposiciones del Crédito Principal sí tendrá que ir en cada hoja del CAT por el momento.</t>
  </si>
  <si>
    <t>Comisión Ministración</t>
  </si>
  <si>
    <t>Saldo</t>
  </si>
  <si>
    <t>Factor Daños para CAT:</t>
  </si>
  <si>
    <t>Terreno_más_Construcción</t>
  </si>
  <si>
    <t>Compra_Venta_Termino_Obra</t>
  </si>
  <si>
    <r>
      <t>Terreno</t>
    </r>
    <r>
      <rPr>
        <sz val="8"/>
        <color theme="0"/>
        <rFont val="Calibri"/>
        <family val="2"/>
        <scheme val="minor"/>
      </rPr>
      <t>_</t>
    </r>
    <r>
      <rPr>
        <sz val="8"/>
        <color theme="1"/>
        <rFont val="Calibri"/>
        <family val="2"/>
        <scheme val="minor"/>
      </rPr>
      <t>más</t>
    </r>
    <r>
      <rPr>
        <sz val="8"/>
        <color theme="0"/>
        <rFont val="Calibri"/>
        <family val="2"/>
        <scheme val="minor"/>
      </rPr>
      <t>_</t>
    </r>
    <r>
      <rPr>
        <sz val="8"/>
        <color theme="1"/>
        <rFont val="Calibri"/>
        <family val="2"/>
        <scheme val="minor"/>
      </rPr>
      <t>Construcción</t>
    </r>
  </si>
  <si>
    <r>
      <t>Compra</t>
    </r>
    <r>
      <rPr>
        <sz val="8"/>
        <color theme="0"/>
        <rFont val="Calibri"/>
        <family val="2"/>
        <scheme val="minor"/>
      </rPr>
      <t>_</t>
    </r>
    <r>
      <rPr>
        <sz val="8"/>
        <color theme="1"/>
        <rFont val="Calibri"/>
        <family val="2"/>
        <scheme val="minor"/>
      </rPr>
      <t>Venta</t>
    </r>
    <r>
      <rPr>
        <sz val="8"/>
        <color theme="0"/>
        <rFont val="Calibri"/>
        <family val="2"/>
        <scheme val="minor"/>
      </rPr>
      <t>_</t>
    </r>
    <r>
      <rPr>
        <sz val="8"/>
        <color theme="1"/>
        <rFont val="Calibri"/>
        <family val="2"/>
        <scheme val="minor"/>
      </rPr>
      <t>Termino</t>
    </r>
    <r>
      <rPr>
        <sz val="8"/>
        <color theme="0"/>
        <rFont val="Calibri"/>
        <family val="2"/>
        <scheme val="minor"/>
      </rPr>
      <t>_</t>
    </r>
    <r>
      <rPr>
        <sz val="8"/>
        <color theme="1"/>
        <rFont val="Calibri"/>
        <family val="2"/>
        <scheme val="minor"/>
      </rPr>
      <t>Obra</t>
    </r>
  </si>
  <si>
    <t>Capturable</t>
  </si>
  <si>
    <t>meses</t>
  </si>
  <si>
    <t>Banco Mercantil del Norte, S.A. Institución de Banca Múltiple, Grupo Financiero Banorte</t>
  </si>
  <si>
    <t>Lugar y fecha de recepción de la Oferta Vinculante:</t>
  </si>
  <si>
    <t>monterrey</t>
  </si>
  <si>
    <t>con R.F.C.</t>
  </si>
  <si>
    <t>Captura R.F.C. del Solicitante</t>
  </si>
  <si>
    <t>y domicilio en:</t>
  </si>
  <si>
    <t>Captura domicilio del Solicitante</t>
  </si>
  <si>
    <t>Identificación del crédito</t>
  </si>
  <si>
    <t>Costo Anual Total (CAT)</t>
  </si>
  <si>
    <t>Esquema</t>
  </si>
  <si>
    <t>Importe Solicitado</t>
  </si>
  <si>
    <t>Forma de entrega</t>
  </si>
  <si>
    <t>Depósito en cuenta.</t>
  </si>
  <si>
    <t>Descuentos o premios</t>
  </si>
  <si>
    <t>No Aplica</t>
  </si>
  <si>
    <t>Aforo o % a financiar</t>
  </si>
  <si>
    <t>Supuestos asumidos en el cálculo del CAT</t>
  </si>
  <si>
    <t>Tipo</t>
  </si>
  <si>
    <t>Fija</t>
  </si>
  <si>
    <t xml:space="preserve">Cálculo de interés </t>
  </si>
  <si>
    <t>Ordinaria</t>
  </si>
  <si>
    <t>Moratoria</t>
  </si>
  <si>
    <t>Plazo / años</t>
  </si>
  <si>
    <t>Formas de amortización y revisión de tasas</t>
  </si>
  <si>
    <t>Amortización</t>
  </si>
  <si>
    <t>Mensual</t>
  </si>
  <si>
    <t>Revisión de tasa variable</t>
  </si>
  <si>
    <t>Comisiones aplicables</t>
  </si>
  <si>
    <t>Amortización a capital e Interés</t>
  </si>
  <si>
    <t>Por autorización de crédito diferida</t>
  </si>
  <si>
    <t>5.00% más I.V.A.</t>
  </si>
  <si>
    <t>1.50% del saldo insoluto. Para saldos insolutos menores a $100,00.00 el importe es de $1,500.00</t>
  </si>
  <si>
    <t>Desempleo</t>
  </si>
  <si>
    <t xml:space="preserve">Causas y penas por terminación anticipada: </t>
  </si>
  <si>
    <t>Penas:</t>
  </si>
  <si>
    <r>
      <rPr>
        <b/>
        <sz val="8"/>
        <rFont val="Arial"/>
        <family val="2"/>
      </rPr>
      <t>Intereses moratorios</t>
    </r>
    <r>
      <rPr>
        <sz val="8"/>
        <rFont val="Arial"/>
        <family val="2"/>
      </rPr>
      <t>.- Se generarán a partir del día siguiente de la fecha de vencimiento del tercer pago mensual incumplido, hasta la fecha en que se realice el pago, a la tasa de interés anual que resulte de multiplicar por 2-dos, la tasa de interés ordinaria. Si durante la vigencia del contrato vuelve a incumplir después de que se haya puesto al corriente en los pagos, se le volverá a generar el interés moratorio en los términos señalados.</t>
    </r>
  </si>
  <si>
    <t>Información relativa a riesgos inherentes al crédito garantizado a la vivienda de que se trate en relación a las posibles variaciones en tasas de interés, inflación y tipo de UDIs.</t>
  </si>
  <si>
    <t>Para el caso de los créditos con tasa fija no existe riesgo por inflación o tipo de cambio. Para el caso de los créditos con  tasa variable el riesgo consiste en la variación de la tasa derivada del incremento en la inflación o tipo de cambio.</t>
  </si>
  <si>
    <t>Avisos, Leyenda y Notas Aclaratorias:</t>
  </si>
  <si>
    <t>Obligaciones y Restricciones</t>
  </si>
  <si>
    <t>El Solicitante cuenta con el derecho de obtener una copia del clausulado que contenga los derechos y obligaciones de las partes con anterioridad a su firma, una vez que se haya autorizado la celebración del Otorgamiento de Crédito Garantizado a la Vivienda.</t>
  </si>
  <si>
    <t>Captura  nombre del funcionario facultado</t>
  </si>
  <si>
    <t>Nombre y firma de funcionario facultado</t>
  </si>
  <si>
    <t>Recibí de conformidad</t>
  </si>
  <si>
    <t>Nombre y firma del Solicitante</t>
  </si>
  <si>
    <t>2.       Que la Oferta Vinculante tendrá una vigencia de solo 20 (veinte) días naturales a partir de que la reciba y que dentro de dicho plazo debo dar aviso por escrito de mi aceptación a la misma.</t>
  </si>
  <si>
    <t>3.        Que al momento de aceptar la Oferta debo presentar todos los documentos y requisitos necesarios para la contratación del crédito y presentar debidamente requisitada toda la documentación soporte de la información declarada en la solicitud.</t>
  </si>
  <si>
    <t>Firma de conformidad</t>
  </si>
  <si>
    <t>Capturar nombre del cliente</t>
  </si>
  <si>
    <t>Tradicional</t>
  </si>
  <si>
    <t>1.00%, no genera I.V.A.</t>
  </si>
  <si>
    <t>Sobre mes de 30.4 días</t>
  </si>
  <si>
    <t>Sin I.V.A.</t>
  </si>
  <si>
    <t>Seguro de Vida.</t>
  </si>
  <si>
    <t>Seguro de Daños y Contenidos.</t>
  </si>
  <si>
    <t>Gastos, derechos y honorarios notariales</t>
  </si>
  <si>
    <t xml:space="preserve"> (monto estimado en virtud de tratarse de cantidades determinadas por el Notario Público, Registro Público de la Propiedad respectivo, de acuerdo al monto de la operación).</t>
  </si>
  <si>
    <t>(2) Los valores son los referidos a cada concepto indicado en el cuerpo de la presente oferta, sin considerar I.V.A.</t>
  </si>
  <si>
    <t>(3) Enfermedades Graves y Momentos de Vida solo aplica cuando participa una mujer como acreditada o coacreditada al contratarse un crédito nuevo.</t>
  </si>
  <si>
    <t>Capturar nombre del Solicitante</t>
  </si>
  <si>
    <t>*Es el resultado de restar al valor comercial del inmueble, el valor del terreno.</t>
  </si>
  <si>
    <t>Cliente:</t>
  </si>
  <si>
    <t>Esquema:</t>
  </si>
  <si>
    <t>Destino del Crédito:</t>
  </si>
  <si>
    <t>Tabla de amortización en pesos</t>
  </si>
  <si>
    <t>No.</t>
  </si>
  <si>
    <t>Amortización a Capital</t>
  </si>
  <si>
    <t>Saldo Nuevo</t>
  </si>
  <si>
    <t>Crédito Hipotecario</t>
  </si>
  <si>
    <t>Tasa fija con amortización creciente</t>
  </si>
  <si>
    <t>Tasa fija Apoyo Infonavit</t>
  </si>
  <si>
    <t>Tasa fija Cofinanciamiento INFONAVIT</t>
  </si>
  <si>
    <t>Pagos crecientes amortización creciente</t>
  </si>
  <si>
    <t>Pagos crecientes Apoyo INFONAVIT</t>
  </si>
  <si>
    <t>Pagos crecientes Cofinanciamiento INFONAVIT</t>
  </si>
  <si>
    <t>Pagos crecientes Alia2+</t>
  </si>
  <si>
    <t>Pagos crecientes Respalda2</t>
  </si>
  <si>
    <t>La presente información es únicamente para efectos ilustrativos, no representa ningún ofrecimiento formal por parte de Grupo Financiero Banorte. El CAT es para fines informativos y de comparación exclusivamente.</t>
  </si>
  <si>
    <t xml:space="preserve">Elije </t>
  </si>
  <si>
    <t>Gastos Iniciales</t>
  </si>
  <si>
    <t>Selecciona tipo de prepago</t>
  </si>
  <si>
    <t>Selecciona la Tasa a cotizar</t>
  </si>
  <si>
    <t>Aportación a Capital</t>
  </si>
  <si>
    <t>Monto Total de Crédito:</t>
  </si>
  <si>
    <t>Enganche No Válido</t>
  </si>
  <si>
    <t>COFINAVIT</t>
  </si>
  <si>
    <t>Ingresa valor de vivienda</t>
  </si>
  <si>
    <t>+</t>
  </si>
  <si>
    <t>VDC_i</t>
  </si>
  <si>
    <t>Crédito total</t>
  </si>
  <si>
    <t xml:space="preserve">Capital </t>
  </si>
  <si>
    <t>¿Destino anterior causa I.V.A.?</t>
  </si>
  <si>
    <t>¿Destino anterior es Terreno?</t>
  </si>
  <si>
    <t>IVA Interés</t>
  </si>
  <si>
    <t>Elige un producto</t>
  </si>
  <si>
    <t>Fecha de cotización</t>
  </si>
  <si>
    <t>Elige un destino</t>
  </si>
  <si>
    <t>Variantes</t>
  </si>
  <si>
    <t>Terreno_Urbanizado</t>
  </si>
  <si>
    <t>Max Crédito Cofinavit</t>
  </si>
  <si>
    <t>No genera I.V.A.</t>
  </si>
  <si>
    <t>Al millar más I.V.A.</t>
  </si>
  <si>
    <t xml:space="preserve"> * Sólo para Hipoteca Más por Menos: La tasa de interés es de 11.30% del mes 1 al 37, de 11.55% del mes 38 al 73, de 11.80% del mes 74 en adelante.</t>
  </si>
  <si>
    <t xml:space="preserve">Hipoteca </t>
  </si>
  <si>
    <t>Gratis durante toda la vida del crédito.(1)</t>
  </si>
  <si>
    <t xml:space="preserve"> No genera I.V.A.</t>
  </si>
  <si>
    <t xml:space="preserve"> I.V.A. incluido</t>
  </si>
  <si>
    <t>Mejora_más_Remodelación</t>
  </si>
  <si>
    <t>V Destructible</t>
  </si>
  <si>
    <t>V. Destructible</t>
  </si>
  <si>
    <t>7,000 Más IVA</t>
  </si>
  <si>
    <t>5,000.00 Más IVA</t>
  </si>
  <si>
    <t>5,000 Más IVA</t>
  </si>
  <si>
    <t>4,000 Más IVA</t>
  </si>
  <si>
    <t>15,000 ya se incluye el IVA</t>
  </si>
  <si>
    <t>6,000 Más IVA</t>
  </si>
  <si>
    <t>5,000 Más IVA hasta operaciones de 1,999,999.00, Mayores a este serían 7,000 más IVA</t>
  </si>
  <si>
    <t xml:space="preserve">5,000 Más IVA </t>
  </si>
  <si>
    <t>7,500 Más IVA</t>
  </si>
  <si>
    <t>Mejora / Mejora más Remodelación</t>
  </si>
  <si>
    <t>S. Vida S I</t>
  </si>
  <si>
    <t>CAT Completo</t>
  </si>
  <si>
    <t>Mensualidad Inicial</t>
  </si>
  <si>
    <t>Suma</t>
  </si>
  <si>
    <t>Pago por Mil</t>
  </si>
  <si>
    <t>Vivienda Rec</t>
  </si>
  <si>
    <t>Sub Viv</t>
  </si>
  <si>
    <t>Créd Info</t>
  </si>
  <si>
    <t>Créd Bnte</t>
  </si>
  <si>
    <t>Ap Obl</t>
  </si>
  <si>
    <t>Ap Opc</t>
  </si>
  <si>
    <t>A favor del cliente</t>
  </si>
  <si>
    <t>Gastos Orig</t>
  </si>
  <si>
    <t>G Info</t>
  </si>
  <si>
    <t>G Nota</t>
  </si>
  <si>
    <t>Com Apert</t>
  </si>
  <si>
    <t xml:space="preserve">A pagar </t>
  </si>
  <si>
    <t>Des Est</t>
  </si>
  <si>
    <t>Ver en sección Cofinavit</t>
  </si>
  <si>
    <t>Enganche:</t>
  </si>
  <si>
    <t>Enganche opcional:</t>
  </si>
  <si>
    <t>Crédito INFONAVIT:</t>
  </si>
  <si>
    <t>Subcuenta vivienda:</t>
  </si>
  <si>
    <t>Ingreso mensual bruto:</t>
  </si>
  <si>
    <t>Total</t>
  </si>
  <si>
    <t>¿Conoces la Suma Asegurable?</t>
  </si>
  <si>
    <t>*Suma Asegurable</t>
  </si>
  <si>
    <t>RECURSOS PARA ADQUIRIR LA VIVIENDA</t>
  </si>
  <si>
    <t>Enganche obligado:</t>
  </si>
  <si>
    <t>Enganche</t>
  </si>
  <si>
    <t>Cuenta INFONAVIT + BANORTE</t>
  </si>
  <si>
    <t>Cuenta Infonavit + Banorte</t>
  </si>
  <si>
    <t>Valor vivienda</t>
  </si>
  <si>
    <t>Cuenta Infonavit</t>
  </si>
  <si>
    <t>Aforo Max Banorte</t>
  </si>
  <si>
    <t>Monto Máximo Banorte</t>
  </si>
  <si>
    <t>Monto mínimo Banorte</t>
  </si>
  <si>
    <t>Tasa fija Cuenta INFONAVIT + BANORTE con amortización creciente</t>
  </si>
  <si>
    <t>Capacidad de pago</t>
  </si>
  <si>
    <t>Crédito por ingreso</t>
  </si>
  <si>
    <t>Cuenta Infonavit más Crédito Bancario</t>
  </si>
  <si>
    <t>Cotitular</t>
  </si>
  <si>
    <t>Tasa interés Infonavit:</t>
  </si>
  <si>
    <t>Plazo Crédito Infonavit:</t>
  </si>
  <si>
    <t>Capital e intereses:</t>
  </si>
  <si>
    <t>Comisión Admon. Infonavit:</t>
  </si>
  <si>
    <t>Mensualidad Infonavit:</t>
  </si>
  <si>
    <t>Mensualidad BANORTE:</t>
  </si>
  <si>
    <t>Mensualidad Estimada:</t>
  </si>
  <si>
    <t>Máx Crédito por ingreso vs Aforo</t>
  </si>
  <si>
    <t>Vivienda - Cuenta Infonavit</t>
  </si>
  <si>
    <t>Crédito Máx por Banco</t>
  </si>
  <si>
    <t>Infonavit 30%</t>
  </si>
  <si>
    <t>Crédito Banco Posible</t>
  </si>
  <si>
    <t>Crédito Banco</t>
  </si>
  <si>
    <t>Recursos</t>
  </si>
  <si>
    <t>Crédito Infonavit</t>
  </si>
  <si>
    <t>Enganche obligado</t>
  </si>
  <si>
    <t>Crédito estimado:</t>
  </si>
  <si>
    <t>Aforo Banorte</t>
  </si>
  <si>
    <t>Con IVA</t>
  </si>
  <si>
    <t>DIAS PMT * UMA</t>
  </si>
  <si>
    <t>Tope</t>
  </si>
  <si>
    <t>Aportación mensual 5%</t>
  </si>
  <si>
    <t>Aportación Bimestral</t>
  </si>
  <si>
    <t>Para calcular el CAT</t>
  </si>
  <si>
    <t>Plazos Liquidez</t>
  </si>
  <si>
    <t>Plazos Terreno Urbanizado</t>
  </si>
  <si>
    <t>Comisión Apertura Tradicional</t>
  </si>
  <si>
    <t>FOVISSSTE para todos</t>
  </si>
  <si>
    <t>Tabla de Pagos</t>
  </si>
  <si>
    <t>Salario</t>
  </si>
  <si>
    <t>Aportación Patronal Mensual</t>
  </si>
  <si>
    <t>Aportación Patronal Bimentral</t>
  </si>
  <si>
    <t>Incremento anual</t>
  </si>
  <si>
    <t>Mensualidad inicial</t>
  </si>
  <si>
    <t>Aportación Lineal</t>
  </si>
  <si>
    <t>Salario Titular + Cotitular</t>
  </si>
  <si>
    <t>SSV Titular + Cotitular</t>
  </si>
  <si>
    <t>Factor ingreso pago</t>
  </si>
  <si>
    <t>Aforo Máximo</t>
  </si>
  <si>
    <t>Periodos x año</t>
  </si>
  <si>
    <t>Vivienda - SSV</t>
  </si>
  <si>
    <t>Ingreso mínimo $10,000.00</t>
  </si>
  <si>
    <t>Enganche ocpional</t>
  </si>
  <si>
    <t>Valor final vivienda</t>
  </si>
  <si>
    <t>Tasa fija FOVISSSTE para todos</t>
  </si>
  <si>
    <t>Premium</t>
  </si>
  <si>
    <t>Baja</t>
  </si>
  <si>
    <t>Media</t>
  </si>
  <si>
    <t>Alta</t>
  </si>
  <si>
    <t>HF</t>
  </si>
  <si>
    <t>L y T</t>
  </si>
  <si>
    <t>FPT</t>
  </si>
  <si>
    <t>ESTADO</t>
  </si>
  <si>
    <t>SOLO COMPRA VENTA</t>
  </si>
  <si>
    <t>SOLO CREDITO</t>
  </si>
  <si>
    <t>SUMA (Compraventa con crédito)</t>
  </si>
  <si>
    <t>León</t>
  </si>
  <si>
    <t>HFATMC</t>
  </si>
  <si>
    <t>HFATMPF</t>
  </si>
  <si>
    <t>Hipoteca Fuerte Cero</t>
  </si>
  <si>
    <t>Hipoteca Fuerte con Bonficación</t>
  </si>
  <si>
    <t>Hipoteca Fuerte a tu Medida Pagos Crecientes</t>
  </si>
  <si>
    <t>Hipoteca Fuerte a tu Medida Pagos Fijos</t>
  </si>
  <si>
    <t>Crecientes</t>
  </si>
  <si>
    <t>Bonificaciones</t>
  </si>
  <si>
    <t>Comisión x Apertura</t>
  </si>
  <si>
    <t>Seguro Vida</t>
  </si>
  <si>
    <t>Com Dif</t>
  </si>
  <si>
    <t>Destructible</t>
  </si>
  <si>
    <t>Seguro Daños</t>
  </si>
  <si>
    <t>Com Prepago</t>
  </si>
  <si>
    <t>Comisión x Investigación</t>
  </si>
  <si>
    <t>Total Flujo Cero</t>
  </si>
  <si>
    <t>Saldo inicial</t>
  </si>
  <si>
    <t>Intereses</t>
  </si>
  <si>
    <t>Com. Dif</t>
  </si>
  <si>
    <t>Comisión Prepago</t>
  </si>
  <si>
    <t>Pago mensual</t>
  </si>
  <si>
    <t>SALDO</t>
  </si>
  <si>
    <t>CAPITAL</t>
  </si>
  <si>
    <t>INTERESES</t>
  </si>
  <si>
    <t>PAGO</t>
  </si>
  <si>
    <t>S. VIDA</t>
  </si>
  <si>
    <t>S. DAÑO</t>
  </si>
  <si>
    <t>COM DIF</t>
  </si>
  <si>
    <t>TIR MENSUAL</t>
  </si>
  <si>
    <t>TIR ANUAL</t>
  </si>
  <si>
    <t>1-37</t>
  </si>
  <si>
    <t>Plazo en meses:</t>
  </si>
  <si>
    <t>Tasas para Prepago</t>
  </si>
  <si>
    <t>Terreno</t>
  </si>
  <si>
    <t>FPT + IA</t>
  </si>
  <si>
    <t>Ingresos Adicionales FPT</t>
  </si>
  <si>
    <t>HF Cero</t>
  </si>
  <si>
    <t>Boni</t>
  </si>
  <si>
    <t>ATM</t>
  </si>
  <si>
    <t>Descuento Final</t>
  </si>
  <si>
    <t>UMA Salario</t>
  </si>
  <si>
    <t>Factor</t>
  </si>
  <si>
    <t>Factor de UMA</t>
  </si>
  <si>
    <t>Descuento en $</t>
  </si>
  <si>
    <t>Ingreso Titular / UMA ´24 /Factor Mes</t>
  </si>
  <si>
    <t>Penalización por Pago Anticipado</t>
  </si>
  <si>
    <t>Administracion - Autorización de Crédito Diferida</t>
  </si>
  <si>
    <t>Contratación - supervisión de uso de recursos</t>
  </si>
  <si>
    <t xml:space="preserve">Contratación - crédito </t>
  </si>
  <si>
    <t xml:space="preserve">Gastos de Preoriginación - avalúo hipotecario </t>
  </si>
  <si>
    <t>Gastos de Preoriginación - gastos de aprobación</t>
  </si>
  <si>
    <t>Administración - autorización de crédito diferido</t>
  </si>
  <si>
    <t>Penalización por pago anticipado de crédito</t>
  </si>
  <si>
    <t>Penalización por pago tardío</t>
  </si>
  <si>
    <t>Contratación - crédito; sustitución del deudor</t>
  </si>
  <si>
    <t>Avalúo hipotecario</t>
  </si>
  <si>
    <t>Supervisión de uso de recursos</t>
  </si>
  <si>
    <t>Hipoteca Verde Banorte</t>
  </si>
  <si>
    <t>H Verde</t>
  </si>
  <si>
    <t>UMA 2025</t>
  </si>
  <si>
    <t>UMA ´25</t>
  </si>
  <si>
    <t>UMA´25 * Ingreso Mínimo</t>
  </si>
  <si>
    <t>Máximo</t>
  </si>
  <si>
    <t>Costo sin IVA</t>
  </si>
  <si>
    <t>Comisón 50%</t>
  </si>
  <si>
    <t>Comisón Campaña</t>
  </si>
  <si>
    <t>Tafifa por Valor</t>
  </si>
  <si>
    <t>Compraventa + crédito</t>
  </si>
  <si>
    <t>Solo Crédito</t>
  </si>
  <si>
    <t>Hipoteca Simple Banorte</t>
  </si>
  <si>
    <t>HF Simple</t>
  </si>
  <si>
    <t>COLIMA</t>
  </si>
  <si>
    <t>CASOS DE COMPRAVENTA MÁS CRÉDITO</t>
  </si>
  <si>
    <t>MIN</t>
  </si>
  <si>
    <t>MAX</t>
  </si>
  <si>
    <t>CASOS DE CRÉDITO SIMPLE</t>
  </si>
  <si>
    <t>Honorarios hoja notariales</t>
  </si>
  <si>
    <t>RANGO 1</t>
  </si>
  <si>
    <t>RANGO 2</t>
  </si>
  <si>
    <t>RANGO 3</t>
  </si>
  <si>
    <t>RANGO 4</t>
  </si>
  <si>
    <t>RANGO 5</t>
  </si>
  <si>
    <t>RANGO 6</t>
  </si>
  <si>
    <t>RANGO 7</t>
  </si>
  <si>
    <t>RANGO 8</t>
  </si>
  <si>
    <t>RANGO EN QUE SE ENCUENTRA EL VALOR DE LA CV</t>
  </si>
  <si>
    <t>PORCENTAJE A CALCULAR POR EL SIMULADOR</t>
  </si>
  <si>
    <t>RANGO EN QUE SE ENCUENTRA EL VALOR DEL CRÉDITO</t>
  </si>
  <si>
    <t>0 a 1,200,000.00</t>
  </si>
  <si>
    <t>0 a 600,000.00</t>
  </si>
  <si>
    <t>1,200,000.01 a 2,400,000.00</t>
  </si>
  <si>
    <t>600,000.01 a 1,200,000.00</t>
  </si>
  <si>
    <t>2,400,000.01 a 4,800,000.00</t>
  </si>
  <si>
    <t>1,200,000.01 en adelante</t>
  </si>
  <si>
    <t>4,800,000.01 en adelante</t>
  </si>
  <si>
    <t>CAMPECHE</t>
  </si>
  <si>
    <t>Cualquier valor</t>
  </si>
  <si>
    <t>CHIAPAS</t>
  </si>
  <si>
    <t>2,400,000.01 en adelante</t>
  </si>
  <si>
    <t>4,800,000.00 en adelante</t>
  </si>
  <si>
    <t>GUERRERO</t>
  </si>
  <si>
    <t>0 a 4,800,000.00</t>
  </si>
  <si>
    <t>MORELOS</t>
  </si>
  <si>
    <t>NAYARIT</t>
  </si>
  <si>
    <t>OAXACA</t>
  </si>
  <si>
    <t>0 a 2,400,000.00</t>
  </si>
  <si>
    <t>SINALOA</t>
  </si>
  <si>
    <t>1,200,000.01 a 4,800,000.00</t>
  </si>
  <si>
    <t>SONORA</t>
  </si>
  <si>
    <t>TABASCO</t>
  </si>
  <si>
    <t>TLAXCALA</t>
  </si>
  <si>
    <t>VERACRUZ</t>
  </si>
  <si>
    <t>COAHUILA</t>
  </si>
  <si>
    <t>0 a 1,000,000.00</t>
  </si>
  <si>
    <t>0 a 500,000.00</t>
  </si>
  <si>
    <t>1,000,000.01 en adelante</t>
  </si>
  <si>
    <t>500,000.01 a 1,000,000.00</t>
  </si>
  <si>
    <t>1,000,000.00 en adelante</t>
  </si>
  <si>
    <t>CHIHUAHUA</t>
  </si>
  <si>
    <t>TAMAULIPAS</t>
  </si>
  <si>
    <t>ZACATECAS</t>
  </si>
  <si>
    <t>MICHOACÁN</t>
  </si>
  <si>
    <t>BAJA CALIFORNIA NORTE</t>
  </si>
  <si>
    <t>2,400,000.00 en adelante</t>
  </si>
  <si>
    <t>BAJA CALIFORNIA SUR</t>
  </si>
  <si>
    <t>GUANAJUATO</t>
  </si>
  <si>
    <t>600,000.01 a 2,400,000.00</t>
  </si>
  <si>
    <t>HIDALGO</t>
  </si>
  <si>
    <t>JALISCO</t>
  </si>
  <si>
    <t>4,800,000.01 a 9,600,000.00</t>
  </si>
  <si>
    <t>9,600,000.01 en adelante</t>
  </si>
  <si>
    <t>QUINTANA ROO</t>
  </si>
  <si>
    <t>2,400,000.01 a 9,600,000.00</t>
  </si>
  <si>
    <t>9,600,000.00 en adelante</t>
  </si>
  <si>
    <t>SAN LUIS POTOSÍ</t>
  </si>
  <si>
    <t>YUCATÁN</t>
  </si>
  <si>
    <t>CIUDAD DE MÉXICO</t>
  </si>
  <si>
    <t>ESTADO DE MÉXICO</t>
  </si>
  <si>
    <t>DURANGO</t>
  </si>
  <si>
    <t>0 a 1,000,000</t>
  </si>
  <si>
    <t xml:space="preserve">Cualquier rango </t>
  </si>
  <si>
    <t>1,000.00 en adelante</t>
  </si>
  <si>
    <t>PUEBLA</t>
  </si>
  <si>
    <t>300,000.01 a 600,000.00</t>
  </si>
  <si>
    <t>QUERÉTARO</t>
  </si>
  <si>
    <t>300,000.01 a 1,200,000.00</t>
  </si>
  <si>
    <t>4,800,000.01 a 9,600,000</t>
  </si>
  <si>
    <t>NUEVO LEÓN</t>
  </si>
  <si>
    <t>0 a 750,000.00</t>
  </si>
  <si>
    <t>750,000.01 en adelante</t>
  </si>
  <si>
    <t xml:space="preserve">$200,000.00 a $500,000.00 </t>
  </si>
  <si>
    <t>$500,000.01 a $750,000.00</t>
  </si>
  <si>
    <t>$750,000.01 en adelante</t>
  </si>
  <si>
    <r>
      <t>Terreno</t>
    </r>
    <r>
      <rPr>
        <sz val="8"/>
        <color theme="0"/>
        <rFont val="Arial"/>
        <family val="2"/>
      </rPr>
      <t>_</t>
    </r>
    <r>
      <rPr>
        <sz val="8"/>
        <color theme="1"/>
        <rFont val="Arial"/>
        <family val="2"/>
      </rPr>
      <t>más</t>
    </r>
    <r>
      <rPr>
        <sz val="8"/>
        <color theme="0"/>
        <rFont val="Arial"/>
        <family val="2"/>
      </rPr>
      <t>_</t>
    </r>
    <r>
      <rPr>
        <sz val="8"/>
        <color theme="1"/>
        <rFont val="Arial"/>
        <family val="2"/>
      </rPr>
      <t>Construcción</t>
    </r>
  </si>
  <si>
    <r>
      <t>Compra</t>
    </r>
    <r>
      <rPr>
        <sz val="8"/>
        <color theme="0"/>
        <rFont val="Arial"/>
        <family val="2"/>
      </rPr>
      <t>_</t>
    </r>
    <r>
      <rPr>
        <sz val="8"/>
        <color theme="1"/>
        <rFont val="Arial"/>
        <family val="2"/>
      </rPr>
      <t>Venta</t>
    </r>
    <r>
      <rPr>
        <sz val="8"/>
        <color theme="0"/>
        <rFont val="Arial"/>
        <family val="2"/>
      </rPr>
      <t>_</t>
    </r>
    <r>
      <rPr>
        <sz val="8"/>
        <color theme="1"/>
        <rFont val="Arial"/>
        <family val="2"/>
      </rPr>
      <t>Termino</t>
    </r>
    <r>
      <rPr>
        <sz val="8"/>
        <color theme="0"/>
        <rFont val="Arial"/>
        <family val="2"/>
      </rPr>
      <t>_</t>
    </r>
    <r>
      <rPr>
        <sz val="8"/>
        <color theme="1"/>
        <rFont val="Arial"/>
        <family val="2"/>
      </rPr>
      <t>Obra</t>
    </r>
  </si>
  <si>
    <t>AGUASCALIENTES</t>
  </si>
  <si>
    <t>USO</t>
  </si>
  <si>
    <t>RESULTADO</t>
  </si>
  <si>
    <t>RESULTANTE</t>
  </si>
  <si>
    <t>Nuevo León</t>
  </si>
  <si>
    <t>Externo</t>
  </si>
  <si>
    <t>Seguros Banorte</t>
  </si>
  <si>
    <t>¿Exenta Comisión Contratación-crédito?</t>
  </si>
  <si>
    <t>Comisión Contratación-crédito</t>
  </si>
  <si>
    <t>Tipo de cobertura de seguro</t>
  </si>
  <si>
    <t>Comisión Contratación-crédito financiada</t>
  </si>
  <si>
    <t xml:space="preserve"> *El monto definitivo de gastos notariales lo informará el notario previo a la firma del contrato de crédito</t>
  </si>
  <si>
    <t>*La tasa de interés ordinaria a otorgar se determinará conforme la evaluación del crédito y será fija (con excepción del producto HIPOTECA FUERTE A TU MEDIDA PAGOS CRECIENTES BANORTE)</t>
  </si>
  <si>
    <t>Comisión Contratación-crédito:</t>
  </si>
  <si>
    <t>Comisión Gastos de Preoriginación-avalúo hipotecario:</t>
  </si>
  <si>
    <t>Comisión Gastos de Preoriginación-gastos de aprobación:</t>
  </si>
  <si>
    <t>*Tasa de interés ordinaria anual fija</t>
  </si>
  <si>
    <t>Sin IVA</t>
  </si>
  <si>
    <t>Tasa de interés ordinaria anual fija</t>
  </si>
  <si>
    <t>Comisión administración-autorización de crédito diferido</t>
  </si>
  <si>
    <t>Saldo insoluto inicial del periodo</t>
  </si>
  <si>
    <t>Saldo insoluto final del periodo</t>
  </si>
  <si>
    <t>La presente información es únicamente para efectos ilustrativos, no representa ningún ofrecimiento formal por parte de Banco Mercantil del Norte, S.A., Institución de Banca Múltiple, Grupo Financiero Banorte, las condiciones están sujetas a cambios. El otorgamiento del crédito hipotecario estará sujeto a validación de historial crediticio, capacidad de pago, perfil del cliente y elegibilidad del seguro de vida y de daños. Los términos y condiciones específicos de los seguros estarán regidos por las políticas de la aseguradora elegida, cualquier solicitud o contratación debe realizarse directamente con dichas entidades. Producto operado por Banco Mercantil del Norte, S.A., Institución de Banca Múltiple, Grupo Financiero Banorte. Consulta términos, condiciones, comisiones y requisitos de contratación del crédito hipotecario en banorte.com. La contratación del crédito hipotecario será en Moneda Nacional, aplican restricciones. El CAT es para fines informativos y de comparación y  se calcula conforme los datos proporcionados en este cotizador. Es tu derecho solicitar la oferta vinculante para comparar distintas opciones de crédito.</t>
  </si>
  <si>
    <t>La presente Oferta Vinculante establece los términos y condiciones específicos mediante los cuales Banco Mercantil del Norte, S.A., Institución de Banca Múltiple, Grupo Financiero Banorte (el Banco)se obliga a otorgar el Crédito a:</t>
  </si>
  <si>
    <t>El valor que se estima deberá tener la garantía</t>
  </si>
  <si>
    <t>Costos de servicios prestados por terceros</t>
  </si>
  <si>
    <t>Conforme a tabulador</t>
  </si>
  <si>
    <t>(1) Aplica si el Solicitante cubre los requisitos de elegibilidad vigentes en la póliza de daños colectiva.</t>
  </si>
  <si>
    <t>Le recordamos mantenerse al corriente en sus pagos mensuales para disfrutar de los beneficios que le ofrece su Crédito Hipotecario.</t>
  </si>
  <si>
    <t>Costo Anual Total de créditos denominados en Moneda Nacional a tasa fija para fines informativos y de comparación exclusivamente. El CAT solo es comparable con el CAT de otros créditos denominados en Moneda Nacional a tasa fija.</t>
  </si>
  <si>
    <t>Tasa de interés ordinaria anual (fija):</t>
  </si>
  <si>
    <t>La vigencia de esta Oferta Vinculante es de 20 (veinte) días naturales contados a partir de su fecha de recepción, el Banco se obliga a otorgar el Crédito Garantizado a la Vivienda en los términos y condiciones que se indican, siempre y cuando dentro del plazo señalado el Solicitante dé aviso por escrito de la aceptación de la Oferta Vinculante y requisite toda la documentación soporte de la información que se haya declarado en la solicitud y el Banco compruebe: a) la identidad del Solicitante; b) la veracidad y autenticidad de los datos proporcionados en la Solicitud de Crédito; c) la capacidad crediticia conforme a las sanas prácticas bancarias y condiciones de mercado; d) la realización de un avalúo practicado por un valuador autorizado; y e) el cumplimiento de las demás formalidades que requiera la Ley.</t>
  </si>
  <si>
    <t>En caso de que el Solicitante incumpla con alguno de los requisitos, supuestos o documentos señalados, la Oferta Vinculante queda sin efecto y el Banco no estará obligado en forma alguna a otorgar el crédito al Solicitante.</t>
  </si>
  <si>
    <t>El importe del Crédito señalado en la presente Oferta Vinculante podrá ser modificado en caso de que la capacidad crediticia o el valor de la garantía, al momento de la aceptación de la presente oferta por parte del Solicitante o al momento de la formalización del crédito, fuere distinto al declarado en la Solicitud de Crédito, sin embargo, en tales supuestos el Banco procurará mantener la tasa de interés ofrecida en la Oferta Vinculante.</t>
  </si>
  <si>
    <t>Una vez que el Banco ha concluido con la revisión de la información y transcurridos 30 treinta días naturales, señalados para ese fin, las partes contarán con 45 cuarenta y cinco días naturales para celebrar y formalizar el Crédito Hipotecario.</t>
  </si>
  <si>
    <t>En el caso de que el Banco haya decidido modificar los términos de la Oferta Vinculante, el Solicitante contará con un plazo de 5 días, contados a partir de que reciba el aviso por parte de el Banco para manifestar su conformidad con dichas modificaciones, de lo contrario se tendrán por no aceptadas.</t>
  </si>
  <si>
    <t>el Banco</t>
  </si>
  <si>
    <t xml:space="preserve">1.       Que el Banco puede analizar y tramitar mi crédito de forma normal  sin necesidad de que me extienda una Oferta Vinculante. </t>
  </si>
  <si>
    <t>6.       Que el Banco podrá decidir no otorgarme el crédito si no comprueba la veracidad y autenticidad de los datos proporcionados o si la información y documentación no cumple con lo establecido en la Ley.</t>
  </si>
  <si>
    <t>El Banco puede recibir  pagos anticipados parciales o totales del importe del crédito.</t>
  </si>
  <si>
    <t>Queda entendido por el Solicitante que el Banco contará con 30 días naturales a partir de la aceptación de la Oferta Vinculante para analizar la documentación e información proporcionada por el Solicitante, así como el cumplimiento de todos los requisitos que establezca la normatividad aplicable.</t>
  </si>
  <si>
    <t>4.       En caso de que el Banco decidiera no otorgar el crédito en los términos establecidos en la Oferta Vinculante, debido a que no se cumpla con lo establecido en el penúltimo párrafo del artículo 6 de la Ley de Transparencia y de Fomento a la Competencia en el Crédito Garantizado, el Banco podrá modificar los términos de la Oferta Vinculante y deberá dar aviso al Solicitante en un plazo no mayor a 5 días naturales. Una vez recibido el aviso, el Solicitante contará con 5 días naturales para manifestar su conformidad con dichas modificaciones.</t>
  </si>
  <si>
    <t>5.       Que aún cuando fuere necesario para la aprobación del crédito el Banco no podrá solicitarme ningún documento adicional a los señalados en la solicitud de crédito, mismos que una vez revisados podrían implicar que mi crédito sea negado.</t>
  </si>
  <si>
    <t>Declaro que conozco las obligaciones y restricciones que establece la Ley de Transparencia y de Fomento a la Competencia en el Crédito Garantizado, para las Entidades y para los Solicitantes de crédito cuando soliciten una Oferta Vinculante, por lo cual manifiesto mi aceptación a lo siguiente:</t>
  </si>
  <si>
    <t>PRODUCTO</t>
  </si>
  <si>
    <t xml:space="preserve">CLÁUSULA </t>
  </si>
  <si>
    <t>HIPOTECA FUERTE/TRADICIONAL</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</si>
  <si>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 Si el ACREDITADO dejare de efectuar, en forma total, uno o más de los pagos que se obliga a realizar conforme al presente contrato, sean éstos de capital, intereses, comisiones, u otros accesorios. b). -Si el ACREDITADO, vende, grava, afecta o transmite por cualquier figura jurídica los derechos de propiedad que tiene respecto del (de los) inmueble(s) dado(s) en garantía hipotecaria, excepto en caso de herencia. c). -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Se agrega el siguiente inciso en el destino de Adquisición de vivienda, remodelación, Mejora de Hipoteca y Mejora de Hipoteca más Remodelación . d). - Si el ACREDITADO destinare el crédito a un fin distinto del expresamente señalado en la cláusula de DESTINO DEL CRÉDITO o sí EL INMUEBLE deja de ser destinado a casa habitación durante la vigencia del presente crédito. Se agrega el siguiente inciso en el destino de adquisición de terreno más construcción, compra venta con terminación de obra o construcción. d). - Si el ACREDITADO destinare el crédito a un fin distinto del expresamente señalado en la cláusula de DESTINO DEL CRÉDITO, impidiere en cualquier forma el derecho de vigilancia que a EL BANCO le corresponde conforme a dicha cláusula o sí EL INMUEBLE deja de ser destinado a casa habitación durante la vigencia del presente crédito. . e). - Si el(los) inmueble(s) no se inscribe(n) en el Registro Público de la Propiedad y del Comercio de conformidad con lo señalado en la cláusula de GARANTÍA(S), fuere(n) embargado(s) por terceros, o si fuere(n) gravado(s) en ulterior grado, sin autorización expresa y por escrito de EL BANCO. f). - Si el ACREDITADO introdujere modificaciones al (a los) inmueble(s) que causen una disminución en el valor comercial del (de los) inmueble(s) o si por cualquier causa resultare(n) total o parcialmente destruido(s) el(los) inmueble(s). g). - Si el ACREDITADO dejare de pagar dos bimestres consecutivos del impuesto predial, o cuotas por servicios de agua o cualquier responsabilidad civil dentro de los diez días siguientes a la notificación que les fuere hecha por las autoridades respectivas. h). -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 Si el ACREDITADO faltare al exacto cumplimiento de las obligaciones que en general ha contraído en este instrumento. j). - En los demás casos en que conforme a la Ley se hace exigible anticipadamente el cumplimiento de las obligaciones a plazo. k). - Si el ACREDITADO deja de cumplir con cualquier otro crédito o préstamo que le hubiere otorgado EL BANCO que se dé por vencido anticipadamente o cualquier obligación crediticia a plazo que tenga el ACREDITADO con EL BANCO. l). - Si el ACREDITADO incumple con uno o más de los pagos que se encuentra obligado a cubrir de conformidad con lo establecido en el presente instrumento derivado de una reclamación presentada por el ACREDITADO con relación a cargos mal aplicados. Agregar el siguiente inciso cuando el gravamen se cancele en instrumento por separado. m). - Si el ACREDITADO no entrega en un plazo de 30-treinta días naturales la cancelación de gravamen a que se hace referencia en el antecedente Primero inciso ( ) _________ de este instrumento y/o no entrega el estado de cuenta o documento en el que conste el fin de la relación contractual y la inexistencia de adeudos. n).-Si el BANCO es informado a través del ACREDITADO o notificado por la autoridad administrativa o judicial que se ha iniciado un juicio de extinción de dominio respecto del (los) INMUEBLE(S) otorgado(s) en garantía hipotecaria.</t>
  </si>
  <si>
    <t>HIPOTECA FUERTE BANORTE/APOYO INFONAVIT</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</si>
  <si>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 Si el ACREDITADO dejare de efectuar, en forma total, uno o más de los pagos que se obliga a realizar conforme al presente contrato, sean éstos de capital, intereses, comisiones, u otros accesorios. b). -Si el ACREDITADO, vende, grava, afecta o transmite por cualquier figura jurídica los derechos de propiedad que tiene respecto del (de los) inmueble(s) dado(s) en garantía hipotecaria, excepto en caso de herencia. c). -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Se agrega el siguiente inciso en el destino de Adquisición de vivienda y Mejora de Hipoteca. d). - Si el ACREDITADO destinare el crédito a un fin distinto del expresamente señalado en la cláusula de DESTINO DEL CRÉDITO o sí EL INMUEBLE deja de ser destinado a casa habitación durante la vigencia del presente crédito. Se agrega el siguiente inciso en el destino de Adquisición de terreno más Construcción, Compra Venta con terminación de obra o Construcción. d). - Si el ACREDITADO destinare el crédito a un fin distinto del expresamente señalado en la cláusula de DESTINO DEL CRÉDITO, impidiere en cualquier forma el derecho de vigilancia que a EL BANCO le corresponde conforme a dicha cláusula o sí EL INMUEBLE deja de ser destinado a casa habitación durante la vigencia del presente crédito. e). - Si el(los) inmueble(s) no se inscribe(n) en el Registro Público de la Propiedad y del Comercio de conformidad con lo señalado en la cláusula de GARANTÍA(S), fuere(n) embargado(s) por terceros, o si fuere(n) gravado(s) en ulterior grado, sin autorización expresa y por escrito de EL BANCO. f). - Si el ACREDITADO introdujere modificaciones al (a los) inmueble(s) que causen una disminución en el valor comercial del (de los) inmueble(s) o si por cualquier causa resultare(n) total o parcialmente destruido(s) el(los) inmueble(s). g). - Si el ACREDITADO dejare de pagar dos bimestres consecutivos del impuesto predial, o cuotas por servicios de agua o cualquier responsabilidad civil dentro de los diez días siguientes a la notificación que les fuere hecha por las autoridades respectivas. h). -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 Si el ACREDITADO faltare al exacto cumplimiento de las obligaciones que en general ha contraído en este instrumento. j). - En los demás casos en que conforme a la Ley se hace exigible anticipadamente el cumplimiento de las obligaciones a plazo. k). - Si el ACREDITADO deja de cumplir con cualquier otro crédito o préstamo que le hubiere otorgado EL BANCO que se dé por vencido anticipadamente o cualquier obligación crediticia a plazo que tenga el ACREDITADO con EL BANCO. l). - Si el ACREDITADO incumple con uno o más de los pagos que se encuentra obligado a cubrir de conformidad con lo establecido en el presente instrumento derivado de una reclamación presentada por el ACREDITADO con relación a cargos mal aplicados. Agregar el siguiente inciso cuando el gravamen se cancele en instrumento por separado. m). - Si el ACREDITADO no entrega en un plazo de 30-treinta días naturales la cancelación de gravamen a que se hace referencia en el antecedente Primero inciso ( ) _________ de este instrumento y/o no entrega el estado de cuenta o documento en el que conste el fin de la relación contractual y la inexistencia de adeudos. n). - Si el ACREDITADO revoca la instrucción realizada al Infonavit para afectar en garantía el saldo de su subcuenta de vivienda de su cuenta individual del sistema de ahorro para el retiro, así como en caso de que el Infonavit no cumpliere o efectuare los pagos a que se refiere la cláusula de PAGO MENSUAL de este contrato. o). - Si con posterioridad a la firma del presente contrato EL BANCO tuviera conocimiento que el ACREDITADO suscribió el mismo sin contar con una relación laboral con un tercero que tenga obligación de cotizar al Infonavit. p).- Si el BANCO es informado a través del ACREDITADO o notificado por la autoridad administrativa o judicial que se ha iniciado un juicio de extinción de dominio respecto del (los) INMUEBLE(S) otorgado(s) en garantía hipotecaria.</t>
  </si>
  <si>
    <t>HIPOTECA FUERTE BANORTE /COFINAVIT</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</si>
  <si>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Si el ACREDITADO dejare de efectuar, en forma total, uno o más de los pagos que se obliga a realizar conforme al presente contrato, sean éstos de capital, intereses, comisiones, otros accesorios. b).-Si el ACREDITADO, vende, grava, afecta o transmite por cualquier figura jurídica los derechos de propiedad que tiene respecto del (de los) inmueble(s) dado(s) en garantía hipotecaria, excepto en caso de herencia. c).-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Si el ACREDITADO destinare el crédito a un fin distinto del expresamente señalado en la cláusula de DESTINO DEL CRÉDITO. e).- Si el(los) inmueble(s) no se inscribe(n) en el Registro Público de la Propiedad y del Comercio de conformidad con lo señalado en la cláusula de GARANTÍA(S), fuere(n) embargado(s) por terceros, o si fuere(n) gravado(s) en ulterior grado, sin autorización expresa y por escrito de EL BANCO. f).- Si el ACREDITADO introdujere modificaciones al(a los) inmueble(s) que causen una disminución en el valor comercial del (de los) inmueble(s) o si por cualquier causa resultare(n) total o parcialmente destruido(s) el(los) inmueble(s). g).- Si el ACREDITADO dejare de pagar dos bimestres consecutivos del impuesto predial, o cuotas por servicios de agua o cualquier responsabilidad civil dentro de los diez días siguientes a la notificación que les fuere hecha por las autoridades respectivas. h).-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Si el ACREDITADO faltare al exacto cumplimiento de las obligaciones que en general ha contraído en este instrumento. j).- En los demás casos en que conforme a la Ley se hace exigible anticipadamente el cumplimiento de las obligaciones a plazo. k).- Si el ACREDITADO deja de cumplir con cualquier otro crédito o préstamo que le hubiere otorgado EL BANCO que se dé por vencido anticipadamente o cualquier obligación crediticia a plazo que tenga el ACREDITADO con EL BANCO. l).- Si el ACREDITADO incumple con uno o más de los pagos que se encuentra obligado a cubrir de conformidad con lo establecido en el presente instrumento derivado de una reclamación presentada por el ACREDITADO con relación a cargos mal aplicados. El inciso m) se elimina si se trata de la modalidad de ingresos adicionales y en pesos. m).- Si el INFONAVIT no cumpliere con lo consignado en las cláusulas de REEMBOLSO DEL CRÉDITO de este contrato. n) Si el BANCO es informado a través del ACREDITADO o notificado por la autoridad administrativa o judicial que se ha iniciado un juicio de extinción de dominio respecto del (los) INMUEBLE(S) otorgado(s) en garantía hipotecaria.</t>
  </si>
  <si>
    <t>CUENTA INFONAVIT + CRÉDITO BANCARIO</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</si>
  <si>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Si el ACREDITADO dejare de efectuar, en forma total, uno o más de los pagos que se obliga a realizar conforme al presente contrato, sean éstos de capital, intereses, comisiones, u otros accesorios. b).-Si el ACREDITADO, vende, grava, afecta o transmite por cualquier figura jurídica los derechos de propiedad que tiene respecto del (de los) inmueble(s) dado(s) en garantía hipotecaria, excepto en caso de herencia. c).-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22 d).- Si el ACREDITADO destinare el crédito a un fin distinto del expresamente señalado en la cláusula de DESTINO DEL CRÉDITO. e).- Si el(los) inmueble(s) no se inscribe(n) en el Registro Público de la Propiedad y del Comercio de conformidad con lo señalado en la cláusula de GARANTÍA(S), fuere(n) embargado(s) por terceros, o si fuere(n) gravado(s) en ulterior grado, sin autorización expresa y por escrito de EL BANCO. f).- Si el ACREDITADO introdujere modificaciones al(a los) inmueble(s) que causen una disminución en el valor comercial del (de los) inmueble(s) o si por cualquier causa resultare(n) total o parcialmente destruido(s) el(los) inmueble(s). g).- Si el ACREDITADO dejare de pagar dos bimestres consecutivos del impuesto predial, o cuotas por servicios de agua o cualquier responsabilidad civil dentro de los diez días siguientes a la notificación que les fuere hecha por las autoridades respectivas. h).-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Si el ACREDITADO faltare al exacto cumplimiento de las obligaciones que en general ha contraído en este instrumento. j).- En los demás casos en que conforme a la Ley se hace exigible anticipadamente el cumplimiento de las obligaciones a plazo. k).- Si el ACREDITADO deja de cumplir con cualquier otro crédito o préstamo que le hubiere otorgado EL BANCO que se dé por vencido anticipadamente o cualquier obligación crediticia a plazo que tenga el ACREDITADO con EL BANCO. l).- Si el ACREDITADO incumple con uno o más de los pagos que se encuentra obligado a cubrir de conformidad con lo establecido en el presente instrumento derivado de una reclamación presentada por el ACREDITADO con relación a cargos mal aplicados. El inciso m) se elimina si se trata de la modalidad de ingresos adicionales y en pesos. m).- Si el INFONAVIT no cumpliere con lo consignado en las cláusulas de REEMBOLSO DEL CRÉDITO de este contrato. n) Si el BANCO es informado a través del ACREDITADO o notificado por la autoridad administrativa o judicial que se ha iniciado un juicio de extinción de dominio respecto del (los) INMUEBLE(S) otorgado(s) en garantía hipotecaria.</t>
  </si>
  <si>
    <t>HIPOTECA FOVISSSTE PARA TODOS</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</si>
  <si>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- 24 a). - Si el ACREDITADO dejare de efectuar, en forma total, uno o más de los pagos que se obliga a realizar conforme al presente contrato, sean éstos de capital, intereses, comisiones, u otros accesorios. b). -Si el ACREDITADO, vende, grava, afecta o transmite por cualquier figura jurídica los derechos de propiedad que tiene respecto del (de los) inmueble(s) dado(s) en garantía hipotecaria, excepto en caso de herencia. c). -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 Si el ACREDITADO destinare el crédito a un fin distinto del expresamente señalado en la cláusula de DESTINO DEL CRÉDITO. e). - Si el(los) inmueble(s) no se inscribe(n) en el Registro Público de la Propiedad y del Comercio de conformidad con lo señalado en la cláusula de GARANTÍA(S), fuere(n) embargado(s) por terceros, o si fuere(n) gravado(s) en ulterior grado, sin autorización expresa y por escrito de EL BANCO. f). - Si el ACREDITADO introdujere modificaciones al (a los) inmueble(s) que causen una disminución en el valor comercial del (de los) inmueble(s) o si por cualquier causa resultare(n) total o parcialmente destruido(s) el(los) inmueble(s). g). - Si el ACREDITADO dejare de pagar dos bimestres consecutivos del impuesto predial, o cuotas por servicios de agua o cualquier responsabilidad civil dentro de los diez días siguientes a la notificación que les fuere hecha por las autoridades respectivas. h). -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 Si el ACREDITADO faltare al exacto cumplimiento de las obligaciones que en general ha contraído en este instrumento. j). - En los demás casos en que conforme a la Ley se hace exigible anticipadamente el cumplimiento de las obligaciones a plazo. k). - Si el ACREDITADO deja de cumplir con cualquier otro crédito o préstamo que le hubiere otorgado EL BANCO que se dé por vencido anticipadamente o cualquier obligación crediticia a plazo que tenga el ACREDITADO con EL BANCO. l). - Si el ACREDITADO incumple con uno o más de los pagos que se encuentra obligado a cubrir de conformidad con lo establecido en el presente instrumento derivado de una reclamación presentada por el ACREDITADO con relación a cargos mal aplicados. m).-Si el BANCO es informado a través del ACREDITADO o notificado por la autoridad administrativa o judicial que se ha iniciado un juicio de extinción de dominio respecto del (los) INMUEBLE(S) otorgado(s) en garantía hipotecaria.</t>
  </si>
  <si>
    <t>HIPOTECA FUERTE BANORTE INGRESOS ADICIONALES FPT</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</si>
  <si>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 Si el ACREDITADO dejare de efectuar, en forma total, uno o más de los pagos que se obliga a realizar conforme al presente contrato, sean éstos de capital, intereses, comisiones, u otros accesorios. b). -Si el ACREDITADO, vende, grava, afecta o transmite por cualquier figura jurídica los derechos de propiedad que tiene respecto del (de los) inmueble(s) dado(s) en garantía hipotecaria, excepto en caso de herencia. c). -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 Si el ACREDITADO destinare el crédito a un fin distinto del expresamente señalado en la cláusula de DESTINO DEL CRÉDITO. e). - Si el(los) inmueble(s) no se inscribe(n) en el Registro Público de la Propiedad y del Comercio de conformidad con lo señalado en la cláusula de GARANTÍA(S), fuere(n) embargado(s) por terceros, o si fuere(n) gravado(s) en ulterior grado, sin autorización expresa y por escrito de EL BANCO. f). - Si el ACREDITADO introdujere modificaciones al (a los) inmueble(s) que causen una disminución en el valor comercial del (de los) inmueble(s) o si por cualquier causa resultare(n) total o parcialmente destruido(s) el(los) inmueble(s). g). - Si el ACREDITADO dejare de pagar dos bimestres consecutivos del impuesto predial, o cuotas por servicios de agua o cualquier responsabilidad civil dentro de los diez días siguientes a la notificación que les fuere hecha por las autoridades respectivas. h). -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 Si el ACREDITADO faltare al exacto cumplimiento de las obligaciones que en general ha contraído en este instrumento. j). - En los demás casos en que conforme a la Ley se hace exigible anticipadamente el cumplimiento de las obligaciones a plazo. k). - Si el ACREDITADO deja de cumplir con cualquier otro crédito o préstamo que le hubiere otorgado EL BANCO que se dé por vencido anticipadamente o cualquier obligación crediticia a plazo que tenga el ACREDITADO con EL BANCO. l). - Si el ACREDITADO incumple con uno o más de los pagos que se encuentra obligado a cubrir de conformidad con lo establecido en el presente instrumento derivado de una reclamación presentada por el ACREDITADO con relación a cargos mal aplicados. Agregar el siguiente inciso cuando el gravamen se cancele en instrumento por separado. m). - Si el ACREDITADO no entrega en un plazo de 30-treinta días naturales la cancelación de gravamen a que se hace referencia en el antecedente Primero inciso ( ) _________ de este instrumento y/o no entrega el estado de cuenta o documento en el que conste el fin de la relación contractual y la inexistencia de adeudos. m) o n).-Si el BANCO es informado a través del ACREDITADO o notificado por la autoridad administrativa o judicial que se ha iniciado un juicio de extinción de dominio respecto del (los) INMUEBLE(S) otorgado(s) en garantía hipotecaria.</t>
  </si>
  <si>
    <t>ADQUISICIÓN DE TERRENO URBANIZADO / BANORTE</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</si>
  <si>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Si el ACREDITADO dejare de efectuar, en forma total, uno o más de los pagos que se obliga a realizar conforme al presente contrato, sean éstos de capital, intereses, comisiones, u otros accesorios. b).- Si el ACREDITADO, vende, grava, afecta o transmite por cualquier figura jurídica los derechos de propiedad que tiene respecto del (de los) inmueble(s) dado(s) en garantía hipotecaria, excepto en caso de herencia. c).-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Si el ACREDITADO destinare el crédito a un fin distinto del expresamente señalado en la cláusula de DESTINO DEL CRÉDITO, o sí EL INMUEBLE deja de ser destinado a casa habitación durante la vigencia del presente crédito. e).- Si el(los) inmueble(s) no se inscribe(n) en el Registro Público de la Propiedad y del Comercio de conformidad con lo señalado en la cláusula de GARANTÍA(S), fuere(n) embargado(s) por terceros, o si fuere(n) gravado(s) en ulterior grado, sin autorización expresa y por escrito de EL BANCO. f).- Si el ACREDITADO introdujere modificaciones al(a los) inmueble(s) que causen una disminución en el valor comercial del (de los) inmueble(s). g).- Si el ACREDITADO dejare de pagar dos bimestres consecutivos del impuesto predial, o cuotas por servicios de agua o cualquier responsabilidad civil dentro de los diez días siguientes a la notificación que les fuere hecha por las autoridades respectivas. h).-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Si el ACREDITADO faltare al exacto cumplimiento de las obligaciones que en general ha contraído en este instrumento. j).- En los demás casos en que conforme a la Ley se hace exigible anticipadamente el cumplimiento de las obligaciones a plazo. k).- Si el ACREDITADO deja de cumplir con cualquier otro crédito o préstamo que le hubiere otorgado EL BANCO, que se dé por vencido anticipadamente o cualquier obligación crediticia a plazo que tenga el ACREDITADO con EL BANCO. l).- Si el ACREDITADO incumple con uno o más de los pagos que se encuentra obligado a cubrir de conformidad con lo establecido en el presente instrumento derivado de una reclamación presentada por el ACREDITADO con relación a cargos mal aplicados. Agregar el siguiente inciso cuando el gravamen se cancele en instrumento por separado. m).- Si el ACREDITADO no entrega en un plazo de 30-treinta días naturales la cancelación de gravamen a que se hace referencia en el antecedente Primero inciso ( ) _________ de este instrumento y/o no entrega el estado de cuenta o documento en el que conste el fin de la relación contractual y la inexistencia de adeudos. n) Si el BANCO es informado a través del ACREDITADO o notificado por la autoridad administrativa o judicial que se ha iniciado un juicio de extinción de dominio respecto del (los) INMUEBLE(S) otorgado(s) en garantía hipotecaria.</t>
  </si>
  <si>
    <t>LIQUIDEZ / BANORTE</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</si>
  <si>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Si el ACREDITADO dejare de efectuar, en forma total, uno o más de los pagos que se obliga a realizar conforme al presente contrato, sean éstos de capital, intereses, comisiones, u otros accesorios. b).- Si el ACREDITADO, vende, grava, afecta o transmite por cualquier figura jurídica los derechos de propiedad que tiene respecto del (de los) inmueble(s) dado(s) en garantía hipotecaria, excepto en caso de herencia. c).-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Si el ACREDITADO destinare el crédito a un fin distinto del expresamente señalado en la cláusula de DESTINO DEL CRÉDITO. e).- Si el(los) inmueble(s) no se inscribe(n) en el Registro Público de la Propiedad y del Comercio de conformidad con lo señalado en la cláusula de GARANTÍA(S), fuere(n) embargado(s) por terceros, o si fuere(n) gravado(s) en ulterior grado, sin autorización expresa y por escrito de EL BANCO. f).- Si el ACREDITADO introdujere modificaciones al(a los) inmueble(s) que causen una disminución en el valor comercial del (de los) inmueble(s) o si por cualquier causa resultare(n) total o parcialmente destruido(s) el(los) inmueble(s). g).- Si el ACREDITADO dejare de pagar dos bimestres consecutivos del impuesto predial, o cuotas por servicios de agua o cualquier responsabilidad civil dentro de los diez días siguientes a la notificación que les fuere hecha por las autoridades respectivas. h).-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Si el ACREDITADO faltare al exacto cumplimiento de las obligaciones que en general ha contraído en este instrumento. j).- En los demás casos en que conforme a la Ley se hace exigible anticipadamente el cumplimiento de las obligaciones a plazo. k).- Si el ACREDITADO deja de cumplir con cualquier otro crédito o préstamo que le hubiere otorgado EL BANCO que se dé por vencido anticipadamente o cualquier obligación crediticia a plazo que tenga el ACREDITADO con EL BANCO. l).- Si el ACREDITADO incumple con uno o más de los pagos que se encuentra obligado a cubrir de conformidad con lo establecido en el presente instrumento derivado de una reclamación presentada por el ACREDITADO con relación a cargos mal aplicados. Agregar el siguiente inciso cuando el gravamen se cancele en instrumento por separado. m).- Si el ACREDITADO no entrega en un plazo de 30-treinta días naturales la cancelación de gravamen a que se hace referencia en el antecedente Primero inciso ( ) _________ de este instrumento y/o no entrega el estado de cuenta o documento en el que conste el fin de la relación contractual y la inexistencia de adeudos. n).-Si el BANCO es informado a través del ACREDITADO o notificado por la autoridad administrativa o judicial que se ha iniciado un juicio de extinción de dominio respecto del (los) INMUEBLE(S) otorgado(s) en garantía hipotecaria.</t>
  </si>
  <si>
    <t>Hipoteca Fuerte a tu medida Pagos Crecientes Banorte</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</si>
  <si>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 Si el ACREDITADO dejare de efectuar, en forma total, uno o más de los pagos que se obliga a realizar conforme al presente contrato, sean éstos de capital, intereses, comisiones, u otros accesorios. b). -Si el ACREDITADO, vende, grava, afecta o transmite por cualquier figura jurídica los derechos de propiedad que tiene respecto del (de los) inmueble(s) dado(s) en garantía hipotecaria, excepto en caso de herencia. c). -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 Si el ACREDITADO destinare el crédito a un fin distinto del expresamente señalado en la cláusula de DESTINO DEL CRÉDITO. e). - Si el(los) inmueble(s) no se inscribe(n) en el Registro Público de la Propiedad y del Comercio de conformidad con lo señalado en la cláusula de GARANTÍA(S), fuere(n) embargado(s) por terceros, o si fuere(n) gravado(s) en ulterior grado, sin autorización expresa y por escrito de EL BANCO. f). - Si el ACREDITADO introdujere modificaciones al (a los) inmueble(s) que causen una disminución en el valor comercial del (de los) inmueble(s) o si por cualquier causa resultare(n) total o parcialmente destruido(s) el(los) inmueble(s). g). - Si el ACREDITADO dejare de pagar dos bimestres consecutivos del impuesto predial, o cuotas por servicios de agua o cualquier responsabilidad civil dentro de los diez días siguientes a la notificación que les fuere hecha por las autoridades respectivas. h). -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 Si el ACREDITADO faltare al exacto cumplimiento de las obligaciones que en general ha contraído en este instrumento. j). - En los demás casos en que conforme a la Ley se hace exigible anticipadamente el cumplimiento de las obligaciones a plazo. k). - Si el ACREDITADO deja de cumplir con cualquier otro crédito o préstamo que le hubiere otorgado EL BANCO que se dé por vencido anticipadamente o cualquier obligación crediticia a plazo que tenga el ACREDITADO con EL BANCO. l). - Si el ACREDITADO incumple con uno o más de los pagos que se encuentra obligado a cubrir de conformidad con lo establecido en el presente instrumento derivado de una reclamación presentada por el ACREDITADO con relación a cargos mal aplicados. Agregar el siguiente inciso cuando el gravamen se cancele en instrumento por separado. m). - Si el ACREDITADO no entrega en un plazo de 30-treinta días naturales la cancelación de gravamen a que se hace referencia en el antecedente Primero inciso ( ) _________ de este instrumento y/o no entrega el estado de cuenta o documento en el que conste el fin de la relación contractual y la inexistencia de adeudos. n).-Si el BANCO es informado a través del ACREDITADO o notificado por la autoridad administrativa o judicial que se ha iniciado un juicio de extinción de dominio respecto del (los) INMUEBLE(S) otorgado(s) en garantía hipotecaria.</t>
  </si>
  <si>
    <t>Hipoteca Fuerte a tu medida Pagos Crecientes Banorte/ Apoyo Infonavit</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</si>
  <si>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 Si el ACREDITADO dejare de efectuar, en forma total, uno o más de los pagos que se obliga a realizar conforme al presente contrato, sean éstos de capital, intereses, comisiones, u otros accesorios. b). -Si el ACREDITADO, vende, grava, afecta o transmite por cualquier figura jurídica los derechos de propiedad que tiene respecto del (de los) inmueble(s) dado(s) en garantía hipotecaria, excepto en caso de herencia. c). -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 Si el ACREDITADO destinare el crédito a un fin distinto del expresamente señalado en la cláusula de DESTINO DEL CRÉDITO. e). - Si el(los) inmueble(s) no se inscribe(n) en el Registro Público de la Propiedad y del Comercio de conformidad con lo señalado en la cláusula de GARANTÍA(S), fuere(n) embargado(s) por terceros, o si fuere(n) gravado(s) en ulterior grado, sin autorización expresa y por escrito de EL BANCO. f). - Si el ACREDITADO introdujere modificaciones al (a los) inmueble(s) que causen una disminución en el valor comercial del (de los) inmueble(s) o si por cualquier causa resultare(n) total o parcialmente destruido(s) el(los) inmueble(s). g). - Si el ACREDITADO dejare de pagar dos bimestres consecutivos del impuesto predial, o cuotas por servicios de agua o cualquier responsabilidad civil dentro de los diez días siguientes a la notificación que les fuere hecha por las autoridades respectivas. h). -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 Si el ACREDITADO faltare al exacto cumplimiento de las obligaciones que en general ha contraído en este instrumento. j). - En los demás casos en que conforme a la Ley se hace exigible anticipadamente el cumplimiento de las obligaciones a plazo. k). - Si el ACREDITADO deja de cumplir con cualquier otro crédito o préstamo que le hubiere otorgado EL BANCO que se dé por vencido anticipadamente o cualquier obligación crediticia a plazo que tenga el ACREDITADO con EL BANCO. l). - Si el ACREDITADO incumple con uno o más de los pagos que se encuentra obligado a cubrir de conformidad con lo establecido en el presente instrumento derivado de una reclamación presentada por el ACREDITADO con relación a cargos mal aplicados. Agregar el siguiente inciso cuando el gravamen se cancele en instrumento por separado. m). - Si el ACREDITADO no entrega en un plazo de 30-treinta días naturales la cancelación de gravamen a que se hace referencia en el antecedente Primero inciso ( ) _________ de este instrumento y/o no entrega el estado de cuenta o documento en el que conste el fin de la relación contractual y la inexistencia de adeudos. n). - Si el ACREDITADO revoca la instrucción realizada al Infonavit para afectar en garantía el saldo de su subcuenta de vivienda de su cuenta individual del sistema de ahorro para el retiro, así como en caso de que el Infonavit no cumpliere o efectuare los pagos a que se refiere la cláusula de PAGO MENSUAL de este contrato. o). - Si con posterioridad a la firma del presente contrato EL BANCO tuviera conocimiento que el ACREDITADO suscribió el mismo sin contar con una relación laboral con un tercero que tenga obligación de cotizar al Infonavit. p).- Si el BANCO es informado a través del ACREDITADO o notificado por la autoridad administrativa o judicial que se ha iniciado un juicio de extinción de dominio respecto del (los) INMUEBLE(S) otorgado(s) en garantía hipotecaria</t>
  </si>
  <si>
    <t>Hipoteca Fuerte a tu medida Pagos Crecientes Banorte / Cofinavit</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</si>
  <si>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Si el ACREDITADO dejare de efectuar, en forma total, uno o más de los pagos que se obliga a realizar conforme al presente contrato, sean éstos de capital, intereses, comisiones u otros accesorios. b).-Si el ACREDITADO, vende, grava, afecta o transmite por cualquier figura jurídica los derechos de propiedad que tiene respecto del (de los) inmueble(s) dado(s) en garantía hipotecaria, excepto en caso de herencia. c).-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Si el ACREDITADO destinare el crédito a un fin distinto del expresamente señalado en la cláusula de DESTINO DEL CRÉDITO. e).- Si el(los) inmueble(s) no se inscribe(n) en el Registro Público de la Propiedad y del Comercio de conformidad con lo señalado en la cláusula de GARANTÍA(S), fuere(n) embargado(s) por terceros, o si fuere(n) gravado(s) en ulterior grado, sin autorización expresa y por escrito de EL BANCO. f).- Si el ACREDITADO introdujere modificaciones al(a los) inmueble(s) que causen una disminución en el valor comercial del (de los) inmueble(s) o si por cualquier causa resultare(n) total o parcialmente destruido(s) el(los) inmueble(s). g).- Si el ACREDITADO dejare de pagar dos bimestres consecutivos del impuesto predial, o cuotas por servicios de agua o cualquier responsabilidad civil dentro de los diez días siguientes a la notificación que les fuere hecha por las autoridades respectivas. h).-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Si el ACREDITADO faltare al exacto cumplimiento de las obligaciones que en general ha contraído en este instrumento. j).- En los demás casos en que conforme a la Ley se hace exigible anticipadamente el cumplimiento de las obligaciones a plazo. k).- Si el ACREDITADO deja de cumplir con cualquier otro crédito o préstamo que le hubiere otorgado EL BANCO que se dé por vencido anticipadamente o cualquier obligación crediticia a plazo que tenga el ACREDITADO con EL BANCO. l).- Si el ACREDITADO incumple con uno o más de los pagos que se encuentra obligado a cubrir de conformidad con lo establecido en el presente instrumento derivado de una reclamación presentada por el ACREDITADO con relación a cargos mal aplicados. El inciso m) se elimina si se trata de la modalidad de ingresos adicionales y en pesos. m).- Si el INFONAVIT no cumpliere con lo consignado en las cláusulas de REEMBOLSO DEL CRÉDITO de este contrato. n) Si el BANCO es informado a través del ACREDITADO o notificado por la autoridad administrativa o judicial que se ha iniciado un juicio de extinción de dominio respecto del (los) INMUEBLE(S) otorgado(s) en garantía hipotecaria.</t>
  </si>
  <si>
    <t>HIPOTECA VERDE BANORTE</t>
  </si>
  <si>
    <t>HIPOTECA VERDE BANORTE APOYO INFONAVIT</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</si>
  <si>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 Si el ACREDITADO dejare de efectuar, en forma total, uno o más de los pagos que se obliga a realizar conforme al presente contrato, sean éstos de capital, intereses, comisiones, u otros accesorios. b). -Si el ACREDITADO, vende, grava, afecta o transmite por cualquier figura jurídica los derechos de propiedad que tiene respecto del (de los) inmueble(s) dado(s) en garantía hipotecaria, excepto en caso de herencia. c). -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 Si el ACREDITADO destinare el crédito a un fin distinto del expresamente señalado en la cláusula de DESTINO DEL CRÉDITO. e). - Si el(los) inmueble(s) no se inscribe(n) en el Registro Público de la Propiedad y del Comercio de conformidad con lo señalado en la cláusula de GARANTÍA(S), fuere(n) embargado(s) por terceros, o si fuere(n) gravado(s) en ulterior grado, sin autorización expresa y por escrito de EL BANCO. f). - Si el ACREDITADO introdujere modificaciones al (a los) inmueble(s) que causen una disminución en el valor comercial del (de los) inmueble(s) o si por cualquier causa resultare(n) total o parcialmente destruido(s) el(los) inmueble(s). g). - Si el ACREDITADO dejare de pagar dos bimestres consecutivos del impuesto predial, o cuotas por servicios de agua o cualquier responsabilidad civil dentro de los diez días siguientes a la notificación que les fuere hecha por las autoridades respectivas. h). -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 Si el ACREDITADO faltare al exacto cumplimiento de las obligaciones que en general ha contraído en este instrumento. j). - En los demás casos en que conforme a la Ley se hace exigible anticipadamente el cumplimiento de las obligaciones a plazo. k). - Si el ACREDITADO deja de cumplir con cualquier otro crédito o préstamo que le hubiere otorgado EL BANCO que se dé por vencido anticipadamente o cualquier obligación crediticia a plazo que tenga el ACREDITADO con EL BANCO. l). - Si el ACREDITADO incumple con uno o más de los pagos que se encuentra obligado a cubrir de conformidad con lo establecido en el presente instrumento derivado de una reclamación presentada por el ACREDITADO con relación a cargos mal aplicados. Agregar el siguiente inciso cuando el gravamen se cancele en instrumento por separado. m). - Si el ACREDITADO no entrega en un plazo de 30-treinta días naturales la cancelación de gravamen a que se hace referencia en el antecedente Primero inciso ( ) _________ de este instrumento y/o no entrega el estado de cuenta o documento en el que conste el fin de la relación contractual y la inexistencia de adeudos. m) o n). - Si el ACREDITADO revoca la instrucción realizada al Infonavit para afectar en garantía el saldo de su subcuenta de vivienda de su cuenta individual del sistema de ahorro para el retiro, así como en caso de que el Infonavit no cumpliere o efectuare los pagos a que se refiere la cláusula de PAGO MENSUAL de este contrato. (n) o (o). - Si con posterioridad a la firma del presente contrato EL BANCO tuviera conocimiento que el ACREDITADO suscribió el mismo sin contar con una relación laboral con un tercero que tenga obligación de cotizar al Infonavit. p) o q).- Si el BANCO es informado a través del ACREDITADO o notificado por la autoridad administrativa o judicial que se ha iniciado un juicio de extinción de dominio respecto del (los) INMUEBLE(S) otorgado(s) en garantía hipotecaria.</t>
  </si>
  <si>
    <t>HIPOTECA VERDE BANORTE COFINANCIAMIENTO</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</si>
  <si>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Si el ACREDITADO dejare de efectuar, en forma total, uno o más de los pagos que se obliga a realizar conforme al presente contrato, sean éstos de capital, intereses, comisiones, otros accesorios. b).-Si el ACREDITADO, vende, grava, afecta o transmite por cualquier figura jurídica los derechos de propiedad que tiene respecto del (de los) inmueble(s) dado(s) en garantía hipotecaria, excepto en caso de herencia. c).-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Si el ACREDITADO destinare el crédito a un fin distinto del expresamente señalado en la cláusula de DESTINO DEL CRÉDITO. e).- Si el(los) inmueble(s) no se inscribe(n) en el Registro Público de la Propiedad y del Comercio de conformidad con lo señalado en la cláusula de GARANTÍA(S), fuere(n) embargado(s) por terceros, o si fuere(n) gravado(s) en ulterior grado, sin autorización expresa y por escrito de EL BANCO. f).- Si el ACREDITADO introdujere modificaciones al(a los) inmueble(s) que causen una disminución en el valor comercial del (de los) inmueble(s) o si por cualquier causa resultare(n) total o parcialmente destruido(s) el(los) inmueble(s). g).- Si el ACREDITADO dejare de pagar dos bimestres consecutivos del impuesto predial, o cuotas por servicios de agua o cualquier responsabilidad civil dentro de los diez días siguientes a la notificación que les fuere hecha por las autoridades respectivas. h).-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Si el ACREDITADO faltare al exacto cumplimiento de las obligaciones que en general ha contraído en este instrumento. j).- En los demás casos en que conforme a la Ley se hace exigible anticipadamente el cumplimiento de las obligaciones a plazo. k).- Si el ACREDITADO deja de cumplir con cualquier otro crédito o préstamo que le hubiere otorgado EL BANCO que se dé por vencido anticipadamente o cualquier obligación crediticia a plazo que tenga el ACREDITADO con EL BANCO. l).- Si el ACREDITADO incumple con uno o más de los pagos que se encuentra obligado a cubrir de conformidad con lo establecido en el presente instrumento derivado de una reclamación presentada por el ACREDITADO con relación a cargos mal aplicados. El inciso m) se elimina si se trata de la modalidad de ingresos adicionales y en pesos. m).- Si el INFONAVIT no cumpliere con lo consignado en las cláusulas de REEMBOLSO DEL CRÉDITO de este contrato. m) o n) Si el BANCO es informado a través del ACREDITADO o notificado por la autoridad administrativa o judicial que se ha iniciado un juicio de extinción de dominio respecto del (los) INMUEBLE(S) otorgado(s) en garantía hipotecaria.</t>
  </si>
  <si>
    <t>HIPOTECA VERDE BANORTE CUENTA INFONAVIT MÁS CRÉDITO BANCARIO</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</si>
  <si>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Si el ACREDITADO dejare de efectuar, en forma total, uno o más de los pagos que se obliga a realizar conforme al presente contrato, sean éstos de capital, intereses, comisiones, u otros accesorios. b).-Si el ACREDITADO, vende, grava, afecta o transmite por cualquier figura jurídica los derechos de propiedad que tiene respecto del (de los) inmueble(s) dado(s) en garantía hipotecaria, excepto en caso de herencia. c).-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Si el ACREDITADO destinare el crédito a un fin distinto del expresamente señalado en la cláusula de DESTINO DEL CRÉDITO. e).- Si el(los) inmueble(s) no se inscribe(n) en el Registro Público de la Propiedad y del Comercio de conformidad con lo señalado en la cláusula de GARANTÍA(S), fuere(n) embargado(s) por terceros, o si fuere(n) gravado(s) en ulterior grado, sin autorización expresa y por escrito de EL BANCO. f).- Si el ACREDITADO introdujere modificaciones al(a los) inmueble(s) que causen una disminución 24 en el valor comercial del (de los) inmueble(s) o si por cualquier causa resultare(n) total o parcialmente destruido(s) el(los) inmueble(s). g).- Si el ACREDITADO dejare de pagar dos bimestres consecutivos del impuesto predial, o cuotas por servicios de agua o cualquier responsabilidad civil dentro de los diez días siguientes a la notificación que les fuere hecha por las autoridades respectivas. h).-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Si el ACREDITADO faltare al exacto cumplimiento de las obligaciones que en general ha contraído en este instrumento. j).- En los demás casos en que conforme a la Ley se hace exigible anticipadamente el cumplimiento de las obligaciones a plazo. k).- Si el ACREDITADO deja de cumplir con cualquier otro crédito o préstamo que le hubiere otorgado EL BANCO que se dé por vencido anticipadamente o cualquier obligación crediticia a plazo que tenga el ACREDITADO con EL BANCO. l).- Si el ACREDITADO incumple con uno o más de los pagos que se encuentra obligado a cubrir de conformidad con lo establecido en el presente instrumento derivado de una reclamación presentada por el ACREDITADO con relación a cargos mal aplicados. El inciso m) se elimina si se trata de la modalidad de ingresos adicionales y en pesos. m).- Si el INFONAVIT no cumpliere con lo consignado en las cláusulas de REEMBOLSO DEL CRÉDITO de este contrato. n) Si el BANCO es informado a través del ACREDITADO o notificado por la autoridad administrativa o judicial que se ha iniciado un juicio de extinción de dominio respecto del (los) INMUEBLE(S) otorgado(s) en garantía hipotecaria.</t>
  </si>
  <si>
    <t>ADQUISICIÓN DE TERRENO COFINAVIT</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</si>
  <si>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Si el ACREDITADO dejare de efectuar, en forma total, uno o más de los pagos que se obliga a realizar conforme al presente contrato, sean éstos de capital, intereses, comisiones, otros accesorios. b).-Si el ACREDITADO, vende, grava, afecta o transmite por cualquier figura jurídica los derechos de propiedad que tiene respecto del (de los) inmueble(s) dado(s) en garantía hipotecaria, excepto en caso de herencia. c).-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Si el ACREDITADO destinare el crédito a un fin distinto del expresamente señalado en la cláusula de DESTINO DEL CRÉDITO o sí EL INMUEBLE deja de ser destinado a casa habitación durante la vigencia del presente crédito. e).- Si el(los) inmueble(s) no se inscribe(n) en el Registro Público de la Propiedad y del Comercio de conformidad con lo señalado en la cláusula de GARANTÍA(S), fuere(n) embargado(s) por terceros, o si fuere(n) gravado(s) en ulterior grado, sin autorización expresa y por escrito de EL BANCO. f).- Si el ACREDITADO introdujere modificaciones al(a los) inmueble(s) que causen una disminución en el valor comercial del (de los) inmueble(s). g).- Si el ACREDITADO dejare de pagar dos bimestres consecutivos del impuesto predial, o cuotas por servicios de agua o cualquier responsabilidad civil dentro de los diez días siguientes a la notificación que les fuere hecha por las autoridades respectivas. h).- Si el ACREDITADO no mantuviere vigente el contrato del seguro en caso de que lo haya contratado con una Aseguradora Externa. Así como también si el ACREDITADO no entrega la póliza y comprobantes de pago de las primas en los términos estipulados en la cláusula de SEGUROS. i).- Si el ACREDITADO faltare al exacto cumplimiento de las obligaciones que en general ha contraído en este instrumento. j).- En los demás casos en que conforme a la Ley se hace exigible anticipadamente el cumplimiento de las obligaciones a plazo. k).- Si el ACREDITADO deja de cumplir con cualquier otro crédito o préstamo que le hubiere otorgado EL BANCO que se dé por vencido anticipadamente o cualquier obligación crediticia a plazo que tenga el ACREDITADO con EL BANCO. l).- Si el ACREDITADO incumple con uno o más de los pagos que se encuentra obligado a cubrir de conformidad con lo establecido en el presente instrumento derivado de una reclamación presentada por el ACREDITADO con relación a cargos mal aplicados. El inciso m) se elimina si se trata de la modalidad de ingresos adicionales y en pesos. m).- Si el INFONAVIT no cumpliere con lo consignado en las cláusulas de REEMBOLSO DEL CRÉDITO de este contrato. n) Si el BANCO es informado a través del ACREDITADO o notificado por la autoridad administrativa o judicial que se ha iniciado un juicio de extinción de dominio respecto del (los) INMUEBLE(S) otorgado(s) en garantía hipotecaria.</t>
  </si>
  <si>
    <t>HIPOTECA SIMPLE BANORTE</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</si>
  <si>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 Si el ACREDITADO dejare de efectuar, en forma total, uno o más de los pagos que se obliga a realizar conforme al presente contrato, sean éstos de capital, intereses, comisiones, u otros accesorios. b). -Si el ACREDITADO, vende, grava, afecta o transmite por cualquier figura jurídica los derechos de propiedad que tiene respecto del (de los) inmueble(s) dado(s) en garantía hipotecaria, excepto en caso de herencia. c). -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 Si el ACREDITADO destinare el crédito a un fin distinto del expresamente señalado en la cláusula de DESTINO DEL CRÉDITO o sí EL INMUEBLE deja de ser destinado a casa habitación durante la vigencia del presente crédito. e). - Si el(los) inmueble(s) no se inscribe(n) en el Registro Público de la Propiedad y del Comercio de conformidad con lo señalado en la cláusula de GARANTÍA(S), fuere(n) embargado(s) por terceros, o si fuere(n) gravado(s) en ulterior grado, sin autorización expresa y por escrito de EL BANCO. f). - Si el ACREDITADO introdujere modificaciones al (a los) inmueble(s) que causen una disminución en el valor comercial del (de los) inmueble(s) o si por cualquier causa resultare(n) total o parcialmente destruido(s) el(los) inmueble(s). g). - Si el ACREDITADO dejare de pagar dos bimestres consecutivos del impuesto predial, o cuotas por servicios de agua o cualquier responsabilidad civil dentro de los diez días siguientes a la notificación que les fuere hecha por las autoridades respectivas. h). -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 Si el ACREDITADO faltare al exacto cumplimiento de las obligaciones que en general ha contraído en este instrumento. j). - En los demás casos en que conforme a la Ley se hace exigible anticipadamente el cumplimiento de las obligaciones a plazo. k). - Si el ACREDITADO deja de cumplir con cualquier otro crédito o préstamo que le hubiere otorgado EL BANCO que se dé por vencido anticipadamente o cualquier obligación crediticia a plazo que tenga el ACREDITADO con EL BANCO. l). - Si el ACREDITADO incumple con uno o más de los pagos que se encuentra obligado a cubrir de conformidad con lo establecido en el presente instrumento derivado de una reclamación presentada por el ACREDITADO con relación a cargos mal aplicados. Agregar el siguiente inciso cuando el gravamen se cancele en instrumento por separado. m). - Si el ACREDITADO no entrega en un plazo de 30-treinta días naturales la cancelación de gravamen a que se hace referencia en el antecedente Primero inciso ( ) _________ de este instrumento y/o no entrega el estado de cuenta o documento en el que conste el fin de la relación contractual y la inexistencia de adeudos. n).-Si el BANCO es informado a través del ACREDITADO o notificado por la autoridad administrativa o judicial que se ha iniciado un juicio de extinción de dominio respecto del (los) INMUEBLE(S) otorgado(s) en garantía hipotecaria.</t>
  </si>
  <si>
    <t>HIPOTECA SIMPLE BANORTE APOYO INFONAVIT</t>
  </si>
  <si>
    <t>HIPOTECA SIMPLE BANORTE COFINAVIT</t>
  </si>
  <si>
    <t>HIPOTECA SIMPLE BANORTE CUENTA INFONAVIT MAS CRÉDITO BANCARIO</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</si>
  <si>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Si el ACREDITADO dejare de efectuar, en forma total, uno o más de los pagos que se obliga a realizar conforme al presente contrato, sean éstos de capital, intereses, comisiones, u otros accesorios. b).-Si el ACREDITADO, vende, grava, afecta o transmite por cualquier figura jurídica los derechos de propiedad que tiene respecto del (de los) inmueble(s) dado(s) en garantía hipotecaria, excepto en caso de herencia. c).-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Si el ACREDITADO destinare el crédito a un fin distinto del expresamente señalado en la cláusula de DESTINO DEL CRÉDITO. 22 e).- Si el(los) inmueble(s) no se inscribe(n) en el Registro Público de la Propiedad y del Comercio de conformidad con lo señalado en la cláusula de GARANTÍA(S), fuere(n) embargado(s) por terceros, o si fuere(n) gravado(s) en ulterior grado, sin autorización expresa y por escrito de EL BANCO. f).- Si el ACREDITADO introdujere modificaciones al(a los) inmueble(s) que causen una disminución en el valor comercial del (de los) inmueble(s) o si por cualquier causa resultare(n) total o parcialmente destruido(s) el(los) inmueble(s). g).- Si el ACREDITADO dejare de pagar dos bimestres consecutivos del impuesto predial, o cuotas por servicios de agua o cualquier responsabilidad civil dentro de los diez días siguientes a la notificación que les fuere hecha por las autoridades respectivas. h).-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Si el ACREDITADO faltare al exacto cumplimiento de las obligaciones que en general ha contraído en este instrumento. j).- En los demás casos en que conforme a la Ley se hace exigible anticipadamente el cumplimiento de las obligaciones a plazo. k).- Si el ACREDITADO deja de cumplir con cualquier otro crédito o préstamo que le hubiere otorgado EL BANCO que se dé por vencido anticipadamente o cualquier obligación crediticia a plazo que tenga el ACREDITADO con EL BANCO. l).- Si el ACREDITADO incumple con uno o más de los pagos que se encuentra obligado a cubrir de conformidad con lo establecido en el presente instrumento derivado de una reclamación presentada por el ACREDITADO con relación a cargos mal aplicados. El inciso m) se elimina si se trata de la modalidad de ingresos adicionales y en pesos. m).- Si el INFONAVIT no cumpliere con lo consignado en las cláusulas de REEMBOLSO DEL CRÉDITO de este contrato. n) Si el BANCO es informado a través del ACREDITADO o notificado por la autoridad administrativa o judicial que se ha iniciado un juicio de extinción de dominio respecto del (los) INMUEBLE(S) otorgado(s) en garantía hipotecaria.</t>
  </si>
  <si>
    <t>HIPOTECA FUERTE A TU MEDIDA PAGOS CRECIENTES BANORTE COFINAVIT</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</si>
  <si>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Si el ACREDITADO dejare de efectuar, en forma total, uno o más de los pagos que se obliga a realizar conforme al presente contrato, sean éstos de capital, intereses, comisiones u otros accesorios. b).-Si el ACREDITADO, vende, grava, afecta o transmite por cualquier figura jurídica los derechos de propiedad que tiene respecto del (de los) inmueble(s) dado(s) en garantía hipotecaria, excepto en caso de herencia. c).-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Si el ACREDITADO destinare el crédito a un fin distinto del expresamente señalado en la cláusula de DESTINO DEL CRÉDITO o si EL INMUEBLE deja de ser destinado a casa habitación durante la vigencia del presente crédito. e).- Si el(los) inmueble(s) no se inscribe(n) en el Registro Público de la Propiedad y del Comercio de conformidad con lo señalado en la cláusula de GARANTÍA(S), fuere(n) embargado(s) por terceros, o si fuere(n) gravado(s) en ulterior grado, sin autorización expresa y por escrito de EL BANCO. f).- Si el ACREDITADO introdujere modificaciones al(a los) inmueble(s) que causen una disminución en el valor comercial del (de los) inmueble(s) o si por cualquier causa resultare(n) total o parcialmente destruido(s) el(los) inmueble(s). g).- Si el ACREDITADO dejare de pagar dos bimestres consecutivos del impuesto predial, o cuotas por servicios de agua o cualquier responsabilidad civil dentro de los diez días siguientes a la notificación que les fuere hecha por las autoridades respectivas. h).-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Si el ACREDITADO faltare al exacto cumplimiento de las obligaciones que en general ha contraído en este instrumento. j).- En los demás casos en que conforme a la Ley se hace exigible anticipadamente el cumplimiento de las obligaciones a plazo. k).- Si el ACREDITADO deja de cumplir con cualquier otro crédito o préstamo que le hubiere otorgado EL BANCO que se dé por vencido anticipadamente o cualquier obligación crediticia a plazo que tenga el ACREDITADO con EL BANCO. l).- Si el ACREDITADO incumple con uno o más de los pagos que se encuentra obligado a cubrir de conformidad con lo establecido en el presente instrumento derivado de una reclamación presentada por el ACREDITADO con relación a cargos mal aplicados. El inciso m) se elimina si se trata de la modalidad de ingresos adicionales y en pesos. m).- Si el INFONAVIT no cumpliere con lo consignado en las cláusulas de REEMBOLSO DEL CRÉDITO de este contrato. n) Si el BANCO es informado a través del ACREDITADO o notificado por la autoridad administrativa o judicial que se ha iniciado un juicio de extinción de dominio respecto del (los) INMUEBLE(S) otorgado(s) en garantía hipotecaria.</t>
  </si>
  <si>
    <t>HIPOTECA FUERTE A TU MEDIDA PAGOS CRECIENTES BANORTE APOYO INFONAVIT</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</si>
  <si>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 Si el ACREDITADO dejare de efectuar, en forma total, uno o más de los pagos que se obliga a realizar conforme al presente contrato, sean éstos de capital, intereses, comisiones, u otros accesorios. b). -Si el ACREDITADO, vende, grava, afecta o transmite por cualquier figura jurídica los derechos de propiedad que tiene respecto del (de los) inmueble(s) dado(s) en garantía hipotecaria, excepto en caso de herencia. c). -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 Si el ACREDITADO destinare el crédito a un fin distinto del expresamente señalado en la cláusula de DESTINO DEL CRÉDITO o si EL INMUEBLE deja de ser destinado a casa habitación durante la vigencia del presente crédito. e). - Si el(los) inmueble(s) no se inscribe(n) en el Registro Público de la Propiedad y del Comercio de conformidad con lo señalado en la cláusula de GARANTÍA(S), fuere(n) embargado(s) por terceros, o si fuere(n) gravado(s) en ulterior grado, sin autorización expresa y por escrito de EL BANCO. f). - Si el ACREDITADO introdujere modificaciones al (a los) inmueble(s) que causen una disminución en el valor comercial del (de los) inmueble(s) o si por cualquier causa resultare(n) total o parcialmente destruido(s) el(los) inmueble(s). g). - Si el ACREDITADO dejare de pagar dos bimestres consecutivos del impuesto predial, o cuotas por servicios de agua o cualquier responsabilidad civil dentro de los diez días siguientes a la notificación que les fuere hecha por las autoridades respectivas. h). -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 Si el ACREDITADO faltare al exacto cumplimiento de las obligaciones que en general ha contraído en este instrumento. j). - En los demás casos en que conforme a la Ley se hace exigible anticipadamente el cumplimiento de las obligaciones a plazo. k). - Si el ACREDITADO deja de cumplir con cualquier otro crédito o préstamo que le hubiere otorgado EL BANCO que se dé por vencido anticipadamente o cualquier obligación crediticia a plazo que tenga el ACREDITADO con EL BANCO. l). - Si el ACREDITADO incumple con uno o más de los pagos que se encuentra obligado a cubrir de conformidad con lo establecido en el presente instrumento derivado de una reclamación presentada por el ACREDITADO con relación a cargos mal aplicados. Agregar el siguiente inciso cuando el gravamen se cancele en instrumento por separado. m). - Si el ACREDITADO no entrega en un plazo de 30-treinta días naturales la cancelación de gravamen a que se hace referencia en el antecedente Primero inciso ( ) _________ de este instrumento y/o no entrega el estado de cuenta o documento en el que conste el fin de la relación contractual y la inexistencia de adeudos. n). - Si el ACREDITADO revoca la instrucción realizada al Infonavit para afectar en garantía el saldo de su subcuenta de vivienda de su cuenta individual del sistema de ahorro para el retiro, así como en caso de que el Infonavit no cumpliere o efectuare los pagos a que se refiere la cláusula de PAGO MENSUAL de este contrato. o). - Si con posterioridad a la firma del presente contrato EL BANCO tuviera conocimiento que el ACREDITADO suscribió el mismo sin contar con una relación laboral con un tercero que tenga obligación de cotizar al Infonavit. p).- Si el BANCO es informado a través del ACREDITADO o notificado por la autoridad administrativa o judicial que se ha iniciado un juicio de extinción de dominio respecto del (los) INMUEBLE(S) otorgado(s) en garantía hipotecaria.</t>
  </si>
  <si>
    <t>HIPOTECA FUERTE A TU MEDIDA PAGOS CRECIENTES BANORTE</t>
  </si>
  <si>
    <t>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 Si el ACREDITADO dejare de efectuar, en forma total, uno o más de los pagos que se obliga a realizar conforme al presente contrato, sean éstos de capital, intereses, comisiones, u otros accesorios. b). -Si el ACREDITADO, vende, grava, afecta o transmite por cualquier figura jurídica los derechos de propiedad que tiene respecto del (de los) inmueble(s) dado(s) en garantía hipotecaria, excepto en caso de herencia. c). -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d). - Si el ACREDITADO destinare el crédito a un fin distinto del expresamente señalado en la cláusula de DESTINO DEL CRÉDITO o si EL INMUEBLE deja de ser destinado a casa habitación durante la vigencia del presente crédito. e). - Si el(los) inmueble(s) no se inscribe(n) en el Registro Público de la Propiedad y del Comercio de conformidad con lo señalado en la cláusula de GARANTÍA(S), fuere(n) embargado(s) por terceros, o si fuere(n) gravado(s) en ulterior grado, sin autorización expresa y por escrito de EL BANCO. f). - Si el ACREDITADO introdujere modificaciones al (a los) inmueble(s) que causen una disminución en el valor comercial del (de los) inmueble(s) o si por cualquier causa resultare(n) total o parcialmente destruido(s) el(los) inmueble(s). g). - Si el ACREDITADO dejare de pagar dos bimestres consecutivos del impuesto predial, o cuotas por servicios de agua o cualquier responsabilidad civil dentro de los diez días siguientes a la notificación que les fuere hecha por las autoridades respectivas. h). -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 Si el ACREDITADO faltare al exacto cumplimiento de las obligaciones que en general ha contraído en este instrumento. j). - En los demás casos en que conforme a la Ley se hace exigible anticipadamente el cumplimiento de las obligaciones a plazo. k). - Si el ACREDITADO deja de cumplir con cualquier otro crédito o préstamo que le hubiere otorgado EL BANCO que se dé por vencido anticipadamente o cualquier obligación crediticia a plazo que tenga el ACREDITADO con EL BANCO. l). - Si el ACREDITADO incumple con uno o más de los pagos que se encuentra obligado a cubrir de conformidad con lo establecido en el presente instrumento derivado de una reclamación presentada por el ACREDITADO con relación a cargos mal aplicados. Agregar el siguiente inciso cuando el gravamen se cancele en instrumento por separado. m). - Si el ACREDITADO no entrega en un plazo de 30-treinta días naturales la cancelación de gravamen a que se hace referencia en el antecedente Primero inciso ( ) _________ de este instrumento y/o no entrega el estado de cuenta o documento en el que conste el fin de la relación contractual y la inexistencia de adeudos. n).-Si el BANCO es informado a través del ACREDITADO o notificado por la autoridad administrativa o judicial que se ha iniciado un juicio de extinción de dominio respecto del (los) INMUEBLE(S) otorgado(s) en garantía hipotecaria.</t>
  </si>
  <si>
    <t>Hipoteca FuerteTradicional</t>
  </si>
  <si>
    <t>Hipoteca FuerteCofinavit</t>
  </si>
  <si>
    <t>Hipoteca FuerteCuenta INFONAVIT + BANORTE</t>
  </si>
  <si>
    <t>Hipoteca FuerteFOVISSSTE Para Todos</t>
  </si>
  <si>
    <t>Hipoteca FuerteIngresos Adicionales FPT</t>
  </si>
  <si>
    <t>Terreno_UrbanizadoTradicional</t>
  </si>
  <si>
    <t>LiquidezTradicional</t>
  </si>
  <si>
    <t>Hipoteca Fuerte a tu Medida Pagos CrecientesTradicional</t>
  </si>
  <si>
    <t>Hipoteca Fuerte a tu Medida Pagos CrecientesCofinavit</t>
  </si>
  <si>
    <t>Hipoteca Fuerte a tu Medida Pagos CrecientesApoyo INFONAVIT</t>
  </si>
  <si>
    <t>Hipoteca FuerteApoyo INFONAVIT</t>
  </si>
  <si>
    <t>Hipoteca Verde BanorteTradicional</t>
  </si>
  <si>
    <t>Hipoteca Verde BanorteApoyo INFONAVIT</t>
  </si>
  <si>
    <t>Hipoteca Verde BanorteCofinavit</t>
  </si>
  <si>
    <t>Hipoteca Verde BanorteCuenta INFONAVIT + BANORTE</t>
  </si>
  <si>
    <t>Terreno_UrbanizadoCofinavit</t>
  </si>
  <si>
    <t>Hipoteca Simple BanorteTradicional</t>
  </si>
  <si>
    <t>Hipoteca Simple BanorteApoyo INFONAVIT</t>
  </si>
  <si>
    <t>Hipoteca Simple BanorteCofinavit</t>
  </si>
  <si>
    <t>Hipoteca Simple BanorteCuenta INFONAVIT + BANORTE</t>
  </si>
  <si>
    <t>Hipoteca Fuerte a tu Medida Pagos CrecientesCuenta INFONAVIT + BANORTE</t>
  </si>
  <si>
    <t>En caso de que el Solicitante acepte la presente Oferta Vinculante y se formalice el contrato de crédito correspondiente, el Banco acepta expresamente que recibirá el pago adelantado del mismo por parte de cualquiera otra Entidad y le cederá todos sus derechos derivados del contrato correspondiente. Asimismo, el Banco acepta expresamente que admitirá la sustitución de deudor en términos de los artículos 13 y 14 de la Ley de Transparencia y de Fomento a la Competencia en el Crédito Garantizado siempre y cuando el comprador presente al Banco, una Solicitud de Crédito y cumpla con los demás requisitos y obligaciones que establecen, el artículo 6 de la Ley de Transparencia y de Fomento a la Competencia en el Crédito Garantizado, las Reglas Generales a que se refiere la Ley de Transparencia y de Fomento a la Competencia en el Crédito Garantizado y la Ley de Instituciones de Crédito.</t>
  </si>
  <si>
    <r>
      <rPr>
        <b/>
        <sz val="8"/>
        <rFont val="Arial"/>
        <family val="2"/>
      </rPr>
      <t>Comisión por Penalización por pago tardío</t>
    </r>
    <r>
      <rPr>
        <sz val="8"/>
        <rFont val="Arial"/>
        <family val="2"/>
      </rPr>
      <t xml:space="preserve">- Se generará a partir del 6-sexto día natural siguiente a la fecha de vencimiento del pago respectivo, se podrá generar hasta por tres pagos mensuales consecutivos incumplidos y se deberá cubrir al momento de su generación, y será la cantidad que resulte de aplicar el 5%-cinco por ciento sobre el saldo vencido. Si durante la vigencia del contrato vuelve a incumplir después de que se haya puesto al corriente en los pagos, se le volverá a generar la comisión por penalización por pago tardío en los términos señalados. </t>
    </r>
    <r>
      <rPr>
        <b/>
        <sz val="8"/>
        <rFont val="Arial"/>
        <family val="2"/>
      </rPr>
      <t>No se cobrará durante el mismo período, la comisión por penalización por pago tardío conjunta con los intereses moratorios.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</si>
</sst>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6" formatCode="&quot;$&quot;#,##0;[Red]\-&quot;$&quot;#,##0"/>
    <numFmt numFmtId="8" formatCode="&quot;$&quot;#,##0.00;[Red]\-&quot;$&quot;#,##0.00"/>
    <numFmt numFmtId="44" formatCode="_-&quot;$&quot;* #,##0.00_-;\-&quot;$&quot;* #,##0.00_-;_-&quot;$&quot;* &quot;-&quot;??_-;_-@_-"/>
    <numFmt numFmtId="43" formatCode="_-* #,##0.00_-;\-* #,##0.00_-;_-* &quot;-&quot;??_-;_-@_-"/>
    <numFmt numFmtId="164" formatCode="0.0"/>
    <numFmt numFmtId="165" formatCode="&quot;$&quot;#,##0.00"/>
    <numFmt numFmtId="166" formatCode="[$-80A]d&quot; de &quot;mmmm&quot; de &quot;yyyy;@"/>
    <numFmt numFmtId="167" formatCode="&quot;$&quot;#,##0"/>
    <numFmt numFmtId="168" formatCode="0.0%"/>
    <numFmt numFmtId="169" formatCode="#,##0_ ;\-#,##0\ "/>
    <numFmt numFmtId="170" formatCode="dd/mmm/yyyy"/>
    <numFmt numFmtId="171" formatCode="&quot;Fechas de Pago&quot;"/>
    <numFmt numFmtId="172" formatCode="[$-F800]dddd\,\ mmmm\ dd\,\ yyyy"/>
    <numFmt numFmtId="173" formatCode="&quot;[&quot;@&quot;]&quot;"/>
    <numFmt numFmtId="174" formatCode="#,##0.0"/>
    <numFmt numFmtId="175" formatCode="_-&quot;$&quot;* #,##0_-;\-&quot;$&quot;* #,##0_-;_-&quot;$&quot;* &quot;-&quot;??_-;_-@_-"/>
    <numFmt numFmtId="176" formatCode="dd\ &quot;de&quot;\ mmmm\ &quot;de&quot;\ yyyy"/>
    <numFmt numFmtId="177" formatCode="&quot;$&quot;\ #,##0.00;[Red]&quot;$&quot;\ \-#,##0.00"/>
    <numFmt numFmtId="178" formatCode="&quot;$&quot;\ #,##0.00;[Red]\-&quot;$&quot;#,##0.00"/>
    <numFmt numFmtId="179" formatCode="d\ &quot;de&quot;\ mmmm\ &quot;de&quot;\ yyyy"/>
    <numFmt numFmtId="180" formatCode="0.00000000"/>
    <numFmt numFmtId="181" formatCode="0.000000000"/>
    <numFmt numFmtId="182" formatCode="0.000000%"/>
    <numFmt numFmtId="183" formatCode="0.0000"/>
    <numFmt numFmtId="184" formatCode="&quot;$&quot;\ #,##0.00;[Red]&quot;$&quot;\(\ \-#,##0.00\)"/>
    <numFmt numFmtId="185" formatCode="&quot;$&quot;#,##0.00;&quot;$&quot;\(#,##0.00\)"/>
    <numFmt numFmtId="186" formatCode="_(&quot;$&quot;* #,##0.00_);_(&quot;$&quot;* \(#,##0.00\);_(&quot;$&quot;* &quot;-&quot;??_);_(@_)"/>
    <numFmt numFmtId="187" formatCode="_(* #,##0.00_);_(* \(#,##0.00\);_(* &quot;-&quot;??_);_(@_)"/>
    <numFmt numFmtId="188" formatCode="#,##0.00_ ;\-#,##0.00\ "/>
    <numFmt numFmtId="189" formatCode="&quot;$&quot;#,##0.00_);[Red]\(&quot;$&quot;#,##0.00\)"/>
    <numFmt numFmtId="190" formatCode="0.00000"/>
    <numFmt numFmtId="191" formatCode="0.000000"/>
  </numFmts>
  <fonts count="88"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entury Gothic"/>
      <family val="2"/>
    </font>
    <font>
      <sz val="8"/>
      <color theme="1"/>
      <name val="Arial"/>
      <family val="2"/>
    </font>
    <font>
      <sz val="8"/>
      <name val="Arial"/>
      <family val="2"/>
    </font>
    <font>
      <sz val="10"/>
      <name val="Arial"/>
      <family val="2"/>
    </font>
    <font>
      <sz val="10"/>
      <name val="Book Antiqua"/>
      <family val="1"/>
    </font>
    <font>
      <sz val="8"/>
      <color theme="1"/>
      <name val="Calibri"/>
      <family val="2"/>
      <scheme val="minor"/>
    </font>
    <font>
      <b/>
      <sz val="11"/>
      <color theme="1"/>
      <name val="Calibri"/>
      <family val="2"/>
      <scheme val="minor"/>
    </font>
    <font>
      <sz val="11"/>
      <color theme="0"/>
      <name val="Calibri"/>
      <family val="2"/>
      <scheme val="minor"/>
    </font>
    <font>
      <b/>
      <sz val="11"/>
      <name val="Calibri"/>
      <family val="2"/>
      <scheme val="minor"/>
    </font>
    <font>
      <sz val="11"/>
      <name val="Calibri"/>
      <family val="2"/>
      <scheme val="minor"/>
    </font>
    <font>
      <b/>
      <sz val="8"/>
      <color theme="1"/>
      <name val="Calibri"/>
      <family val="2"/>
      <scheme val="minor"/>
    </font>
    <font>
      <b/>
      <sz val="8"/>
      <color theme="3"/>
      <name val="Calibri"/>
      <family val="2"/>
      <scheme val="minor"/>
    </font>
    <font>
      <sz val="11"/>
      <color rgb="FF000000"/>
      <name val="Calibri"/>
      <family val="2"/>
    </font>
    <font>
      <sz val="8"/>
      <color rgb="FF000000"/>
      <name val="Calibri"/>
      <family val="2"/>
    </font>
    <font>
      <b/>
      <sz val="8"/>
      <name val="Calibri"/>
      <family val="2"/>
      <scheme val="minor"/>
    </font>
    <font>
      <b/>
      <sz val="8"/>
      <color theme="1"/>
      <name val="Arial"/>
      <family val="2"/>
    </font>
    <font>
      <b/>
      <sz val="9"/>
      <color indexed="9"/>
      <name val="Calibri"/>
      <family val="2"/>
      <scheme val="minor"/>
    </font>
    <font>
      <sz val="9"/>
      <color theme="1"/>
      <name val="Calibri"/>
      <family val="2"/>
      <scheme val="minor"/>
    </font>
    <font>
      <sz val="9"/>
      <color theme="0"/>
      <name val="Calibri"/>
      <family val="2"/>
      <scheme val="minor"/>
    </font>
    <font>
      <b/>
      <sz val="9"/>
      <name val="Calibri"/>
      <family val="2"/>
      <scheme val="minor"/>
    </font>
    <font>
      <b/>
      <sz val="9"/>
      <color theme="1"/>
      <name val="Calibri"/>
      <family val="2"/>
      <scheme val="minor"/>
    </font>
    <font>
      <sz val="9"/>
      <color rgb="FFFF0000"/>
      <name val="Calibri"/>
      <family val="2"/>
      <scheme val="minor"/>
    </font>
    <font>
      <sz val="8"/>
      <color rgb="FFFF0000"/>
      <name val="Calibri"/>
      <family val="2"/>
      <scheme val="minor"/>
    </font>
    <font>
      <b/>
      <sz val="8"/>
      <color rgb="FFFF0000"/>
      <name val="Calibri"/>
      <family val="2"/>
      <scheme val="minor"/>
    </font>
    <font>
      <b/>
      <i/>
      <sz val="11"/>
      <color theme="1"/>
      <name val="Calibri"/>
      <family val="2"/>
      <scheme val="minor"/>
    </font>
    <font>
      <sz val="8"/>
      <color theme="0"/>
      <name val="Calibri"/>
      <family val="2"/>
      <scheme val="minor"/>
    </font>
    <font>
      <b/>
      <sz val="8"/>
      <name val="Arial"/>
      <family val="2"/>
    </font>
    <font>
      <sz val="8"/>
      <color rgb="FF0000FF"/>
      <name val="Arial"/>
      <family val="2"/>
    </font>
    <font>
      <sz val="8"/>
      <color indexed="10"/>
      <name val="Arial"/>
      <family val="2"/>
    </font>
    <font>
      <b/>
      <sz val="8"/>
      <color rgb="FF008000"/>
      <name val="Arial"/>
      <family val="2"/>
    </font>
    <font>
      <b/>
      <sz val="8"/>
      <color indexed="12"/>
      <name val="Arial"/>
      <family val="2"/>
    </font>
    <font>
      <b/>
      <sz val="12"/>
      <color rgb="FF0000FF"/>
      <name val="Arial"/>
      <family val="2"/>
    </font>
    <font>
      <b/>
      <sz val="12"/>
      <color indexed="12"/>
      <name val="Arial"/>
      <family val="2"/>
    </font>
    <font>
      <sz val="8"/>
      <color indexed="12"/>
      <name val="Arial"/>
      <family val="2"/>
    </font>
    <font>
      <b/>
      <sz val="8"/>
      <color indexed="17"/>
      <name val="Arial"/>
      <family val="2"/>
    </font>
    <font>
      <b/>
      <u/>
      <sz val="8"/>
      <color indexed="12"/>
      <name val="Arial"/>
      <family val="2"/>
    </font>
    <font>
      <u/>
      <sz val="10"/>
      <color indexed="12"/>
      <name val="Arial"/>
      <family val="2"/>
    </font>
    <font>
      <b/>
      <u/>
      <sz val="8"/>
      <color indexed="17"/>
      <name val="Arial"/>
      <family val="2"/>
    </font>
    <font>
      <b/>
      <u/>
      <sz val="8"/>
      <color rgb="FF0000FF"/>
      <name val="Arial"/>
      <family val="2"/>
    </font>
    <font>
      <sz val="11"/>
      <color theme="3"/>
      <name val="Calibri"/>
      <family val="2"/>
      <scheme val="minor"/>
    </font>
    <font>
      <b/>
      <sz val="9"/>
      <color indexed="81"/>
      <name val="Tahoma"/>
      <family val="2"/>
    </font>
    <font>
      <sz val="8"/>
      <name val="Calibri"/>
      <family val="2"/>
      <scheme val="minor"/>
    </font>
    <font>
      <sz val="9"/>
      <color indexed="81"/>
      <name val="Tahoma"/>
      <family val="2"/>
    </font>
    <font>
      <b/>
      <sz val="10"/>
      <color indexed="9"/>
      <name val="Arial"/>
      <family val="2"/>
    </font>
    <font>
      <sz val="10"/>
      <color theme="1"/>
      <name val="Arial"/>
      <family val="2"/>
    </font>
    <font>
      <b/>
      <sz val="10"/>
      <color theme="0"/>
      <name val="Arial"/>
      <family val="2"/>
    </font>
    <font>
      <b/>
      <sz val="10"/>
      <name val="Arial"/>
      <family val="2"/>
    </font>
    <font>
      <b/>
      <sz val="10"/>
      <color theme="1"/>
      <name val="Arial"/>
      <family val="2"/>
    </font>
    <font>
      <i/>
      <sz val="10"/>
      <color theme="1" tint="0.499984740745262"/>
      <name val="Arial"/>
      <family val="2"/>
    </font>
    <font>
      <b/>
      <sz val="10"/>
      <color rgb="FFFF0000"/>
      <name val="Arial"/>
      <family val="2"/>
    </font>
    <font>
      <sz val="10"/>
      <color theme="0"/>
      <name val="Arial"/>
      <family val="2"/>
    </font>
    <font>
      <sz val="10"/>
      <color rgb="FFFF0000"/>
      <name val="Arial"/>
      <family val="2"/>
    </font>
    <font>
      <sz val="10"/>
      <color rgb="FF000000"/>
      <name val="Arial"/>
      <family val="2"/>
    </font>
    <font>
      <sz val="9"/>
      <color theme="1"/>
      <name val="Arial"/>
      <family val="2"/>
    </font>
    <font>
      <sz val="11"/>
      <color rgb="FF000000"/>
      <name val="Calibri"/>
      <family val="2"/>
      <scheme val="minor"/>
    </font>
    <font>
      <b/>
      <sz val="9"/>
      <color rgb="FFFF0000"/>
      <name val="Arial"/>
      <family val="2"/>
    </font>
    <font>
      <sz val="12"/>
      <color theme="1"/>
      <name val="Arial"/>
      <family val="2"/>
    </font>
    <font>
      <b/>
      <sz val="12"/>
      <color theme="1"/>
      <name val="Arial"/>
      <family val="2"/>
    </font>
    <font>
      <b/>
      <sz val="12"/>
      <name val="Arial"/>
      <family val="2"/>
    </font>
    <font>
      <sz val="12"/>
      <color theme="0"/>
      <name val="Arial"/>
      <family val="2"/>
    </font>
    <font>
      <sz val="12"/>
      <name val="Arial"/>
      <family val="2"/>
    </font>
    <font>
      <sz val="11"/>
      <name val="Arial"/>
      <family val="2"/>
    </font>
    <font>
      <b/>
      <sz val="11"/>
      <name val="Arial"/>
      <family val="2"/>
    </font>
    <font>
      <b/>
      <i/>
      <sz val="11"/>
      <color rgb="FFFF0000"/>
      <name val="Arial"/>
      <family val="2"/>
    </font>
    <font>
      <sz val="11"/>
      <color theme="1"/>
      <name val="Arial"/>
      <family val="2"/>
    </font>
    <font>
      <b/>
      <sz val="11"/>
      <color rgb="FFC00000"/>
      <name val="Arial"/>
      <family val="2"/>
    </font>
    <font>
      <sz val="11"/>
      <color rgb="FFFF0000"/>
      <name val="Arial"/>
      <family val="2"/>
    </font>
    <font>
      <b/>
      <sz val="11"/>
      <color theme="1"/>
      <name val="Arial"/>
      <family val="2"/>
    </font>
    <font>
      <sz val="11"/>
      <color theme="0" tint="-4.9989318521683403E-2"/>
      <name val="Arial"/>
      <family val="2"/>
    </font>
    <font>
      <b/>
      <sz val="9"/>
      <color theme="1"/>
      <name val="Arial"/>
      <family val="2"/>
    </font>
    <font>
      <sz val="11"/>
      <color rgb="FFFFFFFF"/>
      <name val="Calibri"/>
      <family val="2"/>
    </font>
    <font>
      <b/>
      <sz val="11"/>
      <color rgb="FF000000"/>
      <name val="Calibri"/>
      <family val="2"/>
    </font>
    <font>
      <sz val="12"/>
      <name val="Calibri"/>
      <family val="2"/>
      <scheme val="minor"/>
    </font>
    <font>
      <sz val="10"/>
      <color theme="1"/>
      <name val="Calibri"/>
      <family val="2"/>
      <scheme val="minor"/>
    </font>
    <font>
      <b/>
      <sz val="10"/>
      <color theme="0"/>
      <name val="Calibri"/>
      <family val="2"/>
      <scheme val="minor"/>
    </font>
    <font>
      <b/>
      <sz val="8"/>
      <color rgb="FFFF0000"/>
      <name val="Arial"/>
      <family val="2"/>
    </font>
    <font>
      <b/>
      <sz val="8"/>
      <color theme="0"/>
      <name val="Arial"/>
      <family val="2"/>
    </font>
    <font>
      <sz val="8"/>
      <color rgb="FF000000"/>
      <name val="Arial"/>
      <family val="2"/>
    </font>
    <font>
      <b/>
      <sz val="8"/>
      <color rgb="FFFFFFFF"/>
      <name val="Arial"/>
      <family val="2"/>
    </font>
    <font>
      <b/>
      <sz val="8"/>
      <color rgb="FFEE0000"/>
      <name val="Arial"/>
      <family val="2"/>
    </font>
    <font>
      <sz val="8"/>
      <color theme="0"/>
      <name val="Arial"/>
      <family val="2"/>
    </font>
    <font>
      <sz val="8"/>
      <color rgb="FFFF0000"/>
      <name val="Arial"/>
      <family val="2"/>
    </font>
    <font>
      <b/>
      <sz val="9"/>
      <name val="Arial"/>
      <family val="2"/>
    </font>
    <font>
      <b/>
      <sz val="8"/>
      <color theme="1"/>
      <name val="Aptos"/>
      <family val="2"/>
    </font>
    <font>
      <sz val="8"/>
      <color theme="1"/>
      <name val="Aptos"/>
      <family val="2"/>
    </font>
  </fonts>
  <fills count="37">
    <fill>
      <patternFill patternType="none"/>
    </fill>
    <fill>
      <patternFill patternType="gray125"/>
    </fill>
    <fill>
      <patternFill patternType="solid">
        <fgColor theme="7"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rgb="FFEB0029"/>
        <bgColor indexed="64"/>
      </patternFill>
    </fill>
    <fill>
      <patternFill patternType="solid">
        <fgColor theme="4" tint="0.79998168889431442"/>
        <bgColor indexed="64"/>
      </patternFill>
    </fill>
    <fill>
      <patternFill patternType="mediumGray">
        <fgColor theme="0" tint="-0.14996795556505021"/>
        <bgColor theme="3" tint="0.79998168889431442"/>
      </patternFill>
    </fill>
    <fill>
      <patternFill patternType="mediumGray">
        <fgColor theme="0" tint="-0.14996795556505021"/>
        <bgColor indexed="65"/>
      </patternFill>
    </fill>
    <fill>
      <patternFill patternType="mediumGray">
        <fgColor theme="0" tint="-0.14996795556505021"/>
        <bgColor theme="9" tint="0.59999389629810485"/>
      </patternFill>
    </fill>
    <fill>
      <patternFill patternType="solid">
        <fgColor theme="8" tint="0.79998168889431442"/>
        <bgColor indexed="64"/>
      </patternFill>
    </fill>
    <fill>
      <patternFill patternType="mediumGray">
        <fgColor theme="0" tint="-0.14996795556505021"/>
        <bgColor theme="6" tint="0.59999389629810485"/>
      </patternFill>
    </fill>
    <fill>
      <patternFill patternType="mediumGray">
        <fgColor theme="0" tint="-0.14996795556505021"/>
        <bgColor theme="5" tint="0.59999389629810485"/>
      </patternFill>
    </fill>
    <fill>
      <patternFill patternType="solid">
        <fgColor theme="8"/>
      </patternFill>
    </fill>
    <fill>
      <patternFill patternType="solid">
        <fgColor rgb="FFFFFF99"/>
        <bgColor indexed="64"/>
      </patternFill>
    </fill>
    <fill>
      <patternFill patternType="solid">
        <fgColor indexed="43"/>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2"/>
        <bgColor indexed="64"/>
      </patternFill>
    </fill>
    <fill>
      <patternFill patternType="solid">
        <fgColor rgb="FFC00000"/>
        <bgColor indexed="64"/>
      </patternFill>
    </fill>
    <fill>
      <patternFill patternType="solid">
        <fgColor rgb="FFDEEAF6"/>
        <bgColor indexed="64"/>
      </patternFill>
    </fill>
    <fill>
      <patternFill patternType="solid">
        <fgColor rgb="FFFF0000"/>
        <bgColor indexed="64"/>
      </patternFill>
    </fill>
    <fill>
      <patternFill patternType="solid">
        <fgColor rgb="FFEE0000"/>
        <bgColor indexed="64"/>
      </patternFill>
    </fill>
    <fill>
      <patternFill patternType="solid">
        <fgColor rgb="FF0070C0"/>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0" tint="-0.249977111117893"/>
        <bgColor indexed="64"/>
      </patternFill>
    </fill>
  </fills>
  <borders count="56">
    <border>
      <left/>
      <right/>
      <top/>
      <bottom/>
      <diagonal/>
    </border>
    <border>
      <left/>
      <right/>
      <top/>
      <bottom style="thick">
        <color theme="4"/>
      </bottom>
      <diagonal/>
    </border>
    <border>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right/>
      <top style="thin">
        <color indexed="64"/>
      </top>
      <bottom style="double">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hair">
        <color indexed="64"/>
      </right>
      <top/>
      <bottom/>
      <diagonal/>
    </border>
    <border>
      <left style="hair">
        <color indexed="64"/>
      </left>
      <right style="thin">
        <color indexed="64"/>
      </right>
      <top/>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28">
    <xf numFmtId="0" fontId="0" fillId="0" borderId="0"/>
    <xf numFmtId="44" fontId="1" fillId="0" borderId="0" applyFont="0" applyFill="0" applyBorder="0" applyAlignment="0" applyProtection="0"/>
    <xf numFmtId="9" fontId="1"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2" fillId="0" borderId="1" applyNumberFormat="0" applyFill="0" applyAlignment="0" applyProtection="0"/>
    <xf numFmtId="43" fontId="7" fillId="0" borderId="0" applyFont="0" applyFill="0" applyBorder="0" applyAlignment="0" applyProtection="0"/>
    <xf numFmtId="44" fontId="7" fillId="0" borderId="0" applyFont="0" applyFill="0" applyBorder="0" applyAlignment="0" applyProtection="0"/>
    <xf numFmtId="0" fontId="7" fillId="0" borderId="0"/>
    <xf numFmtId="0" fontId="6" fillId="0" borderId="0"/>
    <xf numFmtId="0" fontId="7" fillId="0" borderId="0"/>
    <xf numFmtId="0" fontId="1" fillId="0" borderId="0"/>
    <xf numFmtId="0" fontId="1" fillId="0" borderId="0"/>
    <xf numFmtId="9" fontId="7" fillId="0" borderId="0" applyFont="0" applyFill="0" applyBorder="0" applyAlignment="0" applyProtection="0"/>
    <xf numFmtId="43" fontId="1" fillId="0" borderId="0" applyFont="0" applyFill="0" applyBorder="0" applyAlignment="0" applyProtection="0"/>
    <xf numFmtId="0" fontId="2" fillId="0" borderId="1" applyNumberFormat="0" applyFill="0" applyAlignment="0" applyProtection="0"/>
    <xf numFmtId="0" fontId="15" fillId="0" borderId="0"/>
    <xf numFmtId="0" fontId="6" fillId="0" borderId="0"/>
    <xf numFmtId="44"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10" fillId="22" borderId="0" applyNumberFormat="0" applyBorder="0" applyAlignment="0" applyProtection="0"/>
    <xf numFmtId="0" fontId="3" fillId="0" borderId="0" applyNumberFormat="0" applyFill="0" applyBorder="0" applyAlignment="0" applyProtection="0"/>
    <xf numFmtId="0" fontId="7" fillId="0" borderId="0"/>
    <xf numFmtId="0" fontId="7" fillId="0" borderId="0"/>
    <xf numFmtId="0" fontId="39" fillId="0" borderId="0" applyNumberFormat="0" applyFill="0" applyBorder="0" applyAlignment="0" applyProtection="0">
      <alignment vertical="top"/>
      <protection locked="0"/>
    </xf>
    <xf numFmtId="186" fontId="1" fillId="0" borderId="0" applyFont="0" applyFill="0" applyBorder="0" applyAlignment="0" applyProtection="0"/>
    <xf numFmtId="187" fontId="1" fillId="0" borderId="0" applyFont="0" applyFill="0" applyBorder="0" applyAlignment="0" applyProtection="0"/>
  </cellStyleXfs>
  <cellXfs count="916">
    <xf numFmtId="0" fontId="0" fillId="0" borderId="0" xfId="0"/>
    <xf numFmtId="0" fontId="4" fillId="0" borderId="0" xfId="0" applyFont="1"/>
    <xf numFmtId="0" fontId="4" fillId="0" borderId="0" xfId="0" applyFont="1" applyAlignment="1">
      <alignment horizontal="right"/>
    </xf>
    <xf numFmtId="0" fontId="4" fillId="4" borderId="0" xfId="0" applyFont="1" applyFill="1"/>
    <xf numFmtId="0" fontId="4" fillId="0" borderId="0" xfId="0" applyFont="1" applyAlignment="1">
      <alignment horizontal="left" indent="1"/>
    </xf>
    <xf numFmtId="0" fontId="4" fillId="0" borderId="0" xfId="0" applyFont="1" applyAlignment="1">
      <alignment horizontal="center"/>
    </xf>
    <xf numFmtId="0" fontId="8" fillId="0" borderId="0" xfId="0" applyFont="1"/>
    <xf numFmtId="0" fontId="13" fillId="7" borderId="0" xfId="0" applyFont="1" applyFill="1" applyAlignment="1">
      <alignment horizontal="center"/>
    </xf>
    <xf numFmtId="0" fontId="8" fillId="0" borderId="0" xfId="0" applyFont="1" applyAlignment="1">
      <alignment horizontal="center"/>
    </xf>
    <xf numFmtId="4" fontId="8" fillId="0" borderId="0" xfId="0" applyNumberFormat="1" applyFont="1" applyAlignment="1">
      <alignment horizontal="center"/>
    </xf>
    <xf numFmtId="10" fontId="8" fillId="0" borderId="0" xfId="0" applyNumberFormat="1" applyFont="1" applyAlignment="1">
      <alignment horizontal="center"/>
    </xf>
    <xf numFmtId="0" fontId="13" fillId="9" borderId="0" xfId="0" applyFont="1" applyFill="1" applyAlignment="1">
      <alignment horizontal="centerContinuous"/>
    </xf>
    <xf numFmtId="0" fontId="8" fillId="9" borderId="0" xfId="0" applyFont="1" applyFill="1" applyAlignment="1">
      <alignment horizontal="centerContinuous"/>
    </xf>
    <xf numFmtId="0" fontId="13" fillId="9" borderId="0" xfId="0" quotePrefix="1" applyFont="1" applyFill="1" applyAlignment="1">
      <alignment horizontal="centerContinuous"/>
    </xf>
    <xf numFmtId="10" fontId="8" fillId="0" borderId="0" xfId="0" applyNumberFormat="1" applyFont="1"/>
    <xf numFmtId="2" fontId="8" fillId="0" borderId="0" xfId="0" applyNumberFormat="1" applyFont="1" applyAlignment="1">
      <alignment horizontal="center"/>
    </xf>
    <xf numFmtId="0" fontId="13" fillId="0" borderId="0" xfId="0" applyFont="1" applyAlignment="1">
      <alignment horizontal="center"/>
    </xf>
    <xf numFmtId="0" fontId="13" fillId="0" borderId="0" xfId="0" applyFont="1" applyAlignment="1">
      <alignment horizontal="centerContinuous"/>
    </xf>
    <xf numFmtId="0" fontId="8" fillId="0" borderId="0" xfId="0" applyFont="1" applyAlignment="1">
      <alignment horizontal="centerContinuous"/>
    </xf>
    <xf numFmtId="0" fontId="13" fillId="0" borderId="0" xfId="0" quotePrefix="1" applyFont="1" applyAlignment="1">
      <alignment horizontal="centerContinuous"/>
    </xf>
    <xf numFmtId="0" fontId="13" fillId="7" borderId="0" xfId="0" applyFont="1" applyFill="1"/>
    <xf numFmtId="9" fontId="8" fillId="0" borderId="0" xfId="0" applyNumberFormat="1" applyFont="1" applyAlignment="1">
      <alignment horizontal="center"/>
    </xf>
    <xf numFmtId="3" fontId="8" fillId="0" borderId="0" xfId="0" applyNumberFormat="1" applyFont="1" applyAlignment="1">
      <alignment horizontal="center"/>
    </xf>
    <xf numFmtId="0" fontId="8" fillId="0" borderId="0" xfId="0" applyFont="1" applyAlignment="1">
      <alignment horizontal="left"/>
    </xf>
    <xf numFmtId="0" fontId="4" fillId="0" borderId="0" xfId="0" applyFont="1" applyAlignment="1">
      <alignment horizontal="left"/>
    </xf>
    <xf numFmtId="0" fontId="13" fillId="8" borderId="0" xfId="0" applyFont="1" applyFill="1"/>
    <xf numFmtId="0" fontId="13" fillId="8" borderId="0" xfId="0" applyFont="1" applyFill="1" applyAlignment="1">
      <alignment horizontal="center"/>
    </xf>
    <xf numFmtId="10" fontId="8" fillId="0" borderId="0" xfId="0" applyNumberFormat="1" applyFont="1" applyAlignment="1">
      <alignment horizontal="left"/>
    </xf>
    <xf numFmtId="1" fontId="8" fillId="0" borderId="0" xfId="0" applyNumberFormat="1" applyFont="1" applyAlignment="1">
      <alignment horizontal="center"/>
    </xf>
    <xf numFmtId="44" fontId="8" fillId="0" borderId="0" xfId="1" applyFont="1"/>
    <xf numFmtId="0" fontId="13" fillId="0" borderId="0" xfId="0" applyFont="1"/>
    <xf numFmtId="9" fontId="13" fillId="8" borderId="0" xfId="0" applyNumberFormat="1" applyFont="1" applyFill="1" applyAlignment="1">
      <alignment horizontal="center"/>
    </xf>
    <xf numFmtId="0" fontId="16" fillId="9" borderId="0" xfId="16" applyFont="1" applyFill="1"/>
    <xf numFmtId="0" fontId="16" fillId="9" borderId="4" xfId="16" applyFont="1" applyFill="1" applyBorder="1"/>
    <xf numFmtId="44" fontId="8" fillId="0" borderId="0" xfId="0" applyNumberFormat="1" applyFont="1"/>
    <xf numFmtId="0" fontId="8" fillId="9" borderId="0" xfId="0" applyFont="1" applyFill="1"/>
    <xf numFmtId="10" fontId="8" fillId="0" borderId="0" xfId="2" applyNumberFormat="1" applyFont="1"/>
    <xf numFmtId="0" fontId="16" fillId="13" borderId="0" xfId="16" applyFont="1" applyFill="1"/>
    <xf numFmtId="0" fontId="8" fillId="13" borderId="0" xfId="0" applyFont="1" applyFill="1"/>
    <xf numFmtId="0" fontId="8" fillId="13" borderId="0" xfId="0" applyFont="1" applyFill="1" applyAlignment="1">
      <alignment horizontal="left"/>
    </xf>
    <xf numFmtId="0" fontId="13" fillId="13" borderId="0" xfId="0" applyFont="1" applyFill="1"/>
    <xf numFmtId="0" fontId="13" fillId="13" borderId="0" xfId="0" applyFont="1" applyFill="1" applyAlignment="1">
      <alignment horizontal="centerContinuous"/>
    </xf>
    <xf numFmtId="10" fontId="8" fillId="0" borderId="0" xfId="2" applyNumberFormat="1" applyFont="1" applyAlignment="1">
      <alignment horizontal="center"/>
    </xf>
    <xf numFmtId="8" fontId="8" fillId="0" borderId="0" xfId="1" applyNumberFormat="1" applyFont="1" applyAlignment="1">
      <alignment horizontal="center"/>
    </xf>
    <xf numFmtId="8" fontId="8" fillId="0" borderId="0" xfId="0" applyNumberFormat="1" applyFont="1" applyAlignment="1">
      <alignment horizontal="center"/>
    </xf>
    <xf numFmtId="0" fontId="14" fillId="0" borderId="0" xfId="15" applyFont="1" applyBorder="1"/>
    <xf numFmtId="0" fontId="13" fillId="5" borderId="0" xfId="0" applyFont="1" applyFill="1"/>
    <xf numFmtId="0" fontId="13" fillId="12" borderId="0" xfId="0" applyFont="1" applyFill="1"/>
    <xf numFmtId="0" fontId="17" fillId="6" borderId="0" xfId="0" applyFont="1" applyFill="1" applyAlignment="1">
      <alignment horizontal="centerContinuous" vertical="center"/>
    </xf>
    <xf numFmtId="0" fontId="8" fillId="0" borderId="0" xfId="0" applyFont="1" applyAlignment="1">
      <alignment horizontal="right"/>
    </xf>
    <xf numFmtId="0" fontId="8" fillId="0" borderId="4" xfId="0" applyFont="1" applyBorder="1" applyAlignment="1" applyProtection="1">
      <alignment horizontal="center"/>
      <protection locked="0"/>
    </xf>
    <xf numFmtId="10" fontId="8" fillId="0" borderId="4" xfId="0" applyNumberFormat="1" applyFont="1" applyBorder="1" applyAlignment="1">
      <alignment horizontal="center"/>
    </xf>
    <xf numFmtId="0" fontId="8" fillId="0" borderId="0" xfId="0" applyFont="1" applyAlignment="1">
      <alignment vertical="center"/>
    </xf>
    <xf numFmtId="0" fontId="8" fillId="0" borderId="0" xfId="0" applyFont="1" applyAlignment="1">
      <alignment horizontal="center" vertical="center"/>
    </xf>
    <xf numFmtId="10" fontId="8" fillId="0" borderId="0" xfId="2" applyNumberFormat="1" applyFont="1" applyFill="1" applyBorder="1" applyAlignment="1">
      <alignment vertical="center"/>
    </xf>
    <xf numFmtId="165" fontId="8" fillId="0" borderId="0" xfId="2" applyNumberFormat="1" applyFont="1" applyFill="1" applyBorder="1" applyAlignment="1">
      <alignment horizontal="center" vertical="center"/>
    </xf>
    <xf numFmtId="165" fontId="8" fillId="0" borderId="0" xfId="0" applyNumberFormat="1" applyFont="1" applyAlignment="1">
      <alignment horizontal="center" vertical="center"/>
    </xf>
    <xf numFmtId="1" fontId="8" fillId="0" borderId="0" xfId="2" applyNumberFormat="1" applyFont="1" applyFill="1" applyBorder="1" applyAlignment="1">
      <alignment horizontal="center" vertical="center"/>
    </xf>
    <xf numFmtId="0" fontId="17" fillId="6" borderId="0" xfId="0" applyFont="1" applyFill="1" applyAlignment="1">
      <alignment horizontal="center" vertical="center"/>
    </xf>
    <xf numFmtId="10" fontId="8" fillId="0" borderId="0" xfId="2" applyNumberFormat="1" applyFont="1" applyFill="1" applyBorder="1" applyAlignment="1">
      <alignment horizontal="center" vertical="center"/>
    </xf>
    <xf numFmtId="8" fontId="8" fillId="0" borderId="0" xfId="0" applyNumberFormat="1" applyFont="1" applyAlignment="1">
      <alignment horizontal="center" vertical="center"/>
    </xf>
    <xf numFmtId="4" fontId="8" fillId="0" borderId="0" xfId="0" applyNumberFormat="1" applyFont="1"/>
    <xf numFmtId="169" fontId="4" fillId="0" borderId="4" xfId="14" applyNumberFormat="1" applyFont="1" applyFill="1" applyBorder="1" applyAlignment="1">
      <alignment horizontal="center"/>
    </xf>
    <xf numFmtId="16" fontId="4" fillId="0" borderId="0" xfId="0" applyNumberFormat="1" applyFont="1"/>
    <xf numFmtId="0" fontId="18" fillId="0" borderId="0" xfId="0" applyFont="1" applyAlignment="1">
      <alignment horizontal="center"/>
    </xf>
    <xf numFmtId="0" fontId="18" fillId="0" borderId="0" xfId="0" applyFont="1"/>
    <xf numFmtId="170" fontId="4" fillId="3" borderId="4" xfId="0" applyNumberFormat="1" applyFont="1" applyFill="1" applyBorder="1" applyAlignment="1">
      <alignment horizontal="center"/>
    </xf>
    <xf numFmtId="0" fontId="4" fillId="3" borderId="0" xfId="0" applyFont="1" applyFill="1"/>
    <xf numFmtId="0" fontId="4" fillId="3" borderId="4" xfId="0" applyFont="1" applyFill="1" applyBorder="1" applyAlignment="1">
      <alignment horizontal="center"/>
    </xf>
    <xf numFmtId="0" fontId="18" fillId="7" borderId="0" xfId="0" applyFont="1" applyFill="1" applyAlignment="1">
      <alignment horizontal="center"/>
    </xf>
    <xf numFmtId="171" fontId="18" fillId="7" borderId="0" xfId="0" applyNumberFormat="1" applyFont="1" applyFill="1" applyAlignment="1">
      <alignment horizontal="center"/>
    </xf>
    <xf numFmtId="170" fontId="18" fillId="7" borderId="0" xfId="0" applyNumberFormat="1" applyFont="1" applyFill="1" applyAlignment="1">
      <alignment horizontal="center"/>
    </xf>
    <xf numFmtId="170" fontId="4" fillId="0" borderId="0" xfId="0" applyNumberFormat="1" applyFont="1" applyAlignment="1">
      <alignment horizontal="center"/>
    </xf>
    <xf numFmtId="0" fontId="4" fillId="3" borderId="0" xfId="0" applyFont="1" applyFill="1" applyAlignment="1">
      <alignment horizontal="center"/>
    </xf>
    <xf numFmtId="1" fontId="4" fillId="3" borderId="4" xfId="0" applyNumberFormat="1" applyFont="1" applyFill="1" applyBorder="1" applyAlignment="1">
      <alignment horizontal="center"/>
    </xf>
    <xf numFmtId="0" fontId="4" fillId="4" borderId="0" xfId="0" applyFont="1" applyFill="1" applyAlignment="1">
      <alignment horizontal="center"/>
    </xf>
    <xf numFmtId="1" fontId="4" fillId="0" borderId="0" xfId="0" applyNumberFormat="1" applyFont="1" applyAlignment="1">
      <alignment horizontal="center"/>
    </xf>
    <xf numFmtId="164" fontId="4" fillId="0" borderId="0" xfId="0" applyNumberFormat="1" applyFont="1" applyAlignment="1">
      <alignment horizontal="center"/>
    </xf>
    <xf numFmtId="0" fontId="5" fillId="0" borderId="0" xfId="0" applyFont="1" applyAlignment="1">
      <alignment horizontal="center"/>
    </xf>
    <xf numFmtId="1" fontId="4" fillId="0" borderId="0" xfId="0" applyNumberFormat="1" applyFont="1"/>
    <xf numFmtId="0" fontId="13" fillId="13" borderId="0" xfId="0" applyFont="1" applyFill="1" applyAlignment="1">
      <alignment horizontal="center"/>
    </xf>
    <xf numFmtId="0" fontId="21" fillId="13" borderId="0" xfId="0" applyFont="1" applyFill="1" applyProtection="1">
      <protection hidden="1"/>
    </xf>
    <xf numFmtId="0" fontId="20" fillId="0" borderId="0" xfId="0" applyFont="1"/>
    <xf numFmtId="0" fontId="19" fillId="11" borderId="4" xfId="9" applyFont="1" applyFill="1" applyBorder="1" applyAlignment="1" applyProtection="1">
      <alignment horizontal="center" vertical="center" wrapText="1"/>
      <protection hidden="1"/>
    </xf>
    <xf numFmtId="3" fontId="20" fillId="0" borderId="3" xfId="0" applyNumberFormat="1" applyFont="1" applyBorder="1" applyAlignment="1" applyProtection="1">
      <alignment horizontal="center"/>
      <protection hidden="1"/>
    </xf>
    <xf numFmtId="15" fontId="20" fillId="0" borderId="3" xfId="2" applyNumberFormat="1" applyFont="1" applyFill="1" applyBorder="1" applyAlignment="1" applyProtection="1">
      <alignment horizontal="center"/>
      <protection hidden="1"/>
    </xf>
    <xf numFmtId="4" fontId="20" fillId="0" borderId="3" xfId="0" applyNumberFormat="1" applyFont="1" applyBorder="1" applyAlignment="1" applyProtection="1">
      <alignment horizontal="center"/>
      <protection hidden="1"/>
    </xf>
    <xf numFmtId="10" fontId="20" fillId="0" borderId="3" xfId="2" applyNumberFormat="1" applyFont="1" applyFill="1" applyBorder="1" applyAlignment="1" applyProtection="1">
      <alignment horizontal="center"/>
      <protection hidden="1"/>
    </xf>
    <xf numFmtId="3" fontId="20" fillId="0" borderId="0" xfId="0" applyNumberFormat="1" applyFont="1" applyAlignment="1" applyProtection="1">
      <alignment horizontal="center"/>
      <protection hidden="1"/>
    </xf>
    <xf numFmtId="10" fontId="20" fillId="0" borderId="0" xfId="2" applyNumberFormat="1" applyFont="1" applyFill="1" applyBorder="1" applyAlignment="1" applyProtection="1">
      <alignment horizontal="center"/>
      <protection hidden="1"/>
    </xf>
    <xf numFmtId="4" fontId="20" fillId="0" borderId="0" xfId="0" applyNumberFormat="1" applyFont="1" applyAlignment="1" applyProtection="1">
      <alignment horizontal="center"/>
      <protection hidden="1"/>
    </xf>
    <xf numFmtId="0" fontId="24" fillId="0" borderId="0" xfId="0" applyFont="1" applyProtection="1">
      <protection locked="0" hidden="1"/>
    </xf>
    <xf numFmtId="0" fontId="23" fillId="0" borderId="2" xfId="0" applyFont="1" applyBorder="1" applyProtection="1">
      <protection hidden="1"/>
    </xf>
    <xf numFmtId="0" fontId="22" fillId="0" borderId="2" xfId="0" applyFont="1" applyBorder="1" applyProtection="1">
      <protection hidden="1"/>
    </xf>
    <xf numFmtId="3" fontId="22" fillId="0" borderId="2" xfId="0" applyNumberFormat="1" applyFont="1" applyBorder="1" applyAlignment="1" applyProtection="1">
      <alignment horizontal="center"/>
      <protection hidden="1"/>
    </xf>
    <xf numFmtId="3" fontId="21" fillId="0" borderId="2" xfId="0" applyNumberFormat="1" applyFont="1" applyBorder="1" applyProtection="1">
      <protection hidden="1"/>
    </xf>
    <xf numFmtId="44" fontId="20" fillId="0" borderId="0" xfId="0" applyNumberFormat="1" applyFont="1"/>
    <xf numFmtId="10" fontId="20" fillId="0" borderId="0" xfId="0" applyNumberFormat="1" applyFont="1"/>
    <xf numFmtId="0" fontId="20" fillId="12" borderId="0" xfId="0" applyFont="1" applyFill="1"/>
    <xf numFmtId="10" fontId="20" fillId="0" borderId="0" xfId="0" applyNumberFormat="1" applyFont="1" applyAlignment="1">
      <alignment horizontal="center"/>
    </xf>
    <xf numFmtId="1" fontId="20" fillId="0" borderId="0" xfId="0" applyNumberFormat="1" applyFont="1" applyAlignment="1">
      <alignment horizontal="center"/>
    </xf>
    <xf numFmtId="0" fontId="20" fillId="0" borderId="0" xfId="0" applyFont="1" applyAlignment="1">
      <alignment horizontal="center"/>
    </xf>
    <xf numFmtId="0" fontId="21" fillId="0" borderId="0" xfId="0" applyFont="1" applyAlignment="1">
      <alignment horizontal="center"/>
    </xf>
    <xf numFmtId="10" fontId="21" fillId="13" borderId="0" xfId="2" applyNumberFormat="1" applyFont="1" applyFill="1" applyProtection="1">
      <protection hidden="1"/>
    </xf>
    <xf numFmtId="0" fontId="8" fillId="3" borderId="0" xfId="0" applyFont="1" applyFill="1" applyAlignment="1">
      <alignment horizontal="center"/>
    </xf>
    <xf numFmtId="10" fontId="20" fillId="0" borderId="0" xfId="2" applyNumberFormat="1" applyFont="1" applyAlignment="1">
      <alignment horizontal="center"/>
    </xf>
    <xf numFmtId="4" fontId="20" fillId="0" borderId="0" xfId="0" applyNumberFormat="1" applyFont="1"/>
    <xf numFmtId="0" fontId="20" fillId="0" borderId="0" xfId="0" applyFont="1" applyAlignment="1">
      <alignment horizontal="left"/>
    </xf>
    <xf numFmtId="44" fontId="0" fillId="0" borderId="0" xfId="1" applyFont="1"/>
    <xf numFmtId="44" fontId="0" fillId="0" borderId="0" xfId="0" applyNumberFormat="1"/>
    <xf numFmtId="168" fontId="8" fillId="0" borderId="0" xfId="2" applyNumberFormat="1" applyFont="1"/>
    <xf numFmtId="9" fontId="20" fillId="0" borderId="0" xfId="2" applyFont="1"/>
    <xf numFmtId="0" fontId="25" fillId="0" borderId="0" xfId="0" applyFont="1"/>
    <xf numFmtId="9" fontId="20" fillId="0" borderId="0" xfId="0" applyNumberFormat="1" applyFont="1" applyAlignment="1">
      <alignment horizontal="center"/>
    </xf>
    <xf numFmtId="9" fontId="8" fillId="0" borderId="0" xfId="2" applyFont="1"/>
    <xf numFmtId="9" fontId="8" fillId="0" borderId="0" xfId="2" quotePrefix="1" applyFont="1"/>
    <xf numFmtId="0" fontId="26" fillId="0" borderId="0" xfId="0" applyFont="1"/>
    <xf numFmtId="9" fontId="8" fillId="0" borderId="0" xfId="2" applyFont="1" applyAlignment="1">
      <alignment horizontal="center"/>
    </xf>
    <xf numFmtId="168" fontId="8" fillId="0" borderId="0" xfId="2" quotePrefix="1" applyNumberFormat="1" applyFont="1" applyFill="1" applyAlignment="1">
      <alignment horizontal="center"/>
    </xf>
    <xf numFmtId="43" fontId="0" fillId="0" borderId="0" xfId="14" applyFont="1"/>
    <xf numFmtId="10" fontId="0" fillId="0" borderId="0" xfId="0" applyNumberFormat="1"/>
    <xf numFmtId="9" fontId="0" fillId="0" borderId="0" xfId="0" applyNumberFormat="1"/>
    <xf numFmtId="43" fontId="0" fillId="0" borderId="0" xfId="14" applyFont="1" applyFill="1"/>
    <xf numFmtId="43" fontId="0" fillId="13" borderId="0" xfId="14" applyFont="1" applyFill="1"/>
    <xf numFmtId="43" fontId="0" fillId="13" borderId="0" xfId="0" applyNumberFormat="1" applyFill="1"/>
    <xf numFmtId="43" fontId="9" fillId="12" borderId="0" xfId="14" applyFont="1" applyFill="1"/>
    <xf numFmtId="0" fontId="0" fillId="12" borderId="0" xfId="0" applyFill="1"/>
    <xf numFmtId="0" fontId="0" fillId="0" borderId="0" xfId="0" applyAlignment="1">
      <alignment horizontal="center"/>
    </xf>
    <xf numFmtId="2" fontId="9" fillId="0" borderId="0" xfId="0" applyNumberFormat="1" applyFont="1"/>
    <xf numFmtId="0" fontId="11" fillId="16" borderId="0" xfId="15" applyFont="1" applyFill="1" applyBorder="1" applyAlignment="1">
      <alignment horizontal="left"/>
    </xf>
    <xf numFmtId="173" fontId="11" fillId="16" borderId="0" xfId="15" applyNumberFormat="1" applyFont="1" applyFill="1" applyBorder="1" applyAlignment="1">
      <alignment horizontal="left"/>
    </xf>
    <xf numFmtId="0" fontId="11" fillId="2" borderId="0" xfId="15" applyFont="1" applyFill="1" applyBorder="1" applyAlignment="1">
      <alignment horizontal="left"/>
    </xf>
    <xf numFmtId="0" fontId="9" fillId="12" borderId="0" xfId="0" applyFont="1" applyFill="1"/>
    <xf numFmtId="0" fontId="0" fillId="17" borderId="0" xfId="0" applyFill="1"/>
    <xf numFmtId="0" fontId="9" fillId="0" borderId="0" xfId="0" applyFont="1" applyAlignment="1">
      <alignment horizontal="center"/>
    </xf>
    <xf numFmtId="0" fontId="9" fillId="18" borderId="0" xfId="0" applyFont="1" applyFill="1"/>
    <xf numFmtId="0" fontId="0" fillId="7" borderId="0" xfId="0" applyFill="1"/>
    <xf numFmtId="0" fontId="9" fillId="7" borderId="0" xfId="0" applyFont="1" applyFill="1"/>
    <xf numFmtId="0" fontId="0" fillId="19" borderId="0" xfId="0" applyFill="1"/>
    <xf numFmtId="0" fontId="9" fillId="9" borderId="0" xfId="0" applyFont="1" applyFill="1" applyAlignment="1">
      <alignment horizontal="center"/>
    </xf>
    <xf numFmtId="0" fontId="0" fillId="0" borderId="0" xfId="2" applyNumberFormat="1" applyFont="1" applyAlignment="1">
      <alignment horizontal="center"/>
    </xf>
    <xf numFmtId="0" fontId="9" fillId="20" borderId="0" xfId="0" applyFont="1" applyFill="1"/>
    <xf numFmtId="0" fontId="9" fillId="20" borderId="0" xfId="0" applyFont="1" applyFill="1" applyAlignment="1">
      <alignment horizontal="center"/>
    </xf>
    <xf numFmtId="0" fontId="0" fillId="5" borderId="0" xfId="0" applyFill="1"/>
    <xf numFmtId="0" fontId="9" fillId="5" borderId="0" xfId="0" applyFont="1" applyFill="1" applyAlignment="1">
      <alignment horizontal="center"/>
    </xf>
    <xf numFmtId="14" fontId="0" fillId="0" borderId="0" xfId="0" applyNumberFormat="1"/>
    <xf numFmtId="0" fontId="9" fillId="21" borderId="0" xfId="0" applyFont="1" applyFill="1"/>
    <xf numFmtId="0" fontId="0" fillId="21" borderId="0" xfId="0" applyFill="1"/>
    <xf numFmtId="0" fontId="0" fillId="10" borderId="0" xfId="0" applyFill="1"/>
    <xf numFmtId="8" fontId="20" fillId="0" borderId="0" xfId="0" applyNumberFormat="1" applyFont="1"/>
    <xf numFmtId="43" fontId="0" fillId="0" borderId="0" xfId="0" applyNumberFormat="1"/>
    <xf numFmtId="0" fontId="3" fillId="0" borderId="0" xfId="22" applyAlignment="1"/>
    <xf numFmtId="0" fontId="11" fillId="6" borderId="2" xfId="0" applyFont="1" applyFill="1" applyBorder="1" applyAlignment="1">
      <alignment horizontal="center" vertical="center"/>
    </xf>
    <xf numFmtId="0" fontId="9" fillId="12" borderId="2" xfId="0" applyFont="1" applyFill="1" applyBorder="1" applyAlignment="1">
      <alignment horizontal="center" vertical="center"/>
    </xf>
    <xf numFmtId="0" fontId="0" fillId="0" borderId="0" xfId="0" applyAlignment="1">
      <alignment horizontal="left" vertical="center"/>
    </xf>
    <xf numFmtId="8" fontId="12" fillId="0" borderId="0" xfId="21" quotePrefix="1" applyNumberFormat="1" applyFont="1" applyFill="1" applyBorder="1" applyAlignment="1">
      <alignment horizontal="center" vertical="center"/>
    </xf>
    <xf numFmtId="0" fontId="0" fillId="0" borderId="0" xfId="0" applyAlignment="1">
      <alignment horizontal="center" vertical="center"/>
    </xf>
    <xf numFmtId="8" fontId="12" fillId="0" borderId="0" xfId="21" applyNumberFormat="1" applyFont="1" applyFill="1" applyBorder="1" applyAlignment="1">
      <alignment horizontal="center" vertical="center"/>
    </xf>
    <xf numFmtId="0" fontId="12" fillId="0" borderId="0" xfId="0" applyFont="1" applyAlignment="1">
      <alignment horizontal="center" vertical="center"/>
    </xf>
    <xf numFmtId="0" fontId="12" fillId="0" borderId="0" xfId="0" applyFont="1"/>
    <xf numFmtId="0" fontId="0" fillId="0" borderId="0" xfId="0" applyAlignment="1">
      <alignment vertical="center"/>
    </xf>
    <xf numFmtId="8" fontId="11" fillId="0" borderId="2" xfId="21" applyNumberFormat="1" applyFont="1" applyFill="1" applyBorder="1" applyAlignment="1">
      <alignment horizontal="center" vertical="center"/>
    </xf>
    <xf numFmtId="8" fontId="12" fillId="0" borderId="2" xfId="0" applyNumberFormat="1" applyFont="1" applyBorder="1" applyAlignment="1">
      <alignment horizontal="center"/>
    </xf>
    <xf numFmtId="0" fontId="9" fillId="0" borderId="0" xfId="0" applyFont="1" applyAlignment="1">
      <alignment horizontal="left" vertical="center"/>
    </xf>
    <xf numFmtId="44" fontId="12" fillId="0" borderId="0" xfId="21" applyNumberFormat="1" applyFont="1" applyFill="1" applyBorder="1" applyAlignment="1">
      <alignment horizontal="center" vertical="center"/>
    </xf>
    <xf numFmtId="168" fontId="20" fillId="0" borderId="4" xfId="2" applyNumberFormat="1" applyFont="1" applyBorder="1" applyAlignment="1">
      <alignment horizontal="center"/>
    </xf>
    <xf numFmtId="0" fontId="20" fillId="0" borderId="4" xfId="0" applyFont="1" applyBorder="1"/>
    <xf numFmtId="44" fontId="20" fillId="0" borderId="4" xfId="0" applyNumberFormat="1" applyFont="1" applyBorder="1"/>
    <xf numFmtId="0" fontId="19" fillId="14" borderId="12" xfId="9" applyFont="1" applyFill="1" applyBorder="1" applyAlignment="1" applyProtection="1">
      <alignment horizontal="center" vertical="center" wrapText="1"/>
      <protection hidden="1"/>
    </xf>
    <xf numFmtId="0" fontId="19" fillId="14" borderId="13" xfId="9" applyFont="1" applyFill="1" applyBorder="1" applyAlignment="1" applyProtection="1">
      <alignment horizontal="center" vertical="center" wrapText="1"/>
      <protection hidden="1"/>
    </xf>
    <xf numFmtId="0" fontId="19" fillId="14" borderId="14" xfId="9" applyFont="1" applyFill="1" applyBorder="1" applyAlignment="1" applyProtection="1">
      <alignment horizontal="center" vertical="center" wrapText="1"/>
      <protection hidden="1"/>
    </xf>
    <xf numFmtId="168" fontId="20" fillId="12" borderId="4" xfId="2" applyNumberFormat="1" applyFont="1" applyFill="1" applyBorder="1" applyAlignment="1">
      <alignment horizontal="center"/>
    </xf>
    <xf numFmtId="44" fontId="20" fillId="12" borderId="4" xfId="0" applyNumberFormat="1" applyFont="1" applyFill="1" applyBorder="1"/>
    <xf numFmtId="0" fontId="20" fillId="12" borderId="4" xfId="0" applyFont="1" applyFill="1" applyBorder="1"/>
    <xf numFmtId="44" fontId="23" fillId="12" borderId="4" xfId="0" applyNumberFormat="1" applyFont="1" applyFill="1" applyBorder="1"/>
    <xf numFmtId="168" fontId="20" fillId="0" borderId="11" xfId="2" applyNumberFormat="1" applyFont="1" applyFill="1" applyBorder="1" applyAlignment="1">
      <alignment horizontal="center"/>
    </xf>
    <xf numFmtId="168" fontId="20" fillId="0" borderId="4" xfId="2" applyNumberFormat="1" applyFont="1" applyFill="1" applyBorder="1" applyAlignment="1">
      <alignment horizontal="center"/>
    </xf>
    <xf numFmtId="44" fontId="20" fillId="0" borderId="11" xfId="0" applyNumberFormat="1" applyFont="1" applyBorder="1"/>
    <xf numFmtId="44" fontId="20" fillId="0" borderId="9" xfId="0" applyNumberFormat="1" applyFont="1" applyBorder="1"/>
    <xf numFmtId="3" fontId="20" fillId="0" borderId="8" xfId="0" applyNumberFormat="1" applyFont="1" applyBorder="1" applyAlignment="1" applyProtection="1">
      <alignment horizontal="center"/>
      <protection hidden="1"/>
    </xf>
    <xf numFmtId="174" fontId="20" fillId="0" borderId="4" xfId="0" applyNumberFormat="1" applyFont="1" applyBorder="1" applyAlignment="1" applyProtection="1">
      <alignment horizontal="center"/>
      <protection hidden="1"/>
    </xf>
    <xf numFmtId="3" fontId="20" fillId="0" borderId="10" xfId="0" applyNumberFormat="1" applyFont="1" applyBorder="1" applyAlignment="1" applyProtection="1">
      <alignment horizontal="center"/>
      <protection hidden="1"/>
    </xf>
    <xf numFmtId="174" fontId="20" fillId="0" borderId="11" xfId="0" applyNumberFormat="1" applyFont="1" applyBorder="1" applyAlignment="1" applyProtection="1">
      <alignment horizontal="center"/>
      <protection hidden="1"/>
    </xf>
    <xf numFmtId="3" fontId="20" fillId="12" borderId="10" xfId="0" applyNumberFormat="1" applyFont="1" applyFill="1" applyBorder="1" applyAlignment="1" applyProtection="1">
      <alignment horizontal="center"/>
      <protection hidden="1"/>
    </xf>
    <xf numFmtId="174" fontId="20" fillId="12" borderId="4" xfId="0" applyNumberFormat="1" applyFont="1" applyFill="1" applyBorder="1" applyAlignment="1" applyProtection="1">
      <alignment horizontal="center"/>
      <protection hidden="1"/>
    </xf>
    <xf numFmtId="44" fontId="20" fillId="12" borderId="9" xfId="0" applyNumberFormat="1" applyFont="1" applyFill="1" applyBorder="1"/>
    <xf numFmtId="0" fontId="20" fillId="0" borderId="16" xfId="0" applyFont="1" applyBorder="1"/>
    <xf numFmtId="0" fontId="23" fillId="0" borderId="15" xfId="0" applyFont="1" applyBorder="1"/>
    <xf numFmtId="175" fontId="23" fillId="0" borderId="15" xfId="0" applyNumberFormat="1" applyFont="1" applyBorder="1"/>
    <xf numFmtId="44" fontId="20" fillId="12" borderId="5" xfId="0" applyNumberFormat="1" applyFont="1" applyFill="1" applyBorder="1"/>
    <xf numFmtId="10" fontId="20" fillId="0" borderId="0" xfId="2" applyNumberFormat="1" applyFont="1"/>
    <xf numFmtId="10" fontId="20" fillId="0" borderId="11" xfId="2" applyNumberFormat="1" applyFont="1" applyFill="1" applyBorder="1" applyAlignment="1">
      <alignment horizontal="center"/>
    </xf>
    <xf numFmtId="10" fontId="20" fillId="0" borderId="4" xfId="2" applyNumberFormat="1" applyFont="1" applyFill="1" applyBorder="1" applyAlignment="1">
      <alignment horizontal="center"/>
    </xf>
    <xf numFmtId="10" fontId="20" fillId="0" borderId="4" xfId="2" applyNumberFormat="1" applyFont="1" applyBorder="1" applyAlignment="1">
      <alignment horizontal="center"/>
    </xf>
    <xf numFmtId="10" fontId="20" fillId="12" borderId="4" xfId="2" applyNumberFormat="1" applyFont="1" applyFill="1" applyBorder="1" applyAlignment="1">
      <alignment horizontal="center"/>
    </xf>
    <xf numFmtId="44" fontId="13" fillId="0" borderId="0" xfId="0" applyNumberFormat="1" applyFont="1"/>
    <xf numFmtId="8" fontId="20" fillId="0" borderId="0" xfId="14" applyNumberFormat="1" applyFont="1"/>
    <xf numFmtId="10" fontId="0" fillId="0" borderId="0" xfId="2" applyNumberFormat="1" applyFont="1" applyFill="1" applyBorder="1"/>
    <xf numFmtId="1" fontId="0" fillId="0" borderId="0" xfId="0" applyNumberFormat="1"/>
    <xf numFmtId="4" fontId="0" fillId="0" borderId="0" xfId="0" applyNumberFormat="1"/>
    <xf numFmtId="43" fontId="0" fillId="0" borderId="0" xfId="14" applyFont="1" applyFill="1" applyBorder="1"/>
    <xf numFmtId="8" fontId="20" fillId="0" borderId="0" xfId="14" applyNumberFormat="1" applyFont="1" applyAlignment="1">
      <alignment horizontal="center"/>
    </xf>
    <xf numFmtId="8" fontId="20" fillId="0" borderId="0" xfId="0" applyNumberFormat="1" applyFont="1" applyAlignment="1">
      <alignment horizontal="center"/>
    </xf>
    <xf numFmtId="0" fontId="31" fillId="24" borderId="2" xfId="24" applyFont="1" applyFill="1" applyBorder="1" applyAlignment="1" applyProtection="1">
      <alignment horizontal="justify" vertical="center" wrapText="1"/>
      <protection hidden="1"/>
    </xf>
    <xf numFmtId="0" fontId="32" fillId="23" borderId="2" xfId="24" applyFont="1" applyFill="1" applyBorder="1" applyAlignment="1" applyProtection="1">
      <alignment vertical="center" wrapText="1"/>
      <protection locked="0" hidden="1"/>
    </xf>
    <xf numFmtId="0" fontId="5" fillId="0" borderId="4" xfId="23" applyFont="1" applyBorder="1" applyAlignment="1" applyProtection="1">
      <alignment horizontal="justify" vertical="center" wrapText="1"/>
      <protection hidden="1"/>
    </xf>
    <xf numFmtId="0" fontId="30" fillId="0" borderId="4" xfId="23" applyFont="1" applyBorder="1" applyAlignment="1" applyProtection="1">
      <alignment horizontal="justify" vertical="center" wrapText="1"/>
      <protection hidden="1"/>
    </xf>
    <xf numFmtId="0" fontId="30" fillId="13" borderId="21" xfId="23" quotePrefix="1" applyFont="1" applyFill="1" applyBorder="1" applyAlignment="1" applyProtection="1">
      <alignment vertical="center" wrapText="1"/>
      <protection hidden="1"/>
    </xf>
    <xf numFmtId="177" fontId="30" fillId="13" borderId="4" xfId="3" quotePrefix="1" applyNumberFormat="1" applyFont="1" applyFill="1" applyBorder="1" applyAlignment="1" applyProtection="1">
      <alignment horizontal="left" vertical="center" wrapText="1"/>
      <protection hidden="1"/>
    </xf>
    <xf numFmtId="177" fontId="30" fillId="13" borderId="4" xfId="3" quotePrefix="1" applyNumberFormat="1" applyFont="1" applyFill="1" applyBorder="1" applyAlignment="1" applyProtection="1">
      <alignment horizontal="justify" vertical="center" wrapText="1"/>
      <protection hidden="1"/>
    </xf>
    <xf numFmtId="10" fontId="30" fillId="13" borderId="4" xfId="4" quotePrefix="1" applyNumberFormat="1" applyFont="1" applyFill="1" applyBorder="1" applyAlignment="1" applyProtection="1">
      <alignment horizontal="justify" vertical="center" wrapText="1"/>
      <protection hidden="1"/>
    </xf>
    <xf numFmtId="0" fontId="30" fillId="13" borderId="4" xfId="3" quotePrefix="1" applyNumberFormat="1" applyFont="1" applyFill="1" applyBorder="1" applyAlignment="1" applyProtection="1">
      <alignment horizontal="justify" vertical="center" wrapText="1"/>
      <protection hidden="1"/>
    </xf>
    <xf numFmtId="44" fontId="5" fillId="0" borderId="4" xfId="3" applyFont="1" applyFill="1" applyBorder="1" applyAlignment="1" applyProtection="1">
      <alignment horizontal="justify" vertical="center" wrapText="1"/>
      <protection hidden="1"/>
    </xf>
    <xf numFmtId="44" fontId="5" fillId="13" borderId="4" xfId="3" applyFont="1" applyFill="1" applyBorder="1" applyAlignment="1" applyProtection="1">
      <alignment horizontal="justify" vertical="center" wrapText="1"/>
      <protection hidden="1"/>
    </xf>
    <xf numFmtId="10" fontId="5" fillId="13" borderId="4" xfId="4" applyNumberFormat="1" applyFont="1" applyFill="1" applyBorder="1" applyAlignment="1" applyProtection="1">
      <alignment horizontal="justify" vertical="center" wrapText="1"/>
      <protection hidden="1"/>
    </xf>
    <xf numFmtId="178" fontId="30" fillId="13" borderId="4" xfId="3" quotePrefix="1" applyNumberFormat="1" applyFont="1" applyFill="1" applyBorder="1" applyAlignment="1" applyProtection="1">
      <alignment horizontal="justify" vertical="center" wrapText="1"/>
      <protection hidden="1"/>
    </xf>
    <xf numFmtId="10" fontId="30" fillId="0" borderId="4" xfId="4" applyNumberFormat="1" applyFont="1" applyFill="1" applyBorder="1" applyAlignment="1" applyProtection="1">
      <alignment horizontal="left" vertical="center" wrapText="1"/>
      <protection hidden="1"/>
    </xf>
    <xf numFmtId="0" fontId="30" fillId="0" borderId="24" xfId="3" applyNumberFormat="1" applyFont="1" applyFill="1" applyBorder="1" applyAlignment="1" applyProtection="1">
      <alignment horizontal="left" vertical="center" wrapText="1"/>
      <protection hidden="1"/>
    </xf>
    <xf numFmtId="0" fontId="29" fillId="13" borderId="24" xfId="23" applyFont="1" applyFill="1" applyBorder="1" applyAlignment="1" applyProtection="1">
      <alignment horizontal="justify" vertical="center" wrapText="1"/>
      <protection hidden="1"/>
    </xf>
    <xf numFmtId="0" fontId="5" fillId="0" borderId="24" xfId="24" applyFont="1" applyBorder="1" applyAlignment="1" applyProtection="1">
      <alignment horizontal="justify" vertical="top" wrapText="1"/>
      <protection hidden="1"/>
    </xf>
    <xf numFmtId="176" fontId="32" fillId="23" borderId="30" xfId="24" applyNumberFormat="1" applyFont="1" applyFill="1" applyBorder="1" applyAlignment="1" applyProtection="1">
      <alignment horizontal="center" vertical="center" wrapText="1"/>
      <protection hidden="1"/>
    </xf>
    <xf numFmtId="0" fontId="29" fillId="13" borderId="31" xfId="23" applyFont="1" applyFill="1" applyBorder="1" applyAlignment="1" applyProtection="1">
      <alignment horizontal="center" vertical="center" wrapText="1"/>
      <protection hidden="1"/>
    </xf>
    <xf numFmtId="0" fontId="29" fillId="13" borderId="0" xfId="23" applyFont="1" applyFill="1" applyAlignment="1" applyProtection="1">
      <alignment horizontal="center" vertical="center" wrapText="1"/>
      <protection hidden="1"/>
    </xf>
    <xf numFmtId="0" fontId="5" fillId="13" borderId="31" xfId="23" applyFont="1" applyFill="1" applyBorder="1" applyAlignment="1" applyProtection="1">
      <alignment vertical="center" wrapText="1"/>
      <protection hidden="1"/>
    </xf>
    <xf numFmtId="0" fontId="5" fillId="0" borderId="8" xfId="23" applyFont="1" applyBorder="1" applyAlignment="1" applyProtection="1">
      <alignment horizontal="justify" vertical="center" wrapText="1"/>
      <protection hidden="1"/>
    </xf>
    <xf numFmtId="0" fontId="5" fillId="0" borderId="34" xfId="23" applyFont="1" applyBorder="1" applyAlignment="1" applyProtection="1">
      <alignment vertical="center" wrapText="1"/>
      <protection hidden="1"/>
    </xf>
    <xf numFmtId="10" fontId="5" fillId="13" borderId="31" xfId="4" applyNumberFormat="1" applyFont="1" applyFill="1" applyBorder="1" applyAlignment="1" applyProtection="1">
      <alignment horizontal="justify" vertical="center" wrapText="1"/>
      <protection hidden="1"/>
    </xf>
    <xf numFmtId="0" fontId="5" fillId="0" borderId="0" xfId="23" applyFont="1" applyAlignment="1" applyProtection="1">
      <alignment horizontal="justify" vertical="center" wrapText="1"/>
      <protection hidden="1"/>
    </xf>
    <xf numFmtId="0" fontId="5" fillId="0" borderId="32" xfId="23" applyFont="1" applyBorder="1" applyAlignment="1" applyProtection="1">
      <alignment horizontal="justify" vertical="center" wrapText="1"/>
      <protection hidden="1"/>
    </xf>
    <xf numFmtId="0" fontId="5" fillId="0" borderId="9" xfId="23" applyFont="1" applyBorder="1" applyAlignment="1" applyProtection="1">
      <alignment horizontal="justify" vertical="center" wrapText="1"/>
      <protection hidden="1"/>
    </xf>
    <xf numFmtId="0" fontId="0" fillId="0" borderId="32" xfId="0" applyBorder="1"/>
    <xf numFmtId="0" fontId="5" fillId="0" borderId="8" xfId="23" applyFont="1" applyBorder="1" applyAlignment="1" applyProtection="1">
      <alignment vertical="center" wrapText="1"/>
      <protection hidden="1"/>
    </xf>
    <xf numFmtId="0" fontId="5" fillId="0" borderId="37" xfId="23" applyFont="1" applyBorder="1" applyAlignment="1" applyProtection="1">
      <alignment horizontal="left" vertical="center" wrapText="1"/>
      <protection hidden="1"/>
    </xf>
    <xf numFmtId="0" fontId="29" fillId="13" borderId="37" xfId="23" applyFont="1" applyFill="1" applyBorder="1" applyAlignment="1" applyProtection="1">
      <alignment horizontal="justify" vertical="center" wrapText="1"/>
      <protection hidden="1"/>
    </xf>
    <xf numFmtId="0" fontId="29" fillId="13" borderId="33" xfId="23" applyFont="1" applyFill="1" applyBorder="1" applyAlignment="1" applyProtection="1">
      <alignment horizontal="justify" vertical="center" wrapText="1"/>
      <protection hidden="1"/>
    </xf>
    <xf numFmtId="0" fontId="29" fillId="0" borderId="37" xfId="24" applyFont="1" applyBorder="1" applyAlignment="1" applyProtection="1">
      <alignment horizontal="justify" vertical="top" wrapText="1"/>
      <protection hidden="1"/>
    </xf>
    <xf numFmtId="0" fontId="5" fillId="0" borderId="33" xfId="24" applyFont="1" applyBorder="1" applyAlignment="1" applyProtection="1">
      <alignment horizontal="justify" vertical="top" wrapText="1"/>
      <protection hidden="1"/>
    </xf>
    <xf numFmtId="0" fontId="5" fillId="0" borderId="31" xfId="23" applyFont="1" applyBorder="1" applyAlignment="1" applyProtection="1">
      <alignment horizontal="justify" vertical="center" wrapText="1"/>
      <protection hidden="1"/>
    </xf>
    <xf numFmtId="0" fontId="36" fillId="13" borderId="0" xfId="23" applyFont="1" applyFill="1" applyAlignment="1" applyProtection="1">
      <alignment horizontal="right" vertical="center"/>
      <protection hidden="1"/>
    </xf>
    <xf numFmtId="179" fontId="36" fillId="13" borderId="32" xfId="23" applyNumberFormat="1" applyFont="1" applyFill="1" applyBorder="1" applyAlignment="1" applyProtection="1">
      <alignment horizontal="left" vertical="center" wrapText="1"/>
      <protection hidden="1"/>
    </xf>
    <xf numFmtId="0" fontId="5" fillId="13" borderId="0" xfId="23" applyFont="1" applyFill="1" applyAlignment="1" applyProtection="1">
      <alignment horizontal="right" vertical="center"/>
      <protection hidden="1"/>
    </xf>
    <xf numFmtId="179" fontId="5" fillId="13" borderId="32" xfId="23" applyNumberFormat="1" applyFont="1" applyFill="1" applyBorder="1" applyAlignment="1" applyProtection="1">
      <alignment horizontal="left" vertical="center" wrapText="1"/>
      <protection hidden="1"/>
    </xf>
    <xf numFmtId="0" fontId="40" fillId="13" borderId="32" xfId="25" applyFont="1" applyFill="1" applyBorder="1" applyAlignment="1" applyProtection="1">
      <alignment horizontal="right" vertical="center" wrapText="1"/>
      <protection hidden="1"/>
    </xf>
    <xf numFmtId="0" fontId="42" fillId="0" borderId="0" xfId="0" applyFont="1"/>
    <xf numFmtId="44" fontId="12" fillId="6" borderId="0" xfId="1" applyFont="1" applyFill="1" applyBorder="1" applyAlignment="1" applyProtection="1">
      <alignment horizontal="right"/>
      <protection hidden="1"/>
    </xf>
    <xf numFmtId="165" fontId="5" fillId="13" borderId="9" xfId="1" quotePrefix="1" applyNumberFormat="1" applyFont="1" applyFill="1" applyBorder="1" applyAlignment="1" applyProtection="1">
      <alignment horizontal="center" vertical="center" wrapText="1"/>
      <protection hidden="1"/>
    </xf>
    <xf numFmtId="10" fontId="30" fillId="13" borderId="9" xfId="4" applyNumberFormat="1" applyFont="1" applyFill="1" applyBorder="1" applyAlignment="1" applyProtection="1">
      <alignment horizontal="center" vertical="center" wrapText="1"/>
      <protection hidden="1"/>
    </xf>
    <xf numFmtId="0" fontId="5" fillId="13" borderId="37" xfId="9" applyFont="1" applyFill="1" applyBorder="1" applyAlignment="1" applyProtection="1">
      <alignment vertical="center" wrapText="1"/>
      <protection hidden="1"/>
    </xf>
    <xf numFmtId="0" fontId="5" fillId="13" borderId="24" xfId="9" applyFont="1" applyFill="1" applyBorder="1" applyAlignment="1" applyProtection="1">
      <alignment vertical="center" wrapText="1"/>
      <protection hidden="1"/>
    </xf>
    <xf numFmtId="0" fontId="5" fillId="13" borderId="33" xfId="9" applyFont="1" applyFill="1" applyBorder="1" applyAlignment="1" applyProtection="1">
      <alignment vertical="center" wrapText="1"/>
      <protection hidden="1"/>
    </xf>
    <xf numFmtId="172" fontId="36" fillId="13" borderId="0" xfId="23" quotePrefix="1" applyNumberFormat="1" applyFont="1" applyFill="1" applyAlignment="1" applyProtection="1">
      <alignment horizontal="right" vertical="center"/>
      <protection hidden="1"/>
    </xf>
    <xf numFmtId="166" fontId="36" fillId="13" borderId="32" xfId="23" applyNumberFormat="1" applyFont="1" applyFill="1" applyBorder="1" applyAlignment="1" applyProtection="1">
      <alignment horizontal="left" vertical="center"/>
      <protection hidden="1"/>
    </xf>
    <xf numFmtId="166" fontId="30" fillId="0" borderId="32" xfId="23" applyNumberFormat="1" applyFont="1" applyBorder="1" applyAlignment="1" applyProtection="1">
      <alignment horizontal="left" vertical="center" wrapText="1"/>
      <protection hidden="1"/>
    </xf>
    <xf numFmtId="172" fontId="30" fillId="0" borderId="0" xfId="23" applyNumberFormat="1" applyFont="1" applyAlignment="1" applyProtection="1">
      <alignment horizontal="right" vertical="center" wrapText="1"/>
      <protection hidden="1"/>
    </xf>
    <xf numFmtId="0" fontId="32" fillId="13" borderId="32" xfId="24" applyFont="1" applyFill="1" applyBorder="1" applyAlignment="1" applyProtection="1">
      <alignment vertical="center" wrapText="1"/>
      <protection locked="0"/>
    </xf>
    <xf numFmtId="168" fontId="20" fillId="0" borderId="0" xfId="2" applyNumberFormat="1" applyFont="1"/>
    <xf numFmtId="8" fontId="8" fillId="0" borderId="0" xfId="1" applyNumberFormat="1" applyFont="1"/>
    <xf numFmtId="43" fontId="20" fillId="0" borderId="0" xfId="14" applyFont="1"/>
    <xf numFmtId="0" fontId="44" fillId="0" borderId="0" xfId="0" applyFont="1"/>
    <xf numFmtId="181" fontId="8" fillId="0" borderId="0" xfId="0" applyNumberFormat="1" applyFont="1"/>
    <xf numFmtId="44" fontId="20" fillId="0" borderId="0" xfId="1" applyFont="1"/>
    <xf numFmtId="0" fontId="13" fillId="3" borderId="0" xfId="0" applyFont="1" applyFill="1" applyAlignment="1">
      <alignment horizontal="center"/>
    </xf>
    <xf numFmtId="0" fontId="46" fillId="14" borderId="4" xfId="9" applyFont="1" applyFill="1" applyBorder="1" applyAlignment="1" applyProtection="1">
      <alignment horizontal="center" vertical="center" wrapText="1"/>
      <protection hidden="1"/>
    </xf>
    <xf numFmtId="0" fontId="46" fillId="14" borderId="4" xfId="9" applyFont="1" applyFill="1" applyBorder="1" applyAlignment="1" applyProtection="1">
      <alignment horizontal="center" vertical="center" wrapText="1"/>
      <protection locked="0" hidden="1"/>
    </xf>
    <xf numFmtId="0" fontId="47" fillId="0" borderId="0" xfId="0" applyFont="1" applyProtection="1">
      <protection hidden="1"/>
    </xf>
    <xf numFmtId="0" fontId="47" fillId="0" borderId="0" xfId="0" applyFont="1" applyAlignment="1" applyProtection="1">
      <alignment horizontal="right"/>
      <protection hidden="1"/>
    </xf>
    <xf numFmtId="0" fontId="49" fillId="0" borderId="0" xfId="0" applyFont="1" applyProtection="1">
      <protection hidden="1"/>
    </xf>
    <xf numFmtId="0" fontId="50" fillId="0" borderId="0" xfId="0" applyFont="1" applyProtection="1">
      <protection hidden="1"/>
    </xf>
    <xf numFmtId="0" fontId="50" fillId="0" borderId="0" xfId="0" applyFont="1" applyAlignment="1" applyProtection="1">
      <alignment horizontal="right"/>
      <protection hidden="1"/>
    </xf>
    <xf numFmtId="0" fontId="51" fillId="0" borderId="0" xfId="0" applyFont="1" applyAlignment="1" applyProtection="1">
      <alignment horizontal="center"/>
      <protection hidden="1"/>
    </xf>
    <xf numFmtId="0" fontId="53" fillId="13" borderId="0" xfId="0" applyFont="1" applyFill="1" applyProtection="1">
      <protection hidden="1"/>
    </xf>
    <xf numFmtId="0" fontId="52" fillId="0" borderId="0" xfId="0" applyFont="1" applyProtection="1">
      <protection hidden="1"/>
    </xf>
    <xf numFmtId="0" fontId="53" fillId="0" borderId="0" xfId="0" applyFont="1" applyProtection="1">
      <protection hidden="1"/>
    </xf>
    <xf numFmtId="0" fontId="54" fillId="0" borderId="0" xfId="0" applyFont="1" applyProtection="1">
      <protection hidden="1"/>
    </xf>
    <xf numFmtId="0" fontId="6" fillId="0" borderId="0" xfId="1" applyNumberFormat="1" applyFont="1" applyFill="1" applyAlignment="1" applyProtection="1">
      <alignment horizontal="center"/>
      <protection hidden="1"/>
    </xf>
    <xf numFmtId="10" fontId="6" fillId="0" borderId="0" xfId="2" applyNumberFormat="1" applyFont="1" applyFill="1" applyAlignment="1" applyProtection="1">
      <alignment horizontal="center"/>
      <protection hidden="1"/>
    </xf>
    <xf numFmtId="1" fontId="6" fillId="0" borderId="0" xfId="1" applyNumberFormat="1" applyFont="1" applyFill="1" applyAlignment="1" applyProtection="1">
      <alignment horizontal="center"/>
      <protection hidden="1"/>
    </xf>
    <xf numFmtId="44" fontId="49" fillId="0" borderId="0" xfId="1" applyFont="1" applyFill="1" applyAlignment="1" applyProtection="1">
      <protection hidden="1"/>
    </xf>
    <xf numFmtId="0" fontId="47" fillId="0" borderId="0" xfId="0" applyFont="1" applyAlignment="1" applyProtection="1">
      <alignment vertical="center"/>
      <protection hidden="1"/>
    </xf>
    <xf numFmtId="0" fontId="49" fillId="0" borderId="0" xfId="0" applyFont="1" applyAlignment="1" applyProtection="1">
      <alignment horizontal="center"/>
      <protection hidden="1"/>
    </xf>
    <xf numFmtId="0" fontId="49" fillId="0" borderId="0" xfId="0" applyFont="1" applyAlignment="1" applyProtection="1">
      <alignment horizontal="right"/>
      <protection hidden="1"/>
    </xf>
    <xf numFmtId="0" fontId="6" fillId="0" borderId="0" xfId="0" applyFont="1" applyProtection="1">
      <protection hidden="1"/>
    </xf>
    <xf numFmtId="0" fontId="6" fillId="0" borderId="0" xfId="0" applyFont="1" applyAlignment="1" applyProtection="1">
      <alignment vertical="center"/>
      <protection hidden="1"/>
    </xf>
    <xf numFmtId="44" fontId="49" fillId="0" borderId="0" xfId="1" applyFont="1" applyFill="1" applyBorder="1" applyAlignment="1" applyProtection="1">
      <alignment horizontal="center"/>
      <protection hidden="1"/>
    </xf>
    <xf numFmtId="0" fontId="6" fillId="0" borderId="0" xfId="0" applyFont="1" applyAlignment="1" applyProtection="1">
      <alignment horizontal="left"/>
      <protection hidden="1"/>
    </xf>
    <xf numFmtId="0" fontId="48" fillId="14" borderId="0" xfId="0" applyFont="1" applyFill="1" applyAlignment="1" applyProtection="1">
      <alignment horizontal="center"/>
      <protection hidden="1"/>
    </xf>
    <xf numFmtId="6" fontId="6" fillId="0" borderId="0" xfId="0" applyNumberFormat="1" applyFont="1" applyAlignment="1" applyProtection="1">
      <alignment horizontal="center"/>
      <protection hidden="1"/>
    </xf>
    <xf numFmtId="0" fontId="6" fillId="0" borderId="0" xfId="0" applyFont="1" applyAlignment="1" applyProtection="1">
      <alignment horizontal="center"/>
      <protection hidden="1"/>
    </xf>
    <xf numFmtId="6" fontId="47" fillId="0" borderId="0" xfId="0" applyNumberFormat="1" applyFont="1" applyAlignment="1" applyProtection="1">
      <alignment horizontal="center"/>
      <protection hidden="1"/>
    </xf>
    <xf numFmtId="0" fontId="49" fillId="0" borderId="0" xfId="0" applyFont="1" applyAlignment="1" applyProtection="1">
      <alignment horizontal="center" vertical="center" wrapText="1"/>
      <protection hidden="1"/>
    </xf>
    <xf numFmtId="3" fontId="47" fillId="0" borderId="0" xfId="0" applyNumberFormat="1" applyFont="1" applyAlignment="1" applyProtection="1">
      <alignment horizontal="center"/>
      <protection hidden="1"/>
    </xf>
    <xf numFmtId="10" fontId="47" fillId="0" borderId="0" xfId="2" applyNumberFormat="1" applyFont="1" applyFill="1" applyBorder="1" applyAlignment="1" applyProtection="1">
      <alignment horizontal="center"/>
      <protection hidden="1"/>
    </xf>
    <xf numFmtId="4" fontId="47" fillId="0" borderId="0" xfId="0" applyNumberFormat="1" applyFont="1" applyAlignment="1" applyProtection="1">
      <alignment horizontal="center"/>
      <protection hidden="1"/>
    </xf>
    <xf numFmtId="4" fontId="47" fillId="0" borderId="0" xfId="0" applyNumberFormat="1" applyFont="1" applyAlignment="1" applyProtection="1">
      <alignment horizontal="center"/>
      <protection locked="0" hidden="1"/>
    </xf>
    <xf numFmtId="3" fontId="49" fillId="0" borderId="0" xfId="0" applyNumberFormat="1" applyFont="1" applyAlignment="1" applyProtection="1">
      <alignment horizontal="center"/>
      <protection hidden="1"/>
    </xf>
    <xf numFmtId="3" fontId="49" fillId="0" borderId="0" xfId="0" applyNumberFormat="1" applyFont="1" applyProtection="1">
      <protection hidden="1"/>
    </xf>
    <xf numFmtId="0" fontId="49" fillId="0" borderId="0" xfId="0" applyFont="1" applyProtection="1">
      <protection locked="0" hidden="1"/>
    </xf>
    <xf numFmtId="3" fontId="53" fillId="0" borderId="0" xfId="0" applyNumberFormat="1" applyFont="1" applyProtection="1">
      <protection hidden="1"/>
    </xf>
    <xf numFmtId="0" fontId="46" fillId="14" borderId="17" xfId="9" applyFont="1" applyFill="1" applyBorder="1" applyAlignment="1" applyProtection="1">
      <alignment horizontal="center" vertical="center" wrapText="1"/>
      <protection hidden="1"/>
    </xf>
    <xf numFmtId="0" fontId="46" fillId="14" borderId="18" xfId="9" applyFont="1" applyFill="1" applyBorder="1" applyAlignment="1" applyProtection="1">
      <alignment horizontal="center" vertical="center" wrapText="1"/>
      <protection hidden="1"/>
    </xf>
    <xf numFmtId="0" fontId="46" fillId="14" borderId="18" xfId="9" applyFont="1" applyFill="1" applyBorder="1" applyAlignment="1" applyProtection="1">
      <alignment horizontal="center" vertical="center" wrapText="1"/>
      <protection locked="0" hidden="1"/>
    </xf>
    <xf numFmtId="0" fontId="46" fillId="14" borderId="19" xfId="9" applyFont="1" applyFill="1" applyBorder="1" applyAlignment="1" applyProtection="1">
      <alignment horizontal="center" vertical="center" wrapText="1"/>
      <protection hidden="1"/>
    </xf>
    <xf numFmtId="0" fontId="47" fillId="0" borderId="0" xfId="0" applyFont="1" applyProtection="1">
      <protection locked="0" hidden="1"/>
    </xf>
    <xf numFmtId="0" fontId="55" fillId="0" borderId="0" xfId="0" applyFont="1" applyAlignment="1">
      <alignment vertical="center"/>
    </xf>
    <xf numFmtId="0" fontId="47" fillId="0" borderId="0" xfId="0" applyFont="1"/>
    <xf numFmtId="0" fontId="50" fillId="0" borderId="0" xfId="0" applyFont="1"/>
    <xf numFmtId="0" fontId="50" fillId="7" borderId="0" xfId="0" applyFont="1" applyFill="1" applyAlignment="1">
      <alignment horizontal="center"/>
    </xf>
    <xf numFmtId="0" fontId="47" fillId="0" borderId="0" xfId="0" applyFont="1" applyAlignment="1">
      <alignment horizontal="left"/>
    </xf>
    <xf numFmtId="1" fontId="47" fillId="0" borderId="44" xfId="0" applyNumberFormat="1" applyFont="1" applyBorder="1" applyAlignment="1" applyProtection="1">
      <alignment horizontal="center" vertical="center"/>
      <protection hidden="1"/>
    </xf>
    <xf numFmtId="165" fontId="47" fillId="0" borderId="45" xfId="2" applyNumberFormat="1" applyFont="1" applyBorder="1" applyAlignment="1" applyProtection="1">
      <alignment horizontal="center" vertical="center"/>
      <protection hidden="1"/>
    </xf>
    <xf numFmtId="165" fontId="47" fillId="0" borderId="45" xfId="0" applyNumberFormat="1" applyFont="1" applyBorder="1" applyAlignment="1" applyProtection="1">
      <alignment horizontal="center" vertical="center"/>
      <protection hidden="1"/>
    </xf>
    <xf numFmtId="165" fontId="47" fillId="0" borderId="46" xfId="0" applyNumberFormat="1" applyFont="1" applyBorder="1" applyAlignment="1" applyProtection="1">
      <alignment horizontal="center" vertical="center"/>
      <protection hidden="1"/>
    </xf>
    <xf numFmtId="1" fontId="47" fillId="0" borderId="7" xfId="0" applyNumberFormat="1" applyFont="1" applyBorder="1" applyAlignment="1" applyProtection="1">
      <alignment horizontal="center" vertical="center"/>
      <protection hidden="1"/>
    </xf>
    <xf numFmtId="165" fontId="47" fillId="0" borderId="47" xfId="0" applyNumberFormat="1" applyFont="1" applyBorder="1" applyAlignment="1" applyProtection="1">
      <alignment horizontal="center" vertical="center"/>
      <protection hidden="1"/>
    </xf>
    <xf numFmtId="165" fontId="47" fillId="0" borderId="48" xfId="0" applyNumberFormat="1" applyFont="1" applyBorder="1" applyAlignment="1" applyProtection="1">
      <alignment horizontal="center" vertical="center"/>
      <protection hidden="1"/>
    </xf>
    <xf numFmtId="1" fontId="47" fillId="0" borderId="22" xfId="0" applyNumberFormat="1" applyFont="1" applyBorder="1" applyAlignment="1" applyProtection="1">
      <alignment horizontal="center" vertical="center"/>
      <protection hidden="1"/>
    </xf>
    <xf numFmtId="165" fontId="47" fillId="0" borderId="49" xfId="0" applyNumberFormat="1" applyFont="1" applyBorder="1" applyAlignment="1" applyProtection="1">
      <alignment horizontal="center" vertical="center"/>
      <protection hidden="1"/>
    </xf>
    <xf numFmtId="165" fontId="47" fillId="0" borderId="50" xfId="0" applyNumberFormat="1" applyFont="1" applyBorder="1" applyAlignment="1" applyProtection="1">
      <alignment horizontal="center" vertical="center"/>
      <protection hidden="1"/>
    </xf>
    <xf numFmtId="182" fontId="0" fillId="0" borderId="0" xfId="2" applyNumberFormat="1" applyFont="1"/>
    <xf numFmtId="2" fontId="0" fillId="0" borderId="0" xfId="0" applyNumberFormat="1"/>
    <xf numFmtId="10" fontId="6" fillId="6" borderId="0" xfId="2" applyNumberFormat="1" applyFont="1" applyFill="1" applyAlignment="1" applyProtection="1">
      <alignment horizontal="center"/>
      <protection locked="0" hidden="1"/>
    </xf>
    <xf numFmtId="8" fontId="0" fillId="0" borderId="0" xfId="14" applyNumberFormat="1" applyFont="1"/>
    <xf numFmtId="0" fontId="47" fillId="25" borderId="20" xfId="0" applyFont="1" applyFill="1" applyBorder="1" applyAlignment="1" applyProtection="1">
      <alignment horizontal="center" vertical="center" wrapText="1"/>
      <protection hidden="1"/>
    </xf>
    <xf numFmtId="0" fontId="47" fillId="25" borderId="24" xfId="0" applyFont="1" applyFill="1" applyBorder="1" applyAlignment="1" applyProtection="1">
      <alignment horizontal="center" vertical="center" wrapText="1"/>
      <protection hidden="1"/>
    </xf>
    <xf numFmtId="0" fontId="47" fillId="25" borderId="43" xfId="0" applyFont="1" applyFill="1" applyBorder="1" applyAlignment="1" applyProtection="1">
      <alignment horizontal="center" vertical="center" wrapText="1"/>
      <protection hidden="1"/>
    </xf>
    <xf numFmtId="0" fontId="56" fillId="0" borderId="0" xfId="0" applyFont="1" applyAlignment="1" applyProtection="1">
      <alignment horizontal="right"/>
      <protection hidden="1"/>
    </xf>
    <xf numFmtId="0" fontId="4" fillId="26" borderId="0" xfId="0" applyFont="1" applyFill="1"/>
    <xf numFmtId="0" fontId="0" fillId="0" borderId="0" xfId="0" applyAlignment="1">
      <alignment horizontal="left"/>
    </xf>
    <xf numFmtId="0" fontId="13" fillId="7" borderId="0" xfId="0" applyFont="1" applyFill="1" applyAlignment="1">
      <alignment horizontal="left"/>
    </xf>
    <xf numFmtId="0" fontId="13" fillId="0" borderId="0" xfId="0" applyFont="1" applyAlignment="1">
      <alignment horizontal="left"/>
    </xf>
    <xf numFmtId="9" fontId="8" fillId="0" borderId="0" xfId="0" applyNumberFormat="1" applyFont="1" applyAlignment="1">
      <alignment horizontal="left"/>
    </xf>
    <xf numFmtId="9" fontId="20" fillId="0" borderId="0" xfId="2" applyFont="1" applyAlignment="1">
      <alignment horizontal="center"/>
    </xf>
    <xf numFmtId="10" fontId="6" fillId="7" borderId="0" xfId="2" applyNumberFormat="1" applyFont="1" applyFill="1" applyAlignment="1" applyProtection="1">
      <alignment horizontal="center"/>
      <protection locked="0" hidden="1"/>
    </xf>
    <xf numFmtId="0" fontId="29" fillId="24" borderId="8" xfId="23" applyFont="1" applyFill="1" applyBorder="1" applyAlignment="1" applyProtection="1">
      <alignment horizontal="left" vertical="center" wrapText="1"/>
      <protection hidden="1"/>
    </xf>
    <xf numFmtId="0" fontId="5" fillId="13" borderId="31" xfId="23" applyFont="1" applyFill="1" applyBorder="1" applyAlignment="1" applyProtection="1">
      <alignment horizontal="justify" vertical="center" wrapText="1"/>
      <protection hidden="1"/>
    </xf>
    <xf numFmtId="0" fontId="5" fillId="13" borderId="0" xfId="23" applyFont="1" applyFill="1" applyAlignment="1" applyProtection="1">
      <alignment horizontal="justify" vertical="center" wrapText="1"/>
      <protection hidden="1"/>
    </xf>
    <xf numFmtId="0" fontId="5" fillId="13" borderId="32" xfId="23" applyFont="1" applyFill="1" applyBorder="1" applyAlignment="1" applyProtection="1">
      <alignment horizontal="justify" vertical="center" wrapText="1"/>
      <protection hidden="1"/>
    </xf>
    <xf numFmtId="0" fontId="29" fillId="24" borderId="29" xfId="23" applyFont="1" applyFill="1" applyBorder="1" applyAlignment="1" applyProtection="1">
      <alignment horizontal="left" vertical="center" wrapText="1"/>
      <protection hidden="1"/>
    </xf>
    <xf numFmtId="0" fontId="29" fillId="24" borderId="6" xfId="23" applyFont="1" applyFill="1" applyBorder="1" applyAlignment="1" applyProtection="1">
      <alignment horizontal="left" vertical="center" wrapText="1"/>
      <protection hidden="1"/>
    </xf>
    <xf numFmtId="0" fontId="5" fillId="0" borderId="8" xfId="23" applyFont="1" applyBorder="1" applyAlignment="1" applyProtection="1">
      <alignment horizontal="left" vertical="center" wrapText="1"/>
      <protection hidden="1"/>
    </xf>
    <xf numFmtId="0" fontId="5" fillId="13" borderId="31" xfId="23" applyFont="1" applyFill="1" applyBorder="1" applyAlignment="1" applyProtection="1">
      <alignment horizontal="center" vertical="center" wrapText="1"/>
      <protection hidden="1"/>
    </xf>
    <xf numFmtId="0" fontId="5" fillId="13" borderId="0" xfId="23" applyFont="1" applyFill="1" applyAlignment="1" applyProtection="1">
      <alignment horizontal="center" vertical="center" wrapText="1"/>
      <protection hidden="1"/>
    </xf>
    <xf numFmtId="0" fontId="5" fillId="13" borderId="32" xfId="23" applyFont="1" applyFill="1" applyBorder="1" applyAlignment="1" applyProtection="1">
      <alignment horizontal="center" vertical="center" wrapText="1"/>
      <protection hidden="1"/>
    </xf>
    <xf numFmtId="0" fontId="5" fillId="0" borderId="32" xfId="24" applyFont="1" applyBorder="1" applyAlignment="1" applyProtection="1">
      <alignment horizontal="justify" vertical="center" wrapText="1"/>
      <protection hidden="1"/>
    </xf>
    <xf numFmtId="0" fontId="29" fillId="0" borderId="31" xfId="24" applyFont="1" applyBorder="1" applyAlignment="1" applyProtection="1">
      <alignment horizontal="center" vertical="center" wrapText="1"/>
      <protection hidden="1"/>
    </xf>
    <xf numFmtId="0" fontId="29" fillId="0" borderId="0" xfId="24" applyFont="1" applyAlignment="1" applyProtection="1">
      <alignment horizontal="center" vertical="center" wrapText="1"/>
      <protection hidden="1"/>
    </xf>
    <xf numFmtId="10" fontId="0" fillId="0" borderId="0" xfId="2" applyNumberFormat="1" applyFont="1"/>
    <xf numFmtId="165" fontId="0" fillId="0" borderId="0" xfId="0" applyNumberFormat="1"/>
    <xf numFmtId="44" fontId="6" fillId="0" borderId="0" xfId="1" applyFont="1" applyFill="1" applyAlignment="1" applyProtection="1">
      <protection locked="0" hidden="1"/>
    </xf>
    <xf numFmtId="0" fontId="57" fillId="0" borderId="51" xfId="0" applyFont="1" applyBorder="1" applyAlignment="1">
      <alignment horizontal="justify" vertical="center" wrapText="1"/>
    </xf>
    <xf numFmtId="0" fontId="57" fillId="0" borderId="41" xfId="0" applyFont="1" applyBorder="1" applyAlignment="1">
      <alignment horizontal="justify" vertical="center" wrapText="1"/>
    </xf>
    <xf numFmtId="0" fontId="57" fillId="3" borderId="51" xfId="0" applyFont="1" applyFill="1" applyBorder="1" applyAlignment="1">
      <alignment horizontal="justify" vertical="center" wrapText="1"/>
    </xf>
    <xf numFmtId="0" fontId="57" fillId="3" borderId="41" xfId="0" applyFont="1" applyFill="1" applyBorder="1" applyAlignment="1">
      <alignment horizontal="justify" vertical="center" wrapText="1"/>
    </xf>
    <xf numFmtId="9" fontId="20" fillId="0" borderId="0" xfId="0" applyNumberFormat="1" applyFont="1"/>
    <xf numFmtId="0" fontId="21" fillId="0" borderId="0" xfId="0" applyFont="1"/>
    <xf numFmtId="2" fontId="21" fillId="0" borderId="0" xfId="0" applyNumberFormat="1" applyFont="1" applyAlignment="1">
      <alignment horizontal="center"/>
    </xf>
    <xf numFmtId="0" fontId="8" fillId="25" borderId="0" xfId="0" applyFont="1" applyFill="1" applyAlignment="1">
      <alignment horizontal="center"/>
    </xf>
    <xf numFmtId="0" fontId="49" fillId="6" borderId="0" xfId="0" applyFont="1" applyFill="1" applyAlignment="1" applyProtection="1">
      <alignment horizontal="center"/>
      <protection hidden="1"/>
    </xf>
    <xf numFmtId="0" fontId="50" fillId="6" borderId="24" xfId="0" applyFont="1" applyFill="1" applyBorder="1" applyAlignment="1" applyProtection="1">
      <alignment horizontal="right"/>
      <protection hidden="1"/>
    </xf>
    <xf numFmtId="0" fontId="52" fillId="0" borderId="0" xfId="0" applyFont="1" applyAlignment="1" applyProtection="1">
      <alignment horizontal="center" vertical="center"/>
      <protection hidden="1"/>
    </xf>
    <xf numFmtId="3" fontId="59" fillId="0" borderId="4" xfId="0" applyNumberFormat="1" applyFont="1" applyBorder="1" applyAlignment="1" applyProtection="1">
      <alignment horizontal="center"/>
      <protection hidden="1"/>
    </xf>
    <xf numFmtId="15" fontId="59" fillId="0" borderId="4" xfId="2" applyNumberFormat="1" applyFont="1" applyFill="1" applyBorder="1" applyAlignment="1" applyProtection="1">
      <alignment horizontal="center"/>
      <protection hidden="1"/>
    </xf>
    <xf numFmtId="4" fontId="59" fillId="0" borderId="4" xfId="0" applyNumberFormat="1" applyFont="1" applyBorder="1" applyAlignment="1" applyProtection="1">
      <alignment horizontal="center"/>
      <protection hidden="1"/>
    </xf>
    <xf numFmtId="10" fontId="59" fillId="0" borderId="4" xfId="2" applyNumberFormat="1" applyFont="1" applyFill="1" applyBorder="1" applyAlignment="1" applyProtection="1">
      <alignment horizontal="center"/>
      <protection hidden="1"/>
    </xf>
    <xf numFmtId="4" fontId="59" fillId="7" borderId="4" xfId="0" applyNumberFormat="1" applyFont="1" applyFill="1" applyBorder="1" applyAlignment="1" applyProtection="1">
      <alignment horizontal="center"/>
      <protection locked="0" hidden="1"/>
    </xf>
    <xf numFmtId="0" fontId="60" fillId="0" borderId="2" xfId="0" applyFont="1" applyBorder="1" applyProtection="1">
      <protection hidden="1"/>
    </xf>
    <xf numFmtId="0" fontId="61" fillId="0" borderId="2" xfId="0" applyFont="1" applyBorder="1" applyProtection="1">
      <protection hidden="1"/>
    </xf>
    <xf numFmtId="3" fontId="61" fillId="0" borderId="2" xfId="0" applyNumberFormat="1" applyFont="1" applyBorder="1" applyAlignment="1" applyProtection="1">
      <alignment horizontal="center"/>
      <protection hidden="1"/>
    </xf>
    <xf numFmtId="3" fontId="61" fillId="0" borderId="2" xfId="0" applyNumberFormat="1" applyFont="1" applyBorder="1" applyAlignment="1" applyProtection="1">
      <alignment horizontal="center"/>
      <protection locked="0" hidden="1"/>
    </xf>
    <xf numFmtId="3" fontId="62" fillId="0" borderId="2" xfId="0" applyNumberFormat="1" applyFont="1" applyBorder="1" applyProtection="1">
      <protection hidden="1"/>
    </xf>
    <xf numFmtId="0" fontId="59" fillId="0" borderId="0" xfId="0" applyFont="1" applyProtection="1">
      <protection hidden="1"/>
    </xf>
    <xf numFmtId="0" fontId="63" fillId="0" borderId="4" xfId="0" applyFont="1" applyBorder="1" applyAlignment="1" applyProtection="1">
      <alignment horizontal="center" wrapText="1"/>
      <protection hidden="1"/>
    </xf>
    <xf numFmtId="0" fontId="62" fillId="0" borderId="4" xfId="0" applyFont="1" applyBorder="1" applyAlignment="1" applyProtection="1">
      <alignment horizontal="center" wrapText="1"/>
      <protection hidden="1"/>
    </xf>
    <xf numFmtId="4" fontId="63" fillId="7" borderId="4" xfId="14" applyNumberFormat="1" applyFont="1" applyFill="1" applyBorder="1" applyAlignment="1" applyProtection="1">
      <alignment horizontal="center" wrapText="1"/>
      <protection locked="0"/>
    </xf>
    <xf numFmtId="4" fontId="63" fillId="0" borderId="4" xfId="0" applyNumberFormat="1" applyFont="1" applyBorder="1" applyAlignment="1" applyProtection="1">
      <alignment horizontal="center" wrapText="1"/>
      <protection hidden="1"/>
    </xf>
    <xf numFmtId="4" fontId="63" fillId="12" borderId="4" xfId="0" applyNumberFormat="1" applyFont="1" applyFill="1" applyBorder="1" applyAlignment="1" applyProtection="1">
      <alignment horizontal="center" wrapText="1"/>
      <protection locked="0" hidden="1"/>
    </xf>
    <xf numFmtId="4" fontId="59" fillId="12" borderId="4" xfId="0" applyNumberFormat="1" applyFont="1" applyFill="1" applyBorder="1" applyAlignment="1" applyProtection="1">
      <alignment horizontal="center"/>
      <protection hidden="1"/>
    </xf>
    <xf numFmtId="10" fontId="63" fillId="0" borderId="4" xfId="2" applyNumberFormat="1" applyFont="1" applyBorder="1" applyAlignment="1" applyProtection="1">
      <alignment horizontal="center" wrapText="1"/>
      <protection hidden="1"/>
    </xf>
    <xf numFmtId="0" fontId="59" fillId="0" borderId="4" xfId="0" applyFont="1" applyBorder="1" applyAlignment="1" applyProtection="1">
      <alignment horizontal="center"/>
      <protection hidden="1"/>
    </xf>
    <xf numFmtId="10" fontId="59" fillId="0" borderId="4" xfId="2" applyNumberFormat="1" applyFont="1" applyBorder="1" applyAlignment="1" applyProtection="1">
      <alignment horizontal="center"/>
      <protection hidden="1"/>
    </xf>
    <xf numFmtId="4" fontId="59" fillId="7" borderId="4" xfId="14" applyNumberFormat="1" applyFont="1" applyFill="1" applyBorder="1" applyAlignment="1" applyProtection="1">
      <alignment horizontal="center"/>
      <protection locked="0"/>
    </xf>
    <xf numFmtId="4" fontId="59" fillId="12" borderId="4" xfId="0" applyNumberFormat="1" applyFont="1" applyFill="1" applyBorder="1" applyAlignment="1" applyProtection="1">
      <alignment horizontal="center"/>
      <protection locked="0" hidden="1"/>
    </xf>
    <xf numFmtId="0" fontId="59" fillId="9" borderId="4" xfId="0" applyFont="1" applyFill="1" applyBorder="1" applyAlignment="1" applyProtection="1">
      <alignment horizontal="center"/>
      <protection hidden="1"/>
    </xf>
    <xf numFmtId="10" fontId="59" fillId="9" borderId="4" xfId="2" applyNumberFormat="1" applyFont="1" applyFill="1" applyBorder="1" applyAlignment="1" applyProtection="1">
      <alignment horizontal="center"/>
      <protection hidden="1"/>
    </xf>
    <xf numFmtId="4" fontId="59" fillId="9" borderId="4" xfId="14" applyNumberFormat="1" applyFont="1" applyFill="1" applyBorder="1" applyAlignment="1" applyProtection="1">
      <alignment horizontal="center"/>
      <protection hidden="1"/>
    </xf>
    <xf numFmtId="4" fontId="61" fillId="9" borderId="4" xfId="0" applyNumberFormat="1" applyFont="1" applyFill="1" applyBorder="1" applyAlignment="1" applyProtection="1">
      <alignment horizontal="center"/>
      <protection hidden="1"/>
    </xf>
    <xf numFmtId="4" fontId="59" fillId="9" borderId="4" xfId="0" applyNumberFormat="1" applyFont="1" applyFill="1" applyBorder="1" applyAlignment="1" applyProtection="1">
      <alignment horizontal="center"/>
      <protection hidden="1"/>
    </xf>
    <xf numFmtId="4" fontId="59" fillId="9" borderId="4" xfId="0" applyNumberFormat="1" applyFont="1" applyFill="1" applyBorder="1" applyAlignment="1" applyProtection="1">
      <alignment horizontal="center"/>
      <protection locked="0" hidden="1"/>
    </xf>
    <xf numFmtId="4" fontId="59" fillId="9" borderId="4" xfId="0" applyNumberFormat="1" applyFont="1" applyFill="1" applyBorder="1" applyAlignment="1" applyProtection="1">
      <alignment horizontal="center"/>
      <protection locked="0"/>
    </xf>
    <xf numFmtId="4" fontId="60" fillId="9" borderId="4" xfId="0" applyNumberFormat="1" applyFont="1" applyFill="1" applyBorder="1" applyAlignment="1" applyProtection="1">
      <alignment horizontal="center"/>
      <protection hidden="1"/>
    </xf>
    <xf numFmtId="4" fontId="59" fillId="0" borderId="4" xfId="14" applyNumberFormat="1" applyFont="1" applyBorder="1" applyAlignment="1" applyProtection="1">
      <alignment horizontal="center"/>
      <protection hidden="1"/>
    </xf>
    <xf numFmtId="4" fontId="59" fillId="0" borderId="4" xfId="0" applyNumberFormat="1" applyFont="1" applyBorder="1" applyAlignment="1" applyProtection="1">
      <alignment horizontal="center"/>
      <protection locked="0" hidden="1"/>
    </xf>
    <xf numFmtId="4" fontId="59" fillId="7" borderId="4" xfId="0" applyNumberFormat="1" applyFont="1" applyFill="1" applyBorder="1" applyAlignment="1" applyProtection="1">
      <alignment horizontal="center"/>
      <protection locked="0"/>
    </xf>
    <xf numFmtId="0" fontId="59" fillId="0" borderId="0" xfId="0" applyFont="1" applyProtection="1">
      <protection locked="0" hidden="1"/>
    </xf>
    <xf numFmtId="165" fontId="64" fillId="0" borderId="0" xfId="1" applyNumberFormat="1" applyFont="1" applyFill="1" applyBorder="1" applyAlignment="1" applyProtection="1">
      <alignment horizontal="center"/>
      <protection hidden="1"/>
    </xf>
    <xf numFmtId="165" fontId="64" fillId="6" borderId="0" xfId="1" applyNumberFormat="1" applyFont="1" applyFill="1" applyBorder="1" applyAlignment="1" applyProtection="1">
      <alignment horizontal="center"/>
      <protection hidden="1"/>
    </xf>
    <xf numFmtId="0" fontId="64" fillId="6" borderId="0" xfId="0" applyFont="1" applyFill="1" applyAlignment="1" applyProtection="1">
      <alignment horizontal="right"/>
      <protection hidden="1"/>
    </xf>
    <xf numFmtId="10" fontId="64" fillId="6" borderId="0" xfId="2" applyNumberFormat="1" applyFont="1" applyFill="1" applyBorder="1" applyAlignment="1" applyProtection="1">
      <alignment horizontal="center"/>
      <protection hidden="1"/>
    </xf>
    <xf numFmtId="0" fontId="66" fillId="0" borderId="0" xfId="0" applyFont="1" applyAlignment="1" applyProtection="1">
      <alignment vertical="center"/>
      <protection hidden="1"/>
    </xf>
    <xf numFmtId="0" fontId="67" fillId="0" borderId="0" xfId="0" applyFont="1" applyAlignment="1" applyProtection="1">
      <alignment vertical="center"/>
      <protection hidden="1"/>
    </xf>
    <xf numFmtId="0" fontId="67" fillId="0" borderId="0" xfId="0" applyFont="1" applyProtection="1">
      <protection hidden="1"/>
    </xf>
    <xf numFmtId="1" fontId="68" fillId="0" borderId="0" xfId="0" applyNumberFormat="1" applyFont="1" applyAlignment="1" applyProtection="1">
      <alignment horizontal="center"/>
      <protection hidden="1"/>
    </xf>
    <xf numFmtId="0" fontId="65" fillId="0" borderId="0" xfId="0" applyFont="1" applyAlignment="1" applyProtection="1">
      <alignment horizontal="center"/>
      <protection hidden="1"/>
    </xf>
    <xf numFmtId="168" fontId="68" fillId="0" borderId="0" xfId="2" applyNumberFormat="1" applyFont="1" applyFill="1" applyAlignment="1" applyProtection="1">
      <alignment horizontal="center"/>
      <protection hidden="1"/>
    </xf>
    <xf numFmtId="0" fontId="67" fillId="0" borderId="0" xfId="0" applyFont="1" applyAlignment="1" applyProtection="1">
      <alignment horizontal="center"/>
      <protection hidden="1"/>
    </xf>
    <xf numFmtId="8" fontId="69" fillId="0" borderId="0" xfId="0" applyNumberFormat="1" applyFont="1" applyProtection="1">
      <protection hidden="1"/>
    </xf>
    <xf numFmtId="0" fontId="67" fillId="0" borderId="0" xfId="0" applyFont="1" applyAlignment="1" applyProtection="1">
      <alignment horizontal="right"/>
      <protection hidden="1"/>
    </xf>
    <xf numFmtId="0" fontId="64" fillId="0" borderId="0" xfId="0" applyFont="1" applyAlignment="1" applyProtection="1">
      <alignment horizontal="center"/>
      <protection hidden="1"/>
    </xf>
    <xf numFmtId="44" fontId="64" fillId="0" borderId="0" xfId="1" applyFont="1" applyFill="1" applyAlignment="1" applyProtection="1">
      <alignment horizontal="center"/>
      <protection hidden="1"/>
    </xf>
    <xf numFmtId="44" fontId="64" fillId="6" borderId="0" xfId="1" applyFont="1" applyFill="1" applyAlignment="1" applyProtection="1">
      <protection locked="0"/>
    </xf>
    <xf numFmtId="0" fontId="64" fillId="6" borderId="0" xfId="0" applyFont="1" applyFill="1" applyAlignment="1" applyProtection="1">
      <alignment horizontal="center"/>
      <protection hidden="1"/>
    </xf>
    <xf numFmtId="1" fontId="64" fillId="6" borderId="0" xfId="0" applyNumberFormat="1" applyFont="1" applyFill="1" applyAlignment="1" applyProtection="1">
      <alignment horizontal="center"/>
      <protection hidden="1"/>
    </xf>
    <xf numFmtId="0" fontId="65" fillId="6" borderId="2" xfId="0" applyFont="1" applyFill="1" applyBorder="1" applyAlignment="1" applyProtection="1">
      <alignment horizontal="right"/>
      <protection hidden="1"/>
    </xf>
    <xf numFmtId="165" fontId="65" fillId="6" borderId="2" xfId="1" applyNumberFormat="1" applyFont="1" applyFill="1" applyBorder="1" applyAlignment="1" applyProtection="1">
      <protection hidden="1"/>
    </xf>
    <xf numFmtId="44" fontId="64" fillId="7" borderId="0" xfId="1" applyFont="1" applyFill="1" applyBorder="1" applyAlignment="1" applyProtection="1">
      <protection locked="0"/>
    </xf>
    <xf numFmtId="44" fontId="64" fillId="13" borderId="0" xfId="1" applyFont="1" applyFill="1" applyBorder="1" applyAlignment="1" applyProtection="1">
      <protection locked="0"/>
    </xf>
    <xf numFmtId="44" fontId="64" fillId="13" borderId="0" xfId="1" applyFont="1" applyFill="1" applyBorder="1" applyAlignment="1" applyProtection="1">
      <protection hidden="1"/>
    </xf>
    <xf numFmtId="44" fontId="64" fillId="7" borderId="0" xfId="1" applyFont="1" applyFill="1" applyBorder="1" applyAlignment="1" applyProtection="1">
      <protection hidden="1"/>
    </xf>
    <xf numFmtId="44" fontId="65" fillId="7" borderId="0" xfId="1" applyFont="1" applyFill="1" applyBorder="1" applyAlignment="1" applyProtection="1">
      <protection hidden="1"/>
    </xf>
    <xf numFmtId="10" fontId="65" fillId="7" borderId="0" xfId="2" applyNumberFormat="1" applyFont="1" applyFill="1" applyBorder="1" applyAlignment="1" applyProtection="1">
      <alignment horizontal="center"/>
      <protection hidden="1"/>
    </xf>
    <xf numFmtId="44" fontId="70" fillId="6" borderId="0" xfId="0" applyNumberFormat="1" applyFont="1" applyFill="1" applyProtection="1">
      <protection hidden="1"/>
    </xf>
    <xf numFmtId="44" fontId="70" fillId="6" borderId="24" xfId="0" applyNumberFormat="1" applyFont="1" applyFill="1" applyBorder="1" applyProtection="1">
      <protection hidden="1"/>
    </xf>
    <xf numFmtId="4" fontId="22" fillId="0" borderId="2" xfId="0" applyNumberFormat="1" applyFont="1" applyBorder="1" applyAlignment="1" applyProtection="1">
      <alignment horizontal="center"/>
      <protection hidden="1"/>
    </xf>
    <xf numFmtId="183" fontId="20" fillId="0" borderId="0" xfId="0" applyNumberFormat="1" applyFont="1" applyAlignment="1">
      <alignment horizontal="center"/>
    </xf>
    <xf numFmtId="184" fontId="8" fillId="0" borderId="0" xfId="1" applyNumberFormat="1" applyFont="1"/>
    <xf numFmtId="0" fontId="6" fillId="6" borderId="0" xfId="0" applyFont="1" applyFill="1" applyProtection="1">
      <protection hidden="1"/>
    </xf>
    <xf numFmtId="44" fontId="53" fillId="0" borderId="0" xfId="1" applyFont="1" applyBorder="1" applyProtection="1">
      <protection hidden="1"/>
    </xf>
    <xf numFmtId="0" fontId="65" fillId="6" borderId="0" xfId="0" applyFont="1" applyFill="1" applyAlignment="1" applyProtection="1">
      <alignment horizontal="right"/>
      <protection hidden="1"/>
    </xf>
    <xf numFmtId="0" fontId="65" fillId="6" borderId="0" xfId="0" applyFont="1" applyFill="1" applyAlignment="1" applyProtection="1">
      <alignment horizontal="center"/>
      <protection hidden="1"/>
    </xf>
    <xf numFmtId="0" fontId="65" fillId="0" borderId="0" xfId="0" applyFont="1" applyAlignment="1" applyProtection="1">
      <alignment horizontal="right"/>
      <protection hidden="1"/>
    </xf>
    <xf numFmtId="44" fontId="64" fillId="6" borderId="0" xfId="1" applyFont="1" applyFill="1" applyAlignment="1" applyProtection="1">
      <protection hidden="1"/>
    </xf>
    <xf numFmtId="0" fontId="52" fillId="0" borderId="0" xfId="0" applyFont="1" applyProtection="1">
      <protection locked="0" hidden="1"/>
    </xf>
    <xf numFmtId="0" fontId="0" fillId="3" borderId="0" xfId="0" applyFill="1"/>
    <xf numFmtId="44" fontId="8" fillId="0" borderId="0" xfId="0" applyNumberFormat="1" applyFont="1" applyAlignment="1">
      <alignment horizontal="center"/>
    </xf>
    <xf numFmtId="8" fontId="8" fillId="0" borderId="0" xfId="0" applyNumberFormat="1" applyFont="1"/>
    <xf numFmtId="183" fontId="8" fillId="0" borderId="0" xfId="0" applyNumberFormat="1" applyFont="1"/>
    <xf numFmtId="44" fontId="9" fillId="0" borderId="0" xfId="1" applyFont="1"/>
    <xf numFmtId="0" fontId="9" fillId="0" borderId="0" xfId="0" applyFont="1"/>
    <xf numFmtId="44" fontId="9" fillId="0" borderId="0" xfId="0" applyNumberFormat="1" applyFont="1"/>
    <xf numFmtId="44" fontId="1" fillId="0" borderId="0" xfId="1" applyFont="1"/>
    <xf numFmtId="0" fontId="56" fillId="0" borderId="0" xfId="0" applyFont="1" applyAlignment="1" applyProtection="1">
      <alignment horizontal="left"/>
      <protection hidden="1"/>
    </xf>
    <xf numFmtId="0" fontId="56" fillId="0" borderId="0" xfId="0" applyFont="1" applyProtection="1">
      <protection hidden="1"/>
    </xf>
    <xf numFmtId="0" fontId="56" fillId="0" borderId="0" xfId="0" applyFont="1" applyAlignment="1" applyProtection="1">
      <alignment horizontal="center"/>
      <protection hidden="1"/>
    </xf>
    <xf numFmtId="0" fontId="72" fillId="0" borderId="0" xfId="0" applyFont="1" applyAlignment="1">
      <alignment horizontal="right"/>
    </xf>
    <xf numFmtId="0" fontId="72" fillId="0" borderId="0" xfId="0" applyFont="1" applyAlignment="1" applyProtection="1">
      <alignment horizontal="right"/>
      <protection hidden="1"/>
    </xf>
    <xf numFmtId="0" fontId="49" fillId="0" borderId="0" xfId="0" applyFont="1" applyAlignment="1" applyProtection="1">
      <alignment vertical="center"/>
      <protection hidden="1"/>
    </xf>
    <xf numFmtId="1" fontId="49" fillId="0" borderId="0" xfId="0" applyNumberFormat="1" applyFont="1" applyAlignment="1" applyProtection="1">
      <alignment horizontal="center"/>
      <protection hidden="1"/>
    </xf>
    <xf numFmtId="44" fontId="64" fillId="27" borderId="0" xfId="1" applyFont="1" applyFill="1" applyBorder="1" applyAlignment="1" applyProtection="1">
      <protection hidden="1"/>
    </xf>
    <xf numFmtId="8" fontId="0" fillId="0" borderId="0" xfId="0" applyNumberFormat="1"/>
    <xf numFmtId="0" fontId="50" fillId="6" borderId="0" xfId="0" applyFont="1" applyFill="1" applyAlignment="1" applyProtection="1">
      <alignment horizontal="center"/>
      <protection hidden="1"/>
    </xf>
    <xf numFmtId="0" fontId="48" fillId="0" borderId="0" xfId="0" applyFont="1" applyAlignment="1" applyProtection="1">
      <alignment horizontal="right"/>
      <protection hidden="1"/>
    </xf>
    <xf numFmtId="10" fontId="47" fillId="0" borderId="0" xfId="0" applyNumberFormat="1" applyFont="1" applyAlignment="1" applyProtection="1">
      <alignment horizontal="center"/>
      <protection hidden="1"/>
    </xf>
    <xf numFmtId="0" fontId="50" fillId="13" borderId="0" xfId="0" applyFont="1" applyFill="1" applyAlignment="1" applyProtection="1">
      <alignment horizontal="right"/>
      <protection hidden="1"/>
    </xf>
    <xf numFmtId="0" fontId="47" fillId="6" borderId="0" xfId="0" applyFont="1" applyFill="1" applyProtection="1">
      <protection hidden="1"/>
    </xf>
    <xf numFmtId="0" fontId="50" fillId="6" borderId="0" xfId="0" applyFont="1" applyFill="1" applyAlignment="1" applyProtection="1">
      <alignment horizontal="right"/>
      <protection hidden="1"/>
    </xf>
    <xf numFmtId="1" fontId="47" fillId="0" borderId="0" xfId="0" applyNumberFormat="1" applyFont="1" applyAlignment="1" applyProtection="1">
      <alignment horizontal="center"/>
      <protection hidden="1"/>
    </xf>
    <xf numFmtId="0" fontId="53" fillId="0" borderId="0" xfId="0" applyFont="1" applyProtection="1">
      <protection locked="0"/>
    </xf>
    <xf numFmtId="8" fontId="47" fillId="0" borderId="0" xfId="0" applyNumberFormat="1" applyFont="1" applyAlignment="1" applyProtection="1">
      <alignment horizontal="center"/>
      <protection hidden="1"/>
    </xf>
    <xf numFmtId="0" fontId="58" fillId="0" borderId="0" xfId="0" applyFont="1" applyProtection="1">
      <protection hidden="1"/>
    </xf>
    <xf numFmtId="8" fontId="50" fillId="28" borderId="0" xfId="0" applyNumberFormat="1" applyFont="1" applyFill="1" applyAlignment="1" applyProtection="1">
      <alignment horizontal="center"/>
      <protection hidden="1"/>
    </xf>
    <xf numFmtId="8" fontId="50" fillId="12" borderId="15" xfId="0" applyNumberFormat="1" applyFont="1" applyFill="1" applyBorder="1" applyAlignment="1" applyProtection="1">
      <alignment horizontal="center"/>
      <protection hidden="1"/>
    </xf>
    <xf numFmtId="0" fontId="50" fillId="12" borderId="0" xfId="0" applyFont="1" applyFill="1" applyAlignment="1" applyProtection="1">
      <alignment horizontal="right"/>
      <protection hidden="1"/>
    </xf>
    <xf numFmtId="0" fontId="50" fillId="12" borderId="0" xfId="0" applyFont="1" applyFill="1" applyAlignment="1" applyProtection="1">
      <alignment horizontal="center"/>
      <protection hidden="1"/>
    </xf>
    <xf numFmtId="8" fontId="9" fillId="25" borderId="0" xfId="1" applyNumberFormat="1" applyFont="1" applyFill="1"/>
    <xf numFmtId="165" fontId="65" fillId="15" borderId="3" xfId="1" applyNumberFormat="1" applyFont="1" applyFill="1" applyBorder="1" applyAlignment="1" applyProtection="1">
      <protection hidden="1"/>
    </xf>
    <xf numFmtId="0" fontId="50" fillId="0" borderId="0" xfId="0" applyFont="1" applyAlignment="1" applyProtection="1">
      <alignment horizontal="center"/>
      <protection hidden="1"/>
    </xf>
    <xf numFmtId="168" fontId="0" fillId="0" borderId="0" xfId="0" applyNumberFormat="1"/>
    <xf numFmtId="1" fontId="53" fillId="0" borderId="0" xfId="2" applyNumberFormat="1" applyFont="1" applyFill="1" applyAlignment="1" applyProtection="1">
      <alignment horizontal="center"/>
      <protection locked="0" hidden="1"/>
    </xf>
    <xf numFmtId="180" fontId="8" fillId="0" borderId="0" xfId="0" applyNumberFormat="1" applyFont="1"/>
    <xf numFmtId="0" fontId="8" fillId="0" borderId="26" xfId="0" applyFont="1" applyBorder="1"/>
    <xf numFmtId="180" fontId="8" fillId="0" borderId="27" xfId="0" applyNumberFormat="1" applyFont="1" applyBorder="1"/>
    <xf numFmtId="0" fontId="4" fillId="0" borderId="27" xfId="0" applyFont="1" applyBorder="1" applyAlignment="1">
      <alignment horizontal="left"/>
    </xf>
    <xf numFmtId="0" fontId="8" fillId="0" borderId="28" xfId="0" applyFont="1" applyBorder="1" applyAlignment="1">
      <alignment horizontal="center"/>
    </xf>
    <xf numFmtId="0" fontId="8" fillId="0" borderId="31" xfId="0" applyFont="1" applyBorder="1"/>
    <xf numFmtId="0" fontId="8" fillId="0" borderId="32" xfId="0" applyFont="1" applyBorder="1" applyAlignment="1">
      <alignment horizontal="center"/>
    </xf>
    <xf numFmtId="0" fontId="8" fillId="0" borderId="39" xfId="0" applyFont="1" applyBorder="1"/>
    <xf numFmtId="0" fontId="8" fillId="0" borderId="40" xfId="0" applyFont="1" applyBorder="1"/>
    <xf numFmtId="0" fontId="8" fillId="0" borderId="41" xfId="0" applyFont="1" applyBorder="1"/>
    <xf numFmtId="0" fontId="8" fillId="0" borderId="52" xfId="0" applyFont="1" applyBorder="1"/>
    <xf numFmtId="0" fontId="13" fillId="8" borderId="53" xfId="0" applyFont="1" applyFill="1" applyBorder="1"/>
    <xf numFmtId="1" fontId="8" fillId="0" borderId="53" xfId="0" applyNumberFormat="1" applyFont="1" applyBorder="1" applyAlignment="1">
      <alignment horizontal="center"/>
    </xf>
    <xf numFmtId="0" fontId="8" fillId="0" borderId="53" xfId="0" applyFont="1" applyBorder="1"/>
    <xf numFmtId="44" fontId="8" fillId="0" borderId="53" xfId="1" applyFont="1" applyBorder="1"/>
    <xf numFmtId="0" fontId="13" fillId="8" borderId="53" xfId="0" applyFont="1" applyFill="1" applyBorder="1" applyAlignment="1">
      <alignment horizontal="center"/>
    </xf>
    <xf numFmtId="44" fontId="8" fillId="3" borderId="51" xfId="1" applyFont="1" applyFill="1" applyBorder="1"/>
    <xf numFmtId="0" fontId="8" fillId="28" borderId="0" xfId="0" applyFont="1" applyFill="1"/>
    <xf numFmtId="0" fontId="13" fillId="28" borderId="0" xfId="0" applyFont="1" applyFill="1"/>
    <xf numFmtId="0" fontId="8" fillId="28" borderId="0" xfId="0" applyFont="1" applyFill="1" applyAlignment="1">
      <alignment horizontal="center"/>
    </xf>
    <xf numFmtId="44" fontId="8" fillId="28" borderId="0" xfId="1" applyFont="1" applyFill="1"/>
    <xf numFmtId="0" fontId="8" fillId="0" borderId="28" xfId="0" applyFont="1" applyBorder="1"/>
    <xf numFmtId="0" fontId="13" fillId="8" borderId="31" xfId="0" applyFont="1" applyFill="1" applyBorder="1"/>
    <xf numFmtId="0" fontId="13" fillId="8" borderId="32" xfId="0" applyFont="1" applyFill="1" applyBorder="1"/>
    <xf numFmtId="44" fontId="8" fillId="0" borderId="31" xfId="1" applyFont="1" applyBorder="1"/>
    <xf numFmtId="168" fontId="13" fillId="13" borderId="32" xfId="0" applyNumberFormat="1" applyFont="1" applyFill="1" applyBorder="1" applyAlignment="1">
      <alignment horizontal="center"/>
    </xf>
    <xf numFmtId="0" fontId="8" fillId="0" borderId="32" xfId="0" applyFont="1" applyBorder="1"/>
    <xf numFmtId="44" fontId="8" fillId="3" borderId="39" xfId="1" applyFont="1" applyFill="1" applyBorder="1"/>
    <xf numFmtId="0" fontId="13" fillId="8" borderId="26" xfId="0" applyFont="1" applyFill="1" applyBorder="1"/>
    <xf numFmtId="0" fontId="13" fillId="8" borderId="28" xfId="0" applyFont="1" applyFill="1" applyBorder="1"/>
    <xf numFmtId="44" fontId="8" fillId="0" borderId="39" xfId="1" applyFont="1" applyBorder="1"/>
    <xf numFmtId="168" fontId="13" fillId="13" borderId="41" xfId="0" applyNumberFormat="1" applyFont="1" applyFill="1" applyBorder="1" applyAlignment="1">
      <alignment horizontal="center"/>
    </xf>
    <xf numFmtId="0" fontId="13" fillId="28" borderId="0" xfId="0" applyFont="1" applyFill="1" applyAlignment="1">
      <alignment horizontal="center"/>
    </xf>
    <xf numFmtId="9" fontId="8" fillId="28" borderId="0" xfId="0" applyNumberFormat="1" applyFont="1" applyFill="1" applyAlignment="1">
      <alignment horizontal="center"/>
    </xf>
    <xf numFmtId="10" fontId="8" fillId="28" borderId="0" xfId="2" applyNumberFormat="1" applyFont="1" applyFill="1"/>
    <xf numFmtId="44" fontId="8" fillId="28" borderId="0" xfId="0" applyNumberFormat="1" applyFont="1" applyFill="1"/>
    <xf numFmtId="9" fontId="8" fillId="28" borderId="0" xfId="2" quotePrefix="1" applyFont="1" applyFill="1"/>
    <xf numFmtId="10" fontId="8" fillId="28" borderId="0" xfId="0" applyNumberFormat="1" applyFont="1" applyFill="1"/>
    <xf numFmtId="0" fontId="13" fillId="0" borderId="26" xfId="0" applyFont="1" applyBorder="1"/>
    <xf numFmtId="0" fontId="13" fillId="0" borderId="27" xfId="0" applyFont="1" applyBorder="1"/>
    <xf numFmtId="0" fontId="8" fillId="0" borderId="27" xfId="0" applyFont="1" applyBorder="1"/>
    <xf numFmtId="0" fontId="13" fillId="7" borderId="31" xfId="0" applyFont="1" applyFill="1" applyBorder="1" applyAlignment="1">
      <alignment horizontal="center"/>
    </xf>
    <xf numFmtId="0" fontId="8" fillId="0" borderId="31" xfId="0" quotePrefix="1" applyFont="1" applyBorder="1"/>
    <xf numFmtId="10" fontId="8" fillId="0" borderId="0" xfId="2" applyNumberFormat="1" applyFont="1" applyBorder="1"/>
    <xf numFmtId="44" fontId="8" fillId="0" borderId="0" xfId="2" applyNumberFormat="1" applyFont="1" applyBorder="1"/>
    <xf numFmtId="44" fontId="8" fillId="0" borderId="32" xfId="0" applyNumberFormat="1" applyFont="1" applyBorder="1"/>
    <xf numFmtId="9" fontId="8" fillId="0" borderId="31" xfId="2" quotePrefix="1" applyFont="1" applyBorder="1"/>
    <xf numFmtId="10" fontId="8" fillId="0" borderId="31" xfId="2" applyNumberFormat="1" applyFont="1" applyBorder="1"/>
    <xf numFmtId="10" fontId="8" fillId="0" borderId="31" xfId="2" quotePrefix="1" applyNumberFormat="1" applyFont="1" applyBorder="1"/>
    <xf numFmtId="10" fontId="8" fillId="0" borderId="39" xfId="2" quotePrefix="1" applyNumberFormat="1" applyFont="1" applyBorder="1"/>
    <xf numFmtId="0" fontId="13" fillId="0" borderId="40" xfId="0" applyFont="1" applyBorder="1"/>
    <xf numFmtId="10" fontId="8" fillId="0" borderId="40" xfId="2" applyNumberFormat="1" applyFont="1" applyBorder="1"/>
    <xf numFmtId="44" fontId="8" fillId="0" borderId="40" xfId="2" applyNumberFormat="1" applyFont="1" applyBorder="1"/>
    <xf numFmtId="44" fontId="8" fillId="0" borderId="41" xfId="0" applyNumberFormat="1" applyFont="1" applyBorder="1"/>
    <xf numFmtId="0" fontId="8" fillId="28" borderId="0" xfId="0" applyFont="1" applyFill="1" applyAlignment="1">
      <alignment horizontal="left"/>
    </xf>
    <xf numFmtId="0" fontId="4" fillId="28" borderId="0" xfId="0" applyFont="1" applyFill="1"/>
    <xf numFmtId="0" fontId="4" fillId="28" borderId="0" xfId="0" applyFont="1" applyFill="1" applyAlignment="1">
      <alignment horizontal="left"/>
    </xf>
    <xf numFmtId="9" fontId="8" fillId="0" borderId="52" xfId="0" applyNumberFormat="1" applyFont="1" applyBorder="1" applyAlignment="1">
      <alignment horizontal="center"/>
    </xf>
    <xf numFmtId="9" fontId="8" fillId="0" borderId="53" xfId="0" applyNumberFormat="1" applyFont="1" applyBorder="1" applyAlignment="1">
      <alignment horizontal="center"/>
    </xf>
    <xf numFmtId="9" fontId="8" fillId="3" borderId="53" xfId="0" applyNumberFormat="1" applyFont="1" applyFill="1" applyBorder="1" applyAlignment="1">
      <alignment horizontal="center"/>
    </xf>
    <xf numFmtId="9" fontId="8" fillId="13" borderId="53" xfId="0" applyNumberFormat="1" applyFont="1" applyFill="1" applyBorder="1" applyAlignment="1">
      <alignment horizontal="center"/>
    </xf>
    <xf numFmtId="9" fontId="8" fillId="3" borderId="51" xfId="0" applyNumberFormat="1" applyFont="1" applyFill="1" applyBorder="1" applyAlignment="1">
      <alignment horizontal="center"/>
    </xf>
    <xf numFmtId="167" fontId="8" fillId="28" borderId="0" xfId="0" applyNumberFormat="1" applyFont="1" applyFill="1" applyAlignment="1">
      <alignment horizontal="center"/>
    </xf>
    <xf numFmtId="6" fontId="8" fillId="28" borderId="0" xfId="0" applyNumberFormat="1" applyFont="1" applyFill="1" applyAlignment="1">
      <alignment horizontal="center"/>
    </xf>
    <xf numFmtId="6" fontId="8" fillId="28" borderId="0" xfId="0" applyNumberFormat="1" applyFont="1" applyFill="1"/>
    <xf numFmtId="10" fontId="8" fillId="28" borderId="0" xfId="0" applyNumberFormat="1" applyFont="1" applyFill="1" applyAlignment="1">
      <alignment horizontal="center"/>
    </xf>
    <xf numFmtId="0" fontId="8" fillId="0" borderId="0" xfId="0" applyFont="1" applyProtection="1">
      <protection hidden="1"/>
    </xf>
    <xf numFmtId="0" fontId="8" fillId="0" borderId="32" xfId="0" applyFont="1" applyBorder="1" applyProtection="1">
      <protection hidden="1"/>
    </xf>
    <xf numFmtId="0" fontId="14" fillId="0" borderId="31" xfId="5" applyFont="1" applyBorder="1" applyProtection="1">
      <protection hidden="1"/>
    </xf>
    <xf numFmtId="0" fontId="8" fillId="0" borderId="31" xfId="0" applyFont="1" applyBorder="1" applyProtection="1">
      <protection hidden="1"/>
    </xf>
    <xf numFmtId="0" fontId="13" fillId="10" borderId="0" xfId="0" applyFont="1" applyFill="1" applyProtection="1">
      <protection hidden="1"/>
    </xf>
    <xf numFmtId="0" fontId="8" fillId="10" borderId="32" xfId="0" applyFont="1" applyFill="1" applyBorder="1" applyProtection="1">
      <protection hidden="1"/>
    </xf>
    <xf numFmtId="0" fontId="13" fillId="5" borderId="31" xfId="0" applyFont="1" applyFill="1" applyBorder="1" applyProtection="1">
      <protection hidden="1"/>
    </xf>
    <xf numFmtId="0" fontId="8" fillId="5" borderId="0" xfId="0" applyFont="1" applyFill="1" applyProtection="1">
      <protection hidden="1"/>
    </xf>
    <xf numFmtId="4" fontId="8" fillId="0" borderId="0" xfId="0" applyNumberFormat="1" applyFont="1" applyAlignment="1" applyProtection="1">
      <alignment horizontal="center"/>
      <protection locked="0" hidden="1"/>
    </xf>
    <xf numFmtId="0" fontId="8" fillId="0" borderId="0" xfId="0" applyFont="1" applyAlignment="1" applyProtection="1">
      <alignment horizontal="center"/>
      <protection hidden="1"/>
    </xf>
    <xf numFmtId="0" fontId="13" fillId="7" borderId="31" xfId="0" applyFont="1" applyFill="1" applyBorder="1" applyProtection="1">
      <protection hidden="1"/>
    </xf>
    <xf numFmtId="0" fontId="8" fillId="7" borderId="0" xfId="0" applyFont="1" applyFill="1" applyProtection="1">
      <protection hidden="1"/>
    </xf>
    <xf numFmtId="0" fontId="13" fillId="9" borderId="31" xfId="0" applyFont="1" applyFill="1" applyBorder="1" applyAlignment="1" applyProtection="1">
      <alignment horizontal="center"/>
      <protection hidden="1"/>
    </xf>
    <xf numFmtId="0" fontId="13" fillId="9" borderId="0" xfId="0" applyFont="1" applyFill="1" applyAlignment="1" applyProtection="1">
      <alignment horizontal="center"/>
      <protection hidden="1"/>
    </xf>
    <xf numFmtId="0" fontId="8" fillId="0" borderId="40" xfId="0" applyFont="1" applyBorder="1" applyProtection="1">
      <protection hidden="1"/>
    </xf>
    <xf numFmtId="44" fontId="8" fillId="0" borderId="0" xfId="1" applyFont="1" applyBorder="1" applyAlignment="1" applyProtection="1">
      <alignment horizontal="right" indent="1"/>
      <protection hidden="1"/>
    </xf>
    <xf numFmtId="44" fontId="8" fillId="0" borderId="40" xfId="1" applyFont="1" applyBorder="1" applyAlignment="1" applyProtection="1">
      <alignment horizontal="right" indent="1"/>
      <protection hidden="1"/>
    </xf>
    <xf numFmtId="43" fontId="0" fillId="3" borderId="0" xfId="14" applyFont="1" applyFill="1"/>
    <xf numFmtId="44" fontId="0" fillId="3" borderId="0" xfId="1" applyFont="1" applyFill="1"/>
    <xf numFmtId="10" fontId="13" fillId="0" borderId="0" xfId="0" applyNumberFormat="1" applyFont="1" applyAlignment="1">
      <alignment horizontal="center"/>
    </xf>
    <xf numFmtId="10" fontId="65" fillId="12" borderId="0" xfId="2" applyNumberFormat="1" applyFont="1" applyFill="1" applyAlignment="1" applyProtection="1">
      <alignment horizontal="center" vertical="center"/>
      <protection locked="0" hidden="1"/>
    </xf>
    <xf numFmtId="165" fontId="0" fillId="0" borderId="0" xfId="14" applyNumberFormat="1" applyFont="1" applyAlignment="1">
      <alignment horizontal="center"/>
    </xf>
    <xf numFmtId="9" fontId="0" fillId="0" borderId="0" xfId="0" applyNumberFormat="1" applyAlignment="1">
      <alignment horizontal="center"/>
    </xf>
    <xf numFmtId="165" fontId="0" fillId="0" borderId="0" xfId="0" applyNumberFormat="1" applyAlignment="1">
      <alignment horizontal="center"/>
    </xf>
    <xf numFmtId="1" fontId="0" fillId="0" borderId="0" xfId="0" applyNumberFormat="1" applyAlignment="1">
      <alignment horizontal="center"/>
    </xf>
    <xf numFmtId="165" fontId="0" fillId="0" borderId="0" xfId="2" applyNumberFormat="1" applyFont="1" applyAlignment="1">
      <alignment horizontal="center"/>
    </xf>
    <xf numFmtId="0" fontId="50" fillId="13" borderId="0" xfId="0" applyFont="1" applyFill="1" applyAlignment="1" applyProtection="1">
      <alignment horizontal="left"/>
      <protection hidden="1"/>
    </xf>
    <xf numFmtId="0" fontId="69" fillId="0" borderId="0" xfId="0" applyFont="1" applyProtection="1">
      <protection hidden="1"/>
    </xf>
    <xf numFmtId="49" fontId="56" fillId="0" borderId="0" xfId="0" applyNumberFormat="1" applyFont="1" applyAlignment="1" applyProtection="1">
      <alignment vertical="center" wrapText="1"/>
      <protection hidden="1"/>
    </xf>
    <xf numFmtId="10" fontId="0" fillId="0" borderId="0" xfId="0" applyNumberFormat="1" applyAlignment="1">
      <alignment horizontal="center"/>
    </xf>
    <xf numFmtId="0" fontId="73" fillId="29" borderId="54" xfId="0" applyFont="1" applyFill="1" applyBorder="1" applyAlignment="1">
      <alignment horizontal="center" vertical="center" wrapText="1"/>
    </xf>
    <xf numFmtId="0" fontId="73" fillId="29" borderId="55" xfId="0" applyFont="1" applyFill="1" applyBorder="1" applyAlignment="1">
      <alignment horizontal="center" vertical="center" wrapText="1"/>
    </xf>
    <xf numFmtId="0" fontId="15" fillId="0" borderId="51" xfId="0" applyFont="1" applyBorder="1" applyAlignment="1">
      <alignment vertical="center"/>
    </xf>
    <xf numFmtId="10" fontId="15" fillId="0" borderId="41" xfId="0" applyNumberFormat="1" applyFont="1" applyBorder="1" applyAlignment="1">
      <alignment horizontal="right" vertical="center"/>
    </xf>
    <xf numFmtId="10" fontId="74" fillId="0" borderId="41" xfId="0" applyNumberFormat="1" applyFont="1" applyBorder="1" applyAlignment="1">
      <alignment horizontal="right" vertical="center"/>
    </xf>
    <xf numFmtId="0" fontId="15" fillId="30" borderId="51" xfId="0" applyFont="1" applyFill="1" applyBorder="1" applyAlignment="1">
      <alignment vertical="center"/>
    </xf>
    <xf numFmtId="10" fontId="15" fillId="30" borderId="41" xfId="0" applyNumberFormat="1" applyFont="1" applyFill="1" applyBorder="1" applyAlignment="1">
      <alignment horizontal="right" vertical="center"/>
    </xf>
    <xf numFmtId="10" fontId="74" fillId="30" borderId="41" xfId="0" applyNumberFormat="1" applyFont="1" applyFill="1" applyBorder="1" applyAlignment="1">
      <alignment horizontal="right" vertical="center"/>
    </xf>
    <xf numFmtId="10" fontId="64" fillId="7" borderId="0" xfId="2" applyNumberFormat="1" applyFont="1" applyFill="1" applyBorder="1" applyAlignment="1" applyProtection="1">
      <alignment horizontal="center"/>
      <protection locked="0" hidden="1"/>
    </xf>
    <xf numFmtId="0" fontId="73" fillId="29" borderId="0" xfId="0" applyFont="1" applyFill="1" applyAlignment="1">
      <alignment horizontal="center" vertical="center" wrapText="1"/>
    </xf>
    <xf numFmtId="10" fontId="74" fillId="0" borderId="0" xfId="0" applyNumberFormat="1" applyFont="1" applyAlignment="1">
      <alignment horizontal="right" vertical="center"/>
    </xf>
    <xf numFmtId="168" fontId="8" fillId="0" borderId="0" xfId="0" applyNumberFormat="1" applyFont="1"/>
    <xf numFmtId="0" fontId="47" fillId="0" borderId="0" xfId="0" applyFont="1" applyAlignment="1" applyProtection="1">
      <alignment horizontal="center"/>
      <protection locked="0" hidden="1"/>
    </xf>
    <xf numFmtId="44" fontId="8" fillId="0" borderId="0" xfId="1" applyFont="1" applyAlignment="1">
      <alignment horizontal="center"/>
    </xf>
    <xf numFmtId="10" fontId="0" fillId="0" borderId="0" xfId="2" applyNumberFormat="1" applyFont="1" applyAlignment="1">
      <alignment horizontal="center"/>
    </xf>
    <xf numFmtId="180" fontId="8" fillId="0" borderId="40" xfId="0" applyNumberFormat="1" applyFont="1" applyBorder="1"/>
    <xf numFmtId="3" fontId="20" fillId="10" borderId="3" xfId="0" applyNumberFormat="1" applyFont="1" applyFill="1" applyBorder="1" applyAlignment="1" applyProtection="1">
      <alignment horizontal="center"/>
      <protection hidden="1"/>
    </xf>
    <xf numFmtId="15" fontId="20" fillId="10" borderId="3" xfId="2" applyNumberFormat="1" applyFont="1" applyFill="1" applyBorder="1" applyAlignment="1" applyProtection="1">
      <alignment horizontal="center"/>
      <protection hidden="1"/>
    </xf>
    <xf numFmtId="4" fontId="20" fillId="10" borderId="3" xfId="0" applyNumberFormat="1" applyFont="1" applyFill="1" applyBorder="1" applyAlignment="1" applyProtection="1">
      <alignment horizontal="center"/>
      <protection hidden="1"/>
    </xf>
    <xf numFmtId="10" fontId="20" fillId="10" borderId="3" xfId="2" applyNumberFormat="1" applyFont="1" applyFill="1" applyBorder="1" applyAlignment="1" applyProtection="1">
      <alignment horizontal="center"/>
      <protection hidden="1"/>
    </xf>
    <xf numFmtId="8" fontId="47" fillId="0" borderId="0" xfId="0" applyNumberFormat="1" applyFont="1" applyAlignment="1" applyProtection="1">
      <alignment horizontal="right"/>
      <protection hidden="1"/>
    </xf>
    <xf numFmtId="8" fontId="50" fillId="0" borderId="0" xfId="0" applyNumberFormat="1" applyFont="1" applyAlignment="1" applyProtection="1">
      <alignment horizontal="left"/>
      <protection hidden="1"/>
    </xf>
    <xf numFmtId="186" fontId="0" fillId="0" borderId="0" xfId="26" applyFont="1"/>
    <xf numFmtId="187" fontId="0" fillId="0" borderId="0" xfId="27" applyFont="1"/>
    <xf numFmtId="183" fontId="0" fillId="0" borderId="0" xfId="0" applyNumberFormat="1"/>
    <xf numFmtId="187" fontId="0" fillId="0" borderId="0" xfId="0" applyNumberFormat="1"/>
    <xf numFmtId="168" fontId="0" fillId="0" borderId="0" xfId="0" applyNumberFormat="1" applyAlignment="1">
      <alignment horizontal="right"/>
    </xf>
    <xf numFmtId="0" fontId="10" fillId="14" borderId="4" xfId="0" applyFont="1" applyFill="1" applyBorder="1" applyAlignment="1" applyProtection="1">
      <alignment horizontal="center"/>
      <protection hidden="1"/>
    </xf>
    <xf numFmtId="10" fontId="10" fillId="14" borderId="4" xfId="0" applyNumberFormat="1" applyFont="1" applyFill="1" applyBorder="1" applyAlignment="1" applyProtection="1">
      <alignment horizontal="center"/>
      <protection hidden="1"/>
    </xf>
    <xf numFmtId="0" fontId="10" fillId="14" borderId="0" xfId="0" applyFont="1" applyFill="1" applyAlignment="1" applyProtection="1">
      <alignment horizontal="center"/>
      <protection hidden="1"/>
    </xf>
    <xf numFmtId="165" fontId="10" fillId="14" borderId="0" xfId="0" applyNumberFormat="1" applyFont="1" applyFill="1" applyAlignment="1" applyProtection="1">
      <alignment horizontal="center"/>
      <protection hidden="1"/>
    </xf>
    <xf numFmtId="169" fontId="0" fillId="0" borderId="0" xfId="0" applyNumberFormat="1"/>
    <xf numFmtId="1" fontId="0" fillId="0" borderId="4" xfId="2" applyNumberFormat="1" applyFont="1" applyBorder="1" applyAlignment="1" applyProtection="1">
      <alignment horizontal="center"/>
      <protection hidden="1"/>
    </xf>
    <xf numFmtId="170" fontId="76" fillId="0" borderId="4" xfId="0" applyNumberFormat="1" applyFont="1" applyBorder="1" applyAlignment="1">
      <alignment horizontal="center"/>
    </xf>
    <xf numFmtId="164" fontId="0" fillId="0" borderId="4" xfId="2" applyNumberFormat="1" applyFont="1" applyBorder="1" applyAlignment="1" applyProtection="1">
      <alignment horizontal="center"/>
      <protection hidden="1"/>
    </xf>
    <xf numFmtId="10" fontId="0" fillId="0" borderId="4" xfId="2" applyNumberFormat="1" applyFont="1" applyBorder="1" applyAlignment="1" applyProtection="1">
      <alignment horizontal="center"/>
      <protection hidden="1"/>
    </xf>
    <xf numFmtId="188" fontId="0" fillId="0" borderId="4" xfId="27" applyNumberFormat="1" applyFont="1" applyBorder="1" applyAlignment="1" applyProtection="1">
      <alignment horizontal="center"/>
      <protection hidden="1"/>
    </xf>
    <xf numFmtId="188" fontId="0" fillId="10" borderId="4" xfId="27" applyNumberFormat="1" applyFont="1" applyFill="1" applyBorder="1" applyAlignment="1" applyProtection="1">
      <alignment horizontal="center"/>
      <protection hidden="1"/>
    </xf>
    <xf numFmtId="188" fontId="0" fillId="15" borderId="4" xfId="27" applyNumberFormat="1" applyFont="1" applyFill="1" applyBorder="1" applyAlignment="1" applyProtection="1">
      <alignment horizontal="center"/>
      <protection hidden="1"/>
    </xf>
    <xf numFmtId="168" fontId="0" fillId="0" borderId="0" xfId="2" applyNumberFormat="1" applyFont="1"/>
    <xf numFmtId="1" fontId="0" fillId="26" borderId="4" xfId="2" applyNumberFormat="1" applyFont="1" applyFill="1" applyBorder="1" applyAlignment="1" applyProtection="1">
      <alignment horizontal="center"/>
      <protection hidden="1"/>
    </xf>
    <xf numFmtId="164" fontId="0" fillId="26" borderId="4" xfId="2" applyNumberFormat="1" applyFont="1" applyFill="1" applyBorder="1" applyAlignment="1" applyProtection="1">
      <alignment horizontal="center"/>
      <protection hidden="1"/>
    </xf>
    <xf numFmtId="10" fontId="0" fillId="26" borderId="4" xfId="2" applyNumberFormat="1" applyFont="1" applyFill="1" applyBorder="1" applyAlignment="1" applyProtection="1">
      <alignment horizontal="center"/>
      <protection hidden="1"/>
    </xf>
    <xf numFmtId="188" fontId="0" fillId="26" borderId="4" xfId="27" applyNumberFormat="1" applyFont="1" applyFill="1" applyBorder="1" applyAlignment="1" applyProtection="1">
      <alignment horizontal="center"/>
      <protection hidden="1"/>
    </xf>
    <xf numFmtId="188" fontId="0" fillId="0" borderId="4" xfId="27" applyNumberFormat="1" applyFont="1" applyFill="1" applyBorder="1" applyAlignment="1" applyProtection="1">
      <alignment horizontal="center"/>
      <protection hidden="1"/>
    </xf>
    <xf numFmtId="188" fontId="0" fillId="0" borderId="0" xfId="0" applyNumberFormat="1"/>
    <xf numFmtId="0" fontId="0" fillId="0" borderId="0" xfId="0" quotePrefix="1" applyAlignment="1">
      <alignment horizontal="center"/>
    </xf>
    <xf numFmtId="2" fontId="0" fillId="0" borderId="0" xfId="0" applyNumberFormat="1" applyAlignment="1">
      <alignment horizontal="center"/>
    </xf>
    <xf numFmtId="189" fontId="8" fillId="0" borderId="0" xfId="0" applyNumberFormat="1" applyFont="1" applyAlignment="1">
      <alignment horizontal="center"/>
    </xf>
    <xf numFmtId="0" fontId="48" fillId="13" borderId="0" xfId="0" applyFont="1" applyFill="1" applyAlignment="1" applyProtection="1">
      <alignment vertical="center" wrapText="1"/>
      <protection hidden="1"/>
    </xf>
    <xf numFmtId="10" fontId="9" fillId="3" borderId="0" xfId="0" applyNumberFormat="1" applyFont="1" applyFill="1" applyAlignment="1">
      <alignment horizontal="right"/>
    </xf>
    <xf numFmtId="0" fontId="13" fillId="8" borderId="26" xfId="0" applyFont="1" applyFill="1" applyBorder="1" applyAlignment="1">
      <alignment horizontal="center"/>
    </xf>
    <xf numFmtId="0" fontId="13" fillId="8" borderId="27" xfId="0" applyFont="1" applyFill="1" applyBorder="1" applyAlignment="1">
      <alignment horizontal="center"/>
    </xf>
    <xf numFmtId="10" fontId="64" fillId="6" borderId="0" xfId="2" applyNumberFormat="1" applyFont="1" applyFill="1" applyAlignment="1" applyProtection="1">
      <alignment horizontal="center"/>
      <protection hidden="1"/>
    </xf>
    <xf numFmtId="0" fontId="77" fillId="14" borderId="0" xfId="0" applyFont="1" applyFill="1" applyAlignment="1" applyProtection="1">
      <alignment horizontal="center" vertical="center"/>
      <protection hidden="1"/>
    </xf>
    <xf numFmtId="0" fontId="77" fillId="14" borderId="0" xfId="0" applyFont="1" applyFill="1" applyAlignment="1" applyProtection="1">
      <alignment horizontal="center" vertical="center" wrapText="1"/>
      <protection hidden="1"/>
    </xf>
    <xf numFmtId="44" fontId="0" fillId="0" borderId="0" xfId="0" applyNumberFormat="1" applyAlignment="1">
      <alignment horizontal="center"/>
    </xf>
    <xf numFmtId="9" fontId="0" fillId="0" borderId="0" xfId="2" applyFont="1"/>
    <xf numFmtId="9" fontId="26" fillId="0" borderId="0" xfId="2" applyFont="1"/>
    <xf numFmtId="0" fontId="78" fillId="0" borderId="0" xfId="0" applyFont="1" applyProtection="1">
      <protection hidden="1"/>
    </xf>
    <xf numFmtId="9" fontId="52" fillId="0" borderId="0" xfId="2" applyFont="1" applyAlignment="1" applyProtection="1">
      <alignment horizontal="center"/>
      <protection hidden="1"/>
    </xf>
    <xf numFmtId="9" fontId="52" fillId="0" borderId="0" xfId="2" applyFont="1" applyAlignment="1" applyProtection="1">
      <alignment horizontal="left"/>
      <protection hidden="1"/>
    </xf>
    <xf numFmtId="44" fontId="65" fillId="6" borderId="0" xfId="1" applyFont="1" applyFill="1" applyAlignment="1" applyProtection="1">
      <protection locked="0"/>
    </xf>
    <xf numFmtId="10" fontId="0" fillId="0" borderId="0" xfId="2" applyNumberFormat="1" applyFont="1" applyAlignment="1">
      <alignment horizontal="right"/>
    </xf>
    <xf numFmtId="43" fontId="0" fillId="0" borderId="0" xfId="14" applyFont="1" applyAlignment="1">
      <alignment horizontal="center"/>
    </xf>
    <xf numFmtId="0" fontId="18" fillId="0" borderId="0" xfId="0" applyFont="1" applyAlignment="1" applyProtection="1">
      <alignment horizontal="left"/>
      <protection locked="0" hidden="1"/>
    </xf>
    <xf numFmtId="165" fontId="67" fillId="6" borderId="0" xfId="1" applyNumberFormat="1" applyFont="1" applyFill="1" applyBorder="1" applyAlignment="1" applyProtection="1">
      <alignment horizontal="right"/>
      <protection hidden="1"/>
    </xf>
    <xf numFmtId="165" fontId="71" fillId="6" borderId="0" xfId="1" applyNumberFormat="1" applyFont="1" applyFill="1" applyBorder="1" applyAlignment="1" applyProtection="1">
      <alignment horizontal="center"/>
      <protection hidden="1"/>
    </xf>
    <xf numFmtId="185" fontId="65" fillId="6" borderId="2" xfId="1" applyNumberFormat="1" applyFont="1" applyFill="1" applyBorder="1" applyAlignment="1" applyProtection="1">
      <alignment horizontal="center"/>
      <protection hidden="1"/>
    </xf>
    <xf numFmtId="0" fontId="5" fillId="0" borderId="4" xfId="23" applyFont="1" applyBorder="1" applyAlignment="1" applyProtection="1">
      <alignment horizontal="center" vertical="center" wrapText="1"/>
      <protection hidden="1"/>
    </xf>
    <xf numFmtId="0" fontId="52" fillId="0" borderId="0" xfId="2" applyNumberFormat="1" applyFont="1" applyProtection="1">
      <protection hidden="1"/>
    </xf>
    <xf numFmtId="190" fontId="8" fillId="3" borderId="0" xfId="0" applyNumberFormat="1" applyFont="1" applyFill="1" applyAlignment="1">
      <alignment horizontal="center"/>
    </xf>
    <xf numFmtId="191" fontId="8" fillId="3" borderId="0" xfId="0" applyNumberFormat="1" applyFont="1" applyFill="1" applyAlignment="1">
      <alignment horizontal="center"/>
    </xf>
    <xf numFmtId="190" fontId="8" fillId="0" borderId="0" xfId="0" applyNumberFormat="1" applyFont="1"/>
    <xf numFmtId="3" fontId="8" fillId="0" borderId="31" xfId="0" applyNumberFormat="1" applyFont="1" applyBorder="1" applyAlignment="1" applyProtection="1">
      <alignment horizontal="center"/>
      <protection hidden="1"/>
    </xf>
    <xf numFmtId="3" fontId="8" fillId="0" borderId="39" xfId="0" applyNumberFormat="1" applyFont="1" applyBorder="1" applyAlignment="1" applyProtection="1">
      <alignment horizontal="center"/>
      <protection hidden="1"/>
    </xf>
    <xf numFmtId="3" fontId="8" fillId="0" borderId="0" xfId="0" applyNumberFormat="1" applyFont="1" applyAlignment="1" applyProtection="1">
      <alignment horizontal="center"/>
      <protection hidden="1"/>
    </xf>
    <xf numFmtId="165" fontId="8" fillId="0" borderId="32" xfId="2" applyNumberFormat="1" applyFont="1" applyBorder="1" applyAlignment="1" applyProtection="1">
      <alignment horizontal="center"/>
      <protection hidden="1"/>
    </xf>
    <xf numFmtId="165" fontId="8" fillId="0" borderId="32" xfId="1" applyNumberFormat="1" applyFont="1" applyBorder="1" applyAlignment="1" applyProtection="1">
      <alignment horizontal="center"/>
      <protection hidden="1"/>
    </xf>
    <xf numFmtId="165" fontId="0" fillId="0" borderId="0" xfId="1" applyNumberFormat="1" applyFont="1" applyAlignment="1">
      <alignment horizontal="center"/>
    </xf>
    <xf numFmtId="165" fontId="0" fillId="0" borderId="4" xfId="1" applyNumberFormat="1" applyFont="1" applyBorder="1" applyAlignment="1">
      <alignment horizontal="center"/>
    </xf>
    <xf numFmtId="168" fontId="0" fillId="0" borderId="4" xfId="0" applyNumberFormat="1" applyBorder="1" applyAlignment="1">
      <alignment horizontal="center"/>
    </xf>
    <xf numFmtId="0" fontId="52" fillId="0" borderId="0" xfId="0" applyFont="1" applyAlignment="1" applyProtection="1">
      <alignment horizontal="center"/>
      <protection hidden="1"/>
    </xf>
    <xf numFmtId="0" fontId="52" fillId="0" borderId="0" xfId="0" applyFont="1" applyAlignment="1" applyProtection="1">
      <alignment horizontal="right"/>
      <protection hidden="1"/>
    </xf>
    <xf numFmtId="0" fontId="18" fillId="0" borderId="0" xfId="0" applyFont="1" applyAlignment="1">
      <alignment horizontal="left"/>
    </xf>
    <xf numFmtId="0" fontId="80" fillId="0" borderId="0" xfId="0" applyFont="1" applyAlignment="1">
      <alignment vertical="center"/>
    </xf>
    <xf numFmtId="0" fontId="79" fillId="29" borderId="0" xfId="0" applyFont="1" applyFill="1"/>
    <xf numFmtId="0" fontId="4" fillId="0" borderId="0" xfId="0" applyFont="1" applyAlignment="1">
      <alignment vertical="center"/>
    </xf>
    <xf numFmtId="4" fontId="4" fillId="0" borderId="0" xfId="0" applyNumberFormat="1" applyFont="1" applyAlignment="1">
      <alignment vertical="center"/>
    </xf>
    <xf numFmtId="10" fontId="80" fillId="0" borderId="0" xfId="0" applyNumberFormat="1" applyFont="1" applyAlignment="1">
      <alignment horizontal="center" vertical="center"/>
    </xf>
    <xf numFmtId="0" fontId="4" fillId="0" borderId="0" xfId="0" applyFont="1" applyAlignment="1">
      <alignment horizontal="right" vertical="center"/>
    </xf>
    <xf numFmtId="4" fontId="4" fillId="0" borderId="0" xfId="0" applyNumberFormat="1" applyFont="1" applyAlignment="1">
      <alignment horizontal="right" vertical="center"/>
    </xf>
    <xf numFmtId="10" fontId="4" fillId="0" borderId="0" xfId="0" applyNumberFormat="1" applyFont="1" applyAlignment="1">
      <alignment horizontal="center" vertical="center"/>
    </xf>
    <xf numFmtId="0" fontId="82" fillId="0" borderId="0" xfId="0" applyFont="1" applyAlignment="1">
      <alignment vertical="center"/>
    </xf>
    <xf numFmtId="0" fontId="82" fillId="0" borderId="0" xfId="0" applyFont="1"/>
    <xf numFmtId="9" fontId="4" fillId="0" borderId="0" xfId="0" applyNumberFormat="1" applyFont="1" applyAlignment="1">
      <alignment horizontal="center" vertical="center"/>
    </xf>
    <xf numFmtId="4" fontId="80" fillId="0" borderId="0" xfId="0" applyNumberFormat="1" applyFont="1" applyAlignment="1">
      <alignment vertical="center"/>
    </xf>
    <xf numFmtId="9" fontId="80" fillId="0" borderId="0" xfId="0" applyNumberFormat="1" applyFont="1" applyAlignment="1">
      <alignment horizontal="center" vertical="center"/>
    </xf>
    <xf numFmtId="0" fontId="4" fillId="0" borderId="0" xfId="0" applyFont="1" applyAlignment="1">
      <alignment vertical="center" wrapText="1"/>
    </xf>
    <xf numFmtId="4" fontId="4" fillId="0" borderId="0" xfId="0" applyNumberFormat="1" applyFont="1" applyAlignment="1">
      <alignment vertical="center" wrapText="1"/>
    </xf>
    <xf numFmtId="0" fontId="83" fillId="29" borderId="0" xfId="0" applyFont="1" applyFill="1" applyAlignment="1">
      <alignment horizontal="center"/>
    </xf>
    <xf numFmtId="10" fontId="4" fillId="4" borderId="0" xfId="2" applyNumberFormat="1" applyFont="1" applyFill="1" applyBorder="1" applyAlignment="1">
      <alignment horizontal="center"/>
    </xf>
    <xf numFmtId="10" fontId="4" fillId="0" borderId="0" xfId="2" applyNumberFormat="1" applyFont="1" applyBorder="1" applyAlignment="1">
      <alignment horizontal="center"/>
    </xf>
    <xf numFmtId="44" fontId="83" fillId="33" borderId="0" xfId="0" applyNumberFormat="1" applyFont="1" applyFill="1"/>
    <xf numFmtId="10" fontId="79" fillId="33" borderId="26" xfId="0" applyNumberFormat="1" applyFont="1" applyFill="1" applyBorder="1" applyAlignment="1">
      <alignment horizontal="center"/>
    </xf>
    <xf numFmtId="10" fontId="79" fillId="33" borderId="27" xfId="0" applyNumberFormat="1" applyFont="1" applyFill="1" applyBorder="1" applyAlignment="1">
      <alignment horizontal="center"/>
    </xf>
    <xf numFmtId="0" fontId="4" fillId="4" borderId="27" xfId="0" applyFont="1" applyFill="1" applyBorder="1"/>
    <xf numFmtId="0" fontId="4" fillId="0" borderId="27" xfId="0" applyFont="1" applyBorder="1" applyAlignment="1">
      <alignment horizontal="center"/>
    </xf>
    <xf numFmtId="0" fontId="4" fillId="0" borderId="28" xfId="0" applyFont="1" applyBorder="1"/>
    <xf numFmtId="0" fontId="4" fillId="0" borderId="31" xfId="0" applyFont="1" applyBorder="1"/>
    <xf numFmtId="0" fontId="4" fillId="0" borderId="32" xfId="0" applyFont="1" applyBorder="1"/>
    <xf numFmtId="0" fontId="80" fillId="0" borderId="31" xfId="0" applyFont="1" applyBorder="1" applyAlignment="1">
      <alignment vertical="center"/>
    </xf>
    <xf numFmtId="10" fontId="4" fillId="0" borderId="32" xfId="2" applyNumberFormat="1" applyFont="1" applyBorder="1" applyAlignment="1">
      <alignment horizontal="center"/>
    </xf>
    <xf numFmtId="0" fontId="4" fillId="0" borderId="39" xfId="0" applyFont="1" applyBorder="1"/>
    <xf numFmtId="0" fontId="4" fillId="0" borderId="40" xfId="0" applyFont="1" applyBorder="1"/>
    <xf numFmtId="0" fontId="4" fillId="0" borderId="40" xfId="0" applyFont="1" applyBorder="1" applyAlignment="1">
      <alignment horizontal="center"/>
    </xf>
    <xf numFmtId="0" fontId="4" fillId="0" borderId="41" xfId="0" applyFont="1" applyBorder="1"/>
    <xf numFmtId="4" fontId="4" fillId="0" borderId="0" xfId="0" applyNumberFormat="1" applyFont="1"/>
    <xf numFmtId="0" fontId="81" fillId="32" borderId="0" xfId="0" applyFont="1" applyFill="1" applyAlignment="1">
      <alignment horizontal="left" vertical="center"/>
    </xf>
    <xf numFmtId="0" fontId="80" fillId="0" borderId="0" xfId="0" applyFont="1" applyAlignment="1">
      <alignment horizontal="left" vertical="center"/>
    </xf>
    <xf numFmtId="0" fontId="4" fillId="0" borderId="0" xfId="0" applyFont="1" applyAlignment="1">
      <alignment horizontal="left" vertical="center"/>
    </xf>
    <xf numFmtId="4" fontId="4" fillId="0" borderId="0" xfId="0" applyNumberFormat="1" applyFont="1" applyAlignment="1">
      <alignment horizontal="left" vertical="center"/>
    </xf>
    <xf numFmtId="0" fontId="4" fillId="0" borderId="0" xfId="0" applyFont="1" applyAlignment="1">
      <alignment horizontal="left" vertical="center" wrapText="1"/>
    </xf>
    <xf numFmtId="0" fontId="79" fillId="29" borderId="0" xfId="0" applyFont="1" applyFill="1" applyAlignment="1">
      <alignment horizontal="left"/>
    </xf>
    <xf numFmtId="10" fontId="80" fillId="0" borderId="0" xfId="0" applyNumberFormat="1" applyFont="1" applyAlignment="1">
      <alignment horizontal="left" vertical="center"/>
    </xf>
    <xf numFmtId="10" fontId="4" fillId="0" borderId="0" xfId="0" applyNumberFormat="1" applyFont="1" applyAlignment="1">
      <alignment horizontal="left" vertical="center"/>
    </xf>
    <xf numFmtId="9" fontId="4" fillId="0" borderId="0" xfId="0" applyNumberFormat="1" applyFont="1" applyAlignment="1">
      <alignment horizontal="left" vertical="center"/>
    </xf>
    <xf numFmtId="10" fontId="4" fillId="0" borderId="0" xfId="0" applyNumberFormat="1" applyFont="1" applyAlignment="1">
      <alignment horizontal="left" vertical="center" wrapText="1"/>
    </xf>
    <xf numFmtId="9" fontId="80" fillId="0" borderId="0" xfId="0" applyNumberFormat="1" applyFont="1" applyAlignment="1">
      <alignment horizontal="left" vertical="center"/>
    </xf>
    <xf numFmtId="0" fontId="18" fillId="0" borderId="25" xfId="0" applyFont="1" applyBorder="1" applyAlignment="1">
      <alignment horizontal="center"/>
    </xf>
    <xf numFmtId="0" fontId="18" fillId="0" borderId="35" xfId="0" applyFont="1" applyBorder="1" applyAlignment="1">
      <alignment horizontal="center"/>
    </xf>
    <xf numFmtId="4" fontId="84" fillId="0" borderId="0" xfId="0" applyNumberFormat="1" applyFont="1" applyAlignment="1">
      <alignment vertical="center"/>
    </xf>
    <xf numFmtId="4" fontId="84" fillId="0" borderId="0" xfId="0" applyNumberFormat="1" applyFont="1" applyAlignment="1">
      <alignment vertical="center" wrapText="1"/>
    </xf>
    <xf numFmtId="10" fontId="4" fillId="0" borderId="0" xfId="0" applyNumberFormat="1" applyFont="1" applyAlignment="1">
      <alignment horizontal="center" vertical="center" wrapText="1"/>
    </xf>
    <xf numFmtId="10" fontId="80" fillId="34" borderId="0" xfId="0" applyNumberFormat="1" applyFont="1" applyFill="1" applyAlignment="1">
      <alignment horizontal="center" vertical="center"/>
    </xf>
    <xf numFmtId="10" fontId="80" fillId="35" borderId="0" xfId="0" applyNumberFormat="1" applyFont="1" applyFill="1" applyAlignment="1">
      <alignment horizontal="center" vertical="center"/>
    </xf>
    <xf numFmtId="10" fontId="80" fillId="36" borderId="0" xfId="0" applyNumberFormat="1" applyFont="1" applyFill="1" applyAlignment="1">
      <alignment horizontal="center" vertical="center"/>
    </xf>
    <xf numFmtId="10" fontId="80" fillId="8" borderId="0" xfId="0" applyNumberFormat="1" applyFont="1" applyFill="1" applyAlignment="1">
      <alignment horizontal="center" vertical="center"/>
    </xf>
    <xf numFmtId="10" fontId="4" fillId="36" borderId="0" xfId="0" applyNumberFormat="1" applyFont="1" applyFill="1" applyAlignment="1">
      <alignment horizontal="center" vertical="center"/>
    </xf>
    <xf numFmtId="10" fontId="4" fillId="35" borderId="0" xfId="0" applyNumberFormat="1" applyFont="1" applyFill="1" applyAlignment="1">
      <alignment horizontal="center" vertical="center"/>
    </xf>
    <xf numFmtId="10" fontId="4" fillId="34" borderId="0" xfId="0" applyNumberFormat="1" applyFont="1" applyFill="1" applyAlignment="1">
      <alignment horizontal="center" vertical="center"/>
    </xf>
    <xf numFmtId="10" fontId="4" fillId="8" borderId="0" xfId="0" applyNumberFormat="1" applyFont="1" applyFill="1" applyAlignment="1">
      <alignment horizontal="center" vertical="center"/>
    </xf>
    <xf numFmtId="9" fontId="4" fillId="36" borderId="0" xfId="0" applyNumberFormat="1" applyFont="1" applyFill="1" applyAlignment="1">
      <alignment horizontal="center" vertical="center"/>
    </xf>
    <xf numFmtId="9" fontId="4" fillId="34" borderId="0" xfId="0" applyNumberFormat="1" applyFont="1" applyFill="1" applyAlignment="1">
      <alignment horizontal="center" vertical="center"/>
    </xf>
    <xf numFmtId="10" fontId="0" fillId="3" borderId="0" xfId="0" applyNumberFormat="1" applyFill="1"/>
    <xf numFmtId="190" fontId="20" fillId="0" borderId="0" xfId="0" applyNumberFormat="1" applyFont="1" applyAlignment="1">
      <alignment horizontal="center"/>
    </xf>
    <xf numFmtId="175" fontId="20" fillId="0" borderId="0" xfId="0" applyNumberFormat="1" applyFont="1"/>
    <xf numFmtId="0" fontId="49" fillId="0" borderId="0" xfId="0" applyFont="1" applyAlignment="1" applyProtection="1">
      <alignment wrapText="1"/>
      <protection hidden="1"/>
    </xf>
    <xf numFmtId="0" fontId="65" fillId="6" borderId="0" xfId="0" applyFont="1" applyFill="1" applyAlignment="1" applyProtection="1">
      <alignment horizontal="left"/>
      <protection hidden="1"/>
    </xf>
    <xf numFmtId="0" fontId="72" fillId="0" borderId="0" xfId="0" applyFont="1" applyProtection="1">
      <protection hidden="1"/>
    </xf>
    <xf numFmtId="10" fontId="56" fillId="0" borderId="0" xfId="2" applyNumberFormat="1" applyFont="1" applyAlignment="1" applyProtection="1">
      <alignment horizontal="left"/>
      <protection hidden="1"/>
    </xf>
    <xf numFmtId="165" fontId="56" fillId="0" borderId="0" xfId="1" applyNumberFormat="1" applyFont="1" applyAlignment="1" applyProtection="1">
      <alignment horizontal="left"/>
      <protection hidden="1"/>
    </xf>
    <xf numFmtId="0" fontId="4" fillId="0" borderId="0" xfId="0" applyFont="1" applyAlignment="1" applyProtection="1">
      <alignment horizontal="left"/>
      <protection hidden="1"/>
    </xf>
    <xf numFmtId="44" fontId="65" fillId="6" borderId="2" xfId="1" applyFont="1" applyFill="1" applyBorder="1" applyAlignment="1" applyProtection="1">
      <alignment horizontal="right"/>
      <protection hidden="1"/>
    </xf>
    <xf numFmtId="0" fontId="86" fillId="0" borderId="54" xfId="0" applyFont="1" applyBorder="1" applyAlignment="1">
      <alignment vertical="center" wrapText="1"/>
    </xf>
    <xf numFmtId="0" fontId="86" fillId="0" borderId="55" xfId="0" applyFont="1" applyBorder="1" applyAlignment="1">
      <alignment horizontal="justify" vertical="center" wrapText="1"/>
    </xf>
    <xf numFmtId="0" fontId="86" fillId="0" borderId="51" xfId="0" applyFont="1" applyBorder="1" applyAlignment="1">
      <alignment vertical="center" wrapText="1"/>
    </xf>
    <xf numFmtId="0" fontId="87" fillId="0" borderId="41" xfId="0" applyFont="1" applyBorder="1" applyAlignment="1">
      <alignment horizontal="justify" vertical="center" wrapText="1"/>
    </xf>
    <xf numFmtId="0" fontId="86" fillId="0" borderId="51" xfId="0" applyFont="1" applyBorder="1" applyAlignment="1">
      <alignment horizontal="justify" vertical="center" wrapText="1"/>
    </xf>
    <xf numFmtId="0" fontId="47" fillId="0" borderId="0" xfId="0" applyFont="1" applyAlignment="1" applyProtection="1">
      <alignment horizontal="center"/>
      <protection locked="0"/>
    </xf>
    <xf numFmtId="166" fontId="47" fillId="0" borderId="0" xfId="0" applyNumberFormat="1" applyFont="1" applyAlignment="1" applyProtection="1">
      <alignment horizontal="center"/>
      <protection hidden="1"/>
    </xf>
    <xf numFmtId="0" fontId="48" fillId="14" borderId="7" xfId="0" applyFont="1" applyFill="1" applyBorder="1" applyAlignment="1" applyProtection="1">
      <alignment horizontal="center"/>
      <protection hidden="1"/>
    </xf>
    <xf numFmtId="0" fontId="48" fillId="14" borderId="0" xfId="0" applyFont="1" applyFill="1" applyAlignment="1" applyProtection="1">
      <alignment horizontal="center"/>
      <protection hidden="1"/>
    </xf>
    <xf numFmtId="172" fontId="67" fillId="0" borderId="0" xfId="0" applyNumberFormat="1" applyFont="1" applyAlignment="1" applyProtection="1">
      <alignment horizontal="center"/>
      <protection locked="0" hidden="1"/>
    </xf>
    <xf numFmtId="0" fontId="64" fillId="6" borderId="0" xfId="0" applyFont="1" applyFill="1" applyAlignment="1" applyProtection="1">
      <alignment horizontal="center"/>
      <protection locked="0" hidden="1"/>
    </xf>
    <xf numFmtId="167" fontId="64" fillId="0" borderId="0" xfId="0" applyNumberFormat="1" applyFont="1" applyAlignment="1" applyProtection="1">
      <alignment horizontal="center" vertical="center"/>
      <protection hidden="1"/>
    </xf>
    <xf numFmtId="0" fontId="49" fillId="0" borderId="0" xfId="0" applyFont="1" applyAlignment="1" applyProtection="1">
      <alignment horizontal="right"/>
      <protection hidden="1"/>
    </xf>
    <xf numFmtId="0" fontId="67" fillId="0" borderId="0" xfId="0" applyFont="1" applyAlignment="1" applyProtection="1">
      <alignment horizontal="center"/>
      <protection hidden="1"/>
    </xf>
    <xf numFmtId="0" fontId="64" fillId="6" borderId="0" xfId="0" applyFont="1" applyFill="1" applyAlignment="1" applyProtection="1">
      <alignment horizontal="center"/>
      <protection hidden="1"/>
    </xf>
    <xf numFmtId="44" fontId="64" fillId="6" borderId="0" xfId="1" applyFont="1" applyFill="1" applyAlignment="1" applyProtection="1">
      <alignment horizontal="center"/>
      <protection locked="0" hidden="1"/>
    </xf>
    <xf numFmtId="0" fontId="6" fillId="0" borderId="0" xfId="0" applyFont="1" applyAlignment="1" applyProtection="1">
      <alignment horizontal="center"/>
      <protection hidden="1"/>
    </xf>
    <xf numFmtId="44" fontId="64" fillId="6" borderId="0" xfId="1" applyFont="1" applyFill="1" applyAlignment="1" applyProtection="1">
      <alignment horizontal="center"/>
      <protection hidden="1"/>
    </xf>
    <xf numFmtId="0" fontId="50" fillId="0" borderId="0" xfId="0" applyFont="1" applyAlignment="1" applyProtection="1">
      <alignment horizontal="left"/>
      <protection hidden="1"/>
    </xf>
    <xf numFmtId="0" fontId="50" fillId="0" borderId="0" xfId="0" applyFont="1" applyAlignment="1" applyProtection="1">
      <alignment horizontal="right"/>
      <protection hidden="1"/>
    </xf>
    <xf numFmtId="0" fontId="47" fillId="0" borderId="0" xfId="0" applyFont="1" applyAlignment="1" applyProtection="1">
      <alignment horizontal="center"/>
      <protection hidden="1"/>
    </xf>
    <xf numFmtId="0" fontId="6" fillId="6" borderId="0" xfId="0" applyFont="1" applyFill="1" applyAlignment="1" applyProtection="1">
      <alignment horizontal="center"/>
      <protection locked="0" hidden="1"/>
    </xf>
    <xf numFmtId="0" fontId="65" fillId="0" borderId="0" xfId="0" applyFont="1" applyAlignment="1" applyProtection="1">
      <alignment horizontal="right" vertical="center"/>
      <protection hidden="1"/>
    </xf>
    <xf numFmtId="0" fontId="65" fillId="0" borderId="42" xfId="0" applyFont="1" applyBorder="1" applyAlignment="1" applyProtection="1">
      <alignment horizontal="right" vertical="center"/>
      <protection hidden="1"/>
    </xf>
    <xf numFmtId="9" fontId="64" fillId="6" borderId="0" xfId="2" applyFont="1" applyFill="1" applyAlignment="1" applyProtection="1">
      <alignment horizontal="center"/>
      <protection locked="0" hidden="1"/>
    </xf>
    <xf numFmtId="10" fontId="75" fillId="6" borderId="0" xfId="2" applyNumberFormat="1" applyFont="1" applyFill="1" applyAlignment="1" applyProtection="1">
      <alignment horizontal="center"/>
      <protection locked="0" hidden="1"/>
    </xf>
    <xf numFmtId="0" fontId="85" fillId="0" borderId="0" xfId="0" applyFont="1" applyAlignment="1" applyProtection="1">
      <alignment horizontal="left" vertical="center" wrapText="1"/>
      <protection hidden="1"/>
    </xf>
    <xf numFmtId="0" fontId="50" fillId="28" borderId="0" xfId="0" applyFont="1" applyFill="1" applyAlignment="1" applyProtection="1">
      <alignment horizontal="right"/>
      <protection hidden="1"/>
    </xf>
    <xf numFmtId="0" fontId="50" fillId="12" borderId="15" xfId="0" applyFont="1" applyFill="1" applyBorder="1" applyAlignment="1" applyProtection="1">
      <alignment horizontal="right"/>
      <protection hidden="1"/>
    </xf>
    <xf numFmtId="0" fontId="49" fillId="0" borderId="0" xfId="0" applyFont="1" applyAlignment="1" applyProtection="1">
      <alignment horizontal="center"/>
      <protection hidden="1"/>
    </xf>
    <xf numFmtId="0" fontId="85" fillId="0" borderId="0" xfId="0" applyFont="1" applyAlignment="1" applyProtection="1">
      <alignment horizontal="left" wrapText="1"/>
      <protection hidden="1"/>
    </xf>
    <xf numFmtId="0" fontId="48" fillId="0" borderId="0" xfId="0" applyFont="1" applyAlignment="1" applyProtection="1">
      <alignment horizontal="center"/>
      <protection hidden="1"/>
    </xf>
    <xf numFmtId="0" fontId="47" fillId="0" borderId="0" xfId="0" applyFont="1" applyAlignment="1" applyProtection="1">
      <alignment horizontal="left" wrapText="1"/>
      <protection hidden="1"/>
    </xf>
    <xf numFmtId="0" fontId="47" fillId="0" borderId="40" xfId="0" applyFont="1" applyBorder="1" applyAlignment="1" applyProtection="1">
      <alignment horizontal="left" wrapText="1"/>
      <protection hidden="1"/>
    </xf>
    <xf numFmtId="168" fontId="64" fillId="15" borderId="0" xfId="2" applyNumberFormat="1" applyFont="1" applyFill="1" applyAlignment="1" applyProtection="1">
      <alignment horizontal="center"/>
      <protection locked="0" hidden="1"/>
    </xf>
    <xf numFmtId="4" fontId="50" fillId="0" borderId="0" xfId="0" applyNumberFormat="1" applyFont="1" applyAlignment="1" applyProtection="1">
      <alignment horizontal="center"/>
      <protection hidden="1"/>
    </xf>
    <xf numFmtId="0" fontId="65" fillId="0" borderId="0" xfId="0" applyFont="1" applyAlignment="1" applyProtection="1">
      <alignment horizontal="center" vertical="center"/>
      <protection hidden="1"/>
    </xf>
    <xf numFmtId="0" fontId="65" fillId="0" borderId="0" xfId="0" applyFont="1" applyAlignment="1" applyProtection="1">
      <alignment horizontal="right"/>
      <protection hidden="1"/>
    </xf>
    <xf numFmtId="4" fontId="65" fillId="0" borderId="0" xfId="0" applyNumberFormat="1" applyFont="1" applyAlignment="1" applyProtection="1">
      <alignment horizontal="left"/>
      <protection hidden="1"/>
    </xf>
    <xf numFmtId="0" fontId="65" fillId="6" borderId="2" xfId="0" applyFont="1" applyFill="1" applyBorder="1" applyAlignment="1" applyProtection="1">
      <alignment horizontal="right"/>
      <protection hidden="1"/>
    </xf>
    <xf numFmtId="0" fontId="65" fillId="12" borderId="5" xfId="0" applyFont="1" applyFill="1" applyBorder="1" applyAlignment="1" applyProtection="1">
      <alignment horizontal="center" vertical="center"/>
      <protection locked="0" hidden="1"/>
    </xf>
    <xf numFmtId="0" fontId="65" fillId="12" borderId="6" xfId="0" applyFont="1" applyFill="1" applyBorder="1" applyAlignment="1" applyProtection="1">
      <alignment horizontal="center" vertical="center"/>
      <protection locked="0" hidden="1"/>
    </xf>
    <xf numFmtId="0" fontId="50" fillId="0" borderId="0" xfId="0" applyFont="1" applyAlignment="1" applyProtection="1">
      <alignment horizontal="center" vertical="center"/>
      <protection hidden="1"/>
    </xf>
    <xf numFmtId="0" fontId="0" fillId="0" borderId="0" xfId="0" applyAlignment="1">
      <alignment horizontal="center"/>
    </xf>
    <xf numFmtId="0" fontId="0" fillId="3" borderId="0" xfId="0" applyFill="1" applyAlignment="1">
      <alignment horizontal="center"/>
    </xf>
    <xf numFmtId="0" fontId="6" fillId="0" borderId="0" xfId="0" applyFont="1" applyAlignment="1" applyProtection="1">
      <alignment horizontal="left" vertical="center" wrapText="1"/>
      <protection hidden="1"/>
    </xf>
    <xf numFmtId="0" fontId="50" fillId="25" borderId="5" xfId="0" applyFont="1" applyFill="1" applyBorder="1" applyAlignment="1" applyProtection="1">
      <alignment horizontal="center" vertical="center"/>
      <protection hidden="1"/>
    </xf>
    <xf numFmtId="0" fontId="50" fillId="25" borderId="2" xfId="0" applyFont="1" applyFill="1" applyBorder="1" applyAlignment="1" applyProtection="1">
      <alignment horizontal="center" vertical="center"/>
      <protection hidden="1"/>
    </xf>
    <xf numFmtId="0" fontId="50" fillId="25" borderId="6" xfId="0" applyFont="1" applyFill="1" applyBorder="1" applyAlignment="1" applyProtection="1">
      <alignment horizontal="center" vertical="center"/>
      <protection hidden="1"/>
    </xf>
    <xf numFmtId="0" fontId="5" fillId="13" borderId="4" xfId="23" applyFont="1" applyFill="1" applyBorder="1" applyAlignment="1" applyProtection="1">
      <alignment horizontal="left" vertical="center" wrapText="1"/>
      <protection hidden="1"/>
    </xf>
    <xf numFmtId="0" fontId="5" fillId="13" borderId="9" xfId="23" applyFont="1" applyFill="1" applyBorder="1" applyAlignment="1" applyProtection="1">
      <alignment horizontal="left" vertical="center" wrapText="1"/>
      <protection hidden="1"/>
    </xf>
    <xf numFmtId="165" fontId="5" fillId="13" borderId="9" xfId="4" quotePrefix="1" applyNumberFormat="1" applyFont="1" applyFill="1" applyBorder="1" applyAlignment="1" applyProtection="1">
      <alignment horizontal="left" vertical="center" wrapText="1"/>
      <protection hidden="1"/>
    </xf>
    <xf numFmtId="165" fontId="0" fillId="0" borderId="9" xfId="0" applyNumberFormat="1" applyBorder="1" applyAlignment="1">
      <alignment horizontal="left" vertical="center" wrapText="1"/>
    </xf>
    <xf numFmtId="0" fontId="5" fillId="0" borderId="9" xfId="23" applyFont="1" applyBorder="1" applyAlignment="1" applyProtection="1">
      <alignment horizontal="center" vertical="center" wrapText="1"/>
      <protection hidden="1"/>
    </xf>
    <xf numFmtId="0" fontId="5" fillId="0" borderId="4" xfId="23" applyFont="1" applyBorder="1" applyAlignment="1" applyProtection="1">
      <alignment horizontal="left" vertical="center" wrapText="1"/>
      <protection hidden="1"/>
    </xf>
    <xf numFmtId="0" fontId="5" fillId="0" borderId="9" xfId="23" applyFont="1" applyBorder="1" applyAlignment="1" applyProtection="1">
      <alignment horizontal="left" vertical="center" wrapText="1"/>
      <protection hidden="1"/>
    </xf>
    <xf numFmtId="0" fontId="29" fillId="24" borderId="8" xfId="23" applyFont="1" applyFill="1" applyBorder="1" applyAlignment="1" applyProtection="1">
      <alignment horizontal="left" vertical="center" wrapText="1"/>
      <protection hidden="1"/>
    </xf>
    <xf numFmtId="0" fontId="29" fillId="24" borderId="4" xfId="23" applyFont="1" applyFill="1" applyBorder="1" applyAlignment="1" applyProtection="1">
      <alignment horizontal="left" vertical="center" wrapText="1"/>
      <protection hidden="1"/>
    </xf>
    <xf numFmtId="0" fontId="29" fillId="24" borderId="5" xfId="23" applyFont="1" applyFill="1" applyBorder="1" applyAlignment="1" applyProtection="1">
      <alignment horizontal="center" vertical="center" wrapText="1"/>
      <protection hidden="1"/>
    </xf>
    <xf numFmtId="0" fontId="29" fillId="24" borderId="30" xfId="23" applyFont="1" applyFill="1" applyBorder="1" applyAlignment="1" applyProtection="1">
      <alignment horizontal="center" vertical="center" wrapText="1"/>
      <protection hidden="1"/>
    </xf>
    <xf numFmtId="0" fontId="29" fillId="0" borderId="26" xfId="23" applyFont="1" applyBorder="1" applyAlignment="1" applyProtection="1">
      <alignment horizontal="center" vertical="center" wrapText="1"/>
      <protection hidden="1"/>
    </xf>
    <xf numFmtId="0" fontId="29" fillId="0" borderId="27" xfId="23" applyFont="1" applyBorder="1" applyAlignment="1" applyProtection="1">
      <alignment horizontal="center" vertical="center" wrapText="1"/>
      <protection hidden="1"/>
    </xf>
    <xf numFmtId="0" fontId="29" fillId="0" borderId="28" xfId="23" applyFont="1" applyBorder="1" applyAlignment="1" applyProtection="1">
      <alignment horizontal="center" vertical="center" wrapText="1"/>
      <protection hidden="1"/>
    </xf>
    <xf numFmtId="0" fontId="30" fillId="23" borderId="29" xfId="24" applyFont="1" applyFill="1" applyBorder="1" applyAlignment="1" applyProtection="1">
      <alignment horizontal="right" vertical="center"/>
      <protection hidden="1"/>
    </xf>
    <xf numFmtId="0" fontId="30" fillId="23" borderId="2" xfId="24" applyFont="1" applyFill="1" applyBorder="1" applyAlignment="1" applyProtection="1">
      <alignment horizontal="right" vertical="center"/>
      <protection hidden="1"/>
    </xf>
    <xf numFmtId="0" fontId="5" fillId="13" borderId="31" xfId="23" applyFont="1" applyFill="1" applyBorder="1" applyAlignment="1" applyProtection="1">
      <alignment horizontal="justify" vertical="center" wrapText="1"/>
      <protection hidden="1"/>
    </xf>
    <xf numFmtId="0" fontId="5" fillId="13" borderId="0" xfId="23" applyFont="1" applyFill="1" applyAlignment="1" applyProtection="1">
      <alignment horizontal="justify" vertical="center" wrapText="1"/>
      <protection hidden="1"/>
    </xf>
    <xf numFmtId="0" fontId="5" fillId="13" borderId="32" xfId="23" applyFont="1" applyFill="1" applyBorder="1" applyAlignment="1" applyProtection="1">
      <alignment horizontal="justify" vertical="center" wrapText="1"/>
      <protection hidden="1"/>
    </xf>
    <xf numFmtId="0" fontId="32" fillId="13" borderId="31" xfId="24" applyFont="1" applyFill="1" applyBorder="1" applyAlignment="1" applyProtection="1">
      <alignment horizontal="center" vertical="center"/>
      <protection locked="0"/>
    </xf>
    <xf numFmtId="0" fontId="32" fillId="13" borderId="0" xfId="24" applyFont="1" applyFill="1" applyAlignment="1" applyProtection="1">
      <alignment horizontal="center" vertical="center"/>
      <protection locked="0"/>
    </xf>
    <xf numFmtId="0" fontId="32" fillId="13" borderId="0" xfId="24" applyFont="1" applyFill="1" applyAlignment="1" applyProtection="1">
      <alignment horizontal="justify" vertical="center"/>
      <protection locked="0"/>
    </xf>
    <xf numFmtId="0" fontId="32" fillId="13" borderId="32" xfId="24" applyFont="1" applyFill="1" applyBorder="1" applyAlignment="1" applyProtection="1">
      <alignment horizontal="justify" vertical="center"/>
      <protection locked="0"/>
    </xf>
    <xf numFmtId="0" fontId="5" fillId="13" borderId="31" xfId="9" applyFont="1" applyFill="1" applyBorder="1" applyAlignment="1" applyProtection="1">
      <alignment horizontal="justify" vertical="center" wrapText="1"/>
      <protection hidden="1"/>
    </xf>
    <xf numFmtId="0" fontId="5" fillId="13" borderId="0" xfId="9" applyFont="1" applyFill="1" applyAlignment="1" applyProtection="1">
      <alignment horizontal="justify" vertical="center" wrapText="1"/>
      <protection hidden="1"/>
    </xf>
    <xf numFmtId="0" fontId="5" fillId="13" borderId="32" xfId="9" applyFont="1" applyFill="1" applyBorder="1" applyAlignment="1" applyProtection="1">
      <alignment horizontal="justify" vertical="center" wrapText="1"/>
      <protection hidden="1"/>
    </xf>
    <xf numFmtId="0" fontId="29" fillId="24" borderId="29" xfId="23" applyFont="1" applyFill="1" applyBorder="1" applyAlignment="1" applyProtection="1">
      <alignment horizontal="left" vertical="center" wrapText="1"/>
      <protection hidden="1"/>
    </xf>
    <xf numFmtId="0" fontId="29" fillId="24" borderId="6" xfId="23" applyFont="1" applyFill="1" applyBorder="1" applyAlignment="1" applyProtection="1">
      <alignment horizontal="left" vertical="center" wrapText="1"/>
      <protection hidden="1"/>
    </xf>
    <xf numFmtId="0" fontId="33" fillId="23" borderId="5" xfId="23" applyFont="1" applyFill="1" applyBorder="1" applyAlignment="1" applyProtection="1">
      <alignment horizontal="center" vertical="center" wrapText="1"/>
      <protection hidden="1"/>
    </xf>
    <xf numFmtId="0" fontId="33" fillId="23" borderId="30" xfId="23" applyFont="1" applyFill="1" applyBorder="1" applyAlignment="1" applyProtection="1">
      <alignment horizontal="center" vertical="center" wrapText="1"/>
      <protection hidden="1"/>
    </xf>
    <xf numFmtId="168" fontId="34" fillId="13" borderId="20" xfId="4" applyNumberFormat="1" applyFont="1" applyFill="1" applyBorder="1" applyAlignment="1" applyProtection="1">
      <alignment horizontal="right" vertical="center" wrapText="1"/>
      <protection hidden="1"/>
    </xf>
    <xf numFmtId="168" fontId="34" fillId="13" borderId="7" xfId="4" applyNumberFormat="1" applyFont="1" applyFill="1" applyBorder="1" applyAlignment="1" applyProtection="1">
      <alignment horizontal="right" vertical="center" wrapText="1"/>
      <protection hidden="1"/>
    </xf>
    <xf numFmtId="168" fontId="34" fillId="13" borderId="22" xfId="4" applyNumberFormat="1" applyFont="1" applyFill="1" applyBorder="1" applyAlignment="1" applyProtection="1">
      <alignment horizontal="right" vertical="center" wrapText="1"/>
      <protection hidden="1"/>
    </xf>
    <xf numFmtId="0" fontId="35" fillId="0" borderId="33" xfId="23" applyFont="1" applyBorder="1" applyAlignment="1" applyProtection="1">
      <alignment horizontal="left" vertical="center" wrapText="1"/>
      <protection hidden="1"/>
    </xf>
    <xf numFmtId="0" fontId="35" fillId="0" borderId="32" xfId="23" applyFont="1" applyBorder="1" applyAlignment="1" applyProtection="1">
      <alignment horizontal="left" vertical="center" wrapText="1"/>
      <protection hidden="1"/>
    </xf>
    <xf numFmtId="0" fontId="35" fillId="0" borderId="35" xfId="23" applyFont="1" applyBorder="1" applyAlignment="1" applyProtection="1">
      <alignment horizontal="left" vertical="center" wrapText="1"/>
      <protection hidden="1"/>
    </xf>
    <xf numFmtId="0" fontId="5" fillId="13" borderId="31" xfId="23" applyFont="1" applyFill="1" applyBorder="1" applyAlignment="1" applyProtection="1">
      <alignment horizontal="left" vertical="center" wrapText="1"/>
      <protection hidden="1"/>
    </xf>
    <xf numFmtId="0" fontId="5" fillId="13" borderId="0" xfId="23" applyFont="1" applyFill="1" applyAlignment="1" applyProtection="1">
      <alignment horizontal="left" vertical="center" wrapText="1"/>
      <protection hidden="1"/>
    </xf>
    <xf numFmtId="0" fontId="5" fillId="13" borderId="32" xfId="23" applyFont="1" applyFill="1" applyBorder="1" applyAlignment="1" applyProtection="1">
      <alignment horizontal="left" vertical="center" wrapText="1"/>
      <protection hidden="1"/>
    </xf>
    <xf numFmtId="0" fontId="5" fillId="0" borderId="34" xfId="23" applyFont="1" applyBorder="1" applyAlignment="1" applyProtection="1">
      <alignment horizontal="left" vertical="center" wrapText="1"/>
      <protection hidden="1"/>
    </xf>
    <xf numFmtId="0" fontId="5" fillId="0" borderId="10" xfId="23" applyFont="1" applyBorder="1" applyAlignment="1" applyProtection="1">
      <alignment horizontal="left" vertical="center" wrapText="1"/>
      <protection hidden="1"/>
    </xf>
    <xf numFmtId="165" fontId="30" fillId="13" borderId="21" xfId="3" quotePrefix="1" applyNumberFormat="1" applyFont="1" applyFill="1" applyBorder="1" applyAlignment="1" applyProtection="1">
      <alignment horizontal="left" vertical="center" wrapText="1"/>
      <protection hidden="1"/>
    </xf>
    <xf numFmtId="0" fontId="0" fillId="0" borderId="11" xfId="0" applyBorder="1" applyAlignment="1">
      <alignment horizontal="left" vertical="center" wrapText="1"/>
    </xf>
    <xf numFmtId="0" fontId="5" fillId="0" borderId="5" xfId="23" applyFont="1" applyBorder="1" applyAlignment="1" applyProtection="1">
      <alignment horizontal="left" vertical="center" wrapText="1"/>
      <protection hidden="1"/>
    </xf>
    <xf numFmtId="0" fontId="5" fillId="0" borderId="30" xfId="23" applyFont="1" applyBorder="1" applyAlignment="1" applyProtection="1">
      <alignment horizontal="left" vertical="center" wrapText="1"/>
      <protection hidden="1"/>
    </xf>
    <xf numFmtId="0" fontId="29" fillId="24" borderId="20" xfId="23" applyFont="1" applyFill="1" applyBorder="1" applyAlignment="1" applyProtection="1">
      <alignment horizontal="left" vertical="center" wrapText="1"/>
      <protection hidden="1"/>
    </xf>
    <xf numFmtId="0" fontId="29" fillId="24" borderId="33" xfId="23" applyFont="1" applyFill="1" applyBorder="1" applyAlignment="1" applyProtection="1">
      <alignment horizontal="left" vertical="center" wrapText="1"/>
      <protection hidden="1"/>
    </xf>
    <xf numFmtId="40" fontId="5" fillId="13" borderId="7" xfId="23" quotePrefix="1" applyNumberFormat="1" applyFont="1" applyFill="1" applyBorder="1" applyAlignment="1" applyProtection="1">
      <alignment horizontal="left" vertical="center" wrapText="1"/>
      <protection hidden="1"/>
    </xf>
    <xf numFmtId="165" fontId="30" fillId="13" borderId="33" xfId="3" quotePrefix="1" applyNumberFormat="1" applyFont="1" applyFill="1" applyBorder="1" applyAlignment="1" applyProtection="1">
      <alignment horizontal="left" vertical="center" wrapText="1" indent="2"/>
      <protection hidden="1"/>
    </xf>
    <xf numFmtId="165" fontId="0" fillId="0" borderId="35" xfId="0" applyNumberFormat="1" applyBorder="1" applyAlignment="1">
      <alignment horizontal="left" vertical="center" wrapText="1" indent="2"/>
    </xf>
    <xf numFmtId="0" fontId="5" fillId="13" borderId="31" xfId="24" applyFont="1" applyFill="1" applyBorder="1" applyAlignment="1" applyProtection="1">
      <alignment horizontal="left" vertical="top" wrapText="1"/>
      <protection hidden="1"/>
    </xf>
    <xf numFmtId="0" fontId="5" fillId="13" borderId="0" xfId="24" applyFont="1" applyFill="1" applyAlignment="1" applyProtection="1">
      <alignment horizontal="left" vertical="top" wrapText="1"/>
      <protection hidden="1"/>
    </xf>
    <xf numFmtId="0" fontId="5" fillId="13" borderId="32" xfId="24" applyFont="1" applyFill="1" applyBorder="1" applyAlignment="1" applyProtection="1">
      <alignment horizontal="left" vertical="top" wrapText="1"/>
      <protection hidden="1"/>
    </xf>
    <xf numFmtId="0" fontId="5" fillId="13" borderId="38" xfId="24" applyFont="1" applyFill="1" applyBorder="1" applyAlignment="1" applyProtection="1">
      <alignment horizontal="left" vertical="top" wrapText="1"/>
      <protection hidden="1"/>
    </xf>
    <xf numFmtId="0" fontId="5" fillId="13" borderId="25" xfId="24" applyFont="1" applyFill="1" applyBorder="1" applyAlignment="1" applyProtection="1">
      <alignment horizontal="left" vertical="top" wrapText="1"/>
      <protection hidden="1"/>
    </xf>
    <xf numFmtId="0" fontId="5" fillId="13" borderId="35" xfId="24" applyFont="1" applyFill="1" applyBorder="1" applyAlignment="1" applyProtection="1">
      <alignment horizontal="left" vertical="top" wrapText="1"/>
      <protection hidden="1"/>
    </xf>
    <xf numFmtId="0" fontId="29" fillId="13" borderId="29" xfId="23" applyFont="1" applyFill="1" applyBorder="1" applyAlignment="1" applyProtection="1">
      <alignment horizontal="justify" vertical="center" wrapText="1"/>
      <protection hidden="1"/>
    </xf>
    <xf numFmtId="0" fontId="29" fillId="13" borderId="2" xfId="23" applyFont="1" applyFill="1" applyBorder="1" applyAlignment="1" applyProtection="1">
      <alignment horizontal="justify" vertical="center" wrapText="1"/>
      <protection hidden="1"/>
    </xf>
    <xf numFmtId="0" fontId="29" fillId="13" borderId="30" xfId="23" applyFont="1" applyFill="1" applyBorder="1" applyAlignment="1" applyProtection="1">
      <alignment horizontal="justify" vertical="center" wrapText="1"/>
      <protection hidden="1"/>
    </xf>
    <xf numFmtId="0" fontId="5" fillId="0" borderId="8" xfId="23" applyFont="1" applyBorder="1" applyAlignment="1" applyProtection="1">
      <alignment horizontal="left" vertical="center" wrapText="1"/>
      <protection hidden="1"/>
    </xf>
    <xf numFmtId="0" fontId="30" fillId="0" borderId="4" xfId="23" applyFont="1" applyBorder="1" applyAlignment="1" applyProtection="1">
      <alignment horizontal="left" vertical="center" wrapText="1"/>
      <protection hidden="1"/>
    </xf>
    <xf numFmtId="0" fontId="5" fillId="0" borderId="4" xfId="23" applyFont="1" applyBorder="1" applyAlignment="1" applyProtection="1">
      <alignment horizontal="center" vertical="center" wrapText="1"/>
      <protection hidden="1"/>
    </xf>
    <xf numFmtId="0" fontId="5" fillId="0" borderId="36" xfId="23" applyFont="1" applyBorder="1" applyAlignment="1" applyProtection="1">
      <alignment horizontal="left" vertical="center" wrapText="1"/>
      <protection hidden="1"/>
    </xf>
    <xf numFmtId="0" fontId="5" fillId="0" borderId="21" xfId="3" applyNumberFormat="1" applyFont="1" applyFill="1" applyBorder="1" applyAlignment="1" applyProtection="1">
      <alignment horizontal="left" vertical="center" wrapText="1"/>
      <protection hidden="1"/>
    </xf>
    <xf numFmtId="0" fontId="5" fillId="0" borderId="23" xfId="3" applyNumberFormat="1" applyFont="1" applyFill="1" applyBorder="1" applyAlignment="1" applyProtection="1">
      <alignment horizontal="left" vertical="center" wrapText="1"/>
      <protection hidden="1"/>
    </xf>
    <xf numFmtId="0" fontId="5" fillId="13" borderId="37" xfId="9" applyFont="1" applyFill="1" applyBorder="1" applyAlignment="1" applyProtection="1">
      <alignment horizontal="justify" vertical="center" wrapText="1"/>
      <protection hidden="1"/>
    </xf>
    <xf numFmtId="0" fontId="5" fillId="13" borderId="24" xfId="9" applyFont="1" applyFill="1" applyBorder="1" applyAlignment="1" applyProtection="1">
      <alignment horizontal="justify" vertical="center" wrapText="1"/>
      <protection hidden="1"/>
    </xf>
    <xf numFmtId="0" fontId="5" fillId="13" borderId="33" xfId="9" applyFont="1" applyFill="1" applyBorder="1" applyAlignment="1" applyProtection="1">
      <alignment horizontal="justify" vertical="center" wrapText="1"/>
      <protection hidden="1"/>
    </xf>
    <xf numFmtId="0" fontId="5" fillId="13" borderId="38" xfId="9" applyFont="1" applyFill="1" applyBorder="1" applyAlignment="1" applyProtection="1">
      <alignment horizontal="justify" vertical="center" wrapText="1"/>
      <protection hidden="1"/>
    </xf>
    <xf numFmtId="0" fontId="5" fillId="13" borderId="25" xfId="9" applyFont="1" applyFill="1" applyBorder="1" applyAlignment="1" applyProtection="1">
      <alignment horizontal="justify" vertical="center" wrapText="1"/>
      <protection hidden="1"/>
    </xf>
    <xf numFmtId="0" fontId="5" fillId="13" borderId="35" xfId="9" applyFont="1" applyFill="1" applyBorder="1" applyAlignment="1" applyProtection="1">
      <alignment horizontal="justify" vertical="center" wrapText="1"/>
      <protection hidden="1"/>
    </xf>
    <xf numFmtId="0" fontId="5" fillId="0" borderId="31" xfId="24" applyFont="1" applyBorder="1" applyAlignment="1" applyProtection="1">
      <alignment horizontal="justify" vertical="top" wrapText="1"/>
      <protection hidden="1"/>
    </xf>
    <xf numFmtId="0" fontId="5" fillId="0" borderId="0" xfId="24" applyFont="1" applyAlignment="1" applyProtection="1">
      <alignment horizontal="justify" vertical="top" wrapText="1"/>
      <protection hidden="1"/>
    </xf>
    <xf numFmtId="0" fontId="5" fillId="0" borderId="32" xfId="24" applyFont="1" applyBorder="1" applyAlignment="1" applyProtection="1">
      <alignment horizontal="justify" vertical="top" wrapText="1"/>
      <protection hidden="1"/>
    </xf>
    <xf numFmtId="0" fontId="5" fillId="0" borderId="31" xfId="24" applyFont="1" applyBorder="1" applyAlignment="1" applyProtection="1">
      <alignment vertical="top" wrapText="1"/>
      <protection hidden="1"/>
    </xf>
    <xf numFmtId="0" fontId="0" fillId="0" borderId="0" xfId="0" applyAlignment="1">
      <alignment vertical="top" wrapText="1"/>
    </xf>
    <xf numFmtId="0" fontId="0" fillId="0" borderId="32" xfId="0" applyBorder="1" applyAlignment="1">
      <alignment vertical="top" wrapText="1"/>
    </xf>
    <xf numFmtId="0" fontId="0" fillId="0" borderId="31" xfId="0" applyBorder="1" applyAlignment="1">
      <alignment vertical="top" wrapText="1"/>
    </xf>
    <xf numFmtId="0" fontId="0" fillId="0" borderId="38" xfId="0" applyBorder="1" applyAlignment="1">
      <alignment vertical="top" wrapText="1"/>
    </xf>
    <xf numFmtId="0" fontId="0" fillId="0" borderId="25" xfId="0" applyBorder="1" applyAlignment="1">
      <alignment vertical="top" wrapText="1"/>
    </xf>
    <xf numFmtId="0" fontId="0" fillId="0" borderId="35" xfId="0" applyBorder="1" applyAlignment="1">
      <alignment vertical="top" wrapText="1"/>
    </xf>
    <xf numFmtId="0" fontId="29" fillId="13" borderId="31" xfId="23" applyFont="1" applyFill="1" applyBorder="1" applyAlignment="1" applyProtection="1">
      <alignment horizontal="justify" vertical="center" wrapText="1"/>
      <protection hidden="1"/>
    </xf>
    <xf numFmtId="0" fontId="29" fillId="13" borderId="0" xfId="23" applyFont="1" applyFill="1" applyAlignment="1" applyProtection="1">
      <alignment horizontal="justify" vertical="center" wrapText="1"/>
      <protection hidden="1"/>
    </xf>
    <xf numFmtId="0" fontId="29" fillId="13" borderId="32" xfId="23" applyFont="1" applyFill="1" applyBorder="1" applyAlignment="1" applyProtection="1">
      <alignment horizontal="justify" vertical="center" wrapText="1"/>
      <protection hidden="1"/>
    </xf>
    <xf numFmtId="0" fontId="29" fillId="13" borderId="38" xfId="23" applyFont="1" applyFill="1" applyBorder="1" applyAlignment="1" applyProtection="1">
      <alignment horizontal="justify" vertical="center" wrapText="1"/>
      <protection hidden="1"/>
    </xf>
    <xf numFmtId="0" fontId="29" fillId="13" borderId="25" xfId="23" applyFont="1" applyFill="1" applyBorder="1" applyAlignment="1" applyProtection="1">
      <alignment horizontal="justify" vertical="center" wrapText="1"/>
      <protection hidden="1"/>
    </xf>
    <xf numFmtId="0" fontId="29" fillId="13" borderId="35" xfId="23" applyFont="1" applyFill="1" applyBorder="1" applyAlignment="1" applyProtection="1">
      <alignment horizontal="justify" vertical="center" wrapText="1"/>
      <protection hidden="1"/>
    </xf>
    <xf numFmtId="0" fontId="5" fillId="13" borderId="37" xfId="23" applyFont="1" applyFill="1" applyBorder="1" applyAlignment="1" applyProtection="1">
      <alignment horizontal="justify" vertical="center" wrapText="1"/>
      <protection hidden="1"/>
    </xf>
    <xf numFmtId="0" fontId="5" fillId="13" borderId="24" xfId="23" applyFont="1" applyFill="1" applyBorder="1" applyAlignment="1" applyProtection="1">
      <alignment horizontal="justify" vertical="center" wrapText="1"/>
      <protection hidden="1"/>
    </xf>
    <xf numFmtId="0" fontId="5" fillId="13" borderId="33" xfId="23" applyFont="1" applyFill="1" applyBorder="1" applyAlignment="1" applyProtection="1">
      <alignment horizontal="justify" vertical="center" wrapText="1"/>
      <protection hidden="1"/>
    </xf>
    <xf numFmtId="0" fontId="5" fillId="13" borderId="38" xfId="23" applyFont="1" applyFill="1" applyBorder="1" applyAlignment="1" applyProtection="1">
      <alignment horizontal="justify" vertical="center" wrapText="1"/>
      <protection hidden="1"/>
    </xf>
    <xf numFmtId="0" fontId="5" fillId="13" borderId="25" xfId="23" applyFont="1" applyFill="1" applyBorder="1" applyAlignment="1" applyProtection="1">
      <alignment horizontal="justify" vertical="center" wrapText="1"/>
      <protection hidden="1"/>
    </xf>
    <xf numFmtId="0" fontId="5" fillId="13" borderId="35" xfId="23" applyFont="1" applyFill="1" applyBorder="1" applyAlignment="1" applyProtection="1">
      <alignment horizontal="justify" vertical="center" wrapText="1"/>
      <protection hidden="1"/>
    </xf>
    <xf numFmtId="0" fontId="5" fillId="13" borderId="31" xfId="23" applyFont="1" applyFill="1" applyBorder="1" applyAlignment="1" applyProtection="1">
      <alignment horizontal="center" vertical="center" wrapText="1"/>
      <protection hidden="1"/>
    </xf>
    <xf numFmtId="0" fontId="5" fillId="13" borderId="0" xfId="23" applyFont="1" applyFill="1" applyAlignment="1" applyProtection="1">
      <alignment horizontal="center" vertical="center" wrapText="1"/>
      <protection hidden="1"/>
    </xf>
    <xf numFmtId="0" fontId="5" fillId="13" borderId="32" xfId="23" applyFont="1" applyFill="1" applyBorder="1" applyAlignment="1" applyProtection="1">
      <alignment horizontal="center" vertical="center" wrapText="1"/>
      <protection hidden="1"/>
    </xf>
    <xf numFmtId="0" fontId="5" fillId="13" borderId="31" xfId="24" applyFont="1" applyFill="1" applyBorder="1" applyAlignment="1" applyProtection="1">
      <alignment horizontal="justify" vertical="center" wrapText="1"/>
      <protection hidden="1"/>
    </xf>
    <xf numFmtId="0" fontId="5" fillId="13" borderId="0" xfId="24" applyFont="1" applyFill="1" applyAlignment="1" applyProtection="1">
      <alignment horizontal="justify" vertical="center" wrapText="1"/>
      <protection hidden="1"/>
    </xf>
    <xf numFmtId="0" fontId="5" fillId="13" borderId="32" xfId="24" applyFont="1" applyFill="1" applyBorder="1" applyAlignment="1" applyProtection="1">
      <alignment horizontal="justify" vertical="center" wrapText="1"/>
      <protection hidden="1"/>
    </xf>
    <xf numFmtId="0" fontId="29" fillId="13" borderId="31" xfId="9" applyFont="1" applyFill="1" applyBorder="1" applyAlignment="1" applyProtection="1">
      <alignment horizontal="justify" vertical="center" wrapText="1"/>
      <protection hidden="1"/>
    </xf>
    <xf numFmtId="0" fontId="29" fillId="13" borderId="0" xfId="9" applyFont="1" applyFill="1" applyAlignment="1" applyProtection="1">
      <alignment horizontal="justify" vertical="center" wrapText="1"/>
      <protection hidden="1"/>
    </xf>
    <xf numFmtId="0" fontId="29" fillId="13" borderId="32" xfId="9" applyFont="1" applyFill="1" applyBorder="1" applyAlignment="1" applyProtection="1">
      <alignment horizontal="justify" vertical="center" wrapText="1"/>
      <protection hidden="1"/>
    </xf>
    <xf numFmtId="0" fontId="29" fillId="13" borderId="38" xfId="9" applyFont="1" applyFill="1" applyBorder="1" applyAlignment="1" applyProtection="1">
      <alignment horizontal="justify" vertical="center" wrapText="1"/>
      <protection hidden="1"/>
    </xf>
    <xf numFmtId="0" fontId="29" fillId="13" borderId="25" xfId="9" applyFont="1" applyFill="1" applyBorder="1" applyAlignment="1" applyProtection="1">
      <alignment horizontal="justify" vertical="center" wrapText="1"/>
      <protection hidden="1"/>
    </xf>
    <xf numFmtId="0" fontId="29" fillId="13" borderId="35" xfId="9" applyFont="1" applyFill="1" applyBorder="1" applyAlignment="1" applyProtection="1">
      <alignment horizontal="justify" vertical="center" wrapText="1"/>
      <protection hidden="1"/>
    </xf>
    <xf numFmtId="0" fontId="4" fillId="0" borderId="8" xfId="8" applyFont="1" applyBorder="1" applyAlignment="1" applyProtection="1">
      <alignment horizontal="justify" vertical="center" wrapText="1"/>
      <protection hidden="1"/>
    </xf>
    <xf numFmtId="0" fontId="4" fillId="0" borderId="4" xfId="8" applyFont="1" applyBorder="1" applyAlignment="1" applyProtection="1">
      <alignment horizontal="justify" vertical="center" wrapText="1"/>
      <protection hidden="1"/>
    </xf>
    <xf numFmtId="0" fontId="4" fillId="0" borderId="9" xfId="8" applyFont="1" applyBorder="1" applyAlignment="1" applyProtection="1">
      <alignment horizontal="justify" vertical="center" wrapText="1"/>
      <protection hidden="1"/>
    </xf>
    <xf numFmtId="0" fontId="5" fillId="0" borderId="31" xfId="24" applyFont="1" applyBorder="1" applyAlignment="1" applyProtection="1">
      <alignment horizontal="justify" vertical="center" wrapText="1"/>
      <protection hidden="1"/>
    </xf>
    <xf numFmtId="0" fontId="5" fillId="0" borderId="0" xfId="24" applyFont="1" applyAlignment="1" applyProtection="1">
      <alignment horizontal="justify" vertical="center" wrapText="1"/>
      <protection hidden="1"/>
    </xf>
    <xf numFmtId="0" fontId="5" fillId="0" borderId="32" xfId="24" applyFont="1" applyBorder="1" applyAlignment="1" applyProtection="1">
      <alignment horizontal="justify" vertical="center" wrapText="1"/>
      <protection hidden="1"/>
    </xf>
    <xf numFmtId="0" fontId="37" fillId="13" borderId="38" xfId="23" applyFont="1" applyFill="1" applyBorder="1" applyAlignment="1" applyProtection="1">
      <alignment horizontal="center" vertical="center" wrapText="1"/>
      <protection locked="0" hidden="1"/>
    </xf>
    <xf numFmtId="0" fontId="37" fillId="13" borderId="25" xfId="23" applyFont="1" applyFill="1" applyBorder="1" applyAlignment="1" applyProtection="1">
      <alignment horizontal="center" vertical="center" wrapText="1"/>
      <protection locked="0" hidden="1"/>
    </xf>
    <xf numFmtId="0" fontId="37" fillId="13" borderId="35" xfId="23" applyFont="1" applyFill="1" applyBorder="1" applyAlignment="1" applyProtection="1">
      <alignment horizontal="center" vertical="center" wrapText="1"/>
      <protection locked="0" hidden="1"/>
    </xf>
    <xf numFmtId="0" fontId="5" fillId="13" borderId="37" xfId="23" applyFont="1" applyFill="1" applyBorder="1" applyAlignment="1" applyProtection="1">
      <alignment horizontal="center" vertical="center" wrapText="1"/>
      <protection hidden="1"/>
    </xf>
    <xf numFmtId="0" fontId="5" fillId="13" borderId="24" xfId="23" applyFont="1" applyFill="1" applyBorder="1" applyAlignment="1" applyProtection="1">
      <alignment horizontal="center" vertical="center" wrapText="1"/>
      <protection hidden="1"/>
    </xf>
    <xf numFmtId="0" fontId="5" fillId="13" borderId="33" xfId="23" applyFont="1" applyFill="1" applyBorder="1" applyAlignment="1" applyProtection="1">
      <alignment horizontal="center" vertical="center" wrapText="1"/>
      <protection hidden="1"/>
    </xf>
    <xf numFmtId="0" fontId="31" fillId="13" borderId="31" xfId="23" applyFont="1" applyFill="1" applyBorder="1" applyAlignment="1" applyProtection="1">
      <alignment horizontal="center" vertical="center" wrapText="1"/>
      <protection hidden="1"/>
    </xf>
    <xf numFmtId="0" fontId="31" fillId="13" borderId="0" xfId="23" applyFont="1" applyFill="1" applyAlignment="1" applyProtection="1">
      <alignment horizontal="center" vertical="center" wrapText="1"/>
      <protection hidden="1"/>
    </xf>
    <xf numFmtId="0" fontId="31" fillId="13" borderId="32" xfId="23" applyFont="1" applyFill="1" applyBorder="1" applyAlignment="1" applyProtection="1">
      <alignment horizontal="center" vertical="center" wrapText="1"/>
      <protection hidden="1"/>
    </xf>
    <xf numFmtId="22" fontId="38" fillId="13" borderId="31" xfId="23" quotePrefix="1" applyNumberFormat="1" applyFont="1" applyFill="1" applyBorder="1" applyAlignment="1" applyProtection="1">
      <alignment horizontal="center" vertical="center" wrapText="1"/>
      <protection hidden="1"/>
    </xf>
    <xf numFmtId="0" fontId="38" fillId="13" borderId="0" xfId="23" applyFont="1" applyFill="1" applyAlignment="1" applyProtection="1">
      <alignment horizontal="center" vertical="center" wrapText="1"/>
      <protection hidden="1"/>
    </xf>
    <xf numFmtId="0" fontId="38" fillId="13" borderId="32" xfId="23" applyFont="1" applyFill="1" applyBorder="1" applyAlignment="1" applyProtection="1">
      <alignment horizontal="center" vertical="center" wrapText="1"/>
      <protection hidden="1"/>
    </xf>
    <xf numFmtId="0" fontId="29" fillId="0" borderId="31" xfId="24" applyFont="1" applyBorder="1" applyAlignment="1" applyProtection="1">
      <alignment horizontal="center" vertical="center" wrapText="1"/>
      <protection hidden="1"/>
    </xf>
    <xf numFmtId="0" fontId="29" fillId="0" borderId="0" xfId="24" applyFont="1" applyAlignment="1" applyProtection="1">
      <alignment horizontal="center" vertical="center" wrapText="1"/>
      <protection hidden="1"/>
    </xf>
    <xf numFmtId="0" fontId="29" fillId="0" borderId="32" xfId="24" applyFont="1" applyBorder="1" applyAlignment="1" applyProtection="1">
      <alignment horizontal="center" vertical="center" wrapText="1"/>
      <protection hidden="1"/>
    </xf>
    <xf numFmtId="22" fontId="41" fillId="0" borderId="31" xfId="23" applyNumberFormat="1" applyFont="1" applyBorder="1" applyAlignment="1" applyProtection="1">
      <alignment horizontal="center" vertical="center" wrapText="1"/>
      <protection hidden="1"/>
    </xf>
    <xf numFmtId="22" fontId="41" fillId="0" borderId="0" xfId="23" applyNumberFormat="1" applyFont="1" applyAlignment="1" applyProtection="1">
      <alignment horizontal="center" vertical="center" wrapText="1"/>
      <protection hidden="1"/>
    </xf>
    <xf numFmtId="22" fontId="41" fillId="0" borderId="32" xfId="23" applyNumberFormat="1" applyFont="1" applyBorder="1" applyAlignment="1" applyProtection="1">
      <alignment horizontal="center" vertical="center" wrapText="1"/>
      <protection hidden="1"/>
    </xf>
    <xf numFmtId="0" fontId="5" fillId="0" borderId="39" xfId="0" applyFont="1" applyBorder="1" applyAlignment="1" applyProtection="1">
      <alignment horizontal="center"/>
      <protection hidden="1"/>
    </xf>
    <xf numFmtId="0" fontId="5" fillId="0" borderId="40" xfId="0" applyFont="1" applyBorder="1" applyAlignment="1" applyProtection="1">
      <alignment horizontal="center"/>
      <protection hidden="1"/>
    </xf>
    <xf numFmtId="0" fontId="5" fillId="0" borderId="41" xfId="0" applyFont="1" applyBorder="1" applyAlignment="1" applyProtection="1">
      <alignment horizontal="center"/>
      <protection hidden="1"/>
    </xf>
    <xf numFmtId="0" fontId="5" fillId="0" borderId="31" xfId="0" applyFont="1" applyBorder="1" applyAlignment="1" applyProtection="1">
      <alignment horizontal="center"/>
      <protection hidden="1"/>
    </xf>
    <xf numFmtId="0" fontId="5" fillId="0" borderId="0" xfId="0" applyFont="1" applyAlignment="1" applyProtection="1">
      <alignment horizontal="center"/>
      <protection hidden="1"/>
    </xf>
    <xf numFmtId="0" fontId="5" fillId="0" borderId="32" xfId="0" applyFont="1" applyBorder="1" applyAlignment="1" applyProtection="1">
      <alignment horizontal="center"/>
      <protection hidden="1"/>
    </xf>
    <xf numFmtId="0" fontId="8" fillId="0" borderId="0" xfId="0" applyFont="1" applyAlignment="1">
      <alignment horizontal="center"/>
    </xf>
    <xf numFmtId="0" fontId="13" fillId="9" borderId="0" xfId="0" applyFont="1" applyFill="1" applyAlignment="1">
      <alignment horizontal="center"/>
    </xf>
    <xf numFmtId="167" fontId="8" fillId="28" borderId="0" xfId="0" applyNumberFormat="1" applyFont="1" applyFill="1" applyAlignment="1">
      <alignment horizontal="center"/>
    </xf>
    <xf numFmtId="0" fontId="13" fillId="0" borderId="0" xfId="0" applyFont="1" applyAlignment="1">
      <alignment horizontal="center"/>
    </xf>
    <xf numFmtId="0" fontId="13" fillId="9" borderId="0" xfId="0" quotePrefix="1" applyFont="1" applyFill="1" applyAlignment="1">
      <alignment horizontal="center"/>
    </xf>
    <xf numFmtId="0" fontId="13" fillId="7" borderId="0" xfId="0" applyFont="1" applyFill="1" applyAlignment="1">
      <alignment horizontal="center"/>
    </xf>
    <xf numFmtId="0" fontId="13" fillId="28" borderId="0" xfId="0" applyFont="1" applyFill="1" applyAlignment="1">
      <alignment horizontal="center"/>
    </xf>
    <xf numFmtId="0" fontId="8" fillId="28" borderId="0" xfId="0" applyFont="1" applyFill="1" applyAlignment="1">
      <alignment horizontal="center"/>
    </xf>
    <xf numFmtId="0" fontId="10" fillId="31" borderId="4" xfId="0" applyFont="1" applyFill="1" applyBorder="1" applyAlignment="1">
      <alignment horizontal="center"/>
    </xf>
    <xf numFmtId="0" fontId="20" fillId="0" borderId="0" xfId="0" applyFont="1" applyAlignment="1">
      <alignment horizontal="center" vertical="center"/>
    </xf>
    <xf numFmtId="0" fontId="20" fillId="0" borderId="0" xfId="0" applyFont="1" applyAlignment="1">
      <alignment horizontal="center"/>
    </xf>
    <xf numFmtId="0" fontId="47" fillId="0" borderId="0" xfId="0" applyFont="1" applyAlignment="1" applyProtection="1">
      <alignment horizontal="center"/>
      <protection locked="0" hidden="1"/>
    </xf>
    <xf numFmtId="0" fontId="47" fillId="0" borderId="0" xfId="0" applyFont="1" applyBorder="1" applyAlignment="1" applyProtection="1">
      <alignment horizontal="right"/>
      <protection hidden="1"/>
    </xf>
    <xf numFmtId="0" fontId="47" fillId="0" borderId="0" xfId="0" applyFont="1" applyBorder="1" applyAlignment="1" applyProtection="1">
      <alignment horizontal="center"/>
      <protection locked="0"/>
    </xf>
  </cellXfs>
  <cellStyles count="28">
    <cellStyle name="Encabezado 1" xfId="15" builtinId="16"/>
    <cellStyle name="Encabezado 4 2" xfId="22" xr:uid="{00000000-0005-0000-0000-000000000000}"/>
    <cellStyle name="Énfasis5" xfId="21" builtinId="45"/>
    <cellStyle name="Estilo 1" xfId="17" xr:uid="{00000000-0005-0000-0000-000002000000}"/>
    <cellStyle name="Heading 1 2" xfId="5" xr:uid="{00000000-0005-0000-0000-000003000000}"/>
    <cellStyle name="Hipervínculo_Oferta Vinculante Apoyo Infonavit 030610" xfId="25" xr:uid="{00000000-0005-0000-0000-000004000000}"/>
    <cellStyle name="Millares" xfId="14" builtinId="3"/>
    <cellStyle name="Millares 2" xfId="6" xr:uid="{00000000-0005-0000-0000-000006000000}"/>
    <cellStyle name="Millares 3" xfId="27" xr:uid="{4C6D5E1B-5B39-4DB1-A9F3-49ACA4503D70}"/>
    <cellStyle name="Moneda" xfId="1" builtinId="4"/>
    <cellStyle name="Moneda 2" xfId="7" xr:uid="{00000000-0005-0000-0000-000008000000}"/>
    <cellStyle name="Moneda 2 2" xfId="3" xr:uid="{00000000-0005-0000-0000-000009000000}"/>
    <cellStyle name="Moneda 3" xfId="18" xr:uid="{00000000-0005-0000-0000-00000A000000}"/>
    <cellStyle name="Moneda 4" xfId="26" xr:uid="{5CF6EC21-56BE-4331-8A28-A9800284A8D0}"/>
    <cellStyle name="Normal" xfId="0" builtinId="0"/>
    <cellStyle name="Normal 2" xfId="8" xr:uid="{00000000-0005-0000-0000-00000C000000}"/>
    <cellStyle name="Normal 2 2" xfId="9" xr:uid="{00000000-0005-0000-0000-00000D000000}"/>
    <cellStyle name="Normal 2 2 2" xfId="10" xr:uid="{00000000-0005-0000-0000-00000E000000}"/>
    <cellStyle name="Normal 3" xfId="11" xr:uid="{00000000-0005-0000-0000-00000F000000}"/>
    <cellStyle name="Normal 4" xfId="12" xr:uid="{00000000-0005-0000-0000-000010000000}"/>
    <cellStyle name="Normal 5" xfId="16" xr:uid="{00000000-0005-0000-0000-000011000000}"/>
    <cellStyle name="Normal_COTIZADOR HIPOTECARIO 270503" xfId="24" xr:uid="{00000000-0005-0000-0000-000012000000}"/>
    <cellStyle name="Normal_COTIZADOR HIPOTECARIO 270503_Oferta Vinculante Apoyo Infonavit 030610" xfId="23" xr:uid="{00000000-0005-0000-0000-000013000000}"/>
    <cellStyle name="Porcentaje" xfId="2" builtinId="5"/>
    <cellStyle name="Porcentaje 2" xfId="19" xr:uid="{00000000-0005-0000-0000-000015000000}"/>
    <cellStyle name="Porcentaje 3" xfId="20" xr:uid="{00000000-0005-0000-0000-000016000000}"/>
    <cellStyle name="Porcentual 2" xfId="13" xr:uid="{00000000-0005-0000-0000-000017000000}"/>
    <cellStyle name="Porcentual 2 2" xfId="4" xr:uid="{00000000-0005-0000-0000-000018000000}"/>
  </cellStyles>
  <dxfs count="107">
    <dxf>
      <font>
        <color rgb="FFFF0000"/>
      </font>
    </dxf>
    <dxf>
      <fill>
        <patternFill>
          <bgColor theme="0" tint="-0.24994659260841701"/>
        </patternFill>
      </fill>
    </dxf>
    <dxf>
      <font>
        <color rgb="FFFF0000"/>
      </font>
    </dxf>
    <dxf>
      <fill>
        <patternFill>
          <bgColor theme="0" tint="-0.24994659260841701"/>
        </patternFill>
      </fill>
    </dxf>
    <dxf>
      <font>
        <color rgb="FFFF0000"/>
      </font>
    </dxf>
    <dxf>
      <font>
        <color rgb="FFFF0000"/>
      </font>
    </dxf>
    <dxf>
      <fill>
        <patternFill>
          <bgColor theme="0" tint="-0.24994659260841701"/>
        </patternFill>
      </fill>
    </dxf>
    <dxf>
      <font>
        <color rgb="FFFF0000"/>
      </font>
    </dxf>
    <dxf>
      <font>
        <color rgb="FFFF0000"/>
      </font>
    </dxf>
    <dxf>
      <fill>
        <patternFill>
          <bgColor theme="0" tint="-0.24994659260841701"/>
        </patternFill>
      </fill>
    </dxf>
    <dxf>
      <font>
        <color rgb="FFFF0000"/>
      </font>
    </dxf>
    <dxf>
      <font>
        <color rgb="FFFF0000"/>
      </font>
    </dxf>
    <dxf>
      <fill>
        <patternFill>
          <bgColor theme="0" tint="-0.24994659260841701"/>
        </patternFill>
      </fill>
    </dxf>
    <dxf>
      <font>
        <color rgb="FFFF0000"/>
      </font>
    </dxf>
    <dxf>
      <font>
        <color rgb="FFFF000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499984740745262"/>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border>
        <left style="thin">
          <color indexed="64"/>
        </left>
        <right style="thin">
          <color indexed="64"/>
        </right>
        <top style="thin">
          <color indexed="64"/>
        </top>
        <bottom style="thin">
          <color indexed="64"/>
        </bottom>
      </border>
    </dxf>
    <dxf>
      <font>
        <color auto="1"/>
      </font>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ont>
        <b/>
        <i val="0"/>
      </font>
      <fill>
        <patternFill>
          <bgColor theme="6" tint="0.79998168889431442"/>
        </patternFill>
      </fill>
    </dxf>
    <dxf>
      <fill>
        <patternFill>
          <bgColor theme="0" tint="-4.9989318521683403E-2"/>
        </patternFill>
      </fill>
      <border>
        <left style="dotted">
          <color theme="1"/>
        </left>
        <right style="dotted">
          <color theme="1"/>
        </right>
        <top style="dotted">
          <color theme="1"/>
        </top>
        <bottom style="dotted">
          <color theme="1"/>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tint="-4.9989318521683403E-2"/>
      </font>
      <fill>
        <patternFill>
          <bgColor theme="0" tint="-4.9989318521683403E-2"/>
        </patternFill>
      </fill>
    </dxf>
    <dxf>
      <font>
        <u val="none"/>
        <color theme="0"/>
      </font>
      <fill>
        <patternFill patternType="none">
          <bgColor auto="1"/>
        </patternFill>
      </fill>
      <border>
        <left/>
        <right/>
        <top/>
        <bottom/>
        <vertical/>
        <horizontal/>
      </border>
    </dxf>
    <dxf>
      <font>
        <b/>
        <i val="0"/>
        <color auto="1"/>
      </font>
      <fill>
        <patternFill>
          <bgColor theme="0"/>
        </patternFill>
      </fill>
    </dxf>
    <dxf>
      <font>
        <b/>
        <i val="0"/>
        <color theme="1"/>
      </font>
      <fill>
        <patternFill>
          <bgColor theme="0" tint="-4.9989318521683403E-2"/>
        </patternFill>
      </fill>
    </dxf>
    <dxf>
      <font>
        <u val="none"/>
        <color theme="0"/>
      </font>
      <fill>
        <patternFill patternType="solid">
          <fgColor theme="0"/>
          <bgColor theme="0"/>
        </patternFill>
      </fill>
      <border>
        <left style="thin">
          <color theme="0"/>
        </left>
        <right style="thin">
          <color theme="0"/>
        </right>
        <top style="thin">
          <color theme="0"/>
        </top>
        <bottom style="thin">
          <color theme="0"/>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b/>
        <i val="0"/>
        <color theme="1"/>
      </font>
      <fill>
        <patternFill>
          <bgColor theme="0" tint="-4.9989318521683403E-2"/>
        </patternFill>
      </fill>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color theme="0" tint="-4.9989318521683403E-2"/>
      </font>
      <fill>
        <patternFill>
          <bgColor theme="0" tint="-4.9989318521683403E-2"/>
        </patternFill>
      </fill>
    </dxf>
    <dxf>
      <font>
        <b/>
        <i val="0"/>
        <color auto="1"/>
      </font>
    </dxf>
    <dxf>
      <font>
        <color theme="0" tint="-4.9989318521683403E-2"/>
      </font>
      <fill>
        <patternFill>
          <bgColor theme="0" tint="-4.9989318521683403E-2"/>
        </patternFill>
      </fill>
    </dxf>
    <dxf>
      <font>
        <color theme="0"/>
      </font>
      <fill>
        <patternFill>
          <fgColor theme="0"/>
          <bgColor theme="0"/>
        </patternFill>
      </fill>
      <border>
        <left/>
        <right/>
        <top/>
        <bottom/>
        <vertical/>
        <horizontal/>
      </border>
    </dxf>
    <dxf>
      <font>
        <color auto="1"/>
      </font>
      <fill>
        <patternFill>
          <bgColor theme="3" tint="0.79998168889431442"/>
        </patternFill>
      </fill>
    </dxf>
    <dxf>
      <font>
        <color theme="0"/>
      </font>
      <fill>
        <patternFill>
          <fgColor theme="0"/>
          <bgColor theme="0"/>
        </patternFill>
      </fill>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bgColor theme="0"/>
        </patternFill>
      </fill>
    </dxf>
    <dxf>
      <font>
        <color theme="0"/>
      </font>
      <fill>
        <patternFill>
          <bgColor theme="0"/>
        </patternFill>
      </fill>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color rgb="FFFF0000"/>
      </font>
    </dxf>
    <dxf>
      <font>
        <color rgb="FFFF0000"/>
      </font>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0000"/>
        </patternFill>
      </fill>
    </dxf>
    <dxf>
      <font>
        <color theme="1"/>
      </font>
      <fill>
        <patternFill>
          <bgColor theme="0" tint="-0.24994659260841701"/>
        </patternFill>
      </fill>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24994659260841701"/>
        </patternFill>
      </fill>
    </dxf>
    <dxf>
      <fill>
        <patternFill>
          <bgColor theme="0" tint="-0.24994659260841701"/>
        </patternFill>
      </fill>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0.24994659260841701"/>
        </patternFill>
      </fill>
    </dxf>
    <dxf>
      <fill>
        <patternFill>
          <bgColor theme="0" tint="-0.24994659260841701"/>
        </patternFill>
      </fill>
    </dxf>
    <dxf>
      <font>
        <condense val="0"/>
        <extend val="0"/>
        <color indexed="9"/>
      </font>
    </dxf>
  </dxfs>
  <tableStyles count="0" defaultTableStyle="TableStyleMedium2" defaultPivotStyle="PivotStyleLight16"/>
  <colors>
    <mruColors>
      <color rgb="FFEB00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externalLink" Target="externalLinks/externalLink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2.xml"/><Relationship Id="rId37" Type="http://schemas.openxmlformats.org/officeDocument/2006/relationships/theme" Target="theme/theme1.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3.xml"/><Relationship Id="rId38"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3</xdr:col>
      <xdr:colOff>47625</xdr:colOff>
      <xdr:row>0</xdr:row>
      <xdr:rowOff>202406</xdr:rowOff>
    </xdr:from>
    <xdr:to>
      <xdr:col>6</xdr:col>
      <xdr:colOff>186417</xdr:colOff>
      <xdr:row>2</xdr:row>
      <xdr:rowOff>148747</xdr:rowOff>
    </xdr:to>
    <xdr:pic>
      <xdr:nvPicPr>
        <xdr:cNvPr id="2" name="3 Imagen" descr="C:\Users\a8030769\AppData\Local\Microsoft\Windows\Temporary Internet Files\Content.Outlook\VI5VLAAI\Logo Banorte (2).jpg">
          <a:extLst>
            <a:ext uri="{FF2B5EF4-FFF2-40B4-BE49-F238E27FC236}">
              <a16:creationId xmlns:a16="http://schemas.microsoft.com/office/drawing/2014/main" id="{F26BD54B-8B23-4B12-AA28-BA901A5DB78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603" t="25424" r="5817" b="22881"/>
        <a:stretch/>
      </xdr:blipFill>
      <xdr:spPr bwMode="auto">
        <a:xfrm>
          <a:off x="1394732" y="202406"/>
          <a:ext cx="3027589" cy="504234"/>
        </a:xfrm>
        <a:prstGeom prst="rect">
          <a:avLst/>
        </a:prstGeom>
        <a:noFill/>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69272</xdr:colOff>
      <xdr:row>0</xdr:row>
      <xdr:rowOff>95251</xdr:rowOff>
    </xdr:from>
    <xdr:to>
      <xdr:col>1</xdr:col>
      <xdr:colOff>1272887</xdr:colOff>
      <xdr:row>2</xdr:row>
      <xdr:rowOff>77932</xdr:rowOff>
    </xdr:to>
    <xdr:pic>
      <xdr:nvPicPr>
        <xdr:cNvPr id="3" name="3 Imagen" descr="C:\Users\a8030769\AppData\Local\Microsoft\Windows\Temporary Internet Files\Content.Outlook\VI5VLAAI\Logo Banorte (2).jpg">
          <a:extLst>
            <a:ext uri="{FF2B5EF4-FFF2-40B4-BE49-F238E27FC236}">
              <a16:creationId xmlns:a16="http://schemas.microsoft.com/office/drawing/2014/main" id="{21B90931-EC33-4AEA-8883-7CFE32A6B758}"/>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603" t="25424" r="5817" b="22881"/>
        <a:stretch/>
      </xdr:blipFill>
      <xdr:spPr bwMode="auto">
        <a:xfrm>
          <a:off x="181840" y="95251"/>
          <a:ext cx="1203615" cy="277090"/>
        </a:xfrm>
        <a:prstGeom prst="rect">
          <a:avLst/>
        </a:prstGeom>
        <a:noFill/>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fbanorte-my.sharepoint.com/Perfil%20C%202019/Desktop/Universal%20-%20Fuente%20191119%20Nuevas%20tasa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gfbanorte-my.sharepoint.com/Users/a1973096/AppData/Local/Microsoft/Windows/Temporary%20Internet%20Files/Content.Outlook/3AB1KMS3/COTIZADORES/Nuevo%20simulador/Universal%20-%20Fuent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gfbanorte-my.sharepoint.com/Perfil%20C%202019/Desktop/COTIZADORES/Simulador%20Desarrolladores/Simulador%20Desarrollador%20Fuerte_Fuente.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gfbanorte-my.sharepoint.com/Perfil%20C%202019/Desktop/Campa&#241;a%20Mejora/04052020%20Mejora%20Hipoteca%20Edo%20Cta.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gfbanorte-my.sharepoint.com/Users/a1973096/AppData/Local/Microsoft/Windows/Temporary%20Internet%20Files/Content.Outlook/3AB1KMS3/Benchmark/03%20Bancos/Santander/Simulador%20%2018-02-19(1)%20santan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gfbanorte-my.sharepoint.com/Users/A3655555/Documents/Proyecto%20cotizador%20abierto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_Consola"/>
      <sheetName val="CA_Servicios"/>
      <sheetName val="Variantes"/>
      <sheetName val="Datos Generales"/>
      <sheetName val="Datos Tasas"/>
      <sheetName val="Datos Notariales"/>
      <sheetName val="Datos Promociones"/>
      <sheetName val="PASO1"/>
      <sheetName val="PASO2"/>
      <sheetName val="PASO3"/>
      <sheetName val="PASO3a"/>
      <sheetName val="PASO5"/>
      <sheetName val="PASO6"/>
      <sheetName val="PasoSeguros"/>
      <sheetName val="PasoValorDestructible"/>
      <sheetName val="PASO6 APOYO"/>
      <sheetName val="PASO6 COFINAVIT"/>
      <sheetName val="PASO6 FOVISSSTE"/>
      <sheetName val="PASO7 TRAD"/>
      <sheetName val="PasoTasas"/>
      <sheetName val="PasoTasas.Helper"/>
      <sheetName val="Cotización"/>
      <sheetName val="Tabla Cliente"/>
      <sheetName val="Tabla Notaría"/>
      <sheetName val="Oferta Vinculante"/>
      <sheetName val="Promo Activa"/>
      <sheetName val="Aclaraciones"/>
      <sheetName val="Etiquetas"/>
      <sheetName val="Crédito Banorte"/>
      <sheetName val="Tipo_Seguro"/>
      <sheetName val="Pass-Throughs"/>
      <sheetName val="NotasNumeradasOV"/>
      <sheetName val="CAT Flujo Cero"/>
      <sheetName val="CAT Apoyo Infonavit"/>
      <sheetName val="CAT Construcción"/>
      <sheetName val="CAT Pagos Crecientes"/>
      <sheetName val="CAT Tabla Tradicional"/>
      <sheetName val="Comisiones"/>
      <sheetName val="Cofinavit Ingresos Adicionales"/>
      <sheetName val="Destinos"/>
      <sheetName val="DondeCotiza"/>
      <sheetName val="Esquema Especial"/>
      <sheetName val="Fecha Pago"/>
      <sheetName val="COMISIÓN_AVALÚO"/>
      <sheetName val="Gastos Iniciales"/>
      <sheetName val="GASNOT GLUE"/>
      <sheetName val="GASNOT"/>
      <sheetName val="GASNOT.Tarifa"/>
      <sheetName val="IVA"/>
      <sheetName val="Layout"/>
      <sheetName val="Pago Creciente"/>
      <sheetName val="Pagos Anticipados"/>
      <sheetName val="Productos"/>
      <sheetName val="PROPS_MXM"/>
      <sheetName val="TASAS_FUERTE"/>
      <sheetName val="Plazos"/>
      <sheetName val="Rango de Vivienda"/>
      <sheetName val="Salida Cotización"/>
      <sheetName val="Combo_CAT_Remanente"/>
      <sheetName val="Tabla Not Apoyo Infonavit"/>
      <sheetName val="Tabla Not Pagos Crecientes"/>
      <sheetName val="Tabla Not Tradicional"/>
      <sheetName val="Tabla Apoyo Infonavit"/>
      <sheetName val="Tabla Pagos Crecientes"/>
      <sheetName val="Tabla Tradicional"/>
      <sheetName val="Tasa Inicial"/>
      <sheetName val="Tasas"/>
      <sheetName val="Tipo de Crédito"/>
      <sheetName val="Tipo de Simulación"/>
      <sheetName val="UDIS y SM"/>
      <sheetName val="Validaciones"/>
      <sheetName val="Ajustes Subrogación"/>
      <sheetName val="Promos"/>
      <sheetName val="CMS STATE"/>
    </sheetNames>
    <definedNames>
      <definedName name="o.Leyenda_OV_Seguros_Daños" refersTo="='Tipo_Seguro'!$N$18" sheetId="29"/>
      <definedName name="o.Leyenda_Vida" refersTo="='Tipo_Seguro'!$N$16" sheetId="29"/>
    </definedNames>
    <sheetDataSet>
      <sheetData sheetId="0"/>
      <sheetData sheetId="1"/>
      <sheetData sheetId="2">
        <row r="2">
          <cell r="A2" t="str">
            <v>Promoción General</v>
          </cell>
        </row>
        <row r="5">
          <cell r="B5" t="str">
            <v>General</v>
          </cell>
          <cell r="C5" t="str">
            <v>Banorte</v>
          </cell>
        </row>
        <row r="7">
          <cell r="A7" t="str">
            <v>Variante</v>
          </cell>
          <cell r="B7" t="str">
            <v>Tipo Promo</v>
          </cell>
          <cell r="C7" t="str">
            <v>Seguro</v>
          </cell>
          <cell r="D7" t="str">
            <v>Valor Destructible</v>
          </cell>
        </row>
        <row r="8">
          <cell r="A8" t="str">
            <v>Default</v>
          </cell>
          <cell r="B8">
            <v>0</v>
          </cell>
          <cell r="C8" t="str">
            <v>Banorte</v>
          </cell>
          <cell r="D8" t="b">
            <v>1</v>
          </cell>
        </row>
        <row r="9">
          <cell r="A9" t="str">
            <v>Default Transparencia</v>
          </cell>
          <cell r="B9">
            <v>0</v>
          </cell>
          <cell r="C9" t="str">
            <v>Transparencia</v>
          </cell>
          <cell r="D9">
            <v>0</v>
          </cell>
        </row>
        <row r="10">
          <cell r="A10" t="str">
            <v>Promoción General</v>
          </cell>
          <cell r="B10" t="str">
            <v>General</v>
          </cell>
          <cell r="C10">
            <v>0</v>
          </cell>
          <cell r="D10">
            <v>0</v>
          </cell>
        </row>
        <row r="11">
          <cell r="A11" t="str">
            <v>Promoción General Transparencia</v>
          </cell>
          <cell r="B11" t="str">
            <v>General</v>
          </cell>
          <cell r="C11" t="str">
            <v>Transparencia</v>
          </cell>
          <cell r="D11">
            <v>0</v>
          </cell>
        </row>
        <row r="12">
          <cell r="A12" t="str">
            <v>Clientes Nómina Banorte</v>
          </cell>
          <cell r="B12" t="str">
            <v>Clientes Nómina Banorte</v>
          </cell>
          <cell r="C12">
            <v>0</v>
          </cell>
          <cell r="D12">
            <v>0</v>
          </cell>
        </row>
        <row r="13">
          <cell r="A13" t="str">
            <v>Clientes Nómina Banorte Transparencia</v>
          </cell>
          <cell r="B13" t="str">
            <v>Clientes Nómina Banorte</v>
          </cell>
          <cell r="C13" t="str">
            <v>Transparencia</v>
          </cell>
          <cell r="D13">
            <v>0</v>
          </cell>
        </row>
        <row r="14">
          <cell r="A14" t="str">
            <v>Preaprobados</v>
          </cell>
          <cell r="B14" t="str">
            <v>Preaprobados</v>
          </cell>
          <cell r="C14">
            <v>0</v>
          </cell>
          <cell r="D14">
            <v>0</v>
          </cell>
        </row>
        <row r="15">
          <cell r="A15" t="str">
            <v>Preaprobados Transparencia</v>
          </cell>
          <cell r="B15" t="str">
            <v>Preaprobados</v>
          </cell>
          <cell r="C15" t="str">
            <v>Transparencia</v>
          </cell>
          <cell r="D15">
            <v>0</v>
          </cell>
        </row>
        <row r="16">
          <cell r="A16" t="str">
            <v>Con Subrogación</v>
          </cell>
        </row>
        <row r="17">
          <cell r="A17" t="str">
            <v>Promo Apertura 0% Genérica</v>
          </cell>
          <cell r="B17" t="str">
            <v>Apertura 0% Genérica</v>
          </cell>
        </row>
      </sheetData>
      <sheetData sheetId="3">
        <row r="2">
          <cell r="B2" t="str">
            <v>Aguascalientes</v>
          </cell>
        </row>
        <row r="3">
          <cell r="B3" t="str">
            <v>Baja California Norte</v>
          </cell>
        </row>
        <row r="4">
          <cell r="B4" t="str">
            <v>Baja California Sur</v>
          </cell>
        </row>
        <row r="5">
          <cell r="B5" t="str">
            <v>Campeche</v>
          </cell>
        </row>
        <row r="6">
          <cell r="B6" t="str">
            <v>Coahuila</v>
          </cell>
        </row>
        <row r="7">
          <cell r="B7" t="str">
            <v>Colima</v>
          </cell>
        </row>
        <row r="8">
          <cell r="B8" t="str">
            <v>Chiapas</v>
          </cell>
        </row>
        <row r="9">
          <cell r="B9" t="str">
            <v>Chihuahua</v>
          </cell>
        </row>
        <row r="10">
          <cell r="B10" t="str">
            <v>Ciudad de México</v>
          </cell>
        </row>
        <row r="11">
          <cell r="B11" t="str">
            <v>Durango</v>
          </cell>
        </row>
        <row r="12">
          <cell r="B12" t="str">
            <v>Estado de México</v>
          </cell>
        </row>
        <row r="13">
          <cell r="B13" t="str">
            <v>Guanajuato</v>
          </cell>
        </row>
        <row r="14">
          <cell r="B14" t="str">
            <v>Guerrero</v>
          </cell>
        </row>
        <row r="15">
          <cell r="B15" t="str">
            <v>Hidalgo</v>
          </cell>
        </row>
        <row r="16">
          <cell r="B16" t="str">
            <v>Jalisco</v>
          </cell>
        </row>
        <row r="17">
          <cell r="B17" t="str">
            <v>Michoacán</v>
          </cell>
        </row>
        <row r="18">
          <cell r="B18" t="str">
            <v>Morelos</v>
          </cell>
        </row>
        <row r="19">
          <cell r="B19" t="str">
            <v>Nayarit</v>
          </cell>
        </row>
        <row r="20">
          <cell r="B20" t="str">
            <v>Nuevo León</v>
          </cell>
        </row>
        <row r="21">
          <cell r="B21" t="str">
            <v>Oaxaca</v>
          </cell>
        </row>
        <row r="22">
          <cell r="B22" t="str">
            <v>Puebla</v>
          </cell>
        </row>
        <row r="23">
          <cell r="B23" t="str">
            <v>Querétaro</v>
          </cell>
        </row>
        <row r="24">
          <cell r="B24" t="str">
            <v>Quintana Roo</v>
          </cell>
        </row>
        <row r="25">
          <cell r="B25" t="str">
            <v>San Luis Potosí</v>
          </cell>
        </row>
        <row r="26">
          <cell r="B26" t="str">
            <v>Sinaloa</v>
          </cell>
        </row>
        <row r="27">
          <cell r="B27" t="str">
            <v>Sonora</v>
          </cell>
        </row>
        <row r="28">
          <cell r="B28" t="str">
            <v>Tabasco</v>
          </cell>
        </row>
        <row r="29">
          <cell r="B29" t="str">
            <v>Tamaulipas</v>
          </cell>
        </row>
        <row r="30">
          <cell r="B30" t="str">
            <v>Tlaxcala</v>
          </cell>
        </row>
        <row r="31">
          <cell r="B31" t="str">
            <v>Veracruz</v>
          </cell>
        </row>
        <row r="32">
          <cell r="B32" t="str">
            <v>Yucatán</v>
          </cell>
        </row>
        <row r="33">
          <cell r="B33" t="str">
            <v>Zacatecas</v>
          </cell>
        </row>
      </sheetData>
      <sheetData sheetId="4"/>
      <sheetData sheetId="5"/>
      <sheetData sheetId="6"/>
      <sheetData sheetId="7"/>
      <sheetData sheetId="8"/>
      <sheetData sheetId="9"/>
      <sheetData sheetId="10"/>
      <sheetData sheetId="11"/>
      <sheetData sheetId="12"/>
      <sheetData sheetId="13">
        <row r="4">
          <cell r="N4" t="str">
            <v>Banorte</v>
          </cell>
        </row>
        <row r="9">
          <cell r="G9">
            <v>2</v>
          </cell>
        </row>
        <row r="11">
          <cell r="G11">
            <v>1</v>
          </cell>
        </row>
        <row r="13">
          <cell r="G13">
            <v>1</v>
          </cell>
        </row>
        <row r="15">
          <cell r="G15">
            <v>2</v>
          </cell>
        </row>
        <row r="17">
          <cell r="G17">
            <v>1</v>
          </cell>
        </row>
        <row r="19">
          <cell r="G19">
            <v>2</v>
          </cell>
        </row>
      </sheetData>
      <sheetData sheetId="14">
        <row r="9">
          <cell r="H9" t="e">
            <v>#VALUE!</v>
          </cell>
        </row>
      </sheetData>
      <sheetData sheetId="15">
        <row r="5">
          <cell r="M5" t="e">
            <v>#N/A</v>
          </cell>
        </row>
        <row r="9">
          <cell r="F9" t="e">
            <v>#N/A</v>
          </cell>
        </row>
        <row r="10">
          <cell r="F10" t="e">
            <v>#N/A</v>
          </cell>
        </row>
        <row r="11">
          <cell r="F11" t="e">
            <v>#N/A</v>
          </cell>
        </row>
      </sheetData>
      <sheetData sheetId="16">
        <row r="9">
          <cell r="F9" t="e">
            <v>#N/A</v>
          </cell>
        </row>
        <row r="22">
          <cell r="E22" t="e">
            <v>#N/A</v>
          </cell>
          <cell r="G22">
            <v>0</v>
          </cell>
        </row>
        <row r="23">
          <cell r="E23">
            <v>0</v>
          </cell>
          <cell r="G23">
            <v>0</v>
          </cell>
        </row>
        <row r="24">
          <cell r="E24">
            <v>0</v>
          </cell>
          <cell r="G24">
            <v>0</v>
          </cell>
        </row>
        <row r="25">
          <cell r="E25">
            <v>0</v>
          </cell>
          <cell r="G25">
            <v>0</v>
          </cell>
        </row>
        <row r="26">
          <cell r="E26">
            <v>0</v>
          </cell>
          <cell r="G26">
            <v>1</v>
          </cell>
        </row>
        <row r="27">
          <cell r="E27" t="e">
            <v>#N/A</v>
          </cell>
        </row>
      </sheetData>
      <sheetData sheetId="17">
        <row r="9">
          <cell r="F9" t="e">
            <v>#N/A</v>
          </cell>
        </row>
        <row r="22">
          <cell r="E22" t="e">
            <v>#N/A</v>
          </cell>
          <cell r="G22">
            <v>0</v>
          </cell>
        </row>
        <row r="23">
          <cell r="E23">
            <v>0</v>
          </cell>
          <cell r="G23">
            <v>0</v>
          </cell>
        </row>
        <row r="24">
          <cell r="E24">
            <v>0</v>
          </cell>
          <cell r="G24">
            <v>0</v>
          </cell>
        </row>
        <row r="25">
          <cell r="E25">
            <v>0</v>
          </cell>
          <cell r="G25">
            <v>0</v>
          </cell>
        </row>
      </sheetData>
      <sheetData sheetId="18">
        <row r="6">
          <cell r="O6" t="e">
            <v>#N/A</v>
          </cell>
        </row>
        <row r="9">
          <cell r="F9">
            <v>0</v>
          </cell>
          <cell r="N9" t="e">
            <v>#N/A</v>
          </cell>
          <cell r="O9">
            <v>1000000000000</v>
          </cell>
        </row>
        <row r="10">
          <cell r="F10">
            <v>0</v>
          </cell>
          <cell r="N10" t="e">
            <v>#N/A</v>
          </cell>
          <cell r="O10" t="e">
            <v>#N/A</v>
          </cell>
        </row>
        <row r="11">
          <cell r="F11">
            <v>0</v>
          </cell>
        </row>
        <row r="12">
          <cell r="F12">
            <v>0</v>
          </cell>
        </row>
        <row r="35">
          <cell r="O35" t="e">
            <v>#VALUE!</v>
          </cell>
        </row>
        <row r="36">
          <cell r="O36" t="e">
            <v>#VALUE!</v>
          </cell>
        </row>
        <row r="37">
          <cell r="C37">
            <v>278805.75017948204</v>
          </cell>
          <cell r="D37">
            <v>1174332.2392706447</v>
          </cell>
        </row>
        <row r="38">
          <cell r="C38" t="e">
            <v>#N/A</v>
          </cell>
          <cell r="D38" t="e">
            <v>#N/A</v>
          </cell>
        </row>
        <row r="39">
          <cell r="C39">
            <v>0</v>
          </cell>
          <cell r="D39">
            <v>0</v>
          </cell>
        </row>
        <row r="40">
          <cell r="C40">
            <v>0</v>
          </cell>
          <cell r="D40">
            <v>0</v>
          </cell>
        </row>
        <row r="41">
          <cell r="C41">
            <v>0</v>
          </cell>
          <cell r="D41">
            <v>0</v>
          </cell>
        </row>
        <row r="42">
          <cell r="C42">
            <v>0</v>
          </cell>
          <cell r="D42">
            <v>0</v>
          </cell>
        </row>
      </sheetData>
      <sheetData sheetId="19"/>
      <sheetData sheetId="20">
        <row r="5">
          <cell r="K5">
            <v>1</v>
          </cell>
          <cell r="L5">
            <v>0</v>
          </cell>
        </row>
      </sheetData>
      <sheetData sheetId="21">
        <row r="12">
          <cell r="D12" t="str">
            <v>Sin Selección
(Sin Selección)</v>
          </cell>
        </row>
        <row r="89">
          <cell r="B89" t="str">
            <v/>
          </cell>
          <cell r="G89" t="str">
            <v/>
          </cell>
        </row>
        <row r="103">
          <cell r="G103">
            <v>0</v>
          </cell>
        </row>
        <row r="123">
          <cell r="G123" t="e">
            <v>#N/A</v>
          </cell>
        </row>
        <row r="153">
          <cell r="B153" t="str">
            <v>Tasa de Interés Anual (Fija) *:</v>
          </cell>
          <cell r="C153">
            <v>0</v>
          </cell>
          <cell r="D153">
            <v>0</v>
          </cell>
          <cell r="E153">
            <v>0</v>
          </cell>
          <cell r="F153" t="str">
            <v>--removed 2017-065</v>
          </cell>
          <cell r="G153">
            <v>0</v>
          </cell>
          <cell r="H153" t="str">
            <v>--removed 2017-065</v>
          </cell>
          <cell r="I153">
            <v>0</v>
          </cell>
          <cell r="J153" t="str">
            <v>--removed 2017-065</v>
          </cell>
          <cell r="K153">
            <v>0</v>
          </cell>
          <cell r="L153">
            <v>0</v>
          </cell>
        </row>
        <row r="157">
          <cell r="B157" t="str">
            <v>Pago por Mil ***:</v>
          </cell>
          <cell r="C157">
            <v>0</v>
          </cell>
          <cell r="D157" t="e">
            <v>#N/A</v>
          </cell>
          <cell r="E157">
            <v>0</v>
          </cell>
          <cell r="F157" t="str">
            <v>--removed 2017-065</v>
          </cell>
          <cell r="G157">
            <v>0</v>
          </cell>
          <cell r="H157" t="str">
            <v>--removed 2017-065</v>
          </cell>
          <cell r="I157">
            <v>0</v>
          </cell>
          <cell r="J157" t="str">
            <v>--removed 2017-065</v>
          </cell>
          <cell r="K157">
            <v>0</v>
          </cell>
          <cell r="L157">
            <v>0</v>
          </cell>
          <cell r="P157">
            <v>9.2466666666666661</v>
          </cell>
        </row>
        <row r="171">
          <cell r="B171" t="str">
            <v>Total Pago Mensual ****:</v>
          </cell>
          <cell r="C171">
            <v>0</v>
          </cell>
          <cell r="D171" t="e">
            <v>#VALUE!</v>
          </cell>
          <cell r="E171">
            <v>0</v>
          </cell>
          <cell r="F171" t="str">
            <v>--removed 2017-065</v>
          </cell>
          <cell r="G171">
            <v>0</v>
          </cell>
          <cell r="H171" t="str">
            <v>--removed 2017-065</v>
          </cell>
          <cell r="I171">
            <v>0</v>
          </cell>
          <cell r="J171" t="str">
            <v>--removed 2017-065</v>
          </cell>
          <cell r="K171">
            <v>0</v>
          </cell>
        </row>
        <row r="209">
          <cell r="D209" t="e">
            <v>#VALUE!</v>
          </cell>
        </row>
      </sheetData>
      <sheetData sheetId="22">
        <row r="25">
          <cell r="Y25" t="e">
            <v>#NUM!</v>
          </cell>
        </row>
        <row r="37">
          <cell r="P37" t="e">
            <v>#VALUE!</v>
          </cell>
        </row>
        <row r="38">
          <cell r="P38" t="e">
            <v>#N/A</v>
          </cell>
        </row>
        <row r="39">
          <cell r="P39" t="e">
            <v>#N/A</v>
          </cell>
        </row>
        <row r="40">
          <cell r="P40" t="e">
            <v>#N/A</v>
          </cell>
        </row>
        <row r="41">
          <cell r="P41" t="e">
            <v>#N/A</v>
          </cell>
        </row>
        <row r="42">
          <cell r="P42" t="e">
            <v>#N/A</v>
          </cell>
        </row>
        <row r="43">
          <cell r="P43" t="e">
            <v>#N/A</v>
          </cell>
        </row>
        <row r="44">
          <cell r="P44" t="e">
            <v>#N/A</v>
          </cell>
        </row>
        <row r="45">
          <cell r="P45" t="e">
            <v>#N/A</v>
          </cell>
        </row>
        <row r="46">
          <cell r="P46" t="e">
            <v>#N/A</v>
          </cell>
        </row>
        <row r="47">
          <cell r="P47" t="e">
            <v>#N/A</v>
          </cell>
        </row>
        <row r="48">
          <cell r="P48" t="e">
            <v>#N/A</v>
          </cell>
        </row>
        <row r="49">
          <cell r="P49" t="e">
            <v>#N/A</v>
          </cell>
        </row>
        <row r="50">
          <cell r="P50" t="e">
            <v>#N/A</v>
          </cell>
        </row>
        <row r="51">
          <cell r="P51" t="e">
            <v>#N/A</v>
          </cell>
        </row>
        <row r="52">
          <cell r="P52" t="e">
            <v>#N/A</v>
          </cell>
        </row>
        <row r="53">
          <cell r="P53" t="e">
            <v>#N/A</v>
          </cell>
        </row>
        <row r="54">
          <cell r="P54" t="e">
            <v>#N/A</v>
          </cell>
        </row>
        <row r="55">
          <cell r="P55" t="e">
            <v>#N/A</v>
          </cell>
        </row>
        <row r="56">
          <cell r="P56" t="e">
            <v>#N/A</v>
          </cell>
        </row>
        <row r="57">
          <cell r="P57" t="e">
            <v>#N/A</v>
          </cell>
        </row>
        <row r="58">
          <cell r="P58" t="e">
            <v>#N/A</v>
          </cell>
        </row>
        <row r="59">
          <cell r="P59" t="e">
            <v>#N/A</v>
          </cell>
        </row>
        <row r="60">
          <cell r="P60" t="e">
            <v>#N/A</v>
          </cell>
        </row>
        <row r="61">
          <cell r="P61" t="e">
            <v>#N/A</v>
          </cell>
        </row>
        <row r="62">
          <cell r="P62" t="e">
            <v>#N/A</v>
          </cell>
        </row>
        <row r="63">
          <cell r="P63" t="e">
            <v>#N/A</v>
          </cell>
        </row>
        <row r="64">
          <cell r="P64" t="e">
            <v>#N/A</v>
          </cell>
        </row>
        <row r="65">
          <cell r="P65" t="e">
            <v>#N/A</v>
          </cell>
        </row>
        <row r="66">
          <cell r="P66" t="e">
            <v>#N/A</v>
          </cell>
        </row>
        <row r="67">
          <cell r="P67" t="e">
            <v>#N/A</v>
          </cell>
        </row>
        <row r="68">
          <cell r="P68" t="e">
            <v>#N/A</v>
          </cell>
        </row>
        <row r="69">
          <cell r="P69" t="e">
            <v>#N/A</v>
          </cell>
        </row>
        <row r="70">
          <cell r="P70" t="e">
            <v>#N/A</v>
          </cell>
        </row>
        <row r="71">
          <cell r="P71" t="e">
            <v>#N/A</v>
          </cell>
        </row>
        <row r="72">
          <cell r="P72" t="e">
            <v>#N/A</v>
          </cell>
        </row>
        <row r="73">
          <cell r="P73" t="e">
            <v>#N/A</v>
          </cell>
        </row>
        <row r="74">
          <cell r="P74" t="e">
            <v>#N/A</v>
          </cell>
        </row>
        <row r="75">
          <cell r="P75" t="e">
            <v>#N/A</v>
          </cell>
        </row>
        <row r="76">
          <cell r="P76" t="e">
            <v>#N/A</v>
          </cell>
        </row>
        <row r="77">
          <cell r="P77" t="e">
            <v>#N/A</v>
          </cell>
        </row>
        <row r="78">
          <cell r="P78" t="e">
            <v>#N/A</v>
          </cell>
        </row>
        <row r="79">
          <cell r="P79" t="e">
            <v>#N/A</v>
          </cell>
        </row>
        <row r="80">
          <cell r="P80" t="e">
            <v>#N/A</v>
          </cell>
        </row>
        <row r="81">
          <cell r="P81" t="e">
            <v>#N/A</v>
          </cell>
        </row>
        <row r="82">
          <cell r="P82" t="e">
            <v>#N/A</v>
          </cell>
        </row>
        <row r="83">
          <cell r="P83" t="e">
            <v>#N/A</v>
          </cell>
        </row>
        <row r="84">
          <cell r="P84" t="e">
            <v>#N/A</v>
          </cell>
        </row>
        <row r="85">
          <cell r="P85" t="e">
            <v>#N/A</v>
          </cell>
        </row>
        <row r="86">
          <cell r="P86" t="e">
            <v>#N/A</v>
          </cell>
        </row>
        <row r="87">
          <cell r="P87" t="e">
            <v>#N/A</v>
          </cell>
        </row>
        <row r="88">
          <cell r="P88" t="e">
            <v>#N/A</v>
          </cell>
        </row>
        <row r="89">
          <cell r="P89" t="e">
            <v>#N/A</v>
          </cell>
        </row>
        <row r="90">
          <cell r="P90" t="e">
            <v>#N/A</v>
          </cell>
        </row>
        <row r="91">
          <cell r="P91" t="e">
            <v>#N/A</v>
          </cell>
        </row>
        <row r="92">
          <cell r="P92" t="e">
            <v>#N/A</v>
          </cell>
        </row>
        <row r="93">
          <cell r="P93" t="e">
            <v>#N/A</v>
          </cell>
        </row>
        <row r="94">
          <cell r="P94" t="e">
            <v>#N/A</v>
          </cell>
        </row>
        <row r="95">
          <cell r="P95" t="e">
            <v>#N/A</v>
          </cell>
        </row>
        <row r="96">
          <cell r="P96" t="e">
            <v>#N/A</v>
          </cell>
        </row>
        <row r="97">
          <cell r="P97" t="e">
            <v>#N/A</v>
          </cell>
        </row>
        <row r="98">
          <cell r="P98" t="e">
            <v>#N/A</v>
          </cell>
        </row>
        <row r="99">
          <cell r="P99" t="e">
            <v>#N/A</v>
          </cell>
        </row>
        <row r="100">
          <cell r="P100" t="e">
            <v>#N/A</v>
          </cell>
        </row>
        <row r="101">
          <cell r="P101" t="e">
            <v>#N/A</v>
          </cell>
        </row>
        <row r="102">
          <cell r="P102" t="e">
            <v>#N/A</v>
          </cell>
        </row>
        <row r="103">
          <cell r="P103" t="e">
            <v>#N/A</v>
          </cell>
        </row>
        <row r="104">
          <cell r="P104" t="e">
            <v>#N/A</v>
          </cell>
        </row>
        <row r="105">
          <cell r="P105" t="e">
            <v>#N/A</v>
          </cell>
        </row>
        <row r="106">
          <cell r="P106" t="e">
            <v>#N/A</v>
          </cell>
        </row>
        <row r="107">
          <cell r="P107" t="e">
            <v>#N/A</v>
          </cell>
        </row>
        <row r="108">
          <cell r="P108" t="e">
            <v>#N/A</v>
          </cell>
        </row>
        <row r="109">
          <cell r="P109" t="e">
            <v>#N/A</v>
          </cell>
        </row>
        <row r="110">
          <cell r="P110" t="e">
            <v>#N/A</v>
          </cell>
        </row>
        <row r="111">
          <cell r="P111" t="e">
            <v>#N/A</v>
          </cell>
        </row>
        <row r="112">
          <cell r="P112" t="e">
            <v>#N/A</v>
          </cell>
        </row>
        <row r="113">
          <cell r="P113" t="e">
            <v>#N/A</v>
          </cell>
        </row>
        <row r="114">
          <cell r="P114" t="e">
            <v>#N/A</v>
          </cell>
        </row>
        <row r="115">
          <cell r="P115" t="e">
            <v>#N/A</v>
          </cell>
        </row>
        <row r="116">
          <cell r="P116" t="e">
            <v>#N/A</v>
          </cell>
        </row>
        <row r="117">
          <cell r="P117" t="e">
            <v>#N/A</v>
          </cell>
        </row>
        <row r="118">
          <cell r="P118" t="e">
            <v>#N/A</v>
          </cell>
        </row>
        <row r="119">
          <cell r="P119" t="e">
            <v>#N/A</v>
          </cell>
        </row>
        <row r="120">
          <cell r="P120" t="e">
            <v>#N/A</v>
          </cell>
        </row>
        <row r="121">
          <cell r="P121" t="e">
            <v>#N/A</v>
          </cell>
        </row>
        <row r="122">
          <cell r="P122" t="e">
            <v>#N/A</v>
          </cell>
        </row>
        <row r="123">
          <cell r="P123" t="e">
            <v>#N/A</v>
          </cell>
        </row>
        <row r="124">
          <cell r="P124" t="e">
            <v>#N/A</v>
          </cell>
        </row>
        <row r="125">
          <cell r="P125" t="e">
            <v>#N/A</v>
          </cell>
        </row>
        <row r="126">
          <cell r="P126" t="e">
            <v>#N/A</v>
          </cell>
        </row>
        <row r="127">
          <cell r="P127" t="e">
            <v>#N/A</v>
          </cell>
        </row>
        <row r="128">
          <cell r="P128" t="e">
            <v>#N/A</v>
          </cell>
        </row>
        <row r="129">
          <cell r="P129" t="e">
            <v>#N/A</v>
          </cell>
        </row>
        <row r="130">
          <cell r="P130" t="e">
            <v>#N/A</v>
          </cell>
        </row>
        <row r="131">
          <cell r="P131" t="e">
            <v>#N/A</v>
          </cell>
        </row>
        <row r="132">
          <cell r="P132" t="e">
            <v>#N/A</v>
          </cell>
        </row>
        <row r="133">
          <cell r="P133" t="e">
            <v>#N/A</v>
          </cell>
        </row>
        <row r="134">
          <cell r="P134" t="e">
            <v>#N/A</v>
          </cell>
        </row>
        <row r="135">
          <cell r="P135" t="e">
            <v>#N/A</v>
          </cell>
        </row>
        <row r="136">
          <cell r="P136" t="e">
            <v>#N/A</v>
          </cell>
        </row>
        <row r="137">
          <cell r="P137" t="e">
            <v>#N/A</v>
          </cell>
        </row>
        <row r="138">
          <cell r="P138" t="e">
            <v>#N/A</v>
          </cell>
        </row>
        <row r="139">
          <cell r="P139" t="e">
            <v>#N/A</v>
          </cell>
        </row>
        <row r="140">
          <cell r="P140" t="e">
            <v>#N/A</v>
          </cell>
        </row>
        <row r="141">
          <cell r="P141" t="e">
            <v>#N/A</v>
          </cell>
        </row>
        <row r="142">
          <cell r="P142" t="e">
            <v>#N/A</v>
          </cell>
        </row>
        <row r="143">
          <cell r="P143" t="e">
            <v>#N/A</v>
          </cell>
        </row>
        <row r="144">
          <cell r="P144" t="e">
            <v>#N/A</v>
          </cell>
        </row>
        <row r="145">
          <cell r="P145" t="e">
            <v>#N/A</v>
          </cell>
        </row>
        <row r="146">
          <cell r="P146" t="e">
            <v>#N/A</v>
          </cell>
        </row>
        <row r="147">
          <cell r="P147" t="e">
            <v>#N/A</v>
          </cell>
        </row>
        <row r="148">
          <cell r="P148" t="e">
            <v>#N/A</v>
          </cell>
        </row>
        <row r="149">
          <cell r="P149" t="e">
            <v>#N/A</v>
          </cell>
        </row>
        <row r="150">
          <cell r="P150" t="e">
            <v>#N/A</v>
          </cell>
        </row>
        <row r="151">
          <cell r="P151" t="e">
            <v>#N/A</v>
          </cell>
        </row>
        <row r="152">
          <cell r="P152" t="e">
            <v>#N/A</v>
          </cell>
        </row>
        <row r="153">
          <cell r="P153" t="e">
            <v>#N/A</v>
          </cell>
        </row>
        <row r="154">
          <cell r="P154" t="e">
            <v>#N/A</v>
          </cell>
        </row>
        <row r="155">
          <cell r="P155" t="e">
            <v>#N/A</v>
          </cell>
        </row>
        <row r="156">
          <cell r="P156" t="e">
            <v>#N/A</v>
          </cell>
        </row>
        <row r="157">
          <cell r="P157" t="e">
            <v>#N/A</v>
          </cell>
        </row>
        <row r="158">
          <cell r="P158" t="e">
            <v>#N/A</v>
          </cell>
        </row>
        <row r="159">
          <cell r="P159" t="e">
            <v>#N/A</v>
          </cell>
        </row>
        <row r="160">
          <cell r="P160" t="e">
            <v>#N/A</v>
          </cell>
        </row>
        <row r="161">
          <cell r="P161" t="e">
            <v>#N/A</v>
          </cell>
        </row>
        <row r="162">
          <cell r="P162" t="e">
            <v>#N/A</v>
          </cell>
        </row>
        <row r="163">
          <cell r="P163" t="e">
            <v>#N/A</v>
          </cell>
        </row>
        <row r="164">
          <cell r="P164" t="e">
            <v>#N/A</v>
          </cell>
        </row>
        <row r="165">
          <cell r="P165" t="e">
            <v>#N/A</v>
          </cell>
        </row>
        <row r="166">
          <cell r="P166" t="e">
            <v>#N/A</v>
          </cell>
        </row>
        <row r="167">
          <cell r="P167" t="e">
            <v>#N/A</v>
          </cell>
        </row>
        <row r="168">
          <cell r="P168" t="e">
            <v>#N/A</v>
          </cell>
        </row>
        <row r="169">
          <cell r="P169" t="e">
            <v>#N/A</v>
          </cell>
        </row>
        <row r="170">
          <cell r="P170" t="e">
            <v>#N/A</v>
          </cell>
        </row>
        <row r="171">
          <cell r="P171" t="e">
            <v>#N/A</v>
          </cell>
        </row>
        <row r="172">
          <cell r="P172" t="e">
            <v>#N/A</v>
          </cell>
        </row>
        <row r="173">
          <cell r="P173" t="e">
            <v>#N/A</v>
          </cell>
        </row>
        <row r="174">
          <cell r="P174" t="e">
            <v>#N/A</v>
          </cell>
        </row>
        <row r="175">
          <cell r="P175" t="e">
            <v>#N/A</v>
          </cell>
        </row>
        <row r="176">
          <cell r="P176" t="e">
            <v>#N/A</v>
          </cell>
        </row>
        <row r="177">
          <cell r="P177" t="e">
            <v>#N/A</v>
          </cell>
        </row>
        <row r="178">
          <cell r="P178" t="e">
            <v>#N/A</v>
          </cell>
        </row>
        <row r="179">
          <cell r="P179" t="e">
            <v>#N/A</v>
          </cell>
        </row>
        <row r="180">
          <cell r="P180" t="e">
            <v>#N/A</v>
          </cell>
        </row>
        <row r="181">
          <cell r="P181" t="e">
            <v>#N/A</v>
          </cell>
        </row>
        <row r="182">
          <cell r="P182" t="e">
            <v>#N/A</v>
          </cell>
        </row>
        <row r="183">
          <cell r="P183" t="e">
            <v>#N/A</v>
          </cell>
        </row>
        <row r="184">
          <cell r="P184" t="e">
            <v>#N/A</v>
          </cell>
        </row>
        <row r="185">
          <cell r="P185" t="e">
            <v>#N/A</v>
          </cell>
        </row>
        <row r="186">
          <cell r="P186" t="e">
            <v>#N/A</v>
          </cell>
        </row>
        <row r="187">
          <cell r="P187" t="e">
            <v>#N/A</v>
          </cell>
        </row>
        <row r="188">
          <cell r="P188" t="e">
            <v>#N/A</v>
          </cell>
        </row>
        <row r="189">
          <cell r="P189" t="e">
            <v>#N/A</v>
          </cell>
        </row>
        <row r="190">
          <cell r="P190" t="e">
            <v>#N/A</v>
          </cell>
        </row>
        <row r="191">
          <cell r="P191" t="e">
            <v>#N/A</v>
          </cell>
        </row>
        <row r="192">
          <cell r="P192" t="e">
            <v>#N/A</v>
          </cell>
        </row>
        <row r="193">
          <cell r="P193" t="e">
            <v>#N/A</v>
          </cell>
        </row>
        <row r="194">
          <cell r="P194" t="e">
            <v>#N/A</v>
          </cell>
        </row>
        <row r="195">
          <cell r="P195" t="e">
            <v>#N/A</v>
          </cell>
        </row>
        <row r="196">
          <cell r="P196" t="e">
            <v>#N/A</v>
          </cell>
        </row>
        <row r="197">
          <cell r="P197" t="e">
            <v>#N/A</v>
          </cell>
        </row>
        <row r="198">
          <cell r="P198" t="e">
            <v>#N/A</v>
          </cell>
        </row>
        <row r="199">
          <cell r="P199" t="e">
            <v>#N/A</v>
          </cell>
        </row>
        <row r="200">
          <cell r="P200" t="e">
            <v>#N/A</v>
          </cell>
        </row>
        <row r="201">
          <cell r="P201" t="e">
            <v>#N/A</v>
          </cell>
        </row>
        <row r="202">
          <cell r="P202" t="e">
            <v>#N/A</v>
          </cell>
        </row>
        <row r="203">
          <cell r="P203" t="e">
            <v>#N/A</v>
          </cell>
        </row>
        <row r="204">
          <cell r="P204" t="e">
            <v>#N/A</v>
          </cell>
        </row>
        <row r="205">
          <cell r="P205" t="e">
            <v>#N/A</v>
          </cell>
        </row>
        <row r="206">
          <cell r="P206" t="e">
            <v>#N/A</v>
          </cell>
        </row>
        <row r="207">
          <cell r="P207" t="e">
            <v>#N/A</v>
          </cell>
        </row>
        <row r="208">
          <cell r="P208" t="e">
            <v>#N/A</v>
          </cell>
        </row>
        <row r="209">
          <cell r="P209" t="e">
            <v>#N/A</v>
          </cell>
        </row>
        <row r="210">
          <cell r="P210" t="e">
            <v>#N/A</v>
          </cell>
        </row>
        <row r="211">
          <cell r="P211" t="e">
            <v>#N/A</v>
          </cell>
        </row>
        <row r="212">
          <cell r="P212" t="e">
            <v>#N/A</v>
          </cell>
        </row>
        <row r="213">
          <cell r="P213" t="e">
            <v>#N/A</v>
          </cell>
        </row>
        <row r="214">
          <cell r="P214" t="e">
            <v>#N/A</v>
          </cell>
        </row>
        <row r="215">
          <cell r="P215" t="e">
            <v>#N/A</v>
          </cell>
        </row>
        <row r="216">
          <cell r="P216" t="e">
            <v>#N/A</v>
          </cell>
        </row>
        <row r="217">
          <cell r="P217" t="e">
            <v>#N/A</v>
          </cell>
        </row>
        <row r="218">
          <cell r="P218" t="e">
            <v>#N/A</v>
          </cell>
        </row>
        <row r="219">
          <cell r="P219" t="e">
            <v>#N/A</v>
          </cell>
        </row>
        <row r="220">
          <cell r="P220" t="e">
            <v>#N/A</v>
          </cell>
        </row>
        <row r="221">
          <cell r="P221" t="e">
            <v>#N/A</v>
          </cell>
        </row>
        <row r="222">
          <cell r="P222" t="e">
            <v>#N/A</v>
          </cell>
        </row>
        <row r="223">
          <cell r="P223" t="e">
            <v>#N/A</v>
          </cell>
        </row>
        <row r="224">
          <cell r="P224" t="e">
            <v>#N/A</v>
          </cell>
        </row>
        <row r="225">
          <cell r="P225" t="e">
            <v>#N/A</v>
          </cell>
        </row>
        <row r="226">
          <cell r="P226" t="e">
            <v>#N/A</v>
          </cell>
        </row>
        <row r="227">
          <cell r="P227" t="e">
            <v>#N/A</v>
          </cell>
        </row>
        <row r="228">
          <cell r="P228" t="e">
            <v>#N/A</v>
          </cell>
        </row>
        <row r="229">
          <cell r="P229" t="e">
            <v>#N/A</v>
          </cell>
        </row>
        <row r="230">
          <cell r="P230" t="e">
            <v>#N/A</v>
          </cell>
        </row>
        <row r="231">
          <cell r="P231" t="e">
            <v>#N/A</v>
          </cell>
        </row>
        <row r="232">
          <cell r="P232" t="e">
            <v>#N/A</v>
          </cell>
        </row>
        <row r="233">
          <cell r="P233" t="e">
            <v>#N/A</v>
          </cell>
        </row>
        <row r="234">
          <cell r="P234" t="e">
            <v>#N/A</v>
          </cell>
        </row>
        <row r="235">
          <cell r="P235" t="e">
            <v>#N/A</v>
          </cell>
        </row>
        <row r="236">
          <cell r="P236" t="e">
            <v>#N/A</v>
          </cell>
        </row>
        <row r="237">
          <cell r="P237" t="e">
            <v>#N/A</v>
          </cell>
        </row>
        <row r="238">
          <cell r="P238" t="e">
            <v>#N/A</v>
          </cell>
        </row>
        <row r="239">
          <cell r="P239" t="e">
            <v>#N/A</v>
          </cell>
        </row>
        <row r="240">
          <cell r="P240" t="e">
            <v>#N/A</v>
          </cell>
        </row>
        <row r="241">
          <cell r="P241" t="e">
            <v>#N/A</v>
          </cell>
        </row>
        <row r="242">
          <cell r="P242" t="e">
            <v>#N/A</v>
          </cell>
        </row>
        <row r="243">
          <cell r="P243" t="e">
            <v>#N/A</v>
          </cell>
        </row>
        <row r="244">
          <cell r="P244" t="e">
            <v>#N/A</v>
          </cell>
        </row>
        <row r="245">
          <cell r="P245" t="e">
            <v>#N/A</v>
          </cell>
        </row>
        <row r="246">
          <cell r="P246" t="e">
            <v>#N/A</v>
          </cell>
        </row>
        <row r="247">
          <cell r="P247" t="e">
            <v>#N/A</v>
          </cell>
        </row>
        <row r="248">
          <cell r="P248" t="e">
            <v>#N/A</v>
          </cell>
        </row>
        <row r="249">
          <cell r="P249" t="e">
            <v>#N/A</v>
          </cell>
        </row>
        <row r="250">
          <cell r="P250" t="e">
            <v>#N/A</v>
          </cell>
        </row>
        <row r="251">
          <cell r="P251" t="e">
            <v>#N/A</v>
          </cell>
        </row>
        <row r="252">
          <cell r="P252" t="e">
            <v>#N/A</v>
          </cell>
        </row>
        <row r="253">
          <cell r="P253" t="e">
            <v>#N/A</v>
          </cell>
        </row>
        <row r="254">
          <cell r="P254" t="e">
            <v>#N/A</v>
          </cell>
        </row>
        <row r="255">
          <cell r="P255" t="e">
            <v>#N/A</v>
          </cell>
        </row>
        <row r="256">
          <cell r="P256" t="e">
            <v>#N/A</v>
          </cell>
        </row>
        <row r="257">
          <cell r="P257" t="e">
            <v>#N/A</v>
          </cell>
        </row>
        <row r="258">
          <cell r="P258" t="e">
            <v>#N/A</v>
          </cell>
        </row>
        <row r="259">
          <cell r="P259" t="e">
            <v>#N/A</v>
          </cell>
        </row>
        <row r="260">
          <cell r="P260" t="e">
            <v>#N/A</v>
          </cell>
        </row>
        <row r="261">
          <cell r="P261" t="e">
            <v>#N/A</v>
          </cell>
        </row>
        <row r="262">
          <cell r="P262" t="e">
            <v>#N/A</v>
          </cell>
        </row>
        <row r="263">
          <cell r="P263" t="e">
            <v>#N/A</v>
          </cell>
        </row>
        <row r="264">
          <cell r="P264" t="e">
            <v>#N/A</v>
          </cell>
        </row>
        <row r="265">
          <cell r="P265" t="e">
            <v>#N/A</v>
          </cell>
        </row>
        <row r="266">
          <cell r="P266" t="e">
            <v>#N/A</v>
          </cell>
        </row>
        <row r="267">
          <cell r="P267" t="e">
            <v>#N/A</v>
          </cell>
        </row>
        <row r="268">
          <cell r="P268" t="e">
            <v>#N/A</v>
          </cell>
        </row>
        <row r="269">
          <cell r="P269" t="e">
            <v>#N/A</v>
          </cell>
        </row>
        <row r="270">
          <cell r="P270" t="e">
            <v>#N/A</v>
          </cell>
        </row>
        <row r="271">
          <cell r="P271" t="e">
            <v>#N/A</v>
          </cell>
        </row>
        <row r="272">
          <cell r="P272" t="e">
            <v>#N/A</v>
          </cell>
        </row>
        <row r="273">
          <cell r="P273" t="e">
            <v>#N/A</v>
          </cell>
        </row>
        <row r="274">
          <cell r="P274" t="e">
            <v>#N/A</v>
          </cell>
        </row>
        <row r="275">
          <cell r="P275" t="e">
            <v>#N/A</v>
          </cell>
        </row>
        <row r="276">
          <cell r="P276" t="e">
            <v>#N/A</v>
          </cell>
        </row>
        <row r="277">
          <cell r="P277" t="e">
            <v>#N/A</v>
          </cell>
        </row>
        <row r="278">
          <cell r="P278" t="e">
            <v>#N/A</v>
          </cell>
        </row>
        <row r="279">
          <cell r="P279" t="e">
            <v>#N/A</v>
          </cell>
        </row>
        <row r="280">
          <cell r="P280" t="e">
            <v>#N/A</v>
          </cell>
        </row>
        <row r="281">
          <cell r="P281" t="e">
            <v>#N/A</v>
          </cell>
        </row>
        <row r="282">
          <cell r="P282" t="e">
            <v>#N/A</v>
          </cell>
        </row>
        <row r="283">
          <cell r="P283" t="e">
            <v>#N/A</v>
          </cell>
        </row>
        <row r="284">
          <cell r="P284" t="e">
            <v>#N/A</v>
          </cell>
        </row>
        <row r="285">
          <cell r="P285" t="e">
            <v>#N/A</v>
          </cell>
        </row>
        <row r="286">
          <cell r="P286" t="e">
            <v>#N/A</v>
          </cell>
        </row>
        <row r="287">
          <cell r="P287" t="e">
            <v>#N/A</v>
          </cell>
        </row>
        <row r="288">
          <cell r="P288" t="e">
            <v>#N/A</v>
          </cell>
        </row>
        <row r="289">
          <cell r="P289" t="e">
            <v>#N/A</v>
          </cell>
        </row>
        <row r="290">
          <cell r="P290" t="e">
            <v>#N/A</v>
          </cell>
        </row>
        <row r="291">
          <cell r="P291" t="e">
            <v>#N/A</v>
          </cell>
        </row>
        <row r="292">
          <cell r="P292" t="e">
            <v>#N/A</v>
          </cell>
        </row>
        <row r="293">
          <cell r="P293" t="e">
            <v>#N/A</v>
          </cell>
        </row>
        <row r="294">
          <cell r="P294" t="e">
            <v>#N/A</v>
          </cell>
        </row>
        <row r="295">
          <cell r="P295" t="e">
            <v>#N/A</v>
          </cell>
        </row>
        <row r="296">
          <cell r="P296" t="e">
            <v>#N/A</v>
          </cell>
        </row>
        <row r="297">
          <cell r="P297" t="e">
            <v>#N/A</v>
          </cell>
        </row>
        <row r="298">
          <cell r="P298" t="e">
            <v>#N/A</v>
          </cell>
        </row>
        <row r="299">
          <cell r="P299" t="e">
            <v>#N/A</v>
          </cell>
        </row>
        <row r="300">
          <cell r="P300" t="e">
            <v>#N/A</v>
          </cell>
        </row>
        <row r="301">
          <cell r="P301" t="e">
            <v>#N/A</v>
          </cell>
        </row>
        <row r="302">
          <cell r="P302" t="e">
            <v>#N/A</v>
          </cell>
        </row>
        <row r="303">
          <cell r="P303" t="e">
            <v>#N/A</v>
          </cell>
        </row>
        <row r="304">
          <cell r="P304" t="e">
            <v>#N/A</v>
          </cell>
        </row>
        <row r="305">
          <cell r="P305" t="e">
            <v>#N/A</v>
          </cell>
        </row>
        <row r="306">
          <cell r="P306" t="e">
            <v>#N/A</v>
          </cell>
        </row>
        <row r="307">
          <cell r="P307" t="e">
            <v>#N/A</v>
          </cell>
        </row>
        <row r="308">
          <cell r="P308" t="e">
            <v>#N/A</v>
          </cell>
        </row>
        <row r="309">
          <cell r="P309" t="e">
            <v>#N/A</v>
          </cell>
        </row>
        <row r="310">
          <cell r="P310" t="e">
            <v>#N/A</v>
          </cell>
        </row>
        <row r="311">
          <cell r="P311" t="e">
            <v>#N/A</v>
          </cell>
        </row>
        <row r="312">
          <cell r="P312" t="e">
            <v>#N/A</v>
          </cell>
        </row>
        <row r="313">
          <cell r="P313" t="e">
            <v>#N/A</v>
          </cell>
        </row>
        <row r="314">
          <cell r="P314" t="e">
            <v>#N/A</v>
          </cell>
        </row>
        <row r="315">
          <cell r="P315" t="e">
            <v>#N/A</v>
          </cell>
        </row>
        <row r="316">
          <cell r="P316" t="e">
            <v>#N/A</v>
          </cell>
        </row>
        <row r="317">
          <cell r="P317" t="e">
            <v>#N/A</v>
          </cell>
        </row>
        <row r="318">
          <cell r="P318" t="e">
            <v>#N/A</v>
          </cell>
        </row>
        <row r="319">
          <cell r="P319" t="e">
            <v>#N/A</v>
          </cell>
        </row>
        <row r="320">
          <cell r="P320" t="e">
            <v>#N/A</v>
          </cell>
        </row>
        <row r="321">
          <cell r="P321" t="e">
            <v>#N/A</v>
          </cell>
        </row>
        <row r="322">
          <cell r="P322" t="e">
            <v>#N/A</v>
          </cell>
        </row>
        <row r="323">
          <cell r="P323" t="e">
            <v>#N/A</v>
          </cell>
        </row>
        <row r="324">
          <cell r="P324" t="e">
            <v>#N/A</v>
          </cell>
        </row>
        <row r="325">
          <cell r="P325" t="e">
            <v>#N/A</v>
          </cell>
        </row>
        <row r="326">
          <cell r="P326" t="e">
            <v>#N/A</v>
          </cell>
        </row>
        <row r="327">
          <cell r="P327" t="e">
            <v>#N/A</v>
          </cell>
        </row>
        <row r="328">
          <cell r="P328" t="e">
            <v>#N/A</v>
          </cell>
        </row>
        <row r="329">
          <cell r="P329" t="e">
            <v>#N/A</v>
          </cell>
        </row>
        <row r="330">
          <cell r="P330" t="e">
            <v>#N/A</v>
          </cell>
        </row>
        <row r="331">
          <cell r="P331" t="e">
            <v>#N/A</v>
          </cell>
        </row>
        <row r="332">
          <cell r="P332" t="e">
            <v>#N/A</v>
          </cell>
        </row>
        <row r="333">
          <cell r="P333" t="e">
            <v>#N/A</v>
          </cell>
        </row>
        <row r="334">
          <cell r="P334" t="e">
            <v>#N/A</v>
          </cell>
        </row>
        <row r="335">
          <cell r="P335" t="e">
            <v>#N/A</v>
          </cell>
        </row>
        <row r="336">
          <cell r="P336" t="e">
            <v>#N/A</v>
          </cell>
        </row>
        <row r="337">
          <cell r="P337" t="e">
            <v>#N/A</v>
          </cell>
        </row>
        <row r="338">
          <cell r="P338" t="e">
            <v>#N/A</v>
          </cell>
        </row>
        <row r="339">
          <cell r="P339" t="e">
            <v>#N/A</v>
          </cell>
        </row>
        <row r="340">
          <cell r="P340" t="e">
            <v>#N/A</v>
          </cell>
        </row>
        <row r="341">
          <cell r="P341" t="e">
            <v>#N/A</v>
          </cell>
        </row>
        <row r="342">
          <cell r="P342" t="e">
            <v>#N/A</v>
          </cell>
        </row>
        <row r="343">
          <cell r="P343" t="e">
            <v>#N/A</v>
          </cell>
        </row>
        <row r="344">
          <cell r="P344" t="e">
            <v>#N/A</v>
          </cell>
        </row>
        <row r="345">
          <cell r="P345" t="e">
            <v>#N/A</v>
          </cell>
        </row>
        <row r="346">
          <cell r="P346" t="e">
            <v>#N/A</v>
          </cell>
        </row>
        <row r="347">
          <cell r="P347" t="e">
            <v>#N/A</v>
          </cell>
        </row>
        <row r="348">
          <cell r="P348" t="e">
            <v>#N/A</v>
          </cell>
        </row>
        <row r="349">
          <cell r="P349" t="e">
            <v>#N/A</v>
          </cell>
        </row>
        <row r="350">
          <cell r="P350" t="e">
            <v>#N/A</v>
          </cell>
        </row>
        <row r="351">
          <cell r="P351" t="e">
            <v>#N/A</v>
          </cell>
        </row>
        <row r="352">
          <cell r="P352" t="e">
            <v>#N/A</v>
          </cell>
        </row>
        <row r="353">
          <cell r="P353" t="e">
            <v>#N/A</v>
          </cell>
        </row>
        <row r="354">
          <cell r="P354" t="e">
            <v>#N/A</v>
          </cell>
        </row>
        <row r="355">
          <cell r="P355" t="e">
            <v>#N/A</v>
          </cell>
        </row>
        <row r="356">
          <cell r="P356" t="e">
            <v>#N/A</v>
          </cell>
        </row>
        <row r="357">
          <cell r="P357" t="e">
            <v>#N/A</v>
          </cell>
        </row>
        <row r="358">
          <cell r="P358" t="e">
            <v>#N/A</v>
          </cell>
        </row>
        <row r="359">
          <cell r="P359" t="e">
            <v>#N/A</v>
          </cell>
        </row>
        <row r="360">
          <cell r="P360" t="e">
            <v>#N/A</v>
          </cell>
        </row>
        <row r="361">
          <cell r="P361" t="e">
            <v>#N/A</v>
          </cell>
        </row>
        <row r="362">
          <cell r="P362" t="e">
            <v>#N/A</v>
          </cell>
        </row>
        <row r="363">
          <cell r="P363" t="e">
            <v>#N/A</v>
          </cell>
        </row>
        <row r="364">
          <cell r="P364" t="e">
            <v>#N/A</v>
          </cell>
        </row>
        <row r="365">
          <cell r="P365" t="e">
            <v>#N/A</v>
          </cell>
        </row>
        <row r="366">
          <cell r="P366" t="e">
            <v>#N/A</v>
          </cell>
        </row>
        <row r="367">
          <cell r="P367" t="e">
            <v>#N/A</v>
          </cell>
        </row>
        <row r="368">
          <cell r="P368" t="e">
            <v>#N/A</v>
          </cell>
        </row>
        <row r="369">
          <cell r="P369" t="e">
            <v>#N/A</v>
          </cell>
        </row>
        <row r="370">
          <cell r="P370" t="e">
            <v>#N/A</v>
          </cell>
        </row>
        <row r="371">
          <cell r="P371" t="e">
            <v>#N/A</v>
          </cell>
        </row>
        <row r="372">
          <cell r="P372" t="e">
            <v>#N/A</v>
          </cell>
        </row>
        <row r="373">
          <cell r="P373" t="e">
            <v>#N/A</v>
          </cell>
        </row>
        <row r="374">
          <cell r="P374" t="e">
            <v>#N/A</v>
          </cell>
        </row>
        <row r="375">
          <cell r="P375" t="e">
            <v>#N/A</v>
          </cell>
        </row>
        <row r="376">
          <cell r="P376" t="e">
            <v>#N/A</v>
          </cell>
        </row>
        <row r="377">
          <cell r="P377" t="e">
            <v>#N/A</v>
          </cell>
        </row>
        <row r="378">
          <cell r="P378" t="e">
            <v>#N/A</v>
          </cell>
        </row>
        <row r="379">
          <cell r="P379" t="e">
            <v>#N/A</v>
          </cell>
        </row>
        <row r="380">
          <cell r="P380" t="e">
            <v>#N/A</v>
          </cell>
        </row>
        <row r="381">
          <cell r="P381" t="e">
            <v>#N/A</v>
          </cell>
        </row>
        <row r="382">
          <cell r="P382" t="e">
            <v>#N/A</v>
          </cell>
        </row>
        <row r="383">
          <cell r="P383" t="e">
            <v>#N/A</v>
          </cell>
        </row>
        <row r="384">
          <cell r="P384" t="e">
            <v>#N/A</v>
          </cell>
        </row>
        <row r="385">
          <cell r="P385" t="e">
            <v>#N/A</v>
          </cell>
        </row>
        <row r="386">
          <cell r="P386" t="e">
            <v>#N/A</v>
          </cell>
        </row>
        <row r="387">
          <cell r="P387" t="e">
            <v>#N/A</v>
          </cell>
        </row>
        <row r="388">
          <cell r="P388" t="e">
            <v>#N/A</v>
          </cell>
        </row>
        <row r="389">
          <cell r="P389" t="e">
            <v>#N/A</v>
          </cell>
        </row>
        <row r="390">
          <cell r="P390" t="e">
            <v>#N/A</v>
          </cell>
        </row>
        <row r="391">
          <cell r="P391" t="e">
            <v>#N/A</v>
          </cell>
        </row>
        <row r="392">
          <cell r="P392" t="e">
            <v>#N/A</v>
          </cell>
        </row>
        <row r="393">
          <cell r="P393" t="e">
            <v>#N/A</v>
          </cell>
        </row>
        <row r="394">
          <cell r="P394" t="e">
            <v>#N/A</v>
          </cell>
        </row>
        <row r="395">
          <cell r="P395" t="e">
            <v>#N/A</v>
          </cell>
        </row>
        <row r="396">
          <cell r="P396" t="e">
            <v>#N/A</v>
          </cell>
        </row>
      </sheetData>
      <sheetData sheetId="23"/>
      <sheetData sheetId="24"/>
      <sheetData sheetId="25"/>
      <sheetData sheetId="26">
        <row r="6">
          <cell r="B6" t="b">
            <v>0</v>
          </cell>
        </row>
        <row r="10">
          <cell r="A10" t="str">
            <v>Nombre</v>
          </cell>
          <cell r="B10" t="str">
            <v>Aplica?</v>
          </cell>
          <cell r="E10" t="str">
            <v>Aclaración</v>
          </cell>
        </row>
        <row r="11">
          <cell r="A11" t="str">
            <v>Comportamiento Tasa</v>
          </cell>
          <cell r="B11" t="b">
            <v>0</v>
          </cell>
          <cell r="E11" t="str">
            <v>--</v>
          </cell>
        </row>
        <row r="12">
          <cell r="A12" t="str">
            <v>Aclaración Tasa</v>
          </cell>
          <cell r="B12" t="b">
            <v>0</v>
          </cell>
          <cell r="E12" t="str">
            <v>--</v>
          </cell>
        </row>
        <row r="13">
          <cell r="A13" t="str">
            <v>Descuento en Subtasas</v>
          </cell>
          <cell r="B13" t="b">
            <v>0</v>
          </cell>
          <cell r="E13" t="e">
            <v>#N/A</v>
          </cell>
        </row>
        <row r="14">
          <cell r="A14" t="str">
            <v>Aceptación Avalúo</v>
          </cell>
          <cell r="B14" t="b">
            <v>0</v>
          </cell>
          <cell r="E14" t="str">
            <v>Aceptación de Avalúo aplica cuando se presenta Avalúo existente. Cuando no se presente, aplicará costo de avalúo de 0.30% más I.V.A.</v>
          </cell>
        </row>
        <row r="15">
          <cell r="A15" t="str">
            <v>Gastos Notariales</v>
          </cell>
          <cell r="B15" t="b">
            <v>1</v>
          </cell>
          <cell r="E15" t="str">
            <v/>
          </cell>
        </row>
        <row r="16">
          <cell r="A16" t="str">
            <v>Ajuste Pago x Mil MxM</v>
          </cell>
          <cell r="B16" t="b">
            <v>0</v>
          </cell>
          <cell r="E16" t="str">
            <v>En Hipoteca Más por Menos, con incremento anual de 2.12% para 15 años y de 2.01% para 20 años. No incluye seguros.</v>
          </cell>
        </row>
        <row r="17">
          <cell r="A17" t="str">
            <v>Primer Pago</v>
          </cell>
          <cell r="B17" t="b">
            <v>1</v>
          </cell>
          <cell r="E17" t="str">
            <v>El primer pago podrá variar por los días realmente transcurridos en el mes.</v>
          </cell>
        </row>
        <row r="18">
          <cell r="A18" t="str">
            <v>Crédito Incluye Apertura</v>
          </cell>
          <cell r="B18" t="b">
            <v>0</v>
          </cell>
          <cell r="E18" t="str">
            <v>Incluye Comisión por Apertura.</v>
          </cell>
        </row>
        <row r="19">
          <cell r="A19" t="str">
            <v>Ahorro Fuerte</v>
          </cell>
          <cell r="B19" t="b">
            <v>0</v>
          </cell>
          <cell r="E19" t="str">
            <v>El Ahorro es calculado considerando el descuento en Tasa por Pago Puntual contra la Tasa inicial asignada Fija.</v>
          </cell>
        </row>
        <row r="24">
          <cell r="A24" t="str">
            <v>Nombre</v>
          </cell>
          <cell r="B24" t="str">
            <v>Aplica?</v>
          </cell>
          <cell r="C24" t="str">
            <v>Índice</v>
          </cell>
          <cell r="D24" t="str">
            <v>Sigil</v>
          </cell>
          <cell r="E24" t="str">
            <v>Aclaración con Sigil</v>
          </cell>
          <cell r="F24" t="str">
            <v>Sección</v>
          </cell>
          <cell r="G24" t="str">
            <v>Sección.Índice</v>
          </cell>
          <cell r="H24" t="str">
            <v>Sección.Nombre</v>
          </cell>
        </row>
        <row r="25">
          <cell r="A25" t="str">
            <v>Comportamiento Tasa</v>
          </cell>
          <cell r="B25" t="b">
            <v>0</v>
          </cell>
          <cell r="C25">
            <v>0</v>
          </cell>
          <cell r="D25" t="str">
            <v/>
          </cell>
          <cell r="E25" t="str">
            <v/>
          </cell>
          <cell r="F25" t="str">
            <v>Cotización</v>
          </cell>
          <cell r="G25" t="str">
            <v>Cotización.0</v>
          </cell>
          <cell r="H25" t="str">
            <v>Cotización.Comportamiento Tasa</v>
          </cell>
        </row>
        <row r="26">
          <cell r="A26" t="str">
            <v>Aceptación Avalúo</v>
          </cell>
          <cell r="B26" t="b">
            <v>0</v>
          </cell>
          <cell r="C26">
            <v>0</v>
          </cell>
          <cell r="D26" t="str">
            <v/>
          </cell>
          <cell r="E26" t="str">
            <v/>
          </cell>
          <cell r="F26" t="str">
            <v>Cotización</v>
          </cell>
          <cell r="G26" t="str">
            <v>Cotización.0</v>
          </cell>
          <cell r="H26" t="str">
            <v>Cotización.Aceptación Avalúo</v>
          </cell>
        </row>
        <row r="27">
          <cell r="A27" t="str">
            <v>Gastos Notariales</v>
          </cell>
          <cell r="B27" t="b">
            <v>1</v>
          </cell>
          <cell r="C27">
            <v>1</v>
          </cell>
          <cell r="D27" t="str">
            <v xml:space="preserve"> * </v>
          </cell>
          <cell r="E27" t="str">
            <v xml:space="preserve"> * </v>
          </cell>
          <cell r="F27" t="str">
            <v>Cotización</v>
          </cell>
          <cell r="G27" t="str">
            <v>Cotización.1</v>
          </cell>
          <cell r="H27" t="str">
            <v>Cotización.Gastos Notariales</v>
          </cell>
        </row>
        <row r="28">
          <cell r="A28" t="str">
            <v>Ajuste Pago x Mil MxM</v>
          </cell>
          <cell r="B28" t="b">
            <v>0</v>
          </cell>
          <cell r="C28">
            <v>0</v>
          </cell>
          <cell r="D28" t="str">
            <v/>
          </cell>
          <cell r="E28" t="str">
            <v/>
          </cell>
          <cell r="F28" t="str">
            <v>Cotización</v>
          </cell>
          <cell r="G28" t="str">
            <v>Cotización.0</v>
          </cell>
          <cell r="H28" t="str">
            <v>Cotización.Ajuste Pago x Mil MxM</v>
          </cell>
        </row>
        <row r="29">
          <cell r="A29" t="str">
            <v>Primer Pago</v>
          </cell>
          <cell r="B29" t="b">
            <v>1</v>
          </cell>
          <cell r="C29">
            <v>2</v>
          </cell>
          <cell r="D29" t="str">
            <v xml:space="preserve"> ** </v>
          </cell>
          <cell r="E29" t="str">
            <v xml:space="preserve"> ** El primer pago podrá variar por los días realmente transcurridos en el mes.</v>
          </cell>
          <cell r="F29" t="str">
            <v>Cotización</v>
          </cell>
          <cell r="G29" t="str">
            <v>Cotización.2</v>
          </cell>
          <cell r="H29" t="str">
            <v>Cotización.Primer Pago</v>
          </cell>
        </row>
        <row r="30">
          <cell r="A30">
            <v>0</v>
          </cell>
          <cell r="B30">
            <v>0</v>
          </cell>
          <cell r="G30" t="str">
            <v xml:space="preserve"> </v>
          </cell>
        </row>
        <row r="31">
          <cell r="A31" t="str">
            <v>Nombre</v>
          </cell>
          <cell r="B31" t="str">
            <v>Aplica?</v>
          </cell>
          <cell r="C31" t="str">
            <v>Índice</v>
          </cell>
          <cell r="D31" t="str">
            <v>Sigil</v>
          </cell>
          <cell r="E31" t="str">
            <v>Aclaración con Sigil</v>
          </cell>
          <cell r="F31" t="str">
            <v>Sección</v>
          </cell>
          <cell r="G31" t="str">
            <v>Sección.Índice</v>
          </cell>
          <cell r="H31" t="str">
            <v>Sección.Nombre</v>
          </cell>
        </row>
        <row r="32">
          <cell r="A32" t="str">
            <v>Comportamiento Tasa</v>
          </cell>
          <cell r="B32" t="b">
            <v>0</v>
          </cell>
          <cell r="C32">
            <v>0</v>
          </cell>
          <cell r="D32" t="str">
            <v/>
          </cell>
          <cell r="E32" t="str">
            <v/>
          </cell>
          <cell r="F32" t="str">
            <v>Tabla Cliente</v>
          </cell>
          <cell r="G32" t="str">
            <v>Tabla Cliente.0</v>
          </cell>
          <cell r="H32" t="str">
            <v>Tabla Cliente.Comportamiento Tasa</v>
          </cell>
        </row>
        <row r="33">
          <cell r="A33" t="str">
            <v>Gastos Notariales</v>
          </cell>
          <cell r="B33" t="b">
            <v>1</v>
          </cell>
          <cell r="C33">
            <v>1</v>
          </cell>
          <cell r="D33" t="str">
            <v xml:space="preserve"> * </v>
          </cell>
          <cell r="E33" t="str">
            <v xml:space="preserve"> * </v>
          </cell>
          <cell r="F33" t="str">
            <v>Tabla Cliente</v>
          </cell>
          <cell r="G33" t="str">
            <v>Tabla Cliente.1</v>
          </cell>
          <cell r="H33" t="str">
            <v>Tabla Cliente.Gastos Notariales</v>
          </cell>
        </row>
        <row r="34">
          <cell r="A34" t="str">
            <v>Crédito Incluye Apertura</v>
          </cell>
          <cell r="B34" t="b">
            <v>0</v>
          </cell>
          <cell r="C34">
            <v>0</v>
          </cell>
          <cell r="D34" t="str">
            <v/>
          </cell>
          <cell r="E34" t="str">
            <v/>
          </cell>
          <cell r="F34" t="str">
            <v>Tabla Cliente</v>
          </cell>
          <cell r="G34" t="str">
            <v>Tabla Cliente.0</v>
          </cell>
          <cell r="H34" t="str">
            <v>Tabla Cliente.Crédito Incluye Apertura</v>
          </cell>
        </row>
        <row r="35">
          <cell r="A35" t="str">
            <v>Ajuste Pago x Mil MxM</v>
          </cell>
          <cell r="B35" t="b">
            <v>0</v>
          </cell>
          <cell r="C35">
            <v>0</v>
          </cell>
          <cell r="D35" t="str">
            <v/>
          </cell>
          <cell r="E35" t="str">
            <v/>
          </cell>
          <cell r="F35" t="str">
            <v>Tabla Cliente</v>
          </cell>
          <cell r="G35" t="str">
            <v>Tabla Cliente.0</v>
          </cell>
          <cell r="H35" t="str">
            <v>Tabla Cliente.Ajuste Pago x Mil MxM</v>
          </cell>
        </row>
        <row r="36">
          <cell r="A36" t="str">
            <v>Ahorro Fuerte</v>
          </cell>
          <cell r="B36" t="b">
            <v>0</v>
          </cell>
          <cell r="C36">
            <v>0</v>
          </cell>
          <cell r="D36" t="str">
            <v/>
          </cell>
          <cell r="E36" t="str">
            <v/>
          </cell>
          <cell r="F36" t="str">
            <v>Tabla Cliente</v>
          </cell>
          <cell r="G36" t="str">
            <v>Tabla Cliente.0</v>
          </cell>
          <cell r="H36" t="str">
            <v>Tabla Cliente.Ahorro Fuerte</v>
          </cell>
        </row>
        <row r="37">
          <cell r="A37">
            <v>0</v>
          </cell>
          <cell r="B37">
            <v>0</v>
          </cell>
          <cell r="G37" t="str">
            <v xml:space="preserve"> </v>
          </cell>
        </row>
        <row r="38">
          <cell r="A38" t="str">
            <v>Nombre</v>
          </cell>
          <cell r="B38" t="str">
            <v>Aplica?</v>
          </cell>
          <cell r="C38" t="str">
            <v>Índice</v>
          </cell>
          <cell r="D38" t="str">
            <v>Sigil</v>
          </cell>
          <cell r="E38" t="str">
            <v>Aclaración con Sigil</v>
          </cell>
          <cell r="F38" t="str">
            <v>Sección</v>
          </cell>
          <cell r="G38" t="str">
            <v>Sección.Índice</v>
          </cell>
          <cell r="H38" t="str">
            <v>Sección.Nombre</v>
          </cell>
        </row>
        <row r="39">
          <cell r="A39" t="str">
            <v>Comportamiento Tasa</v>
          </cell>
          <cell r="B39" t="b">
            <v>0</v>
          </cell>
          <cell r="C39">
            <v>0</v>
          </cell>
          <cell r="D39" t="str">
            <v/>
          </cell>
          <cell r="E39" t="str">
            <v/>
          </cell>
          <cell r="F39" t="str">
            <v>Tabla Notaría</v>
          </cell>
          <cell r="G39" t="str">
            <v>Tabla Notaría.0</v>
          </cell>
          <cell r="H39" t="str">
            <v>Tabla Notaría.Comportamiento Tasa</v>
          </cell>
        </row>
        <row r="40">
          <cell r="A40" t="str">
            <v>Crédito Incluye Apertura</v>
          </cell>
          <cell r="B40" t="b">
            <v>0</v>
          </cell>
          <cell r="C40">
            <v>0</v>
          </cell>
          <cell r="D40" t="str">
            <v/>
          </cell>
          <cell r="E40" t="str">
            <v/>
          </cell>
          <cell r="F40" t="str">
            <v>Tabla Notaría</v>
          </cell>
          <cell r="G40" t="str">
            <v>Tabla Notaría.0</v>
          </cell>
          <cell r="H40" t="str">
            <v>Tabla Notaría.Crédito Incluye Apertura</v>
          </cell>
        </row>
        <row r="41">
          <cell r="A41" t="str">
            <v>Ajuste Pago x Mil MxM</v>
          </cell>
          <cell r="B41" t="b">
            <v>0</v>
          </cell>
          <cell r="C41">
            <v>0</v>
          </cell>
          <cell r="D41" t="str">
            <v/>
          </cell>
          <cell r="E41" t="str">
            <v/>
          </cell>
          <cell r="F41" t="str">
            <v>Tabla Notaría</v>
          </cell>
          <cell r="G41" t="str">
            <v>Tabla Notaría.0</v>
          </cell>
          <cell r="H41" t="str">
            <v>Tabla Notaría.Ajuste Pago x Mil MxM</v>
          </cell>
        </row>
        <row r="42">
          <cell r="A42">
            <v>0</v>
          </cell>
          <cell r="B42">
            <v>0</v>
          </cell>
          <cell r="G42" t="str">
            <v xml:space="preserve"> </v>
          </cell>
        </row>
        <row r="43">
          <cell r="A43" t="str">
            <v>Nombre</v>
          </cell>
          <cell r="B43" t="str">
            <v>Aplica?</v>
          </cell>
          <cell r="C43" t="str">
            <v>Índice</v>
          </cell>
          <cell r="D43" t="str">
            <v>Sigil</v>
          </cell>
          <cell r="E43" t="str">
            <v>Aclaración con Sigil</v>
          </cell>
          <cell r="F43" t="str">
            <v>Sección</v>
          </cell>
          <cell r="G43" t="str">
            <v>Sección.Índice</v>
          </cell>
          <cell r="H43" t="str">
            <v>Sección.Nombre</v>
          </cell>
        </row>
        <row r="44">
          <cell r="A44" t="str">
            <v>Comportamiento Tasa</v>
          </cell>
          <cell r="B44" t="b">
            <v>0</v>
          </cell>
          <cell r="C44">
            <v>0</v>
          </cell>
          <cell r="D44" t="str">
            <v/>
          </cell>
          <cell r="E44" t="str">
            <v/>
          </cell>
          <cell r="F44" t="str">
            <v>Oferta Vinculante</v>
          </cell>
          <cell r="G44" t="str">
            <v>Oferta Vinculante.0</v>
          </cell>
          <cell r="H44" t="str">
            <v>Oferta Vinculante.Comportamiento Tasa</v>
          </cell>
        </row>
        <row r="45">
          <cell r="A45">
            <v>0</v>
          </cell>
          <cell r="B45">
            <v>0</v>
          </cell>
          <cell r="G45" t="str">
            <v xml:space="preserve"> </v>
          </cell>
        </row>
        <row r="46">
          <cell r="A46" t="str">
            <v>Nombre</v>
          </cell>
          <cell r="B46" t="str">
            <v>Aplica?</v>
          </cell>
          <cell r="C46" t="str">
            <v>Índice</v>
          </cell>
          <cell r="D46" t="str">
            <v>Sigil</v>
          </cell>
          <cell r="E46" t="str">
            <v>Aclaración con Sigil</v>
          </cell>
          <cell r="F46" t="str">
            <v>Sección</v>
          </cell>
          <cell r="G46" t="str">
            <v>Sección.Índice</v>
          </cell>
          <cell r="H46" t="str">
            <v>Sección.Nombre</v>
          </cell>
        </row>
        <row r="47">
          <cell r="A47" t="str">
            <v>Aclaración Tasa</v>
          </cell>
          <cell r="B47" t="b">
            <v>0</v>
          </cell>
          <cell r="C47">
            <v>0</v>
          </cell>
          <cell r="D47">
            <v>0</v>
          </cell>
          <cell r="E47" t="str">
            <v/>
          </cell>
          <cell r="F47" t="str">
            <v>Aclaraciones sin Sigil</v>
          </cell>
          <cell r="G47" t="str">
            <v>Aclaraciones sin Sigil.0</v>
          </cell>
          <cell r="H47" t="str">
            <v>Aclaraciones sin Sigil.Aclaración Tasa</v>
          </cell>
        </row>
        <row r="48">
          <cell r="A48" t="str">
            <v>Descuento en Subtasas</v>
          </cell>
          <cell r="B48" t="b">
            <v>0</v>
          </cell>
          <cell r="C48">
            <v>0</v>
          </cell>
          <cell r="E48" t="str">
            <v/>
          </cell>
          <cell r="F48" t="str">
            <v>Aclaraciones sin Sigil</v>
          </cell>
          <cell r="G48" t="str">
            <v>Aclaraciones sin Sigil.0</v>
          </cell>
          <cell r="H48" t="str">
            <v>Aclaraciones sin Sigil.Descuento en Subtasas</v>
          </cell>
        </row>
      </sheetData>
      <sheetData sheetId="27">
        <row r="4">
          <cell r="A4" t="str">
            <v>Etiqueta</v>
          </cell>
          <cell r="B4" t="str">
            <v>Contenido</v>
          </cell>
          <cell r="C4" t="str">
            <v>Sección</v>
          </cell>
          <cell r="D4" t="str">
            <v>Nombre Aclaración</v>
          </cell>
          <cell r="E4" t="str">
            <v>Llave de Búsqueda</v>
          </cell>
          <cell r="F4" t="str">
            <v>Sigil</v>
          </cell>
          <cell r="G4" t="str">
            <v>Texto Etiqueta</v>
          </cell>
          <cell r="H4" t="str">
            <v>Sección.Etiqueta</v>
          </cell>
        </row>
        <row r="5">
          <cell r="A5" t="str">
            <v>Tasa de Interés Anual (Fija)</v>
          </cell>
          <cell r="B5" t="str">
            <v>Tasa de Interés Anual (Fija)</v>
          </cell>
          <cell r="C5" t="str">
            <v>Cotización</v>
          </cell>
          <cell r="D5" t="str">
            <v>Comportamiento Tasa</v>
          </cell>
          <cell r="E5" t="str">
            <v>Cotización.Comportamiento Tasa</v>
          </cell>
          <cell r="F5" t="str">
            <v/>
          </cell>
          <cell r="G5" t="str">
            <v>Tasa de Interés Anual (Fija)</v>
          </cell>
          <cell r="H5" t="str">
            <v>Cotización.Tasa de Interés Anual (Fija)</v>
          </cell>
        </row>
        <row r="6">
          <cell r="A6" t="str">
            <v>Gastos Notariales</v>
          </cell>
          <cell r="B6" t="str">
            <v>Gastos Notariales</v>
          </cell>
          <cell r="C6" t="str">
            <v>Cotización</v>
          </cell>
          <cell r="D6" t="str">
            <v>Gastos Notariales</v>
          </cell>
          <cell r="E6" t="str">
            <v>Cotización.Gastos Notariales</v>
          </cell>
          <cell r="F6" t="str">
            <v xml:space="preserve"> * </v>
          </cell>
          <cell r="G6" t="str">
            <v xml:space="preserve">Gastos Notariales * </v>
          </cell>
          <cell r="H6" t="str">
            <v>Cotización.Gastos Notariales</v>
          </cell>
        </row>
        <row r="7">
          <cell r="A7" t="str">
            <v>Pago Por Mil</v>
          </cell>
          <cell r="B7" t="str">
            <v>Pago Por Mil</v>
          </cell>
          <cell r="C7" t="str">
            <v>Cotización</v>
          </cell>
          <cell r="D7" t="str">
            <v>Ajuste Pago x Mil MxM</v>
          </cell>
          <cell r="E7" t="str">
            <v>Cotización.Ajuste Pago x Mil MxM</v>
          </cell>
          <cell r="F7" t="str">
            <v/>
          </cell>
          <cell r="G7" t="str">
            <v>Pago Por Mil</v>
          </cell>
          <cell r="H7" t="str">
            <v>Cotización.Pago Por Mil</v>
          </cell>
        </row>
        <row r="8">
          <cell r="A8" t="str">
            <v>Pago Mensual</v>
          </cell>
          <cell r="B8" t="str">
            <v>Pago Mensual</v>
          </cell>
          <cell r="C8" t="str">
            <v>Cotización</v>
          </cell>
          <cell r="D8" t="str">
            <v>Primer Pago</v>
          </cell>
          <cell r="E8" t="str">
            <v>Cotización.Primer Pago</v>
          </cell>
          <cell r="F8" t="str">
            <v xml:space="preserve"> ** </v>
          </cell>
          <cell r="G8" t="str">
            <v xml:space="preserve">Pago Mensual ** </v>
          </cell>
          <cell r="H8" t="str">
            <v>Cotización.Pago Mensual</v>
          </cell>
        </row>
        <row r="9">
          <cell r="A9" t="str">
            <v>Total Pago Mensual</v>
          </cell>
          <cell r="B9" t="str">
            <v>Total Pago Mensual</v>
          </cell>
          <cell r="C9" t="str">
            <v>Cotización</v>
          </cell>
          <cell r="D9" t="str">
            <v>Primer Pago</v>
          </cell>
          <cell r="E9" t="str">
            <v>Cotización.Primer Pago</v>
          </cell>
          <cell r="F9" t="str">
            <v xml:space="preserve"> ** </v>
          </cell>
          <cell r="G9" t="str">
            <v xml:space="preserve">Total Pago Mensual ** </v>
          </cell>
          <cell r="H9" t="str">
            <v>Cotización.Total Pago Mensual</v>
          </cell>
        </row>
        <row r="10">
          <cell r="C10">
            <v>0</v>
          </cell>
        </row>
        <row r="11">
          <cell r="C11">
            <v>0</v>
          </cell>
          <cell r="D11">
            <v>0</v>
          </cell>
        </row>
        <row r="12">
          <cell r="A12" t="str">
            <v>Etiqueta</v>
          </cell>
          <cell r="B12" t="str">
            <v>Contenido</v>
          </cell>
          <cell r="C12" t="str">
            <v>Sección</v>
          </cell>
          <cell r="D12" t="str">
            <v>Nombre Aclaración</v>
          </cell>
          <cell r="E12" t="str">
            <v>Llave de Búsqueda</v>
          </cell>
          <cell r="F12" t="str">
            <v>Sigil</v>
          </cell>
          <cell r="G12" t="str">
            <v>Texto Etiqueta</v>
          </cell>
          <cell r="H12" t="str">
            <v>Sección.Etiqueta</v>
          </cell>
        </row>
        <row r="13">
          <cell r="A13" t="str">
            <v>Tasa de Interés Anual (Fija)</v>
          </cell>
          <cell r="B13" t="str">
            <v>Tasa de Interés Anual (Fija)</v>
          </cell>
          <cell r="C13" t="str">
            <v>Tabla Cliente</v>
          </cell>
          <cell r="D13" t="str">
            <v>Comportamiento Tasa</v>
          </cell>
          <cell r="E13" t="str">
            <v>Tabla Cliente.Comportamiento Tasa</v>
          </cell>
          <cell r="F13" t="str">
            <v/>
          </cell>
          <cell r="G13" t="str">
            <v>Tasa de Interés Anual (Fija)</v>
          </cell>
          <cell r="H13" t="str">
            <v>Tabla Cliente.Tasa de Interés Anual (Fija)</v>
          </cell>
        </row>
        <row r="14">
          <cell r="A14" t="str">
            <v>Gastos Notariales</v>
          </cell>
          <cell r="B14" t="str">
            <v>Gastos Notariales</v>
          </cell>
          <cell r="C14" t="str">
            <v>Tabla Cliente</v>
          </cell>
          <cell r="D14" t="str">
            <v>Gastos Notariales</v>
          </cell>
          <cell r="E14" t="str">
            <v>Tabla Cliente.Gastos Notariales</v>
          </cell>
          <cell r="F14" t="str">
            <v xml:space="preserve"> * </v>
          </cell>
          <cell r="G14" t="str">
            <v xml:space="preserve">Gastos Notariales * </v>
          </cell>
          <cell r="H14" t="str">
            <v>Tabla Cliente.Gastos Notariales</v>
          </cell>
        </row>
        <row r="15">
          <cell r="A15" t="str">
            <v>Monto Total de Crédito</v>
          </cell>
          <cell r="B15" t="str">
            <v>Monto Total de Crédito</v>
          </cell>
          <cell r="C15" t="str">
            <v>Tabla Cliente</v>
          </cell>
          <cell r="D15" t="str">
            <v>Crédito Incluye Apertura</v>
          </cell>
          <cell r="E15" t="str">
            <v>Tabla Cliente.Crédito Incluye Apertura</v>
          </cell>
          <cell r="F15" t="str">
            <v/>
          </cell>
          <cell r="G15" t="str">
            <v>Monto Total de Crédito</v>
          </cell>
          <cell r="H15" t="str">
            <v>Tabla Cliente.Monto Total de Crédito</v>
          </cell>
        </row>
        <row r="16">
          <cell r="A16" t="str">
            <v>Tu Ahorro es de</v>
          </cell>
          <cell r="B16" t="str">
            <v>Tu Ahorro es de</v>
          </cell>
          <cell r="C16" t="str">
            <v>Tabla Cliente</v>
          </cell>
          <cell r="D16" t="str">
            <v>Ahorro Fuerte</v>
          </cell>
          <cell r="E16" t="str">
            <v>Tabla Cliente.Ahorro Fuerte</v>
          </cell>
          <cell r="F16" t="str">
            <v/>
          </cell>
          <cell r="G16" t="str">
            <v>Tu Ahorro es de</v>
          </cell>
          <cell r="H16" t="str">
            <v>Tabla Cliente.Tu Ahorro es de</v>
          </cell>
        </row>
        <row r="17">
          <cell r="C17">
            <v>0</v>
          </cell>
          <cell r="D17">
            <v>0</v>
          </cell>
          <cell r="F17">
            <v>0</v>
          </cell>
        </row>
        <row r="18">
          <cell r="A18" t="str">
            <v>Etiqueta</v>
          </cell>
          <cell r="B18" t="str">
            <v>Contenido</v>
          </cell>
          <cell r="C18" t="str">
            <v>Sección</v>
          </cell>
          <cell r="D18" t="str">
            <v>Nombre Aclaración</v>
          </cell>
          <cell r="E18" t="str">
            <v>Llave de Búsqueda</v>
          </cell>
          <cell r="F18" t="str">
            <v>Sigil</v>
          </cell>
          <cell r="G18" t="str">
            <v>Texto Etiqueta</v>
          </cell>
          <cell r="H18" t="str">
            <v>Sección.Etiqueta</v>
          </cell>
        </row>
        <row r="19">
          <cell r="A19" t="str">
            <v>Tasa de Interés Anual (Fija)</v>
          </cell>
          <cell r="B19" t="str">
            <v>Tasa de Interés Anual (Fija)</v>
          </cell>
          <cell r="C19" t="str">
            <v>Tabla Notaría</v>
          </cell>
          <cell r="D19" t="str">
            <v>Comportamiento Tasa</v>
          </cell>
          <cell r="E19" t="str">
            <v>Tabla Notaría.Comportamiento Tasa</v>
          </cell>
          <cell r="F19" t="str">
            <v/>
          </cell>
          <cell r="G19" t="str">
            <v>Tasa de Interés Anual (Fija)</v>
          </cell>
          <cell r="H19" t="str">
            <v>Tabla Notaría.Tasa de Interés Anual (Fija)</v>
          </cell>
        </row>
        <row r="20">
          <cell r="A20" t="str">
            <v>Monto Total de Crédito</v>
          </cell>
          <cell r="B20" t="str">
            <v>Monto Total de Crédito</v>
          </cell>
          <cell r="C20" t="str">
            <v>Tabla Notaría</v>
          </cell>
          <cell r="D20" t="str">
            <v>Crédito Incluye Apertura</v>
          </cell>
          <cell r="E20" t="str">
            <v>Tabla Notaría.Crédito Incluye Apertura</v>
          </cell>
          <cell r="F20" t="str">
            <v/>
          </cell>
          <cell r="G20" t="str">
            <v>Monto Total de Crédito</v>
          </cell>
          <cell r="H20" t="str">
            <v>Tabla Notaría.Monto Total de Crédito</v>
          </cell>
        </row>
        <row r="21">
          <cell r="C21">
            <v>0</v>
          </cell>
        </row>
        <row r="22">
          <cell r="C22">
            <v>0</v>
          </cell>
          <cell r="D22">
            <v>0</v>
          </cell>
        </row>
        <row r="23">
          <cell r="A23" t="str">
            <v>Etiqueta</v>
          </cell>
          <cell r="B23" t="str">
            <v>Contenido</v>
          </cell>
          <cell r="C23" t="str">
            <v>Sección</v>
          </cell>
          <cell r="D23" t="str">
            <v>Nombre Aclaración</v>
          </cell>
          <cell r="E23" t="str">
            <v>Llave de Búsqueda</v>
          </cell>
          <cell r="F23" t="str">
            <v>Sigil</v>
          </cell>
          <cell r="G23" t="str">
            <v>Texto Etiqueta</v>
          </cell>
          <cell r="H23" t="str">
            <v>Sección.Etiqueta</v>
          </cell>
        </row>
        <row r="24">
          <cell r="A24" t="str">
            <v>Tasas de interés anual</v>
          </cell>
          <cell r="B24" t="str">
            <v>Tasas de interés anual</v>
          </cell>
          <cell r="C24" t="str">
            <v>Oferta Vinculante</v>
          </cell>
          <cell r="D24" t="str">
            <v>Comportamiento Tasa</v>
          </cell>
          <cell r="E24" t="str">
            <v>Oferta Vinculante.Comportamiento Tasa</v>
          </cell>
          <cell r="F24" t="str">
            <v/>
          </cell>
          <cell r="G24" t="str">
            <v>Tasas de interés anual</v>
          </cell>
          <cell r="H24" t="str">
            <v>Oferta Vinculante.Tasas de interés anual</v>
          </cell>
        </row>
      </sheetData>
      <sheetData sheetId="28">
        <row r="2">
          <cell r="D2">
            <v>0</v>
          </cell>
          <cell r="AH2" t="str">
            <v>Selección por Producto</v>
          </cell>
        </row>
        <row r="4">
          <cell r="D4" t="e">
            <v>#N/A</v>
          </cell>
          <cell r="AH4">
            <v>1</v>
          </cell>
        </row>
        <row r="5">
          <cell r="AH5" t="str">
            <v>Selección</v>
          </cell>
        </row>
        <row r="9">
          <cell r="D9" t="e">
            <v>#N/A</v>
          </cell>
          <cell r="E9">
            <v>0</v>
          </cell>
          <cell r="L9" t="e">
            <v>#N/A</v>
          </cell>
          <cell r="N9" t="e">
            <v>#N/A</v>
          </cell>
          <cell r="AH9" t="e">
            <v>#N/A</v>
          </cell>
        </row>
        <row r="10">
          <cell r="AH10" t="e">
            <v>#N/A</v>
          </cell>
        </row>
        <row r="11">
          <cell r="C11" t="e">
            <v>#VALUE!</v>
          </cell>
          <cell r="E11" t="e">
            <v>#N/A</v>
          </cell>
          <cell r="L11" t="e">
            <v>#N/A</v>
          </cell>
          <cell r="N11" t="e">
            <v>#N/A</v>
          </cell>
        </row>
        <row r="12">
          <cell r="C12" t="e">
            <v>#VALUE!</v>
          </cell>
          <cell r="E12" t="e">
            <v>#N/A</v>
          </cell>
          <cell r="L12" t="e">
            <v>#N/A</v>
          </cell>
          <cell r="N12" t="e">
            <v>#N/A</v>
          </cell>
        </row>
        <row r="13">
          <cell r="C13">
            <v>0</v>
          </cell>
          <cell r="L13" t="e">
            <v>#N/A</v>
          </cell>
        </row>
        <row r="14">
          <cell r="C14">
            <v>0</v>
          </cell>
          <cell r="L14" t="e">
            <v>#N/A</v>
          </cell>
        </row>
        <row r="15">
          <cell r="C15">
            <v>0</v>
          </cell>
          <cell r="L15" t="e">
            <v>#N/A</v>
          </cell>
        </row>
        <row r="16">
          <cell r="C16">
            <v>0</v>
          </cell>
          <cell r="L16" t="e">
            <v>#N/A</v>
          </cell>
        </row>
        <row r="31">
          <cell r="D31" t="e">
            <v>#N/A</v>
          </cell>
        </row>
        <row r="45">
          <cell r="D45" t="e">
            <v>#DIV/0!</v>
          </cell>
        </row>
        <row r="46">
          <cell r="Y46">
            <v>1</v>
          </cell>
        </row>
        <row r="49">
          <cell r="C49" t="e">
            <v>#VALUE!</v>
          </cell>
        </row>
        <row r="50">
          <cell r="D50">
            <v>0.1</v>
          </cell>
        </row>
        <row r="54">
          <cell r="C54">
            <v>0</v>
          </cell>
          <cell r="D54" t="e">
            <v>#VALUE!</v>
          </cell>
        </row>
        <row r="55">
          <cell r="C55">
            <v>0</v>
          </cell>
          <cell r="D55" t="e">
            <v>#VALUE!</v>
          </cell>
        </row>
        <row r="56">
          <cell r="C56">
            <v>0</v>
          </cell>
          <cell r="D56" t="e">
            <v>#VALUE!</v>
          </cell>
        </row>
        <row r="57">
          <cell r="D57" t="e">
            <v>#VALUE!</v>
          </cell>
        </row>
        <row r="59">
          <cell r="C59" t="e">
            <v>#N/A</v>
          </cell>
        </row>
        <row r="60">
          <cell r="C60" t="e">
            <v>#N/A</v>
          </cell>
          <cell r="D60" t="e">
            <v>#VALUE!</v>
          </cell>
        </row>
        <row r="61">
          <cell r="C61" t="e">
            <v>#N/A</v>
          </cell>
          <cell r="D61" t="e">
            <v>#VALUE!</v>
          </cell>
          <cell r="O61" t="e">
            <v>#VALUE!</v>
          </cell>
        </row>
        <row r="62">
          <cell r="D62" t="e">
            <v>#VALUE!</v>
          </cell>
          <cell r="O62" t="e">
            <v>#VALUE!</v>
          </cell>
        </row>
        <row r="64">
          <cell r="O64" t="e">
            <v>#VALUE!</v>
          </cell>
        </row>
        <row r="65">
          <cell r="G65" t="e">
            <v>#N/A</v>
          </cell>
          <cell r="O65" t="e">
            <v>#VALUE!</v>
          </cell>
        </row>
        <row r="66">
          <cell r="O66" t="e">
            <v>#N/A</v>
          </cell>
        </row>
        <row r="68">
          <cell r="O68" t="e">
            <v>#VALUE!</v>
          </cell>
        </row>
        <row r="69">
          <cell r="C69" t="e">
            <v>#N/A</v>
          </cell>
        </row>
        <row r="70">
          <cell r="C70" t="e">
            <v>#VALUE!</v>
          </cell>
          <cell r="O70" t="e">
            <v>#N/A</v>
          </cell>
        </row>
        <row r="71">
          <cell r="C71" t="e">
            <v>#VALUE!</v>
          </cell>
          <cell r="O71" t="e">
            <v>#N/A</v>
          </cell>
        </row>
        <row r="72">
          <cell r="C72" t="e">
            <v>#VALUE!</v>
          </cell>
        </row>
        <row r="73">
          <cell r="C73" t="e">
            <v>#VALUE!</v>
          </cell>
          <cell r="O73" t="e">
            <v>#VALUE!</v>
          </cell>
        </row>
        <row r="74">
          <cell r="O74" t="e">
            <v>#VALUE!</v>
          </cell>
        </row>
        <row r="76">
          <cell r="O76" t="e">
            <v>#N/A</v>
          </cell>
        </row>
        <row r="77">
          <cell r="C77" t="e">
            <v>#VALUE!</v>
          </cell>
        </row>
        <row r="78">
          <cell r="O78" t="e">
            <v>#VALUE!</v>
          </cell>
        </row>
        <row r="79">
          <cell r="C79" t="e">
            <v>#VALUE!</v>
          </cell>
        </row>
        <row r="80">
          <cell r="O80" t="e">
            <v>#VALUE!</v>
          </cell>
        </row>
        <row r="81">
          <cell r="O81">
            <v>0</v>
          </cell>
        </row>
        <row r="83">
          <cell r="O83" t="e">
            <v>#VALUE!</v>
          </cell>
        </row>
        <row r="84">
          <cell r="O84" t="e">
            <v>#VALUE!</v>
          </cell>
        </row>
        <row r="86">
          <cell r="O86" t="e">
            <v>#N/A</v>
          </cell>
        </row>
        <row r="88">
          <cell r="O88" t="e">
            <v>#VALUE!</v>
          </cell>
        </row>
        <row r="91">
          <cell r="O91" t="e">
            <v>#N/A</v>
          </cell>
        </row>
        <row r="92">
          <cell r="O92" t="e">
            <v>#N/A</v>
          </cell>
        </row>
        <row r="98">
          <cell r="O98" t="e">
            <v>#N/A</v>
          </cell>
        </row>
        <row r="99">
          <cell r="O99" t="str">
            <v>(1) Monto de crédito a favor del cliente :</v>
          </cell>
        </row>
        <row r="101">
          <cell r="O101" t="str">
            <v/>
          </cell>
        </row>
        <row r="102">
          <cell r="O102" t="str">
            <v>(2) En caso de necesitar un menor monto de crédito Banorte, lo puedes disminuir capturando el monto deseado desde el campo "Aportación Adicional (Opcional)"</v>
          </cell>
        </row>
        <row r="104">
          <cell r="O104" t="e">
            <v>#N/A</v>
          </cell>
        </row>
        <row r="105">
          <cell r="O105" t="e">
            <v>#N/A</v>
          </cell>
        </row>
      </sheetData>
      <sheetData sheetId="29">
        <row r="7">
          <cell r="D7">
            <v>1</v>
          </cell>
          <cell r="E7" t="str">
            <v>Amplio</v>
          </cell>
        </row>
        <row r="8">
          <cell r="E8" t="str">
            <v>Básico</v>
          </cell>
        </row>
        <row r="9">
          <cell r="D9">
            <v>3</v>
          </cell>
          <cell r="E9" t="str">
            <v>No</v>
          </cell>
        </row>
        <row r="12">
          <cell r="E12" t="str">
            <v>Sí</v>
          </cell>
        </row>
        <row r="13">
          <cell r="E13" t="str">
            <v>No</v>
          </cell>
        </row>
        <row r="16">
          <cell r="N16" t="str">
            <v>Seguro de Vida, Enfermedades Graves y Momentos de Vida.</v>
          </cell>
        </row>
        <row r="18">
          <cell r="N18" t="str">
            <v>Daños y Contenidos.</v>
          </cell>
        </row>
        <row r="34">
          <cell r="F34" t="str">
            <v xml:space="preserve"> </v>
          </cell>
        </row>
        <row r="35">
          <cell r="F35" t="str">
            <v xml:space="preserve"> </v>
          </cell>
        </row>
        <row r="36">
          <cell r="F36" t="str">
            <v>Vida, Enfermedades Graves y Momentos de Vida.</v>
          </cell>
        </row>
        <row r="37">
          <cell r="F37" t="str">
            <v>Daños y Contenidos.</v>
          </cell>
        </row>
        <row r="39">
          <cell r="F39" t="b">
            <v>1</v>
          </cell>
        </row>
        <row r="40">
          <cell r="F40" t="b">
            <v>1</v>
          </cell>
        </row>
        <row r="42">
          <cell r="F42" t="str">
            <v>Seguro de Vida, Enfermedades Graves y Momentos de Vida.</v>
          </cell>
        </row>
        <row r="43">
          <cell r="F43" t="str">
            <v>Seguro de Daños y Contenidos.</v>
          </cell>
        </row>
      </sheetData>
      <sheetData sheetId="30">
        <row r="12">
          <cell r="B12" t="str">
            <v>No</v>
          </cell>
        </row>
        <row r="13">
          <cell r="B13">
            <v>0</v>
          </cell>
        </row>
        <row r="14">
          <cell r="B14">
            <v>0</v>
          </cell>
        </row>
        <row r="15">
          <cell r="B15">
            <v>0</v>
          </cell>
        </row>
        <row r="21">
          <cell r="B21" t="str">
            <v/>
          </cell>
        </row>
        <row r="28">
          <cell r="B28" t="str">
            <v>01</v>
          </cell>
        </row>
        <row r="29">
          <cell r="B29">
            <v>1000000000000</v>
          </cell>
        </row>
      </sheetData>
      <sheetData sheetId="31">
        <row r="5">
          <cell r="A5">
            <v>1</v>
          </cell>
          <cell r="B5">
            <v>2</v>
          </cell>
          <cell r="C5">
            <v>3</v>
          </cell>
          <cell r="D5">
            <v>4</v>
          </cell>
          <cell r="E5">
            <v>5</v>
          </cell>
          <cell r="F5">
            <v>6</v>
          </cell>
          <cell r="G5">
            <v>0</v>
          </cell>
          <cell r="H5">
            <v>0</v>
          </cell>
          <cell r="I5">
            <v>9</v>
          </cell>
          <cell r="J5">
            <v>0</v>
          </cell>
          <cell r="K5">
            <v>0</v>
          </cell>
          <cell r="L5">
            <v>12</v>
          </cell>
          <cell r="M5">
            <v>0</v>
          </cell>
          <cell r="N5">
            <v>0</v>
          </cell>
        </row>
        <row r="6">
          <cell r="A6" t="str">
            <v>Nota Numero</v>
          </cell>
          <cell r="B6" t="str">
            <v>Descripción</v>
          </cell>
          <cell r="C6" t="str">
            <v>Aplica</v>
          </cell>
          <cell r="D6" t="str">
            <v>Índice Asignado</v>
          </cell>
          <cell r="E6" t="str">
            <v>Nota</v>
          </cell>
          <cell r="F6" t="str">
            <v>Sigil 1</v>
          </cell>
          <cell r="G6" t="str">
            <v>S1 Si</v>
          </cell>
          <cell r="H6" t="str">
            <v>S1 No</v>
          </cell>
          <cell r="I6" t="str">
            <v>Sigil 2</v>
          </cell>
          <cell r="J6" t="str">
            <v>S2 Si</v>
          </cell>
          <cell r="K6" t="str">
            <v>S2 No</v>
          </cell>
          <cell r="L6" t="str">
            <v>Sigil 2</v>
          </cell>
          <cell r="M6" t="str">
            <v>S2 Si</v>
          </cell>
          <cell r="N6" t="str">
            <v>S2 No</v>
          </cell>
        </row>
        <row r="7">
          <cell r="A7">
            <v>1</v>
          </cell>
          <cell r="B7" t="str">
            <v>Seguro de Desempleo</v>
          </cell>
          <cell r="C7" t="e">
            <v>#VALUE!</v>
          </cell>
          <cell r="D7" t="e">
            <v>#VALUE!</v>
          </cell>
          <cell r="E7" t="str">
            <v>Aplica si el Solicitante cubre los requisitos de elegibilidad vigentes en la póliza de vida colectiva.</v>
          </cell>
          <cell r="F7" t="e">
            <v>#VALUE!</v>
          </cell>
          <cell r="G7" t="e">
            <v>#VALUE!</v>
          </cell>
          <cell r="H7" t="str">
            <v>No Aplica</v>
          </cell>
        </row>
        <row r="8">
          <cell r="A8">
            <v>2</v>
          </cell>
          <cell r="B8" t="str">
            <v>Componentes CAT</v>
          </cell>
          <cell r="C8" t="b">
            <v>1</v>
          </cell>
          <cell r="D8" t="e">
            <v>#VALUE!</v>
          </cell>
          <cell r="E8" t="str">
            <v>Los valores son los referidos a cada concepto indicado en el cuerpo de la presente oferta, sin considerar I.V.A.</v>
          </cell>
          <cell r="F8" t="e">
            <v>#VALUE!</v>
          </cell>
          <cell r="G8" t="e">
            <v>#VALUE!</v>
          </cell>
          <cell r="H8" t="str">
            <v/>
          </cell>
        </row>
        <row r="9">
          <cell r="A9">
            <v>3</v>
          </cell>
          <cell r="B9" t="str">
            <v>Monto Devolución</v>
          </cell>
          <cell r="C9" t="b">
            <v>0</v>
          </cell>
          <cell r="D9">
            <v>0</v>
          </cell>
          <cell r="E9" t="str">
            <v>Solo aplica si el Solicitante paga puntualmente y es sobre el monto solicitado sin incluir comisión por apertura en caso de ser financiada.</v>
          </cell>
          <cell r="F9" t="str">
            <v/>
          </cell>
          <cell r="G9" t="str">
            <v>(0)</v>
          </cell>
          <cell r="H9" t="str">
            <v/>
          </cell>
        </row>
        <row r="10">
          <cell r="A10">
            <v>4</v>
          </cell>
          <cell r="B10" t="str">
            <v>Seguro Vida Amplio o Momentos</v>
          </cell>
          <cell r="C10" t="b">
            <v>1</v>
          </cell>
          <cell r="D10" t="e">
            <v>#VALUE!</v>
          </cell>
          <cell r="E10" t="str">
            <v>Enfermedades Graves y Momentos de Vida solo aplica cuando participa una mujer como acreditada o coacreditada al contratarse un crédito nuevo.</v>
          </cell>
          <cell r="F10" t="e">
            <v>#VALUE!</v>
          </cell>
          <cell r="G10" t="e">
            <v>#VALUE!</v>
          </cell>
          <cell r="H10" t="str">
            <v/>
          </cell>
          <cell r="I10" t="str">
            <v>Vida, enfermedades graves y momentos de vida.</v>
          </cell>
          <cell r="J10" t="str">
            <v>Vida, enfermedades graves y momentos de vida.</v>
          </cell>
          <cell r="K10" t="str">
            <v>Vida.</v>
          </cell>
          <cell r="L10" t="str">
            <v>Daños, contenidos y servicio de asistencia.</v>
          </cell>
          <cell r="M10" t="str">
            <v>Daños, contenidos y servicio de asistencia.</v>
          </cell>
          <cell r="N10" t="str">
            <v>Daños y contenidos.</v>
          </cell>
        </row>
        <row r="11">
          <cell r="A11">
            <v>5</v>
          </cell>
          <cell r="B11" t="str">
            <v>Aceptación Avalúo Subrogación</v>
          </cell>
          <cell r="C11" t="b">
            <v>0</v>
          </cell>
          <cell r="D11">
            <v>0</v>
          </cell>
          <cell r="E11" t="str">
            <v>Aceptación  de Avalúo aplica cuando se presenta Avalúo existente. Cuando no se presenta, aplicará costo de avaluó de 0.30% más IVA</v>
          </cell>
          <cell r="F11" t="str">
            <v/>
          </cell>
          <cell r="G11" t="str">
            <v>(0)</v>
          </cell>
          <cell r="H11" t="str">
            <v/>
          </cell>
        </row>
        <row r="12">
          <cell r="A12">
            <v>6</v>
          </cell>
          <cell r="B12" t="str">
            <v>Gastos Notariales Especial</v>
          </cell>
          <cell r="C12" t="b">
            <v>0</v>
          </cell>
          <cell r="D12">
            <v>0</v>
          </cell>
          <cell r="E12" t="str">
            <v/>
          </cell>
          <cell r="F12" t="str">
            <v/>
          </cell>
          <cell r="G12" t="str">
            <v>(0)</v>
          </cell>
          <cell r="H12" t="str">
            <v/>
          </cell>
        </row>
      </sheetData>
      <sheetData sheetId="32"/>
      <sheetData sheetId="33">
        <row r="6">
          <cell r="Q6" t="e">
            <v>#VALUE!</v>
          </cell>
        </row>
      </sheetData>
      <sheetData sheetId="34">
        <row r="6">
          <cell r="Q6" t="e">
            <v>#VALUE!</v>
          </cell>
          <cell r="T6" t="e">
            <v>#VALUE!</v>
          </cell>
        </row>
      </sheetData>
      <sheetData sheetId="35">
        <row r="6">
          <cell r="Q6" t="e">
            <v>#VALUE!</v>
          </cell>
        </row>
      </sheetData>
      <sheetData sheetId="36">
        <row r="6">
          <cell r="Q6" t="e">
            <v>#VALUE!</v>
          </cell>
        </row>
        <row r="10">
          <cell r="U10" t="e">
            <v>#VALUE!</v>
          </cell>
          <cell r="V10" t="e">
            <v>#VALUE!</v>
          </cell>
          <cell r="W10" t="e">
            <v>#VALUE!</v>
          </cell>
        </row>
        <row r="11">
          <cell r="U11" t="e">
            <v>#N/A</v>
          </cell>
          <cell r="V11" t="e">
            <v>#N/A</v>
          </cell>
          <cell r="W11" t="e">
            <v>#N/A</v>
          </cell>
        </row>
        <row r="12">
          <cell r="U12" t="e">
            <v>#N/A</v>
          </cell>
          <cell r="V12" t="e">
            <v>#N/A</v>
          </cell>
          <cell r="W12" t="e">
            <v>#N/A</v>
          </cell>
        </row>
        <row r="13">
          <cell r="U13" t="e">
            <v>#N/A</v>
          </cell>
          <cell r="V13" t="e">
            <v>#N/A</v>
          </cell>
          <cell r="W13" t="e">
            <v>#N/A</v>
          </cell>
        </row>
        <row r="14">
          <cell r="U14" t="e">
            <v>#N/A</v>
          </cell>
          <cell r="V14" t="e">
            <v>#N/A</v>
          </cell>
          <cell r="W14" t="e">
            <v>#N/A</v>
          </cell>
        </row>
        <row r="15">
          <cell r="U15" t="e">
            <v>#N/A</v>
          </cell>
          <cell r="V15" t="e">
            <v>#N/A</v>
          </cell>
          <cell r="W15" t="e">
            <v>#N/A</v>
          </cell>
        </row>
        <row r="16">
          <cell r="U16" t="e">
            <v>#N/A</v>
          </cell>
          <cell r="V16" t="e">
            <v>#N/A</v>
          </cell>
          <cell r="W16" t="e">
            <v>#N/A</v>
          </cell>
        </row>
        <row r="17">
          <cell r="U17" t="e">
            <v>#N/A</v>
          </cell>
          <cell r="V17" t="e">
            <v>#N/A</v>
          </cell>
          <cell r="W17" t="e">
            <v>#N/A</v>
          </cell>
        </row>
        <row r="18">
          <cell r="U18" t="e">
            <v>#N/A</v>
          </cell>
          <cell r="V18" t="e">
            <v>#N/A</v>
          </cell>
          <cell r="W18" t="e">
            <v>#N/A</v>
          </cell>
        </row>
        <row r="19">
          <cell r="U19" t="e">
            <v>#N/A</v>
          </cell>
          <cell r="V19" t="e">
            <v>#N/A</v>
          </cell>
          <cell r="W19" t="e">
            <v>#N/A</v>
          </cell>
        </row>
        <row r="20">
          <cell r="U20" t="e">
            <v>#N/A</v>
          </cell>
          <cell r="V20" t="e">
            <v>#N/A</v>
          </cell>
          <cell r="W20" t="e">
            <v>#N/A</v>
          </cell>
        </row>
        <row r="21">
          <cell r="U21" t="e">
            <v>#N/A</v>
          </cell>
          <cell r="V21" t="e">
            <v>#N/A</v>
          </cell>
          <cell r="W21" t="e">
            <v>#N/A</v>
          </cell>
        </row>
        <row r="22">
          <cell r="U22" t="e">
            <v>#N/A</v>
          </cell>
          <cell r="V22" t="e">
            <v>#N/A</v>
          </cell>
          <cell r="W22" t="e">
            <v>#N/A</v>
          </cell>
        </row>
        <row r="23">
          <cell r="U23" t="e">
            <v>#N/A</v>
          </cell>
          <cell r="V23" t="e">
            <v>#N/A</v>
          </cell>
          <cell r="W23" t="e">
            <v>#N/A</v>
          </cell>
        </row>
        <row r="24">
          <cell r="U24" t="e">
            <v>#N/A</v>
          </cell>
          <cell r="V24" t="e">
            <v>#N/A</v>
          </cell>
          <cell r="W24" t="e">
            <v>#N/A</v>
          </cell>
        </row>
        <row r="25">
          <cell r="U25" t="e">
            <v>#N/A</v>
          </cell>
          <cell r="V25" t="e">
            <v>#N/A</v>
          </cell>
          <cell r="W25" t="e">
            <v>#N/A</v>
          </cell>
        </row>
        <row r="26">
          <cell r="U26" t="e">
            <v>#N/A</v>
          </cell>
          <cell r="V26" t="e">
            <v>#N/A</v>
          </cell>
          <cell r="W26" t="e">
            <v>#N/A</v>
          </cell>
        </row>
        <row r="27">
          <cell r="U27" t="e">
            <v>#N/A</v>
          </cell>
          <cell r="V27" t="e">
            <v>#N/A</v>
          </cell>
          <cell r="W27" t="e">
            <v>#N/A</v>
          </cell>
        </row>
        <row r="28">
          <cell r="U28" t="e">
            <v>#N/A</v>
          </cell>
          <cell r="V28" t="e">
            <v>#N/A</v>
          </cell>
          <cell r="W28" t="e">
            <v>#N/A</v>
          </cell>
        </row>
        <row r="29">
          <cell r="U29" t="e">
            <v>#N/A</v>
          </cell>
          <cell r="V29" t="e">
            <v>#N/A</v>
          </cell>
          <cell r="W29" t="e">
            <v>#N/A</v>
          </cell>
        </row>
        <row r="30">
          <cell r="U30" t="e">
            <v>#N/A</v>
          </cell>
          <cell r="V30" t="e">
            <v>#N/A</v>
          </cell>
          <cell r="W30" t="e">
            <v>#N/A</v>
          </cell>
        </row>
        <row r="31">
          <cell r="U31" t="e">
            <v>#N/A</v>
          </cell>
          <cell r="V31" t="e">
            <v>#N/A</v>
          </cell>
          <cell r="W31" t="e">
            <v>#N/A</v>
          </cell>
        </row>
        <row r="32">
          <cell r="U32" t="e">
            <v>#N/A</v>
          </cell>
          <cell r="V32" t="e">
            <v>#N/A</v>
          </cell>
          <cell r="W32" t="e">
            <v>#N/A</v>
          </cell>
        </row>
        <row r="33">
          <cell r="U33" t="e">
            <v>#N/A</v>
          </cell>
          <cell r="V33" t="e">
            <v>#N/A</v>
          </cell>
          <cell r="W33" t="e">
            <v>#N/A</v>
          </cell>
        </row>
        <row r="34">
          <cell r="U34" t="e">
            <v>#N/A</v>
          </cell>
          <cell r="V34" t="e">
            <v>#N/A</v>
          </cell>
          <cell r="W34" t="e">
            <v>#N/A</v>
          </cell>
        </row>
        <row r="35">
          <cell r="U35" t="e">
            <v>#N/A</v>
          </cell>
          <cell r="V35" t="e">
            <v>#N/A</v>
          </cell>
          <cell r="W35" t="e">
            <v>#N/A</v>
          </cell>
        </row>
        <row r="36">
          <cell r="U36" t="e">
            <v>#N/A</v>
          </cell>
          <cell r="V36" t="e">
            <v>#N/A</v>
          </cell>
          <cell r="W36" t="e">
            <v>#N/A</v>
          </cell>
        </row>
        <row r="37">
          <cell r="U37" t="e">
            <v>#N/A</v>
          </cell>
          <cell r="V37" t="e">
            <v>#N/A</v>
          </cell>
          <cell r="W37" t="e">
            <v>#N/A</v>
          </cell>
        </row>
        <row r="38">
          <cell r="U38" t="e">
            <v>#N/A</v>
          </cell>
          <cell r="V38" t="e">
            <v>#N/A</v>
          </cell>
          <cell r="W38" t="e">
            <v>#N/A</v>
          </cell>
        </row>
        <row r="39">
          <cell r="U39" t="e">
            <v>#N/A</v>
          </cell>
          <cell r="V39" t="e">
            <v>#N/A</v>
          </cell>
          <cell r="W39" t="e">
            <v>#N/A</v>
          </cell>
        </row>
        <row r="40">
          <cell r="U40" t="e">
            <v>#N/A</v>
          </cell>
          <cell r="V40" t="e">
            <v>#N/A</v>
          </cell>
          <cell r="W40" t="e">
            <v>#N/A</v>
          </cell>
        </row>
        <row r="41">
          <cell r="U41" t="e">
            <v>#N/A</v>
          </cell>
          <cell r="V41" t="e">
            <v>#N/A</v>
          </cell>
          <cell r="W41" t="e">
            <v>#N/A</v>
          </cell>
        </row>
        <row r="42">
          <cell r="U42" t="e">
            <v>#N/A</v>
          </cell>
          <cell r="V42" t="e">
            <v>#N/A</v>
          </cell>
          <cell r="W42" t="e">
            <v>#N/A</v>
          </cell>
        </row>
        <row r="43">
          <cell r="U43" t="e">
            <v>#N/A</v>
          </cell>
          <cell r="V43" t="e">
            <v>#N/A</v>
          </cell>
          <cell r="W43" t="e">
            <v>#N/A</v>
          </cell>
        </row>
        <row r="44">
          <cell r="U44" t="e">
            <v>#N/A</v>
          </cell>
          <cell r="V44" t="e">
            <v>#N/A</v>
          </cell>
          <cell r="W44" t="e">
            <v>#N/A</v>
          </cell>
        </row>
        <row r="45">
          <cell r="U45" t="e">
            <v>#N/A</v>
          </cell>
          <cell r="V45" t="e">
            <v>#N/A</v>
          </cell>
          <cell r="W45" t="e">
            <v>#N/A</v>
          </cell>
        </row>
        <row r="46">
          <cell r="U46" t="e">
            <v>#N/A</v>
          </cell>
          <cell r="V46" t="e">
            <v>#N/A</v>
          </cell>
          <cell r="W46" t="e">
            <v>#N/A</v>
          </cell>
        </row>
        <row r="47">
          <cell r="U47" t="e">
            <v>#N/A</v>
          </cell>
          <cell r="V47" t="e">
            <v>#N/A</v>
          </cell>
          <cell r="W47" t="e">
            <v>#N/A</v>
          </cell>
        </row>
        <row r="48">
          <cell r="U48" t="e">
            <v>#N/A</v>
          </cell>
          <cell r="V48" t="e">
            <v>#N/A</v>
          </cell>
          <cell r="W48" t="e">
            <v>#N/A</v>
          </cell>
        </row>
        <row r="49">
          <cell r="U49" t="e">
            <v>#N/A</v>
          </cell>
          <cell r="V49" t="e">
            <v>#N/A</v>
          </cell>
          <cell r="W49" t="e">
            <v>#N/A</v>
          </cell>
        </row>
        <row r="50">
          <cell r="U50" t="e">
            <v>#N/A</v>
          </cell>
          <cell r="V50" t="e">
            <v>#N/A</v>
          </cell>
          <cell r="W50" t="e">
            <v>#N/A</v>
          </cell>
        </row>
        <row r="51">
          <cell r="U51" t="e">
            <v>#N/A</v>
          </cell>
          <cell r="V51" t="e">
            <v>#N/A</v>
          </cell>
          <cell r="W51" t="e">
            <v>#N/A</v>
          </cell>
        </row>
        <row r="52">
          <cell r="U52" t="e">
            <v>#N/A</v>
          </cell>
          <cell r="V52" t="e">
            <v>#N/A</v>
          </cell>
          <cell r="W52" t="e">
            <v>#N/A</v>
          </cell>
        </row>
        <row r="53">
          <cell r="U53" t="e">
            <v>#N/A</v>
          </cell>
          <cell r="V53" t="e">
            <v>#N/A</v>
          </cell>
          <cell r="W53" t="e">
            <v>#N/A</v>
          </cell>
        </row>
        <row r="54">
          <cell r="U54" t="e">
            <v>#N/A</v>
          </cell>
          <cell r="V54" t="e">
            <v>#N/A</v>
          </cell>
          <cell r="W54" t="e">
            <v>#N/A</v>
          </cell>
        </row>
        <row r="55">
          <cell r="U55" t="e">
            <v>#N/A</v>
          </cell>
          <cell r="V55" t="e">
            <v>#N/A</v>
          </cell>
          <cell r="W55" t="e">
            <v>#N/A</v>
          </cell>
        </row>
        <row r="56">
          <cell r="U56" t="e">
            <v>#N/A</v>
          </cell>
          <cell r="V56" t="e">
            <v>#N/A</v>
          </cell>
          <cell r="W56" t="e">
            <v>#N/A</v>
          </cell>
        </row>
        <row r="57">
          <cell r="U57" t="e">
            <v>#N/A</v>
          </cell>
          <cell r="V57" t="e">
            <v>#N/A</v>
          </cell>
          <cell r="W57" t="e">
            <v>#N/A</v>
          </cell>
        </row>
        <row r="58">
          <cell r="U58" t="e">
            <v>#N/A</v>
          </cell>
          <cell r="V58" t="e">
            <v>#N/A</v>
          </cell>
          <cell r="W58" t="e">
            <v>#N/A</v>
          </cell>
        </row>
        <row r="59">
          <cell r="U59" t="e">
            <v>#N/A</v>
          </cell>
          <cell r="V59" t="e">
            <v>#N/A</v>
          </cell>
          <cell r="W59" t="e">
            <v>#N/A</v>
          </cell>
        </row>
        <row r="60">
          <cell r="U60" t="e">
            <v>#N/A</v>
          </cell>
          <cell r="V60" t="e">
            <v>#N/A</v>
          </cell>
          <cell r="W60" t="e">
            <v>#N/A</v>
          </cell>
        </row>
        <row r="61">
          <cell r="U61" t="e">
            <v>#N/A</v>
          </cell>
          <cell r="V61" t="e">
            <v>#N/A</v>
          </cell>
          <cell r="W61" t="e">
            <v>#N/A</v>
          </cell>
        </row>
        <row r="62">
          <cell r="U62" t="e">
            <v>#N/A</v>
          </cell>
          <cell r="V62" t="e">
            <v>#N/A</v>
          </cell>
          <cell r="W62" t="e">
            <v>#N/A</v>
          </cell>
        </row>
        <row r="63">
          <cell r="U63" t="e">
            <v>#N/A</v>
          </cell>
          <cell r="V63" t="e">
            <v>#N/A</v>
          </cell>
          <cell r="W63" t="e">
            <v>#N/A</v>
          </cell>
        </row>
        <row r="64">
          <cell r="U64" t="e">
            <v>#N/A</v>
          </cell>
          <cell r="V64" t="e">
            <v>#N/A</v>
          </cell>
          <cell r="W64" t="e">
            <v>#N/A</v>
          </cell>
        </row>
        <row r="65">
          <cell r="U65" t="e">
            <v>#N/A</v>
          </cell>
          <cell r="V65" t="e">
            <v>#N/A</v>
          </cell>
          <cell r="W65" t="e">
            <v>#N/A</v>
          </cell>
        </row>
        <row r="66">
          <cell r="U66" t="e">
            <v>#N/A</v>
          </cell>
          <cell r="V66" t="e">
            <v>#N/A</v>
          </cell>
          <cell r="W66" t="e">
            <v>#N/A</v>
          </cell>
        </row>
        <row r="67">
          <cell r="U67" t="e">
            <v>#N/A</v>
          </cell>
          <cell r="V67" t="e">
            <v>#N/A</v>
          </cell>
          <cell r="W67" t="e">
            <v>#N/A</v>
          </cell>
        </row>
        <row r="68">
          <cell r="U68" t="e">
            <v>#N/A</v>
          </cell>
          <cell r="V68" t="e">
            <v>#N/A</v>
          </cell>
          <cell r="W68" t="e">
            <v>#N/A</v>
          </cell>
        </row>
        <row r="69">
          <cell r="U69" t="e">
            <v>#N/A</v>
          </cell>
          <cell r="V69" t="e">
            <v>#N/A</v>
          </cell>
          <cell r="W69" t="e">
            <v>#N/A</v>
          </cell>
        </row>
        <row r="70">
          <cell r="U70" t="e">
            <v>#N/A</v>
          </cell>
          <cell r="V70" t="e">
            <v>#N/A</v>
          </cell>
          <cell r="W70" t="e">
            <v>#N/A</v>
          </cell>
        </row>
        <row r="71">
          <cell r="U71" t="e">
            <v>#N/A</v>
          </cell>
          <cell r="V71" t="e">
            <v>#N/A</v>
          </cell>
          <cell r="W71" t="e">
            <v>#N/A</v>
          </cell>
        </row>
        <row r="72">
          <cell r="U72" t="e">
            <v>#N/A</v>
          </cell>
          <cell r="V72" t="e">
            <v>#N/A</v>
          </cell>
          <cell r="W72" t="e">
            <v>#N/A</v>
          </cell>
        </row>
        <row r="73">
          <cell r="U73" t="e">
            <v>#N/A</v>
          </cell>
          <cell r="V73" t="e">
            <v>#N/A</v>
          </cell>
          <cell r="W73" t="e">
            <v>#N/A</v>
          </cell>
        </row>
        <row r="74">
          <cell r="U74" t="e">
            <v>#N/A</v>
          </cell>
          <cell r="V74" t="e">
            <v>#N/A</v>
          </cell>
          <cell r="W74" t="e">
            <v>#N/A</v>
          </cell>
        </row>
        <row r="75">
          <cell r="U75" t="e">
            <v>#N/A</v>
          </cell>
          <cell r="V75" t="e">
            <v>#N/A</v>
          </cell>
          <cell r="W75" t="e">
            <v>#N/A</v>
          </cell>
        </row>
        <row r="76">
          <cell r="U76" t="e">
            <v>#N/A</v>
          </cell>
          <cell r="V76" t="e">
            <v>#N/A</v>
          </cell>
          <cell r="W76" t="e">
            <v>#N/A</v>
          </cell>
        </row>
        <row r="77">
          <cell r="U77" t="e">
            <v>#N/A</v>
          </cell>
          <cell r="V77" t="e">
            <v>#N/A</v>
          </cell>
          <cell r="W77" t="e">
            <v>#N/A</v>
          </cell>
        </row>
        <row r="78">
          <cell r="U78" t="e">
            <v>#N/A</v>
          </cell>
          <cell r="V78" t="e">
            <v>#N/A</v>
          </cell>
          <cell r="W78" t="e">
            <v>#N/A</v>
          </cell>
        </row>
        <row r="79">
          <cell r="U79" t="e">
            <v>#N/A</v>
          </cell>
          <cell r="V79" t="e">
            <v>#N/A</v>
          </cell>
          <cell r="W79" t="e">
            <v>#N/A</v>
          </cell>
        </row>
        <row r="80">
          <cell r="U80" t="e">
            <v>#N/A</v>
          </cell>
          <cell r="V80" t="e">
            <v>#N/A</v>
          </cell>
          <cell r="W80" t="e">
            <v>#N/A</v>
          </cell>
        </row>
        <row r="81">
          <cell r="U81" t="e">
            <v>#N/A</v>
          </cell>
          <cell r="V81" t="e">
            <v>#N/A</v>
          </cell>
          <cell r="W81" t="e">
            <v>#N/A</v>
          </cell>
        </row>
        <row r="82">
          <cell r="U82" t="e">
            <v>#N/A</v>
          </cell>
          <cell r="V82" t="e">
            <v>#N/A</v>
          </cell>
          <cell r="W82" t="e">
            <v>#N/A</v>
          </cell>
        </row>
        <row r="83">
          <cell r="U83" t="e">
            <v>#N/A</v>
          </cell>
          <cell r="V83" t="e">
            <v>#N/A</v>
          </cell>
          <cell r="W83" t="e">
            <v>#N/A</v>
          </cell>
        </row>
        <row r="84">
          <cell r="U84" t="e">
            <v>#N/A</v>
          </cell>
          <cell r="V84" t="e">
            <v>#N/A</v>
          </cell>
          <cell r="W84" t="e">
            <v>#N/A</v>
          </cell>
        </row>
        <row r="85">
          <cell r="U85" t="e">
            <v>#N/A</v>
          </cell>
          <cell r="V85" t="e">
            <v>#N/A</v>
          </cell>
          <cell r="W85" t="e">
            <v>#N/A</v>
          </cell>
        </row>
        <row r="86">
          <cell r="U86" t="e">
            <v>#N/A</v>
          </cell>
          <cell r="V86" t="e">
            <v>#N/A</v>
          </cell>
          <cell r="W86" t="e">
            <v>#N/A</v>
          </cell>
        </row>
        <row r="87">
          <cell r="U87" t="e">
            <v>#N/A</v>
          </cell>
          <cell r="V87" t="e">
            <v>#N/A</v>
          </cell>
          <cell r="W87" t="e">
            <v>#N/A</v>
          </cell>
        </row>
        <row r="88">
          <cell r="U88" t="e">
            <v>#N/A</v>
          </cell>
          <cell r="V88" t="e">
            <v>#N/A</v>
          </cell>
          <cell r="W88" t="e">
            <v>#N/A</v>
          </cell>
        </row>
        <row r="89">
          <cell r="U89" t="e">
            <v>#N/A</v>
          </cell>
          <cell r="V89" t="e">
            <v>#N/A</v>
          </cell>
          <cell r="W89" t="e">
            <v>#N/A</v>
          </cell>
        </row>
        <row r="90">
          <cell r="U90" t="e">
            <v>#N/A</v>
          </cell>
          <cell r="V90" t="e">
            <v>#N/A</v>
          </cell>
          <cell r="W90" t="e">
            <v>#N/A</v>
          </cell>
        </row>
        <row r="91">
          <cell r="U91" t="e">
            <v>#N/A</v>
          </cell>
          <cell r="V91" t="e">
            <v>#N/A</v>
          </cell>
          <cell r="W91" t="e">
            <v>#N/A</v>
          </cell>
        </row>
        <row r="92">
          <cell r="U92" t="e">
            <v>#N/A</v>
          </cell>
          <cell r="V92" t="e">
            <v>#N/A</v>
          </cell>
          <cell r="W92" t="e">
            <v>#N/A</v>
          </cell>
        </row>
        <row r="93">
          <cell r="U93" t="e">
            <v>#N/A</v>
          </cell>
          <cell r="V93" t="e">
            <v>#N/A</v>
          </cell>
          <cell r="W93" t="e">
            <v>#N/A</v>
          </cell>
        </row>
        <row r="94">
          <cell r="U94" t="e">
            <v>#N/A</v>
          </cell>
          <cell r="V94" t="e">
            <v>#N/A</v>
          </cell>
          <cell r="W94" t="e">
            <v>#N/A</v>
          </cell>
        </row>
        <row r="95">
          <cell r="U95" t="e">
            <v>#N/A</v>
          </cell>
          <cell r="V95" t="e">
            <v>#N/A</v>
          </cell>
          <cell r="W95" t="e">
            <v>#N/A</v>
          </cell>
        </row>
        <row r="96">
          <cell r="U96" t="e">
            <v>#N/A</v>
          </cell>
          <cell r="V96" t="e">
            <v>#N/A</v>
          </cell>
          <cell r="W96" t="e">
            <v>#N/A</v>
          </cell>
        </row>
        <row r="97">
          <cell r="U97" t="e">
            <v>#N/A</v>
          </cell>
          <cell r="V97" t="e">
            <v>#N/A</v>
          </cell>
          <cell r="W97" t="e">
            <v>#N/A</v>
          </cell>
        </row>
        <row r="98">
          <cell r="U98" t="e">
            <v>#N/A</v>
          </cell>
          <cell r="V98" t="e">
            <v>#N/A</v>
          </cell>
          <cell r="W98" t="e">
            <v>#N/A</v>
          </cell>
        </row>
        <row r="99">
          <cell r="U99" t="e">
            <v>#N/A</v>
          </cell>
          <cell r="V99" t="e">
            <v>#N/A</v>
          </cell>
          <cell r="W99" t="e">
            <v>#N/A</v>
          </cell>
        </row>
        <row r="100">
          <cell r="U100" t="e">
            <v>#N/A</v>
          </cell>
          <cell r="V100" t="e">
            <v>#N/A</v>
          </cell>
          <cell r="W100" t="e">
            <v>#N/A</v>
          </cell>
        </row>
        <row r="101">
          <cell r="U101" t="e">
            <v>#N/A</v>
          </cell>
          <cell r="V101" t="e">
            <v>#N/A</v>
          </cell>
          <cell r="W101" t="e">
            <v>#N/A</v>
          </cell>
        </row>
        <row r="102">
          <cell r="U102" t="e">
            <v>#N/A</v>
          </cell>
          <cell r="V102" t="e">
            <v>#N/A</v>
          </cell>
          <cell r="W102" t="e">
            <v>#N/A</v>
          </cell>
        </row>
        <row r="103">
          <cell r="U103" t="e">
            <v>#N/A</v>
          </cell>
          <cell r="V103" t="e">
            <v>#N/A</v>
          </cell>
          <cell r="W103" t="e">
            <v>#N/A</v>
          </cell>
        </row>
        <row r="104">
          <cell r="U104" t="e">
            <v>#N/A</v>
          </cell>
          <cell r="V104" t="e">
            <v>#N/A</v>
          </cell>
          <cell r="W104" t="e">
            <v>#N/A</v>
          </cell>
        </row>
        <row r="105">
          <cell r="U105" t="e">
            <v>#N/A</v>
          </cell>
          <cell r="V105" t="e">
            <v>#N/A</v>
          </cell>
          <cell r="W105" t="e">
            <v>#N/A</v>
          </cell>
        </row>
        <row r="106">
          <cell r="U106" t="e">
            <v>#N/A</v>
          </cell>
          <cell r="V106" t="e">
            <v>#N/A</v>
          </cell>
          <cell r="W106" t="e">
            <v>#N/A</v>
          </cell>
        </row>
        <row r="107">
          <cell r="U107" t="e">
            <v>#N/A</v>
          </cell>
          <cell r="V107" t="e">
            <v>#N/A</v>
          </cell>
          <cell r="W107" t="e">
            <v>#N/A</v>
          </cell>
        </row>
        <row r="108">
          <cell r="U108" t="e">
            <v>#N/A</v>
          </cell>
          <cell r="V108" t="e">
            <v>#N/A</v>
          </cell>
          <cell r="W108" t="e">
            <v>#N/A</v>
          </cell>
        </row>
        <row r="109">
          <cell r="U109" t="e">
            <v>#N/A</v>
          </cell>
          <cell r="V109" t="e">
            <v>#N/A</v>
          </cell>
          <cell r="W109" t="e">
            <v>#N/A</v>
          </cell>
        </row>
        <row r="110">
          <cell r="U110" t="e">
            <v>#N/A</v>
          </cell>
          <cell r="V110" t="e">
            <v>#N/A</v>
          </cell>
          <cell r="W110" t="e">
            <v>#N/A</v>
          </cell>
        </row>
        <row r="111">
          <cell r="U111" t="e">
            <v>#N/A</v>
          </cell>
          <cell r="V111" t="e">
            <v>#N/A</v>
          </cell>
          <cell r="W111" t="e">
            <v>#N/A</v>
          </cell>
        </row>
        <row r="112">
          <cell r="U112" t="e">
            <v>#N/A</v>
          </cell>
          <cell r="V112" t="e">
            <v>#N/A</v>
          </cell>
          <cell r="W112" t="e">
            <v>#N/A</v>
          </cell>
        </row>
        <row r="113">
          <cell r="U113" t="e">
            <v>#N/A</v>
          </cell>
          <cell r="V113" t="e">
            <v>#N/A</v>
          </cell>
          <cell r="W113" t="e">
            <v>#N/A</v>
          </cell>
        </row>
        <row r="114">
          <cell r="U114" t="e">
            <v>#N/A</v>
          </cell>
          <cell r="V114" t="e">
            <v>#N/A</v>
          </cell>
          <cell r="W114" t="e">
            <v>#N/A</v>
          </cell>
        </row>
        <row r="115">
          <cell r="U115" t="e">
            <v>#N/A</v>
          </cell>
          <cell r="V115" t="e">
            <v>#N/A</v>
          </cell>
          <cell r="W115" t="e">
            <v>#N/A</v>
          </cell>
        </row>
        <row r="116">
          <cell r="U116" t="e">
            <v>#N/A</v>
          </cell>
          <cell r="V116" t="e">
            <v>#N/A</v>
          </cell>
          <cell r="W116" t="e">
            <v>#N/A</v>
          </cell>
        </row>
        <row r="117">
          <cell r="U117" t="e">
            <v>#N/A</v>
          </cell>
          <cell r="V117" t="e">
            <v>#N/A</v>
          </cell>
          <cell r="W117" t="e">
            <v>#N/A</v>
          </cell>
        </row>
        <row r="118">
          <cell r="U118" t="e">
            <v>#N/A</v>
          </cell>
          <cell r="V118" t="e">
            <v>#N/A</v>
          </cell>
          <cell r="W118" t="e">
            <v>#N/A</v>
          </cell>
        </row>
        <row r="119">
          <cell r="U119" t="e">
            <v>#N/A</v>
          </cell>
          <cell r="V119" t="e">
            <v>#N/A</v>
          </cell>
          <cell r="W119" t="e">
            <v>#N/A</v>
          </cell>
        </row>
        <row r="120">
          <cell r="U120" t="e">
            <v>#N/A</v>
          </cell>
          <cell r="V120" t="e">
            <v>#N/A</v>
          </cell>
          <cell r="W120" t="e">
            <v>#N/A</v>
          </cell>
        </row>
        <row r="121">
          <cell r="U121" t="e">
            <v>#N/A</v>
          </cell>
          <cell r="V121" t="e">
            <v>#N/A</v>
          </cell>
          <cell r="W121" t="e">
            <v>#N/A</v>
          </cell>
        </row>
        <row r="122">
          <cell r="U122" t="e">
            <v>#N/A</v>
          </cell>
          <cell r="V122" t="e">
            <v>#N/A</v>
          </cell>
          <cell r="W122" t="e">
            <v>#N/A</v>
          </cell>
        </row>
        <row r="123">
          <cell r="U123" t="e">
            <v>#N/A</v>
          </cell>
          <cell r="V123" t="e">
            <v>#N/A</v>
          </cell>
          <cell r="W123" t="e">
            <v>#N/A</v>
          </cell>
        </row>
        <row r="124">
          <cell r="U124" t="e">
            <v>#N/A</v>
          </cell>
          <cell r="V124" t="e">
            <v>#N/A</v>
          </cell>
          <cell r="W124" t="e">
            <v>#N/A</v>
          </cell>
        </row>
        <row r="125">
          <cell r="U125" t="e">
            <v>#N/A</v>
          </cell>
          <cell r="V125" t="e">
            <v>#N/A</v>
          </cell>
          <cell r="W125" t="e">
            <v>#N/A</v>
          </cell>
        </row>
        <row r="126">
          <cell r="U126" t="e">
            <v>#N/A</v>
          </cell>
          <cell r="V126" t="e">
            <v>#N/A</v>
          </cell>
          <cell r="W126" t="e">
            <v>#N/A</v>
          </cell>
        </row>
        <row r="127">
          <cell r="U127" t="e">
            <v>#N/A</v>
          </cell>
          <cell r="V127" t="e">
            <v>#N/A</v>
          </cell>
          <cell r="W127" t="e">
            <v>#N/A</v>
          </cell>
        </row>
        <row r="128">
          <cell r="U128" t="e">
            <v>#N/A</v>
          </cell>
          <cell r="V128" t="e">
            <v>#N/A</v>
          </cell>
          <cell r="W128" t="e">
            <v>#N/A</v>
          </cell>
        </row>
        <row r="129">
          <cell r="U129" t="e">
            <v>#N/A</v>
          </cell>
          <cell r="V129" t="e">
            <v>#N/A</v>
          </cell>
          <cell r="W129" t="e">
            <v>#N/A</v>
          </cell>
        </row>
        <row r="130">
          <cell r="U130" t="e">
            <v>#N/A</v>
          </cell>
          <cell r="V130" t="e">
            <v>#N/A</v>
          </cell>
          <cell r="W130" t="e">
            <v>#N/A</v>
          </cell>
        </row>
        <row r="131">
          <cell r="U131" t="e">
            <v>#N/A</v>
          </cell>
          <cell r="V131" t="e">
            <v>#N/A</v>
          </cell>
          <cell r="W131" t="e">
            <v>#N/A</v>
          </cell>
        </row>
        <row r="132">
          <cell r="U132" t="e">
            <v>#N/A</v>
          </cell>
          <cell r="V132" t="e">
            <v>#N/A</v>
          </cell>
          <cell r="W132" t="e">
            <v>#N/A</v>
          </cell>
        </row>
        <row r="133">
          <cell r="U133" t="e">
            <v>#N/A</v>
          </cell>
          <cell r="V133" t="e">
            <v>#N/A</v>
          </cell>
          <cell r="W133" t="e">
            <v>#N/A</v>
          </cell>
        </row>
        <row r="134">
          <cell r="U134" t="e">
            <v>#N/A</v>
          </cell>
          <cell r="V134" t="e">
            <v>#N/A</v>
          </cell>
          <cell r="W134" t="e">
            <v>#N/A</v>
          </cell>
        </row>
        <row r="135">
          <cell r="U135" t="e">
            <v>#N/A</v>
          </cell>
          <cell r="V135" t="e">
            <v>#N/A</v>
          </cell>
          <cell r="W135" t="e">
            <v>#N/A</v>
          </cell>
        </row>
        <row r="136">
          <cell r="U136" t="e">
            <v>#N/A</v>
          </cell>
          <cell r="V136" t="e">
            <v>#N/A</v>
          </cell>
          <cell r="W136" t="e">
            <v>#N/A</v>
          </cell>
        </row>
        <row r="137">
          <cell r="U137" t="e">
            <v>#N/A</v>
          </cell>
          <cell r="V137" t="e">
            <v>#N/A</v>
          </cell>
          <cell r="W137" t="e">
            <v>#N/A</v>
          </cell>
        </row>
        <row r="138">
          <cell r="U138" t="e">
            <v>#N/A</v>
          </cell>
          <cell r="V138" t="e">
            <v>#N/A</v>
          </cell>
          <cell r="W138" t="e">
            <v>#N/A</v>
          </cell>
        </row>
        <row r="139">
          <cell r="U139" t="e">
            <v>#N/A</v>
          </cell>
          <cell r="V139" t="e">
            <v>#N/A</v>
          </cell>
          <cell r="W139" t="e">
            <v>#N/A</v>
          </cell>
        </row>
        <row r="140">
          <cell r="U140" t="e">
            <v>#N/A</v>
          </cell>
          <cell r="V140" t="e">
            <v>#N/A</v>
          </cell>
          <cell r="W140" t="e">
            <v>#N/A</v>
          </cell>
        </row>
        <row r="141">
          <cell r="U141" t="e">
            <v>#N/A</v>
          </cell>
          <cell r="V141" t="e">
            <v>#N/A</v>
          </cell>
          <cell r="W141" t="e">
            <v>#N/A</v>
          </cell>
        </row>
        <row r="142">
          <cell r="U142" t="e">
            <v>#N/A</v>
          </cell>
          <cell r="V142" t="e">
            <v>#N/A</v>
          </cell>
          <cell r="W142" t="e">
            <v>#N/A</v>
          </cell>
        </row>
        <row r="143">
          <cell r="U143" t="e">
            <v>#N/A</v>
          </cell>
          <cell r="V143" t="e">
            <v>#N/A</v>
          </cell>
          <cell r="W143" t="e">
            <v>#N/A</v>
          </cell>
        </row>
        <row r="144">
          <cell r="U144" t="e">
            <v>#N/A</v>
          </cell>
          <cell r="V144" t="e">
            <v>#N/A</v>
          </cell>
          <cell r="W144" t="e">
            <v>#N/A</v>
          </cell>
        </row>
        <row r="145">
          <cell r="U145" t="e">
            <v>#N/A</v>
          </cell>
          <cell r="V145" t="e">
            <v>#N/A</v>
          </cell>
          <cell r="W145" t="e">
            <v>#N/A</v>
          </cell>
        </row>
        <row r="146">
          <cell r="U146" t="e">
            <v>#N/A</v>
          </cell>
          <cell r="V146" t="e">
            <v>#N/A</v>
          </cell>
          <cell r="W146" t="e">
            <v>#N/A</v>
          </cell>
        </row>
        <row r="147">
          <cell r="U147" t="e">
            <v>#N/A</v>
          </cell>
          <cell r="V147" t="e">
            <v>#N/A</v>
          </cell>
          <cell r="W147" t="e">
            <v>#N/A</v>
          </cell>
        </row>
        <row r="148">
          <cell r="U148" t="e">
            <v>#N/A</v>
          </cell>
          <cell r="V148" t="e">
            <v>#N/A</v>
          </cell>
          <cell r="W148" t="e">
            <v>#N/A</v>
          </cell>
        </row>
        <row r="149">
          <cell r="U149" t="e">
            <v>#N/A</v>
          </cell>
          <cell r="V149" t="e">
            <v>#N/A</v>
          </cell>
          <cell r="W149" t="e">
            <v>#N/A</v>
          </cell>
        </row>
        <row r="150">
          <cell r="U150" t="e">
            <v>#N/A</v>
          </cell>
          <cell r="V150" t="e">
            <v>#N/A</v>
          </cell>
          <cell r="W150" t="e">
            <v>#N/A</v>
          </cell>
        </row>
        <row r="151">
          <cell r="U151" t="e">
            <v>#N/A</v>
          </cell>
          <cell r="V151" t="e">
            <v>#N/A</v>
          </cell>
          <cell r="W151" t="e">
            <v>#N/A</v>
          </cell>
        </row>
        <row r="152">
          <cell r="U152" t="e">
            <v>#N/A</v>
          </cell>
          <cell r="V152" t="e">
            <v>#N/A</v>
          </cell>
          <cell r="W152" t="e">
            <v>#N/A</v>
          </cell>
        </row>
        <row r="153">
          <cell r="U153" t="e">
            <v>#N/A</v>
          </cell>
          <cell r="V153" t="e">
            <v>#N/A</v>
          </cell>
          <cell r="W153" t="e">
            <v>#N/A</v>
          </cell>
        </row>
        <row r="154">
          <cell r="U154" t="e">
            <v>#N/A</v>
          </cell>
          <cell r="V154" t="e">
            <v>#N/A</v>
          </cell>
          <cell r="W154" t="e">
            <v>#N/A</v>
          </cell>
        </row>
        <row r="155">
          <cell r="U155" t="e">
            <v>#N/A</v>
          </cell>
          <cell r="V155" t="e">
            <v>#N/A</v>
          </cell>
          <cell r="W155" t="e">
            <v>#N/A</v>
          </cell>
        </row>
        <row r="156">
          <cell r="U156" t="e">
            <v>#N/A</v>
          </cell>
          <cell r="V156" t="e">
            <v>#N/A</v>
          </cell>
          <cell r="W156" t="e">
            <v>#N/A</v>
          </cell>
        </row>
        <row r="157">
          <cell r="U157" t="e">
            <v>#N/A</v>
          </cell>
          <cell r="V157" t="e">
            <v>#N/A</v>
          </cell>
          <cell r="W157" t="e">
            <v>#N/A</v>
          </cell>
        </row>
        <row r="158">
          <cell r="U158" t="e">
            <v>#N/A</v>
          </cell>
          <cell r="V158" t="e">
            <v>#N/A</v>
          </cell>
          <cell r="W158" t="e">
            <v>#N/A</v>
          </cell>
        </row>
        <row r="159">
          <cell r="U159" t="e">
            <v>#N/A</v>
          </cell>
          <cell r="V159" t="e">
            <v>#N/A</v>
          </cell>
          <cell r="W159" t="e">
            <v>#N/A</v>
          </cell>
        </row>
        <row r="160">
          <cell r="U160" t="e">
            <v>#N/A</v>
          </cell>
          <cell r="V160" t="e">
            <v>#N/A</v>
          </cell>
          <cell r="W160" t="e">
            <v>#N/A</v>
          </cell>
        </row>
        <row r="161">
          <cell r="U161" t="e">
            <v>#N/A</v>
          </cell>
          <cell r="V161" t="e">
            <v>#N/A</v>
          </cell>
          <cell r="W161" t="e">
            <v>#N/A</v>
          </cell>
        </row>
        <row r="162">
          <cell r="U162" t="e">
            <v>#N/A</v>
          </cell>
          <cell r="V162" t="e">
            <v>#N/A</v>
          </cell>
          <cell r="W162" t="e">
            <v>#N/A</v>
          </cell>
        </row>
        <row r="163">
          <cell r="U163" t="e">
            <v>#N/A</v>
          </cell>
          <cell r="V163" t="e">
            <v>#N/A</v>
          </cell>
          <cell r="W163" t="e">
            <v>#N/A</v>
          </cell>
        </row>
        <row r="164">
          <cell r="U164" t="e">
            <v>#N/A</v>
          </cell>
          <cell r="V164" t="e">
            <v>#N/A</v>
          </cell>
          <cell r="W164" t="e">
            <v>#N/A</v>
          </cell>
        </row>
        <row r="165">
          <cell r="U165" t="e">
            <v>#N/A</v>
          </cell>
          <cell r="V165" t="e">
            <v>#N/A</v>
          </cell>
          <cell r="W165" t="e">
            <v>#N/A</v>
          </cell>
        </row>
        <row r="166">
          <cell r="U166" t="e">
            <v>#N/A</v>
          </cell>
          <cell r="V166" t="e">
            <v>#N/A</v>
          </cell>
          <cell r="W166" t="e">
            <v>#N/A</v>
          </cell>
        </row>
        <row r="167">
          <cell r="U167" t="e">
            <v>#N/A</v>
          </cell>
          <cell r="V167" t="e">
            <v>#N/A</v>
          </cell>
          <cell r="W167" t="e">
            <v>#N/A</v>
          </cell>
        </row>
        <row r="168">
          <cell r="U168" t="e">
            <v>#N/A</v>
          </cell>
          <cell r="V168" t="e">
            <v>#N/A</v>
          </cell>
          <cell r="W168" t="e">
            <v>#N/A</v>
          </cell>
        </row>
        <row r="169">
          <cell r="U169" t="e">
            <v>#N/A</v>
          </cell>
          <cell r="V169" t="e">
            <v>#N/A</v>
          </cell>
          <cell r="W169" t="e">
            <v>#N/A</v>
          </cell>
        </row>
        <row r="170">
          <cell r="U170" t="e">
            <v>#N/A</v>
          </cell>
          <cell r="V170" t="e">
            <v>#N/A</v>
          </cell>
          <cell r="W170" t="e">
            <v>#N/A</v>
          </cell>
        </row>
        <row r="171">
          <cell r="U171" t="e">
            <v>#N/A</v>
          </cell>
          <cell r="V171" t="e">
            <v>#N/A</v>
          </cell>
          <cell r="W171" t="e">
            <v>#N/A</v>
          </cell>
        </row>
        <row r="172">
          <cell r="U172" t="e">
            <v>#N/A</v>
          </cell>
          <cell r="V172" t="e">
            <v>#N/A</v>
          </cell>
          <cell r="W172" t="e">
            <v>#N/A</v>
          </cell>
        </row>
        <row r="173">
          <cell r="U173" t="e">
            <v>#N/A</v>
          </cell>
          <cell r="V173" t="e">
            <v>#N/A</v>
          </cell>
          <cell r="W173" t="e">
            <v>#N/A</v>
          </cell>
        </row>
        <row r="174">
          <cell r="U174" t="e">
            <v>#N/A</v>
          </cell>
          <cell r="V174" t="e">
            <v>#N/A</v>
          </cell>
          <cell r="W174" t="e">
            <v>#N/A</v>
          </cell>
        </row>
        <row r="175">
          <cell r="U175" t="e">
            <v>#N/A</v>
          </cell>
          <cell r="V175" t="e">
            <v>#N/A</v>
          </cell>
          <cell r="W175" t="e">
            <v>#N/A</v>
          </cell>
        </row>
        <row r="176">
          <cell r="U176" t="e">
            <v>#N/A</v>
          </cell>
          <cell r="V176" t="e">
            <v>#N/A</v>
          </cell>
          <cell r="W176" t="e">
            <v>#N/A</v>
          </cell>
        </row>
        <row r="177">
          <cell r="U177" t="e">
            <v>#N/A</v>
          </cell>
          <cell r="V177" t="e">
            <v>#N/A</v>
          </cell>
          <cell r="W177" t="e">
            <v>#N/A</v>
          </cell>
        </row>
        <row r="178">
          <cell r="U178" t="e">
            <v>#N/A</v>
          </cell>
          <cell r="V178" t="e">
            <v>#N/A</v>
          </cell>
          <cell r="W178" t="e">
            <v>#N/A</v>
          </cell>
        </row>
        <row r="179">
          <cell r="U179" t="e">
            <v>#N/A</v>
          </cell>
          <cell r="V179" t="e">
            <v>#N/A</v>
          </cell>
          <cell r="W179" t="e">
            <v>#N/A</v>
          </cell>
        </row>
        <row r="180">
          <cell r="U180" t="e">
            <v>#N/A</v>
          </cell>
          <cell r="V180" t="e">
            <v>#N/A</v>
          </cell>
          <cell r="W180" t="e">
            <v>#N/A</v>
          </cell>
        </row>
        <row r="181">
          <cell r="U181" t="e">
            <v>#N/A</v>
          </cell>
          <cell r="V181" t="e">
            <v>#N/A</v>
          </cell>
          <cell r="W181" t="e">
            <v>#N/A</v>
          </cell>
        </row>
        <row r="182">
          <cell r="U182" t="e">
            <v>#N/A</v>
          </cell>
          <cell r="V182" t="e">
            <v>#N/A</v>
          </cell>
          <cell r="W182" t="e">
            <v>#N/A</v>
          </cell>
        </row>
        <row r="183">
          <cell r="U183" t="e">
            <v>#N/A</v>
          </cell>
          <cell r="V183" t="e">
            <v>#N/A</v>
          </cell>
          <cell r="W183" t="e">
            <v>#N/A</v>
          </cell>
        </row>
        <row r="184">
          <cell r="U184" t="e">
            <v>#N/A</v>
          </cell>
          <cell r="V184" t="e">
            <v>#N/A</v>
          </cell>
          <cell r="W184" t="e">
            <v>#N/A</v>
          </cell>
        </row>
        <row r="185">
          <cell r="U185" t="e">
            <v>#N/A</v>
          </cell>
          <cell r="V185" t="e">
            <v>#N/A</v>
          </cell>
          <cell r="W185" t="e">
            <v>#N/A</v>
          </cell>
        </row>
        <row r="186">
          <cell r="U186" t="e">
            <v>#N/A</v>
          </cell>
          <cell r="V186" t="e">
            <v>#N/A</v>
          </cell>
          <cell r="W186" t="e">
            <v>#N/A</v>
          </cell>
        </row>
        <row r="187">
          <cell r="U187" t="e">
            <v>#N/A</v>
          </cell>
          <cell r="V187" t="e">
            <v>#N/A</v>
          </cell>
          <cell r="W187" t="e">
            <v>#N/A</v>
          </cell>
        </row>
        <row r="188">
          <cell r="U188" t="e">
            <v>#N/A</v>
          </cell>
          <cell r="V188" t="e">
            <v>#N/A</v>
          </cell>
          <cell r="W188" t="e">
            <v>#N/A</v>
          </cell>
        </row>
        <row r="189">
          <cell r="U189" t="e">
            <v>#N/A</v>
          </cell>
          <cell r="V189" t="e">
            <v>#N/A</v>
          </cell>
          <cell r="W189" t="e">
            <v>#N/A</v>
          </cell>
        </row>
        <row r="190">
          <cell r="U190" t="e">
            <v>#N/A</v>
          </cell>
          <cell r="V190" t="e">
            <v>#N/A</v>
          </cell>
          <cell r="W190" t="e">
            <v>#N/A</v>
          </cell>
        </row>
        <row r="191">
          <cell r="U191" t="e">
            <v>#N/A</v>
          </cell>
          <cell r="V191" t="e">
            <v>#N/A</v>
          </cell>
          <cell r="W191" t="e">
            <v>#N/A</v>
          </cell>
        </row>
        <row r="192">
          <cell r="U192" t="e">
            <v>#N/A</v>
          </cell>
          <cell r="V192" t="e">
            <v>#N/A</v>
          </cell>
          <cell r="W192" t="e">
            <v>#N/A</v>
          </cell>
        </row>
        <row r="193">
          <cell r="U193" t="e">
            <v>#N/A</v>
          </cell>
          <cell r="V193" t="e">
            <v>#N/A</v>
          </cell>
          <cell r="W193" t="e">
            <v>#N/A</v>
          </cell>
        </row>
        <row r="194">
          <cell r="U194" t="e">
            <v>#N/A</v>
          </cell>
          <cell r="V194" t="e">
            <v>#N/A</v>
          </cell>
          <cell r="W194" t="e">
            <v>#N/A</v>
          </cell>
        </row>
        <row r="195">
          <cell r="U195" t="e">
            <v>#N/A</v>
          </cell>
          <cell r="V195" t="e">
            <v>#N/A</v>
          </cell>
          <cell r="W195" t="e">
            <v>#N/A</v>
          </cell>
        </row>
        <row r="196">
          <cell r="U196" t="e">
            <v>#N/A</v>
          </cell>
          <cell r="V196" t="e">
            <v>#N/A</v>
          </cell>
          <cell r="W196" t="e">
            <v>#N/A</v>
          </cell>
        </row>
        <row r="197">
          <cell r="U197" t="e">
            <v>#N/A</v>
          </cell>
          <cell r="V197" t="e">
            <v>#N/A</v>
          </cell>
          <cell r="W197" t="e">
            <v>#N/A</v>
          </cell>
        </row>
        <row r="198">
          <cell r="U198" t="e">
            <v>#N/A</v>
          </cell>
          <cell r="V198" t="e">
            <v>#N/A</v>
          </cell>
          <cell r="W198" t="e">
            <v>#N/A</v>
          </cell>
        </row>
        <row r="199">
          <cell r="U199" t="e">
            <v>#N/A</v>
          </cell>
          <cell r="V199" t="e">
            <v>#N/A</v>
          </cell>
          <cell r="W199" t="e">
            <v>#N/A</v>
          </cell>
        </row>
        <row r="200">
          <cell r="U200" t="e">
            <v>#N/A</v>
          </cell>
          <cell r="V200" t="e">
            <v>#N/A</v>
          </cell>
          <cell r="W200" t="e">
            <v>#N/A</v>
          </cell>
        </row>
        <row r="201">
          <cell r="U201" t="e">
            <v>#N/A</v>
          </cell>
          <cell r="V201" t="e">
            <v>#N/A</v>
          </cell>
          <cell r="W201" t="e">
            <v>#N/A</v>
          </cell>
        </row>
        <row r="202">
          <cell r="U202" t="e">
            <v>#N/A</v>
          </cell>
          <cell r="V202" t="e">
            <v>#N/A</v>
          </cell>
          <cell r="W202" t="e">
            <v>#N/A</v>
          </cell>
        </row>
        <row r="203">
          <cell r="U203" t="e">
            <v>#N/A</v>
          </cell>
          <cell r="V203" t="e">
            <v>#N/A</v>
          </cell>
          <cell r="W203" t="e">
            <v>#N/A</v>
          </cell>
        </row>
        <row r="204">
          <cell r="U204" t="e">
            <v>#N/A</v>
          </cell>
          <cell r="V204" t="e">
            <v>#N/A</v>
          </cell>
          <cell r="W204" t="e">
            <v>#N/A</v>
          </cell>
        </row>
        <row r="205">
          <cell r="U205" t="e">
            <v>#N/A</v>
          </cell>
          <cell r="V205" t="e">
            <v>#N/A</v>
          </cell>
          <cell r="W205" t="e">
            <v>#N/A</v>
          </cell>
        </row>
        <row r="206">
          <cell r="U206" t="e">
            <v>#N/A</v>
          </cell>
          <cell r="V206" t="e">
            <v>#N/A</v>
          </cell>
          <cell r="W206" t="e">
            <v>#N/A</v>
          </cell>
        </row>
        <row r="207">
          <cell r="U207" t="e">
            <v>#N/A</v>
          </cell>
          <cell r="V207" t="e">
            <v>#N/A</v>
          </cell>
          <cell r="W207" t="e">
            <v>#N/A</v>
          </cell>
        </row>
        <row r="208">
          <cell r="U208" t="e">
            <v>#N/A</v>
          </cell>
          <cell r="V208" t="e">
            <v>#N/A</v>
          </cell>
          <cell r="W208" t="e">
            <v>#N/A</v>
          </cell>
        </row>
        <row r="209">
          <cell r="U209" t="e">
            <v>#N/A</v>
          </cell>
          <cell r="V209" t="e">
            <v>#N/A</v>
          </cell>
          <cell r="W209" t="e">
            <v>#N/A</v>
          </cell>
        </row>
        <row r="210">
          <cell r="U210" t="e">
            <v>#N/A</v>
          </cell>
          <cell r="V210" t="e">
            <v>#N/A</v>
          </cell>
          <cell r="W210" t="e">
            <v>#N/A</v>
          </cell>
        </row>
        <row r="211">
          <cell r="U211" t="e">
            <v>#N/A</v>
          </cell>
          <cell r="V211" t="e">
            <v>#N/A</v>
          </cell>
          <cell r="W211" t="e">
            <v>#N/A</v>
          </cell>
        </row>
        <row r="212">
          <cell r="U212" t="e">
            <v>#N/A</v>
          </cell>
          <cell r="V212" t="e">
            <v>#N/A</v>
          </cell>
          <cell r="W212" t="e">
            <v>#N/A</v>
          </cell>
        </row>
        <row r="213">
          <cell r="U213" t="e">
            <v>#N/A</v>
          </cell>
          <cell r="V213" t="e">
            <v>#N/A</v>
          </cell>
          <cell r="W213" t="e">
            <v>#N/A</v>
          </cell>
        </row>
        <row r="214">
          <cell r="U214" t="e">
            <v>#N/A</v>
          </cell>
          <cell r="V214" t="e">
            <v>#N/A</v>
          </cell>
          <cell r="W214" t="e">
            <v>#N/A</v>
          </cell>
        </row>
        <row r="215">
          <cell r="U215" t="e">
            <v>#N/A</v>
          </cell>
          <cell r="V215" t="e">
            <v>#N/A</v>
          </cell>
          <cell r="W215" t="e">
            <v>#N/A</v>
          </cell>
        </row>
        <row r="216">
          <cell r="U216" t="e">
            <v>#N/A</v>
          </cell>
          <cell r="V216" t="e">
            <v>#N/A</v>
          </cell>
          <cell r="W216" t="e">
            <v>#N/A</v>
          </cell>
        </row>
        <row r="217">
          <cell r="U217" t="e">
            <v>#N/A</v>
          </cell>
          <cell r="V217" t="e">
            <v>#N/A</v>
          </cell>
          <cell r="W217" t="e">
            <v>#N/A</v>
          </cell>
        </row>
        <row r="218">
          <cell r="U218" t="e">
            <v>#N/A</v>
          </cell>
          <cell r="V218" t="e">
            <v>#N/A</v>
          </cell>
          <cell r="W218" t="e">
            <v>#N/A</v>
          </cell>
        </row>
        <row r="219">
          <cell r="U219" t="e">
            <v>#N/A</v>
          </cell>
          <cell r="V219" t="e">
            <v>#N/A</v>
          </cell>
          <cell r="W219" t="e">
            <v>#N/A</v>
          </cell>
        </row>
        <row r="220">
          <cell r="U220" t="e">
            <v>#N/A</v>
          </cell>
          <cell r="V220" t="e">
            <v>#N/A</v>
          </cell>
          <cell r="W220" t="e">
            <v>#N/A</v>
          </cell>
        </row>
        <row r="221">
          <cell r="U221" t="e">
            <v>#N/A</v>
          </cell>
          <cell r="V221" t="e">
            <v>#N/A</v>
          </cell>
          <cell r="W221" t="e">
            <v>#N/A</v>
          </cell>
        </row>
        <row r="222">
          <cell r="U222" t="e">
            <v>#N/A</v>
          </cell>
          <cell r="V222" t="e">
            <v>#N/A</v>
          </cell>
          <cell r="W222" t="e">
            <v>#N/A</v>
          </cell>
        </row>
        <row r="223">
          <cell r="U223" t="e">
            <v>#N/A</v>
          </cell>
          <cell r="V223" t="e">
            <v>#N/A</v>
          </cell>
          <cell r="W223" t="e">
            <v>#N/A</v>
          </cell>
        </row>
        <row r="224">
          <cell r="U224" t="e">
            <v>#N/A</v>
          </cell>
          <cell r="V224" t="e">
            <v>#N/A</v>
          </cell>
          <cell r="W224" t="e">
            <v>#N/A</v>
          </cell>
        </row>
        <row r="225">
          <cell r="U225" t="e">
            <v>#N/A</v>
          </cell>
          <cell r="V225" t="e">
            <v>#N/A</v>
          </cell>
          <cell r="W225" t="e">
            <v>#N/A</v>
          </cell>
        </row>
        <row r="226">
          <cell r="U226" t="e">
            <v>#N/A</v>
          </cell>
          <cell r="V226" t="e">
            <v>#N/A</v>
          </cell>
          <cell r="W226" t="e">
            <v>#N/A</v>
          </cell>
        </row>
        <row r="227">
          <cell r="U227" t="e">
            <v>#N/A</v>
          </cell>
          <cell r="V227" t="e">
            <v>#N/A</v>
          </cell>
          <cell r="W227" t="e">
            <v>#N/A</v>
          </cell>
        </row>
        <row r="228">
          <cell r="U228" t="e">
            <v>#N/A</v>
          </cell>
          <cell r="V228" t="e">
            <v>#N/A</v>
          </cell>
          <cell r="W228" t="e">
            <v>#N/A</v>
          </cell>
        </row>
        <row r="229">
          <cell r="U229" t="e">
            <v>#N/A</v>
          </cell>
          <cell r="V229" t="e">
            <v>#N/A</v>
          </cell>
          <cell r="W229" t="e">
            <v>#N/A</v>
          </cell>
        </row>
        <row r="230">
          <cell r="U230" t="e">
            <v>#N/A</v>
          </cell>
          <cell r="V230" t="e">
            <v>#N/A</v>
          </cell>
          <cell r="W230" t="e">
            <v>#N/A</v>
          </cell>
        </row>
        <row r="231">
          <cell r="U231" t="e">
            <v>#N/A</v>
          </cell>
          <cell r="V231" t="e">
            <v>#N/A</v>
          </cell>
          <cell r="W231" t="e">
            <v>#N/A</v>
          </cell>
        </row>
        <row r="232">
          <cell r="U232" t="e">
            <v>#N/A</v>
          </cell>
          <cell r="V232" t="e">
            <v>#N/A</v>
          </cell>
          <cell r="W232" t="e">
            <v>#N/A</v>
          </cell>
        </row>
        <row r="233">
          <cell r="U233" t="e">
            <v>#N/A</v>
          </cell>
          <cell r="V233" t="e">
            <v>#N/A</v>
          </cell>
          <cell r="W233" t="e">
            <v>#N/A</v>
          </cell>
        </row>
        <row r="234">
          <cell r="U234" t="e">
            <v>#N/A</v>
          </cell>
          <cell r="V234" t="e">
            <v>#N/A</v>
          </cell>
          <cell r="W234" t="e">
            <v>#N/A</v>
          </cell>
        </row>
        <row r="235">
          <cell r="U235" t="e">
            <v>#N/A</v>
          </cell>
          <cell r="V235" t="e">
            <v>#N/A</v>
          </cell>
          <cell r="W235" t="e">
            <v>#N/A</v>
          </cell>
        </row>
        <row r="236">
          <cell r="U236" t="e">
            <v>#N/A</v>
          </cell>
          <cell r="V236" t="e">
            <v>#N/A</v>
          </cell>
          <cell r="W236" t="e">
            <v>#N/A</v>
          </cell>
        </row>
        <row r="237">
          <cell r="U237" t="e">
            <v>#N/A</v>
          </cell>
          <cell r="V237" t="e">
            <v>#N/A</v>
          </cell>
          <cell r="W237" t="e">
            <v>#N/A</v>
          </cell>
        </row>
        <row r="238">
          <cell r="U238" t="e">
            <v>#N/A</v>
          </cell>
          <cell r="V238" t="e">
            <v>#N/A</v>
          </cell>
          <cell r="W238" t="e">
            <v>#N/A</v>
          </cell>
        </row>
        <row r="239">
          <cell r="U239" t="e">
            <v>#N/A</v>
          </cell>
          <cell r="V239" t="e">
            <v>#N/A</v>
          </cell>
          <cell r="W239" t="e">
            <v>#N/A</v>
          </cell>
        </row>
        <row r="240">
          <cell r="U240" t="e">
            <v>#N/A</v>
          </cell>
          <cell r="V240" t="e">
            <v>#N/A</v>
          </cell>
          <cell r="W240" t="e">
            <v>#N/A</v>
          </cell>
        </row>
        <row r="241">
          <cell r="U241" t="e">
            <v>#N/A</v>
          </cell>
          <cell r="V241" t="e">
            <v>#N/A</v>
          </cell>
          <cell r="W241" t="e">
            <v>#N/A</v>
          </cell>
        </row>
        <row r="242">
          <cell r="U242" t="e">
            <v>#N/A</v>
          </cell>
          <cell r="V242" t="e">
            <v>#N/A</v>
          </cell>
          <cell r="W242" t="e">
            <v>#N/A</v>
          </cell>
        </row>
        <row r="243">
          <cell r="U243" t="e">
            <v>#N/A</v>
          </cell>
          <cell r="V243" t="e">
            <v>#N/A</v>
          </cell>
          <cell r="W243" t="e">
            <v>#N/A</v>
          </cell>
        </row>
        <row r="244">
          <cell r="U244" t="e">
            <v>#N/A</v>
          </cell>
          <cell r="V244" t="e">
            <v>#N/A</v>
          </cell>
          <cell r="W244" t="e">
            <v>#N/A</v>
          </cell>
        </row>
        <row r="245">
          <cell r="U245" t="e">
            <v>#N/A</v>
          </cell>
          <cell r="V245" t="e">
            <v>#N/A</v>
          </cell>
          <cell r="W245" t="e">
            <v>#N/A</v>
          </cell>
        </row>
        <row r="246">
          <cell r="U246" t="e">
            <v>#N/A</v>
          </cell>
          <cell r="V246" t="e">
            <v>#N/A</v>
          </cell>
          <cell r="W246" t="e">
            <v>#N/A</v>
          </cell>
        </row>
        <row r="247">
          <cell r="U247" t="e">
            <v>#N/A</v>
          </cell>
          <cell r="V247" t="e">
            <v>#N/A</v>
          </cell>
          <cell r="W247" t="e">
            <v>#N/A</v>
          </cell>
        </row>
        <row r="248">
          <cell r="U248" t="e">
            <v>#N/A</v>
          </cell>
          <cell r="V248" t="e">
            <v>#N/A</v>
          </cell>
          <cell r="W248" t="e">
            <v>#N/A</v>
          </cell>
        </row>
        <row r="249">
          <cell r="U249" t="e">
            <v>#N/A</v>
          </cell>
          <cell r="V249" t="e">
            <v>#N/A</v>
          </cell>
          <cell r="W249" t="e">
            <v>#N/A</v>
          </cell>
        </row>
        <row r="250">
          <cell r="U250" t="e">
            <v>#N/A</v>
          </cell>
          <cell r="V250" t="e">
            <v>#N/A</v>
          </cell>
          <cell r="W250" t="e">
            <v>#N/A</v>
          </cell>
        </row>
        <row r="251">
          <cell r="U251" t="e">
            <v>#N/A</v>
          </cell>
          <cell r="V251" t="e">
            <v>#N/A</v>
          </cell>
          <cell r="W251" t="e">
            <v>#N/A</v>
          </cell>
        </row>
        <row r="252">
          <cell r="U252" t="e">
            <v>#N/A</v>
          </cell>
          <cell r="V252" t="e">
            <v>#N/A</v>
          </cell>
          <cell r="W252" t="e">
            <v>#N/A</v>
          </cell>
        </row>
        <row r="253">
          <cell r="U253" t="e">
            <v>#N/A</v>
          </cell>
          <cell r="V253" t="e">
            <v>#N/A</v>
          </cell>
          <cell r="W253" t="e">
            <v>#N/A</v>
          </cell>
        </row>
        <row r="254">
          <cell r="U254" t="e">
            <v>#N/A</v>
          </cell>
          <cell r="V254" t="e">
            <v>#N/A</v>
          </cell>
          <cell r="W254" t="e">
            <v>#N/A</v>
          </cell>
        </row>
        <row r="255">
          <cell r="U255" t="e">
            <v>#N/A</v>
          </cell>
          <cell r="V255" t="e">
            <v>#N/A</v>
          </cell>
          <cell r="W255" t="e">
            <v>#N/A</v>
          </cell>
        </row>
        <row r="256">
          <cell r="U256" t="e">
            <v>#N/A</v>
          </cell>
          <cell r="V256" t="e">
            <v>#N/A</v>
          </cell>
          <cell r="W256" t="e">
            <v>#N/A</v>
          </cell>
        </row>
        <row r="257">
          <cell r="U257" t="e">
            <v>#N/A</v>
          </cell>
          <cell r="V257" t="e">
            <v>#N/A</v>
          </cell>
          <cell r="W257" t="e">
            <v>#N/A</v>
          </cell>
        </row>
        <row r="258">
          <cell r="U258" t="e">
            <v>#N/A</v>
          </cell>
          <cell r="V258" t="e">
            <v>#N/A</v>
          </cell>
          <cell r="W258" t="e">
            <v>#N/A</v>
          </cell>
        </row>
        <row r="259">
          <cell r="U259" t="e">
            <v>#N/A</v>
          </cell>
          <cell r="V259" t="e">
            <v>#N/A</v>
          </cell>
          <cell r="W259" t="e">
            <v>#N/A</v>
          </cell>
        </row>
        <row r="260">
          <cell r="U260" t="e">
            <v>#N/A</v>
          </cell>
          <cell r="V260" t="e">
            <v>#N/A</v>
          </cell>
          <cell r="W260" t="e">
            <v>#N/A</v>
          </cell>
        </row>
        <row r="261">
          <cell r="U261" t="e">
            <v>#N/A</v>
          </cell>
          <cell r="V261" t="e">
            <v>#N/A</v>
          </cell>
          <cell r="W261" t="e">
            <v>#N/A</v>
          </cell>
        </row>
        <row r="262">
          <cell r="U262" t="e">
            <v>#N/A</v>
          </cell>
          <cell r="V262" t="e">
            <v>#N/A</v>
          </cell>
          <cell r="W262" t="e">
            <v>#N/A</v>
          </cell>
        </row>
        <row r="263">
          <cell r="U263" t="e">
            <v>#N/A</v>
          </cell>
          <cell r="V263" t="e">
            <v>#N/A</v>
          </cell>
          <cell r="W263" t="e">
            <v>#N/A</v>
          </cell>
        </row>
        <row r="264">
          <cell r="U264" t="e">
            <v>#N/A</v>
          </cell>
          <cell r="V264" t="e">
            <v>#N/A</v>
          </cell>
          <cell r="W264" t="e">
            <v>#N/A</v>
          </cell>
        </row>
        <row r="265">
          <cell r="U265" t="e">
            <v>#N/A</v>
          </cell>
          <cell r="V265" t="e">
            <v>#N/A</v>
          </cell>
          <cell r="W265" t="e">
            <v>#N/A</v>
          </cell>
        </row>
        <row r="266">
          <cell r="U266" t="e">
            <v>#N/A</v>
          </cell>
          <cell r="V266" t="e">
            <v>#N/A</v>
          </cell>
          <cell r="W266" t="e">
            <v>#N/A</v>
          </cell>
        </row>
        <row r="267">
          <cell r="U267" t="e">
            <v>#N/A</v>
          </cell>
          <cell r="V267" t="e">
            <v>#N/A</v>
          </cell>
          <cell r="W267" t="e">
            <v>#N/A</v>
          </cell>
        </row>
        <row r="268">
          <cell r="U268" t="e">
            <v>#N/A</v>
          </cell>
          <cell r="V268" t="e">
            <v>#N/A</v>
          </cell>
          <cell r="W268" t="e">
            <v>#N/A</v>
          </cell>
        </row>
        <row r="269">
          <cell r="U269" t="e">
            <v>#N/A</v>
          </cell>
          <cell r="V269" t="e">
            <v>#N/A</v>
          </cell>
          <cell r="W269" t="e">
            <v>#N/A</v>
          </cell>
        </row>
        <row r="270">
          <cell r="U270" t="e">
            <v>#N/A</v>
          </cell>
          <cell r="V270" t="e">
            <v>#N/A</v>
          </cell>
          <cell r="W270" t="e">
            <v>#N/A</v>
          </cell>
        </row>
        <row r="271">
          <cell r="U271" t="e">
            <v>#N/A</v>
          </cell>
          <cell r="V271" t="e">
            <v>#N/A</v>
          </cell>
          <cell r="W271" t="e">
            <v>#N/A</v>
          </cell>
        </row>
        <row r="272">
          <cell r="U272" t="e">
            <v>#N/A</v>
          </cell>
          <cell r="V272" t="e">
            <v>#N/A</v>
          </cell>
          <cell r="W272" t="e">
            <v>#N/A</v>
          </cell>
        </row>
        <row r="273">
          <cell r="U273" t="e">
            <v>#N/A</v>
          </cell>
          <cell r="V273" t="e">
            <v>#N/A</v>
          </cell>
          <cell r="W273" t="e">
            <v>#N/A</v>
          </cell>
        </row>
        <row r="274">
          <cell r="U274" t="e">
            <v>#N/A</v>
          </cell>
          <cell r="V274" t="e">
            <v>#N/A</v>
          </cell>
          <cell r="W274" t="e">
            <v>#N/A</v>
          </cell>
        </row>
        <row r="275">
          <cell r="U275" t="e">
            <v>#N/A</v>
          </cell>
          <cell r="V275" t="e">
            <v>#N/A</v>
          </cell>
          <cell r="W275" t="e">
            <v>#N/A</v>
          </cell>
        </row>
        <row r="276">
          <cell r="U276" t="e">
            <v>#N/A</v>
          </cell>
          <cell r="V276" t="e">
            <v>#N/A</v>
          </cell>
          <cell r="W276" t="e">
            <v>#N/A</v>
          </cell>
        </row>
        <row r="277">
          <cell r="U277" t="e">
            <v>#N/A</v>
          </cell>
          <cell r="V277" t="e">
            <v>#N/A</v>
          </cell>
          <cell r="W277" t="e">
            <v>#N/A</v>
          </cell>
        </row>
        <row r="278">
          <cell r="U278" t="e">
            <v>#N/A</v>
          </cell>
          <cell r="V278" t="e">
            <v>#N/A</v>
          </cell>
          <cell r="W278" t="e">
            <v>#N/A</v>
          </cell>
        </row>
        <row r="279">
          <cell r="U279" t="e">
            <v>#N/A</v>
          </cell>
          <cell r="V279" t="e">
            <v>#N/A</v>
          </cell>
          <cell r="W279" t="e">
            <v>#N/A</v>
          </cell>
        </row>
        <row r="280">
          <cell r="U280" t="e">
            <v>#N/A</v>
          </cell>
          <cell r="V280" t="e">
            <v>#N/A</v>
          </cell>
          <cell r="W280" t="e">
            <v>#N/A</v>
          </cell>
        </row>
        <row r="281">
          <cell r="U281" t="e">
            <v>#N/A</v>
          </cell>
          <cell r="V281" t="e">
            <v>#N/A</v>
          </cell>
          <cell r="W281" t="e">
            <v>#N/A</v>
          </cell>
        </row>
        <row r="282">
          <cell r="U282" t="e">
            <v>#N/A</v>
          </cell>
          <cell r="V282" t="e">
            <v>#N/A</v>
          </cell>
          <cell r="W282" t="e">
            <v>#N/A</v>
          </cell>
        </row>
        <row r="283">
          <cell r="U283" t="e">
            <v>#N/A</v>
          </cell>
          <cell r="V283" t="e">
            <v>#N/A</v>
          </cell>
          <cell r="W283" t="e">
            <v>#N/A</v>
          </cell>
        </row>
        <row r="284">
          <cell r="U284" t="e">
            <v>#N/A</v>
          </cell>
          <cell r="V284" t="e">
            <v>#N/A</v>
          </cell>
          <cell r="W284" t="e">
            <v>#N/A</v>
          </cell>
        </row>
        <row r="285">
          <cell r="U285" t="e">
            <v>#N/A</v>
          </cell>
          <cell r="V285" t="e">
            <v>#N/A</v>
          </cell>
          <cell r="W285" t="e">
            <v>#N/A</v>
          </cell>
        </row>
        <row r="286">
          <cell r="U286" t="e">
            <v>#N/A</v>
          </cell>
          <cell r="V286" t="e">
            <v>#N/A</v>
          </cell>
          <cell r="W286" t="e">
            <v>#N/A</v>
          </cell>
        </row>
        <row r="287">
          <cell r="U287" t="e">
            <v>#N/A</v>
          </cell>
          <cell r="V287" t="e">
            <v>#N/A</v>
          </cell>
          <cell r="W287" t="e">
            <v>#N/A</v>
          </cell>
        </row>
        <row r="288">
          <cell r="U288" t="e">
            <v>#N/A</v>
          </cell>
          <cell r="V288" t="e">
            <v>#N/A</v>
          </cell>
          <cell r="W288" t="e">
            <v>#N/A</v>
          </cell>
        </row>
        <row r="289">
          <cell r="U289" t="e">
            <v>#N/A</v>
          </cell>
          <cell r="V289" t="e">
            <v>#N/A</v>
          </cell>
          <cell r="W289" t="e">
            <v>#N/A</v>
          </cell>
        </row>
        <row r="290">
          <cell r="U290" t="e">
            <v>#N/A</v>
          </cell>
          <cell r="V290" t="e">
            <v>#N/A</v>
          </cell>
          <cell r="W290" t="e">
            <v>#N/A</v>
          </cell>
        </row>
        <row r="291">
          <cell r="U291" t="e">
            <v>#N/A</v>
          </cell>
          <cell r="V291" t="e">
            <v>#N/A</v>
          </cell>
          <cell r="W291" t="e">
            <v>#N/A</v>
          </cell>
        </row>
        <row r="292">
          <cell r="U292" t="e">
            <v>#N/A</v>
          </cell>
          <cell r="V292" t="e">
            <v>#N/A</v>
          </cell>
          <cell r="W292" t="e">
            <v>#N/A</v>
          </cell>
        </row>
        <row r="293">
          <cell r="U293" t="e">
            <v>#N/A</v>
          </cell>
          <cell r="V293" t="e">
            <v>#N/A</v>
          </cell>
          <cell r="W293" t="e">
            <v>#N/A</v>
          </cell>
        </row>
        <row r="294">
          <cell r="U294" t="e">
            <v>#N/A</v>
          </cell>
          <cell r="V294" t="e">
            <v>#N/A</v>
          </cell>
          <cell r="W294" t="e">
            <v>#N/A</v>
          </cell>
        </row>
        <row r="295">
          <cell r="U295" t="e">
            <v>#N/A</v>
          </cell>
          <cell r="V295" t="e">
            <v>#N/A</v>
          </cell>
          <cell r="W295" t="e">
            <v>#N/A</v>
          </cell>
        </row>
        <row r="296">
          <cell r="U296" t="e">
            <v>#N/A</v>
          </cell>
          <cell r="V296" t="e">
            <v>#N/A</v>
          </cell>
          <cell r="W296" t="e">
            <v>#N/A</v>
          </cell>
        </row>
        <row r="297">
          <cell r="U297" t="e">
            <v>#N/A</v>
          </cell>
          <cell r="V297" t="e">
            <v>#N/A</v>
          </cell>
          <cell r="W297" t="e">
            <v>#N/A</v>
          </cell>
        </row>
        <row r="298">
          <cell r="U298" t="e">
            <v>#N/A</v>
          </cell>
          <cell r="V298" t="e">
            <v>#N/A</v>
          </cell>
          <cell r="W298" t="e">
            <v>#N/A</v>
          </cell>
        </row>
        <row r="299">
          <cell r="U299" t="e">
            <v>#N/A</v>
          </cell>
          <cell r="V299" t="e">
            <v>#N/A</v>
          </cell>
          <cell r="W299" t="e">
            <v>#N/A</v>
          </cell>
        </row>
        <row r="300">
          <cell r="U300" t="e">
            <v>#N/A</v>
          </cell>
          <cell r="V300" t="e">
            <v>#N/A</v>
          </cell>
          <cell r="W300" t="e">
            <v>#N/A</v>
          </cell>
        </row>
        <row r="301">
          <cell r="U301" t="e">
            <v>#N/A</v>
          </cell>
          <cell r="V301" t="e">
            <v>#N/A</v>
          </cell>
          <cell r="W301" t="e">
            <v>#N/A</v>
          </cell>
        </row>
        <row r="302">
          <cell r="U302" t="e">
            <v>#N/A</v>
          </cell>
          <cell r="V302" t="e">
            <v>#N/A</v>
          </cell>
          <cell r="W302" t="e">
            <v>#N/A</v>
          </cell>
        </row>
        <row r="303">
          <cell r="U303" t="e">
            <v>#N/A</v>
          </cell>
          <cell r="V303" t="e">
            <v>#N/A</v>
          </cell>
          <cell r="W303" t="e">
            <v>#N/A</v>
          </cell>
        </row>
        <row r="304">
          <cell r="U304" t="e">
            <v>#N/A</v>
          </cell>
          <cell r="V304" t="e">
            <v>#N/A</v>
          </cell>
          <cell r="W304" t="e">
            <v>#N/A</v>
          </cell>
        </row>
        <row r="305">
          <cell r="U305" t="e">
            <v>#N/A</v>
          </cell>
          <cell r="V305" t="e">
            <v>#N/A</v>
          </cell>
          <cell r="W305" t="e">
            <v>#N/A</v>
          </cell>
        </row>
        <row r="306">
          <cell r="U306" t="e">
            <v>#N/A</v>
          </cell>
          <cell r="V306" t="e">
            <v>#N/A</v>
          </cell>
          <cell r="W306" t="e">
            <v>#N/A</v>
          </cell>
        </row>
        <row r="307">
          <cell r="U307" t="e">
            <v>#N/A</v>
          </cell>
          <cell r="V307" t="e">
            <v>#N/A</v>
          </cell>
          <cell r="W307" t="e">
            <v>#N/A</v>
          </cell>
        </row>
        <row r="308">
          <cell r="U308" t="e">
            <v>#N/A</v>
          </cell>
          <cell r="V308" t="e">
            <v>#N/A</v>
          </cell>
          <cell r="W308" t="e">
            <v>#N/A</v>
          </cell>
        </row>
        <row r="309">
          <cell r="U309" t="e">
            <v>#N/A</v>
          </cell>
          <cell r="V309" t="e">
            <v>#N/A</v>
          </cell>
          <cell r="W309" t="e">
            <v>#N/A</v>
          </cell>
        </row>
        <row r="310">
          <cell r="U310" t="e">
            <v>#N/A</v>
          </cell>
          <cell r="V310" t="e">
            <v>#N/A</v>
          </cell>
          <cell r="W310" t="e">
            <v>#N/A</v>
          </cell>
        </row>
        <row r="311">
          <cell r="U311" t="e">
            <v>#N/A</v>
          </cell>
          <cell r="V311" t="e">
            <v>#N/A</v>
          </cell>
          <cell r="W311" t="e">
            <v>#N/A</v>
          </cell>
        </row>
        <row r="312">
          <cell r="U312" t="e">
            <v>#N/A</v>
          </cell>
          <cell r="V312" t="e">
            <v>#N/A</v>
          </cell>
          <cell r="W312" t="e">
            <v>#N/A</v>
          </cell>
        </row>
        <row r="313">
          <cell r="U313" t="e">
            <v>#N/A</v>
          </cell>
          <cell r="V313" t="e">
            <v>#N/A</v>
          </cell>
          <cell r="W313" t="e">
            <v>#N/A</v>
          </cell>
        </row>
        <row r="314">
          <cell r="U314" t="e">
            <v>#N/A</v>
          </cell>
          <cell r="V314" t="e">
            <v>#N/A</v>
          </cell>
          <cell r="W314" t="e">
            <v>#N/A</v>
          </cell>
        </row>
        <row r="315">
          <cell r="U315" t="e">
            <v>#N/A</v>
          </cell>
          <cell r="V315" t="e">
            <v>#N/A</v>
          </cell>
          <cell r="W315" t="e">
            <v>#N/A</v>
          </cell>
        </row>
        <row r="316">
          <cell r="U316" t="e">
            <v>#N/A</v>
          </cell>
          <cell r="V316" t="e">
            <v>#N/A</v>
          </cell>
          <cell r="W316" t="e">
            <v>#N/A</v>
          </cell>
        </row>
        <row r="317">
          <cell r="U317" t="e">
            <v>#N/A</v>
          </cell>
          <cell r="V317" t="e">
            <v>#N/A</v>
          </cell>
          <cell r="W317" t="e">
            <v>#N/A</v>
          </cell>
        </row>
        <row r="318">
          <cell r="U318" t="e">
            <v>#N/A</v>
          </cell>
          <cell r="V318" t="e">
            <v>#N/A</v>
          </cell>
          <cell r="W318" t="e">
            <v>#N/A</v>
          </cell>
        </row>
        <row r="319">
          <cell r="U319" t="e">
            <v>#N/A</v>
          </cell>
          <cell r="V319" t="e">
            <v>#N/A</v>
          </cell>
          <cell r="W319" t="e">
            <v>#N/A</v>
          </cell>
        </row>
        <row r="320">
          <cell r="U320" t="e">
            <v>#N/A</v>
          </cell>
          <cell r="V320" t="e">
            <v>#N/A</v>
          </cell>
          <cell r="W320" t="e">
            <v>#N/A</v>
          </cell>
        </row>
        <row r="321">
          <cell r="U321" t="e">
            <v>#N/A</v>
          </cell>
          <cell r="V321" t="e">
            <v>#N/A</v>
          </cell>
          <cell r="W321" t="e">
            <v>#N/A</v>
          </cell>
        </row>
        <row r="322">
          <cell r="U322" t="e">
            <v>#N/A</v>
          </cell>
          <cell r="V322" t="e">
            <v>#N/A</v>
          </cell>
          <cell r="W322" t="e">
            <v>#N/A</v>
          </cell>
        </row>
        <row r="323">
          <cell r="U323" t="e">
            <v>#N/A</v>
          </cell>
          <cell r="V323" t="e">
            <v>#N/A</v>
          </cell>
          <cell r="W323" t="e">
            <v>#N/A</v>
          </cell>
        </row>
        <row r="324">
          <cell r="U324" t="e">
            <v>#N/A</v>
          </cell>
          <cell r="V324" t="e">
            <v>#N/A</v>
          </cell>
          <cell r="W324" t="e">
            <v>#N/A</v>
          </cell>
        </row>
        <row r="325">
          <cell r="U325" t="e">
            <v>#N/A</v>
          </cell>
          <cell r="V325" t="e">
            <v>#N/A</v>
          </cell>
          <cell r="W325" t="e">
            <v>#N/A</v>
          </cell>
        </row>
        <row r="326">
          <cell r="U326" t="e">
            <v>#N/A</v>
          </cell>
          <cell r="V326" t="e">
            <v>#N/A</v>
          </cell>
          <cell r="W326" t="e">
            <v>#N/A</v>
          </cell>
        </row>
        <row r="327">
          <cell r="U327" t="e">
            <v>#N/A</v>
          </cell>
          <cell r="V327" t="e">
            <v>#N/A</v>
          </cell>
          <cell r="W327" t="e">
            <v>#N/A</v>
          </cell>
        </row>
        <row r="328">
          <cell r="U328" t="e">
            <v>#N/A</v>
          </cell>
          <cell r="V328" t="e">
            <v>#N/A</v>
          </cell>
          <cell r="W328" t="e">
            <v>#N/A</v>
          </cell>
        </row>
        <row r="329">
          <cell r="U329" t="e">
            <v>#N/A</v>
          </cell>
          <cell r="V329" t="e">
            <v>#N/A</v>
          </cell>
          <cell r="W329" t="e">
            <v>#N/A</v>
          </cell>
        </row>
        <row r="330">
          <cell r="U330" t="e">
            <v>#N/A</v>
          </cell>
          <cell r="V330" t="e">
            <v>#N/A</v>
          </cell>
          <cell r="W330" t="e">
            <v>#N/A</v>
          </cell>
        </row>
        <row r="331">
          <cell r="U331" t="e">
            <v>#N/A</v>
          </cell>
          <cell r="V331" t="e">
            <v>#N/A</v>
          </cell>
          <cell r="W331" t="e">
            <v>#N/A</v>
          </cell>
        </row>
        <row r="332">
          <cell r="U332" t="e">
            <v>#N/A</v>
          </cell>
          <cell r="V332" t="e">
            <v>#N/A</v>
          </cell>
          <cell r="W332" t="e">
            <v>#N/A</v>
          </cell>
        </row>
        <row r="333">
          <cell r="U333" t="e">
            <v>#N/A</v>
          </cell>
          <cell r="V333" t="e">
            <v>#N/A</v>
          </cell>
          <cell r="W333" t="e">
            <v>#N/A</v>
          </cell>
        </row>
        <row r="334">
          <cell r="U334" t="e">
            <v>#N/A</v>
          </cell>
          <cell r="V334" t="e">
            <v>#N/A</v>
          </cell>
          <cell r="W334" t="e">
            <v>#N/A</v>
          </cell>
        </row>
        <row r="335">
          <cell r="U335" t="e">
            <v>#N/A</v>
          </cell>
          <cell r="V335" t="e">
            <v>#N/A</v>
          </cell>
          <cell r="W335" t="e">
            <v>#N/A</v>
          </cell>
        </row>
        <row r="336">
          <cell r="U336" t="e">
            <v>#N/A</v>
          </cell>
          <cell r="V336" t="e">
            <v>#N/A</v>
          </cell>
          <cell r="W336" t="e">
            <v>#N/A</v>
          </cell>
        </row>
        <row r="337">
          <cell r="U337" t="e">
            <v>#N/A</v>
          </cell>
          <cell r="V337" t="e">
            <v>#N/A</v>
          </cell>
          <cell r="W337" t="e">
            <v>#N/A</v>
          </cell>
        </row>
        <row r="338">
          <cell r="U338" t="e">
            <v>#N/A</v>
          </cell>
          <cell r="V338" t="e">
            <v>#N/A</v>
          </cell>
          <cell r="W338" t="e">
            <v>#N/A</v>
          </cell>
        </row>
        <row r="339">
          <cell r="U339" t="e">
            <v>#N/A</v>
          </cell>
          <cell r="V339" t="e">
            <v>#N/A</v>
          </cell>
          <cell r="W339" t="e">
            <v>#N/A</v>
          </cell>
        </row>
        <row r="340">
          <cell r="U340" t="e">
            <v>#N/A</v>
          </cell>
          <cell r="V340" t="e">
            <v>#N/A</v>
          </cell>
          <cell r="W340" t="e">
            <v>#N/A</v>
          </cell>
        </row>
        <row r="341">
          <cell r="U341" t="e">
            <v>#N/A</v>
          </cell>
          <cell r="V341" t="e">
            <v>#N/A</v>
          </cell>
          <cell r="W341" t="e">
            <v>#N/A</v>
          </cell>
        </row>
        <row r="342">
          <cell r="U342" t="e">
            <v>#N/A</v>
          </cell>
          <cell r="V342" t="e">
            <v>#N/A</v>
          </cell>
          <cell r="W342" t="e">
            <v>#N/A</v>
          </cell>
        </row>
        <row r="343">
          <cell r="U343" t="e">
            <v>#N/A</v>
          </cell>
          <cell r="V343" t="e">
            <v>#N/A</v>
          </cell>
          <cell r="W343" t="e">
            <v>#N/A</v>
          </cell>
        </row>
        <row r="344">
          <cell r="U344" t="e">
            <v>#N/A</v>
          </cell>
          <cell r="V344" t="e">
            <v>#N/A</v>
          </cell>
          <cell r="W344" t="e">
            <v>#N/A</v>
          </cell>
        </row>
        <row r="345">
          <cell r="U345" t="e">
            <v>#N/A</v>
          </cell>
          <cell r="V345" t="e">
            <v>#N/A</v>
          </cell>
          <cell r="W345" t="e">
            <v>#N/A</v>
          </cell>
        </row>
        <row r="346">
          <cell r="U346" t="e">
            <v>#N/A</v>
          </cell>
          <cell r="V346" t="e">
            <v>#N/A</v>
          </cell>
          <cell r="W346" t="e">
            <v>#N/A</v>
          </cell>
        </row>
        <row r="347">
          <cell r="U347" t="e">
            <v>#N/A</v>
          </cell>
          <cell r="V347" t="e">
            <v>#N/A</v>
          </cell>
          <cell r="W347" t="e">
            <v>#N/A</v>
          </cell>
        </row>
        <row r="348">
          <cell r="U348" t="e">
            <v>#N/A</v>
          </cell>
          <cell r="V348" t="e">
            <v>#N/A</v>
          </cell>
          <cell r="W348" t="e">
            <v>#N/A</v>
          </cell>
        </row>
        <row r="349">
          <cell r="U349" t="e">
            <v>#N/A</v>
          </cell>
          <cell r="V349" t="e">
            <v>#N/A</v>
          </cell>
          <cell r="W349" t="e">
            <v>#N/A</v>
          </cell>
        </row>
        <row r="350">
          <cell r="U350" t="e">
            <v>#N/A</v>
          </cell>
          <cell r="V350" t="e">
            <v>#N/A</v>
          </cell>
          <cell r="W350" t="e">
            <v>#N/A</v>
          </cell>
        </row>
        <row r="351">
          <cell r="U351" t="e">
            <v>#N/A</v>
          </cell>
          <cell r="V351" t="e">
            <v>#N/A</v>
          </cell>
          <cell r="W351" t="e">
            <v>#N/A</v>
          </cell>
        </row>
        <row r="352">
          <cell r="U352" t="e">
            <v>#N/A</v>
          </cell>
          <cell r="V352" t="e">
            <v>#N/A</v>
          </cell>
          <cell r="W352" t="e">
            <v>#N/A</v>
          </cell>
        </row>
        <row r="353">
          <cell r="U353" t="e">
            <v>#N/A</v>
          </cell>
          <cell r="V353" t="e">
            <v>#N/A</v>
          </cell>
          <cell r="W353" t="e">
            <v>#N/A</v>
          </cell>
        </row>
        <row r="354">
          <cell r="U354" t="e">
            <v>#N/A</v>
          </cell>
          <cell r="V354" t="e">
            <v>#N/A</v>
          </cell>
          <cell r="W354" t="e">
            <v>#N/A</v>
          </cell>
        </row>
        <row r="355">
          <cell r="U355" t="e">
            <v>#N/A</v>
          </cell>
          <cell r="V355" t="e">
            <v>#N/A</v>
          </cell>
          <cell r="W355" t="e">
            <v>#N/A</v>
          </cell>
        </row>
        <row r="356">
          <cell r="U356" t="e">
            <v>#N/A</v>
          </cell>
          <cell r="V356" t="e">
            <v>#N/A</v>
          </cell>
          <cell r="W356" t="e">
            <v>#N/A</v>
          </cell>
        </row>
        <row r="357">
          <cell r="U357" t="e">
            <v>#N/A</v>
          </cell>
          <cell r="V357" t="e">
            <v>#N/A</v>
          </cell>
          <cell r="W357" t="e">
            <v>#N/A</v>
          </cell>
        </row>
        <row r="358">
          <cell r="U358" t="e">
            <v>#N/A</v>
          </cell>
          <cell r="V358" t="e">
            <v>#N/A</v>
          </cell>
          <cell r="W358" t="e">
            <v>#N/A</v>
          </cell>
        </row>
        <row r="359">
          <cell r="U359" t="e">
            <v>#N/A</v>
          </cell>
          <cell r="V359" t="e">
            <v>#N/A</v>
          </cell>
          <cell r="W359" t="e">
            <v>#N/A</v>
          </cell>
        </row>
        <row r="360">
          <cell r="U360" t="e">
            <v>#N/A</v>
          </cell>
          <cell r="V360" t="e">
            <v>#N/A</v>
          </cell>
          <cell r="W360" t="e">
            <v>#N/A</v>
          </cell>
        </row>
        <row r="361">
          <cell r="U361" t="e">
            <v>#N/A</v>
          </cell>
          <cell r="V361" t="e">
            <v>#N/A</v>
          </cell>
          <cell r="W361" t="e">
            <v>#N/A</v>
          </cell>
        </row>
        <row r="362">
          <cell r="U362" t="e">
            <v>#N/A</v>
          </cell>
          <cell r="V362" t="e">
            <v>#N/A</v>
          </cell>
          <cell r="W362" t="e">
            <v>#N/A</v>
          </cell>
        </row>
        <row r="363">
          <cell r="U363" t="e">
            <v>#N/A</v>
          </cell>
          <cell r="V363" t="e">
            <v>#N/A</v>
          </cell>
          <cell r="W363" t="e">
            <v>#N/A</v>
          </cell>
        </row>
        <row r="364">
          <cell r="U364" t="e">
            <v>#N/A</v>
          </cell>
          <cell r="V364" t="e">
            <v>#N/A</v>
          </cell>
          <cell r="W364" t="e">
            <v>#N/A</v>
          </cell>
        </row>
        <row r="365">
          <cell r="U365" t="e">
            <v>#N/A</v>
          </cell>
          <cell r="V365" t="e">
            <v>#N/A</v>
          </cell>
          <cell r="W365" t="e">
            <v>#N/A</v>
          </cell>
        </row>
        <row r="366">
          <cell r="U366" t="e">
            <v>#N/A</v>
          </cell>
          <cell r="V366" t="e">
            <v>#N/A</v>
          </cell>
          <cell r="W366" t="e">
            <v>#N/A</v>
          </cell>
        </row>
        <row r="367">
          <cell r="U367" t="e">
            <v>#N/A</v>
          </cell>
          <cell r="V367" t="e">
            <v>#N/A</v>
          </cell>
          <cell r="W367" t="e">
            <v>#N/A</v>
          </cell>
        </row>
        <row r="368">
          <cell r="U368" t="e">
            <v>#N/A</v>
          </cell>
          <cell r="V368" t="e">
            <v>#N/A</v>
          </cell>
          <cell r="W368" t="e">
            <v>#N/A</v>
          </cell>
        </row>
        <row r="369">
          <cell r="U369" t="e">
            <v>#N/A</v>
          </cell>
          <cell r="V369" t="e">
            <v>#N/A</v>
          </cell>
          <cell r="W369" t="e">
            <v>#N/A</v>
          </cell>
        </row>
      </sheetData>
      <sheetData sheetId="37">
        <row r="1">
          <cell r="B1">
            <v>2</v>
          </cell>
        </row>
        <row r="2">
          <cell r="A2">
            <v>1</v>
          </cell>
        </row>
        <row r="3">
          <cell r="A3">
            <v>2</v>
          </cell>
        </row>
      </sheetData>
      <sheetData sheetId="38">
        <row r="1">
          <cell r="B1" t="str">
            <v>N.A.</v>
          </cell>
        </row>
      </sheetData>
      <sheetData sheetId="39">
        <row r="4">
          <cell r="A4">
            <v>0</v>
          </cell>
          <cell r="B4" t="str">
            <v>Sin Selección</v>
          </cell>
          <cell r="C4" t="str">
            <v>00</v>
          </cell>
          <cell r="D4" t="b">
            <v>0</v>
          </cell>
          <cell r="E4" t="b">
            <v>0</v>
          </cell>
          <cell r="F4" t="b">
            <v>0</v>
          </cell>
          <cell r="G4">
            <v>0</v>
          </cell>
          <cell r="H4" t="str">
            <v/>
          </cell>
          <cell r="I4" t="b">
            <v>0</v>
          </cell>
          <cell r="J4" t="b">
            <v>0</v>
          </cell>
          <cell r="K4">
            <v>0</v>
          </cell>
          <cell r="L4" t="b">
            <v>0</v>
          </cell>
          <cell r="M4" t="b">
            <v>1</v>
          </cell>
          <cell r="N4" t="b">
            <v>0</v>
          </cell>
          <cell r="O4" t="b">
            <v>0</v>
          </cell>
          <cell r="P4" t="b">
            <v>0</v>
          </cell>
        </row>
        <row r="5">
          <cell r="A5" t="str">
            <v>Id</v>
          </cell>
          <cell r="B5" t="str">
            <v>Descripción</v>
          </cell>
          <cell r="C5" t="str">
            <v>Código Destino</v>
          </cell>
          <cell r="D5" t="str">
            <v>Programas Especiales</v>
          </cell>
          <cell r="E5" t="str">
            <v>Ignora Rangos de Vivienda</v>
          </cell>
          <cell r="F5" t="str">
            <v>Aplican Productos?</v>
          </cell>
          <cell r="G5" t="str">
            <v>Tasa Interés</v>
          </cell>
          <cell r="H5" t="str">
            <v>Índice Ajustado</v>
          </cell>
          <cell r="I5" t="str">
            <v>Soporta Ministraciones?</v>
          </cell>
          <cell r="J5" t="str">
            <v>Devolución Efectivo</v>
          </cell>
          <cell r="K5" t="str">
            <v>Id Cobro Gastos Notariales</v>
          </cell>
          <cell r="L5" t="str">
            <v>Importa Destino Anterior?</v>
          </cell>
          <cell r="M5" t="str">
            <v>Aplica Daños?</v>
          </cell>
          <cell r="N5" t="str">
            <v>Financía Gastos Iniciales?</v>
          </cell>
          <cell r="O5" t="str">
            <v>Gravamen se cancela por separado?</v>
          </cell>
          <cell r="P5" t="str">
            <v>Requiere Vigilancia</v>
          </cell>
          <cell r="Q5" t="str">
            <v>Comparativo en Cotización?</v>
          </cell>
        </row>
        <row r="6">
          <cell r="A6">
            <v>0</v>
          </cell>
          <cell r="B6" t="str">
            <v>Sin Selección</v>
          </cell>
          <cell r="C6" t="str">
            <v>00</v>
          </cell>
          <cell r="D6" t="b">
            <v>0</v>
          </cell>
          <cell r="E6" t="b">
            <v>0</v>
          </cell>
          <cell r="F6" t="b">
            <v>0</v>
          </cell>
          <cell r="G6">
            <v>0</v>
          </cell>
          <cell r="H6" t="str">
            <v/>
          </cell>
          <cell r="I6" t="b">
            <v>0</v>
          </cell>
          <cell r="J6" t="b">
            <v>0</v>
          </cell>
          <cell r="K6">
            <v>0</v>
          </cell>
          <cell r="L6" t="b">
            <v>0</v>
          </cell>
          <cell r="M6" t="b">
            <v>1</v>
          </cell>
          <cell r="N6" t="b">
            <v>0</v>
          </cell>
          <cell r="O6" t="b">
            <v>0</v>
          </cell>
          <cell r="P6" t="b">
            <v>0</v>
          </cell>
          <cell r="Q6" t="b">
            <v>0</v>
          </cell>
        </row>
        <row r="7">
          <cell r="A7">
            <v>1</v>
          </cell>
          <cell r="B7" t="str">
            <v>Adquisición de Casa Habitación</v>
          </cell>
          <cell r="C7" t="str">
            <v>01</v>
          </cell>
          <cell r="D7" t="b">
            <v>1</v>
          </cell>
          <cell r="E7" t="b">
            <v>0</v>
          </cell>
          <cell r="F7" t="b">
            <v>1</v>
          </cell>
          <cell r="G7">
            <v>0</v>
          </cell>
          <cell r="H7" t="str">
            <v/>
          </cell>
          <cell r="I7" t="b">
            <v>0</v>
          </cell>
          <cell r="J7" t="b">
            <v>1</v>
          </cell>
          <cell r="K7">
            <v>1</v>
          </cell>
          <cell r="L7" t="b">
            <v>0</v>
          </cell>
          <cell r="M7" t="b">
            <v>1</v>
          </cell>
          <cell r="N7" t="b">
            <v>0</v>
          </cell>
          <cell r="O7" t="b">
            <v>0</v>
          </cell>
          <cell r="P7" t="b">
            <v>0</v>
          </cell>
          <cell r="Q7" t="b">
            <v>0</v>
          </cell>
        </row>
        <row r="8">
          <cell r="A8">
            <v>2</v>
          </cell>
          <cell r="B8" t="str">
            <v>Mejora de Hipoteca</v>
          </cell>
          <cell r="C8" t="str">
            <v>02</v>
          </cell>
          <cell r="D8" t="b">
            <v>1</v>
          </cell>
          <cell r="E8" t="b">
            <v>0</v>
          </cell>
          <cell r="F8" t="b">
            <v>1</v>
          </cell>
          <cell r="G8">
            <v>0</v>
          </cell>
          <cell r="H8" t="str">
            <v/>
          </cell>
          <cell r="I8" t="b">
            <v>0</v>
          </cell>
          <cell r="J8" t="b">
            <v>0</v>
          </cell>
          <cell r="K8">
            <v>3</v>
          </cell>
          <cell r="L8" t="b">
            <v>1</v>
          </cell>
          <cell r="M8" t="b">
            <v>1</v>
          </cell>
          <cell r="N8" t="b">
            <v>1</v>
          </cell>
          <cell r="O8" t="b">
            <v>1</v>
          </cell>
          <cell r="P8" t="b">
            <v>0</v>
          </cell>
          <cell r="Q8" t="b">
            <v>0</v>
          </cell>
        </row>
        <row r="9">
          <cell r="A9">
            <v>10</v>
          </cell>
          <cell r="B9" t="str">
            <v>Mejora de Hipoteca con Remodelación</v>
          </cell>
          <cell r="C9">
            <v>10</v>
          </cell>
          <cell r="D9" t="b">
            <v>0</v>
          </cell>
          <cell r="E9" t="b">
            <v>0</v>
          </cell>
          <cell r="F9" t="b">
            <v>1</v>
          </cell>
          <cell r="G9">
            <v>0</v>
          </cell>
          <cell r="H9">
            <v>0</v>
          </cell>
          <cell r="I9" t="b">
            <v>0</v>
          </cell>
          <cell r="J9" t="b">
            <v>0</v>
          </cell>
          <cell r="K9">
            <v>3</v>
          </cell>
          <cell r="L9" t="b">
            <v>0</v>
          </cell>
          <cell r="M9" t="b">
            <v>1</v>
          </cell>
          <cell r="N9" t="b">
            <v>1</v>
          </cell>
          <cell r="O9" t="b">
            <v>1</v>
          </cell>
          <cell r="P9" t="b">
            <v>0</v>
          </cell>
          <cell r="Q9" t="b">
            <v>0</v>
          </cell>
        </row>
        <row r="10">
          <cell r="A10">
            <v>3</v>
          </cell>
          <cell r="B10" t="str">
            <v>Construcción de Vivienda</v>
          </cell>
          <cell r="C10" t="str">
            <v>03</v>
          </cell>
          <cell r="D10" t="b">
            <v>1</v>
          </cell>
          <cell r="E10" t="b">
            <v>0</v>
          </cell>
          <cell r="F10" t="b">
            <v>1</v>
          </cell>
          <cell r="G10">
            <v>0</v>
          </cell>
          <cell r="H10" t="str">
            <v/>
          </cell>
          <cell r="I10" t="b">
            <v>1</v>
          </cell>
          <cell r="J10" t="b">
            <v>0</v>
          </cell>
          <cell r="K10">
            <v>2</v>
          </cell>
          <cell r="L10" t="b">
            <v>0</v>
          </cell>
          <cell r="M10" t="b">
            <v>1</v>
          </cell>
          <cell r="N10" t="b">
            <v>0</v>
          </cell>
          <cell r="O10" t="b">
            <v>0</v>
          </cell>
          <cell r="P10" t="b">
            <v>0</v>
          </cell>
          <cell r="Q10" t="b">
            <v>0</v>
          </cell>
        </row>
        <row r="11">
          <cell r="A11">
            <v>4</v>
          </cell>
          <cell r="B11" t="str">
            <v>Remodelación</v>
          </cell>
          <cell r="C11" t="str">
            <v>04</v>
          </cell>
          <cell r="D11" t="b">
            <v>0</v>
          </cell>
          <cell r="E11" t="b">
            <v>0</v>
          </cell>
          <cell r="F11" t="b">
            <v>1</v>
          </cell>
          <cell r="G11">
            <v>0</v>
          </cell>
          <cell r="H11" t="str">
            <v/>
          </cell>
          <cell r="I11" t="b">
            <v>0</v>
          </cell>
          <cell r="J11" t="b">
            <v>0</v>
          </cell>
          <cell r="K11">
            <v>2</v>
          </cell>
          <cell r="L11" t="b">
            <v>0</v>
          </cell>
          <cell r="M11" t="b">
            <v>1</v>
          </cell>
          <cell r="N11" t="b">
            <v>0</v>
          </cell>
          <cell r="O11" t="b">
            <v>0</v>
          </cell>
          <cell r="P11" t="b">
            <v>0</v>
          </cell>
          <cell r="Q11" t="b">
            <v>0</v>
          </cell>
        </row>
        <row r="12">
          <cell r="A12">
            <v>5</v>
          </cell>
          <cell r="B12" t="str">
            <v>Liquidez</v>
          </cell>
          <cell r="C12" t="str">
            <v>05</v>
          </cell>
          <cell r="D12" t="b">
            <v>0</v>
          </cell>
          <cell r="E12" t="b">
            <v>1</v>
          </cell>
          <cell r="F12" t="b">
            <v>0</v>
          </cell>
          <cell r="G12">
            <v>0.157</v>
          </cell>
          <cell r="H12" t="str">
            <v/>
          </cell>
          <cell r="I12" t="b">
            <v>0</v>
          </cell>
          <cell r="J12" t="b">
            <v>0</v>
          </cell>
          <cell r="K12">
            <v>2</v>
          </cell>
          <cell r="L12" t="b">
            <v>0</v>
          </cell>
          <cell r="M12" t="b">
            <v>1</v>
          </cell>
          <cell r="N12" t="b">
            <v>0</v>
          </cell>
          <cell r="O12" t="b">
            <v>0</v>
          </cell>
          <cell r="P12" t="b">
            <v>0</v>
          </cell>
          <cell r="Q12" t="b">
            <v>0</v>
          </cell>
        </row>
        <row r="13">
          <cell r="A13">
            <v>6</v>
          </cell>
          <cell r="B13" t="str">
            <v>Adquisición de Terreno Urbanizado</v>
          </cell>
          <cell r="C13" t="str">
            <v>06</v>
          </cell>
          <cell r="D13" t="b">
            <v>0</v>
          </cell>
          <cell r="E13" t="b">
            <v>1</v>
          </cell>
          <cell r="F13" t="b">
            <v>0</v>
          </cell>
          <cell r="G13" t="e">
            <v>#N/A</v>
          </cell>
          <cell r="H13" t="str">
            <v/>
          </cell>
          <cell r="I13" t="b">
            <v>0</v>
          </cell>
          <cell r="J13" t="b">
            <v>0</v>
          </cell>
          <cell r="K13">
            <v>1</v>
          </cell>
          <cell r="L13" t="b">
            <v>0</v>
          </cell>
          <cell r="M13" t="b">
            <v>0</v>
          </cell>
          <cell r="N13" t="b">
            <v>0</v>
          </cell>
          <cell r="O13" t="b">
            <v>0</v>
          </cell>
          <cell r="P13" t="b">
            <v>0</v>
          </cell>
          <cell r="Q13" t="b">
            <v>0</v>
          </cell>
        </row>
        <row r="14">
          <cell r="A14">
            <v>7</v>
          </cell>
          <cell r="B14" t="str">
            <v>Subrogación</v>
          </cell>
          <cell r="C14" t="str">
            <v>07</v>
          </cell>
          <cell r="D14" t="b">
            <v>0</v>
          </cell>
          <cell r="E14" t="b">
            <v>1</v>
          </cell>
          <cell r="F14" t="b">
            <v>0</v>
          </cell>
          <cell r="G14">
            <v>9.9900000000000003E-2</v>
          </cell>
          <cell r="H14" t="str">
            <v/>
          </cell>
          <cell r="I14" t="b">
            <v>0</v>
          </cell>
          <cell r="J14" t="b">
            <v>0</v>
          </cell>
          <cell r="K14">
            <v>0</v>
          </cell>
          <cell r="L14" t="b">
            <v>0</v>
          </cell>
          <cell r="M14" t="b">
            <v>1</v>
          </cell>
          <cell r="N14" t="b">
            <v>1</v>
          </cell>
          <cell r="O14" t="b">
            <v>0</v>
          </cell>
          <cell r="P14" t="b">
            <v>0</v>
          </cell>
          <cell r="Q14" t="b">
            <v>0</v>
          </cell>
        </row>
        <row r="15">
          <cell r="A15">
            <v>8</v>
          </cell>
          <cell r="B15" t="str">
            <v>Compra Venta con Terminación de Obra</v>
          </cell>
          <cell r="C15" t="str">
            <v>08</v>
          </cell>
          <cell r="D15" t="b">
            <v>1</v>
          </cell>
          <cell r="E15" t="b">
            <v>0</v>
          </cell>
          <cell r="F15" t="b">
            <v>1</v>
          </cell>
          <cell r="G15">
            <v>0</v>
          </cell>
          <cell r="H15">
            <v>1</v>
          </cell>
          <cell r="I15" t="b">
            <v>1</v>
          </cell>
          <cell r="J15" t="b">
            <v>1</v>
          </cell>
          <cell r="K15">
            <v>1</v>
          </cell>
          <cell r="L15" t="b">
            <v>0</v>
          </cell>
          <cell r="M15" t="b">
            <v>1</v>
          </cell>
          <cell r="N15" t="b">
            <v>0</v>
          </cell>
          <cell r="O15" t="b">
            <v>0</v>
          </cell>
          <cell r="P15" t="b">
            <v>1</v>
          </cell>
          <cell r="Q15" t="b">
            <v>0</v>
          </cell>
        </row>
        <row r="16">
          <cell r="A16">
            <v>9</v>
          </cell>
          <cell r="B16" t="str">
            <v>Adquisición de Terreno más Construcción de Vivienda</v>
          </cell>
          <cell r="C16" t="str">
            <v>09</v>
          </cell>
          <cell r="D16" t="b">
            <v>1</v>
          </cell>
          <cell r="E16" t="b">
            <v>1</v>
          </cell>
          <cell r="F16" t="b">
            <v>1</v>
          </cell>
          <cell r="G16">
            <v>0</v>
          </cell>
          <cell r="H16">
            <v>3</v>
          </cell>
          <cell r="I16" t="b">
            <v>1</v>
          </cell>
          <cell r="J16" t="b">
            <v>0</v>
          </cell>
          <cell r="K16">
            <v>1</v>
          </cell>
          <cell r="L16" t="b">
            <v>0</v>
          </cell>
          <cell r="M16" t="b">
            <v>1</v>
          </cell>
          <cell r="N16" t="b">
            <v>0</v>
          </cell>
          <cell r="O16" t="b">
            <v>0</v>
          </cell>
          <cell r="P16" t="b">
            <v>1</v>
          </cell>
          <cell r="Q16" t="b">
            <v>0</v>
          </cell>
        </row>
        <row r="18">
          <cell r="L18">
            <v>1</v>
          </cell>
        </row>
        <row r="21">
          <cell r="C21" t="str">
            <v/>
          </cell>
        </row>
        <row r="22">
          <cell r="C22" t="str">
            <v/>
          </cell>
        </row>
        <row r="28">
          <cell r="L28" t="b">
            <v>1</v>
          </cell>
        </row>
      </sheetData>
      <sheetData sheetId="40">
        <row r="3">
          <cell r="B3">
            <v>1</v>
          </cell>
          <cell r="C3" t="str">
            <v>Ninguno</v>
          </cell>
          <cell r="D3" t="str">
            <v>00</v>
          </cell>
          <cell r="F3">
            <v>0</v>
          </cell>
          <cell r="G3" t="str">
            <v>--</v>
          </cell>
        </row>
        <row r="4">
          <cell r="B4">
            <v>0</v>
          </cell>
        </row>
        <row r="7">
          <cell r="B7">
            <v>1</v>
          </cell>
        </row>
        <row r="8">
          <cell r="B8">
            <v>2</v>
          </cell>
        </row>
        <row r="9">
          <cell r="B9">
            <v>3</v>
          </cell>
        </row>
        <row r="13">
          <cell r="K13">
            <v>98.8</v>
          </cell>
        </row>
        <row r="14">
          <cell r="K14">
            <v>200</v>
          </cell>
        </row>
        <row r="15">
          <cell r="K15">
            <v>25</v>
          </cell>
        </row>
        <row r="16">
          <cell r="K16">
            <v>180</v>
          </cell>
        </row>
        <row r="17">
          <cell r="K17">
            <v>180</v>
          </cell>
        </row>
        <row r="18">
          <cell r="K18">
            <v>171</v>
          </cell>
        </row>
        <row r="19">
          <cell r="K19">
            <v>171</v>
          </cell>
        </row>
        <row r="20">
          <cell r="K20">
            <v>116.626</v>
          </cell>
        </row>
      </sheetData>
      <sheetData sheetId="41">
        <row r="1">
          <cell r="B1" t="str">
            <v/>
          </cell>
        </row>
        <row r="2">
          <cell r="B2">
            <v>1</v>
          </cell>
        </row>
        <row r="3">
          <cell r="B3">
            <v>2</v>
          </cell>
        </row>
        <row r="4">
          <cell r="B4">
            <v>3</v>
          </cell>
        </row>
        <row r="5">
          <cell r="B5">
            <v>4</v>
          </cell>
        </row>
        <row r="6">
          <cell r="B6">
            <v>5</v>
          </cell>
        </row>
        <row r="7">
          <cell r="C7" t="str">
            <v/>
          </cell>
          <cell r="D7" t="str">
            <v>00</v>
          </cell>
        </row>
      </sheetData>
      <sheetData sheetId="42">
        <row r="1">
          <cell r="J1">
            <v>0</v>
          </cell>
          <cell r="K1" t="str">
            <v>Se usan en todas las tablas. *DEBEN* de empezar en la fila 4.</v>
          </cell>
          <cell r="L1">
            <v>0</v>
          </cell>
        </row>
        <row r="2">
          <cell r="B2">
            <v>43782</v>
          </cell>
        </row>
        <row r="3">
          <cell r="J3">
            <v>0</v>
          </cell>
          <cell r="K3">
            <v>43782</v>
          </cell>
          <cell r="L3" t="str">
            <v>Duración Intereses</v>
          </cell>
        </row>
        <row r="4">
          <cell r="J4">
            <v>1</v>
          </cell>
          <cell r="K4" t="e">
            <v>#N/A</v>
          </cell>
          <cell r="L4" t="e">
            <v>#N/A</v>
          </cell>
        </row>
        <row r="5">
          <cell r="B5">
            <v>2019</v>
          </cell>
          <cell r="J5">
            <v>2</v>
          </cell>
          <cell r="K5" t="e">
            <v>#N/A</v>
          </cell>
          <cell r="L5" t="e">
            <v>#N/A</v>
          </cell>
        </row>
        <row r="6">
          <cell r="B6">
            <v>3</v>
          </cell>
          <cell r="D6" t="str">
            <v>NO</v>
          </cell>
          <cell r="J6">
            <v>3</v>
          </cell>
          <cell r="K6" t="e">
            <v>#N/A</v>
          </cell>
          <cell r="L6" t="e">
            <v>#N/A</v>
          </cell>
        </row>
        <row r="7">
          <cell r="B7">
            <v>12</v>
          </cell>
          <cell r="J7">
            <v>4</v>
          </cell>
          <cell r="K7" t="e">
            <v>#N/A</v>
          </cell>
          <cell r="L7" t="e">
            <v>#N/A</v>
          </cell>
        </row>
        <row r="8">
          <cell r="J8">
            <v>5</v>
          </cell>
          <cell r="K8" t="e">
            <v>#N/A</v>
          </cell>
          <cell r="L8" t="e">
            <v>#N/A</v>
          </cell>
        </row>
        <row r="9">
          <cell r="J9">
            <v>6</v>
          </cell>
          <cell r="K9" t="e">
            <v>#N/A</v>
          </cell>
          <cell r="L9" t="e">
            <v>#N/A</v>
          </cell>
        </row>
        <row r="10">
          <cell r="B10">
            <v>13</v>
          </cell>
          <cell r="C10">
            <v>11</v>
          </cell>
          <cell r="D10">
            <v>2019</v>
          </cell>
          <cell r="J10">
            <v>7</v>
          </cell>
          <cell r="K10" t="e">
            <v>#N/A</v>
          </cell>
          <cell r="L10" t="e">
            <v>#N/A</v>
          </cell>
        </row>
        <row r="11">
          <cell r="G11">
            <v>30</v>
          </cell>
          <cell r="J11">
            <v>8</v>
          </cell>
          <cell r="K11" t="e">
            <v>#N/A</v>
          </cell>
          <cell r="L11" t="e">
            <v>#N/A</v>
          </cell>
        </row>
        <row r="12">
          <cell r="J12">
            <v>9</v>
          </cell>
          <cell r="K12" t="e">
            <v>#N/A</v>
          </cell>
          <cell r="L12" t="e">
            <v>#N/A</v>
          </cell>
        </row>
        <row r="13">
          <cell r="J13">
            <v>10</v>
          </cell>
          <cell r="K13" t="e">
            <v>#N/A</v>
          </cell>
          <cell r="L13" t="e">
            <v>#N/A</v>
          </cell>
        </row>
        <row r="14">
          <cell r="J14">
            <v>11</v>
          </cell>
          <cell r="K14" t="e">
            <v>#N/A</v>
          </cell>
          <cell r="L14" t="e">
            <v>#N/A</v>
          </cell>
        </row>
        <row r="15">
          <cell r="J15">
            <v>12</v>
          </cell>
          <cell r="K15" t="e">
            <v>#N/A</v>
          </cell>
          <cell r="L15" t="e">
            <v>#N/A</v>
          </cell>
        </row>
        <row r="16">
          <cell r="J16">
            <v>13</v>
          </cell>
          <cell r="K16" t="e">
            <v>#N/A</v>
          </cell>
          <cell r="L16" t="e">
            <v>#N/A</v>
          </cell>
        </row>
        <row r="17">
          <cell r="J17">
            <v>14</v>
          </cell>
          <cell r="K17" t="e">
            <v>#N/A</v>
          </cell>
          <cell r="L17" t="e">
            <v>#N/A</v>
          </cell>
        </row>
        <row r="18">
          <cell r="J18">
            <v>15</v>
          </cell>
          <cell r="K18" t="e">
            <v>#N/A</v>
          </cell>
          <cell r="L18" t="e">
            <v>#N/A</v>
          </cell>
        </row>
        <row r="19">
          <cell r="J19">
            <v>16</v>
          </cell>
          <cell r="K19" t="e">
            <v>#N/A</v>
          </cell>
          <cell r="L19" t="e">
            <v>#N/A</v>
          </cell>
        </row>
        <row r="20">
          <cell r="J20">
            <v>17</v>
          </cell>
          <cell r="K20" t="e">
            <v>#N/A</v>
          </cell>
          <cell r="L20" t="e">
            <v>#N/A</v>
          </cell>
        </row>
        <row r="21">
          <cell r="J21">
            <v>18</v>
          </cell>
          <cell r="K21" t="e">
            <v>#N/A</v>
          </cell>
          <cell r="L21" t="e">
            <v>#N/A</v>
          </cell>
        </row>
        <row r="22">
          <cell r="J22">
            <v>19</v>
          </cell>
          <cell r="K22" t="e">
            <v>#N/A</v>
          </cell>
          <cell r="L22" t="e">
            <v>#N/A</v>
          </cell>
        </row>
        <row r="23">
          <cell r="J23">
            <v>20</v>
          </cell>
          <cell r="K23" t="e">
            <v>#N/A</v>
          </cell>
          <cell r="L23" t="e">
            <v>#N/A</v>
          </cell>
        </row>
        <row r="24">
          <cell r="J24">
            <v>21</v>
          </cell>
          <cell r="K24" t="e">
            <v>#N/A</v>
          </cell>
          <cell r="L24" t="e">
            <v>#N/A</v>
          </cell>
        </row>
        <row r="25">
          <cell r="J25">
            <v>22</v>
          </cell>
          <cell r="K25" t="e">
            <v>#N/A</v>
          </cell>
          <cell r="L25" t="e">
            <v>#N/A</v>
          </cell>
        </row>
        <row r="26">
          <cell r="J26">
            <v>23</v>
          </cell>
          <cell r="K26" t="e">
            <v>#N/A</v>
          </cell>
          <cell r="L26" t="e">
            <v>#N/A</v>
          </cell>
        </row>
        <row r="27">
          <cell r="J27">
            <v>24</v>
          </cell>
          <cell r="K27" t="e">
            <v>#N/A</v>
          </cell>
          <cell r="L27" t="e">
            <v>#N/A</v>
          </cell>
        </row>
        <row r="28">
          <cell r="J28">
            <v>25</v>
          </cell>
          <cell r="K28" t="e">
            <v>#N/A</v>
          </cell>
          <cell r="L28" t="e">
            <v>#N/A</v>
          </cell>
        </row>
        <row r="29">
          <cell r="J29">
            <v>26</v>
          </cell>
          <cell r="K29" t="e">
            <v>#N/A</v>
          </cell>
          <cell r="L29" t="e">
            <v>#N/A</v>
          </cell>
        </row>
        <row r="30">
          <cell r="J30">
            <v>27</v>
          </cell>
          <cell r="K30" t="e">
            <v>#N/A</v>
          </cell>
          <cell r="L30" t="e">
            <v>#N/A</v>
          </cell>
        </row>
        <row r="31">
          <cell r="J31">
            <v>28</v>
          </cell>
          <cell r="K31" t="e">
            <v>#N/A</v>
          </cell>
          <cell r="L31" t="e">
            <v>#N/A</v>
          </cell>
        </row>
        <row r="32">
          <cell r="J32">
            <v>29</v>
          </cell>
          <cell r="K32" t="e">
            <v>#N/A</v>
          </cell>
          <cell r="L32" t="e">
            <v>#N/A</v>
          </cell>
        </row>
        <row r="33">
          <cell r="J33">
            <v>30</v>
          </cell>
          <cell r="K33" t="e">
            <v>#N/A</v>
          </cell>
          <cell r="L33" t="e">
            <v>#N/A</v>
          </cell>
        </row>
        <row r="34">
          <cell r="J34">
            <v>31</v>
          </cell>
          <cell r="K34" t="e">
            <v>#N/A</v>
          </cell>
          <cell r="L34" t="e">
            <v>#N/A</v>
          </cell>
        </row>
        <row r="35">
          <cell r="J35">
            <v>32</v>
          </cell>
          <cell r="K35" t="e">
            <v>#N/A</v>
          </cell>
          <cell r="L35" t="e">
            <v>#N/A</v>
          </cell>
        </row>
        <row r="36">
          <cell r="J36">
            <v>33</v>
          </cell>
          <cell r="K36" t="e">
            <v>#N/A</v>
          </cell>
          <cell r="L36" t="e">
            <v>#N/A</v>
          </cell>
        </row>
        <row r="37">
          <cell r="J37">
            <v>34</v>
          </cell>
          <cell r="K37" t="e">
            <v>#N/A</v>
          </cell>
          <cell r="L37" t="e">
            <v>#N/A</v>
          </cell>
        </row>
        <row r="38">
          <cell r="J38">
            <v>35</v>
          </cell>
          <cell r="K38" t="e">
            <v>#N/A</v>
          </cell>
          <cell r="L38" t="e">
            <v>#N/A</v>
          </cell>
        </row>
        <row r="39">
          <cell r="J39">
            <v>36</v>
          </cell>
          <cell r="K39" t="e">
            <v>#N/A</v>
          </cell>
          <cell r="L39" t="e">
            <v>#N/A</v>
          </cell>
        </row>
        <row r="40">
          <cell r="J40">
            <v>37</v>
          </cell>
          <cell r="K40" t="e">
            <v>#N/A</v>
          </cell>
          <cell r="L40" t="e">
            <v>#N/A</v>
          </cell>
        </row>
        <row r="41">
          <cell r="J41">
            <v>38</v>
          </cell>
          <cell r="K41" t="e">
            <v>#N/A</v>
          </cell>
          <cell r="L41" t="e">
            <v>#N/A</v>
          </cell>
        </row>
        <row r="42">
          <cell r="J42">
            <v>39</v>
          </cell>
          <cell r="K42" t="e">
            <v>#N/A</v>
          </cell>
          <cell r="L42" t="e">
            <v>#N/A</v>
          </cell>
        </row>
        <row r="43">
          <cell r="J43">
            <v>40</v>
          </cell>
          <cell r="K43" t="e">
            <v>#N/A</v>
          </cell>
          <cell r="L43" t="e">
            <v>#N/A</v>
          </cell>
        </row>
        <row r="44">
          <cell r="J44">
            <v>41</v>
          </cell>
          <cell r="K44" t="e">
            <v>#N/A</v>
          </cell>
          <cell r="L44" t="e">
            <v>#N/A</v>
          </cell>
        </row>
        <row r="45">
          <cell r="J45">
            <v>42</v>
          </cell>
          <cell r="K45" t="e">
            <v>#N/A</v>
          </cell>
          <cell r="L45" t="e">
            <v>#N/A</v>
          </cell>
        </row>
        <row r="46">
          <cell r="J46">
            <v>43</v>
          </cell>
          <cell r="K46" t="e">
            <v>#N/A</v>
          </cell>
          <cell r="L46" t="e">
            <v>#N/A</v>
          </cell>
        </row>
        <row r="47">
          <cell r="J47">
            <v>44</v>
          </cell>
          <cell r="K47" t="e">
            <v>#N/A</v>
          </cell>
          <cell r="L47" t="e">
            <v>#N/A</v>
          </cell>
        </row>
        <row r="48">
          <cell r="J48">
            <v>45</v>
          </cell>
          <cell r="K48" t="e">
            <v>#N/A</v>
          </cell>
          <cell r="L48" t="e">
            <v>#N/A</v>
          </cell>
        </row>
        <row r="49">
          <cell r="J49">
            <v>46</v>
          </cell>
          <cell r="K49" t="e">
            <v>#N/A</v>
          </cell>
          <cell r="L49" t="e">
            <v>#N/A</v>
          </cell>
        </row>
        <row r="50">
          <cell r="J50">
            <v>47</v>
          </cell>
          <cell r="K50" t="e">
            <v>#N/A</v>
          </cell>
          <cell r="L50" t="e">
            <v>#N/A</v>
          </cell>
        </row>
        <row r="51">
          <cell r="J51">
            <v>48</v>
          </cell>
          <cell r="K51" t="e">
            <v>#N/A</v>
          </cell>
          <cell r="L51" t="e">
            <v>#N/A</v>
          </cell>
        </row>
        <row r="52">
          <cell r="J52">
            <v>49</v>
          </cell>
          <cell r="K52" t="e">
            <v>#N/A</v>
          </cell>
          <cell r="L52" t="e">
            <v>#N/A</v>
          </cell>
        </row>
        <row r="53">
          <cell r="J53">
            <v>50</v>
          </cell>
          <cell r="K53" t="e">
            <v>#N/A</v>
          </cell>
          <cell r="L53" t="e">
            <v>#N/A</v>
          </cell>
        </row>
        <row r="54">
          <cell r="J54">
            <v>51</v>
          </cell>
          <cell r="K54" t="e">
            <v>#N/A</v>
          </cell>
          <cell r="L54" t="e">
            <v>#N/A</v>
          </cell>
        </row>
        <row r="55">
          <cell r="J55">
            <v>52</v>
          </cell>
          <cell r="K55" t="e">
            <v>#N/A</v>
          </cell>
          <cell r="L55" t="e">
            <v>#N/A</v>
          </cell>
        </row>
        <row r="56">
          <cell r="J56">
            <v>53</v>
          </cell>
          <cell r="K56" t="e">
            <v>#N/A</v>
          </cell>
          <cell r="L56" t="e">
            <v>#N/A</v>
          </cell>
        </row>
        <row r="57">
          <cell r="J57">
            <v>54</v>
          </cell>
          <cell r="K57" t="e">
            <v>#N/A</v>
          </cell>
          <cell r="L57" t="e">
            <v>#N/A</v>
          </cell>
        </row>
        <row r="58">
          <cell r="J58">
            <v>55</v>
          </cell>
          <cell r="K58" t="e">
            <v>#N/A</v>
          </cell>
          <cell r="L58" t="e">
            <v>#N/A</v>
          </cell>
        </row>
        <row r="59">
          <cell r="J59">
            <v>56</v>
          </cell>
          <cell r="K59" t="e">
            <v>#N/A</v>
          </cell>
          <cell r="L59" t="e">
            <v>#N/A</v>
          </cell>
        </row>
        <row r="60">
          <cell r="J60">
            <v>57</v>
          </cell>
          <cell r="K60" t="e">
            <v>#N/A</v>
          </cell>
          <cell r="L60" t="e">
            <v>#N/A</v>
          </cell>
        </row>
        <row r="61">
          <cell r="J61">
            <v>58</v>
          </cell>
          <cell r="K61" t="e">
            <v>#N/A</v>
          </cell>
          <cell r="L61" t="e">
            <v>#N/A</v>
          </cell>
        </row>
        <row r="62">
          <cell r="J62">
            <v>59</v>
          </cell>
          <cell r="K62" t="e">
            <v>#N/A</v>
          </cell>
          <cell r="L62" t="e">
            <v>#N/A</v>
          </cell>
        </row>
        <row r="63">
          <cell r="J63">
            <v>60</v>
          </cell>
          <cell r="K63" t="e">
            <v>#N/A</v>
          </cell>
          <cell r="L63" t="e">
            <v>#N/A</v>
          </cell>
        </row>
        <row r="64">
          <cell r="J64">
            <v>61</v>
          </cell>
          <cell r="K64" t="e">
            <v>#N/A</v>
          </cell>
          <cell r="L64" t="e">
            <v>#N/A</v>
          </cell>
        </row>
        <row r="65">
          <cell r="J65">
            <v>62</v>
          </cell>
          <cell r="K65" t="e">
            <v>#N/A</v>
          </cell>
          <cell r="L65" t="e">
            <v>#N/A</v>
          </cell>
        </row>
        <row r="66">
          <cell r="J66">
            <v>63</v>
          </cell>
          <cell r="K66" t="e">
            <v>#N/A</v>
          </cell>
          <cell r="L66" t="e">
            <v>#N/A</v>
          </cell>
        </row>
        <row r="67">
          <cell r="J67">
            <v>64</v>
          </cell>
          <cell r="K67" t="e">
            <v>#N/A</v>
          </cell>
          <cell r="L67" t="e">
            <v>#N/A</v>
          </cell>
        </row>
        <row r="68">
          <cell r="J68">
            <v>65</v>
          </cell>
          <cell r="K68" t="e">
            <v>#N/A</v>
          </cell>
          <cell r="L68" t="e">
            <v>#N/A</v>
          </cell>
        </row>
        <row r="69">
          <cell r="J69">
            <v>66</v>
          </cell>
          <cell r="K69" t="e">
            <v>#N/A</v>
          </cell>
          <cell r="L69" t="e">
            <v>#N/A</v>
          </cell>
        </row>
        <row r="70">
          <cell r="J70">
            <v>67</v>
          </cell>
          <cell r="K70" t="e">
            <v>#N/A</v>
          </cell>
          <cell r="L70" t="e">
            <v>#N/A</v>
          </cell>
        </row>
        <row r="71">
          <cell r="J71">
            <v>68</v>
          </cell>
          <cell r="K71" t="e">
            <v>#N/A</v>
          </cell>
          <cell r="L71" t="e">
            <v>#N/A</v>
          </cell>
        </row>
        <row r="72">
          <cell r="J72">
            <v>69</v>
          </cell>
          <cell r="K72" t="e">
            <v>#N/A</v>
          </cell>
          <cell r="L72" t="e">
            <v>#N/A</v>
          </cell>
        </row>
        <row r="73">
          <cell r="J73">
            <v>70</v>
          </cell>
          <cell r="K73" t="e">
            <v>#N/A</v>
          </cell>
          <cell r="L73" t="e">
            <v>#N/A</v>
          </cell>
        </row>
        <row r="74">
          <cell r="J74">
            <v>71</v>
          </cell>
          <cell r="K74" t="e">
            <v>#N/A</v>
          </cell>
          <cell r="L74" t="e">
            <v>#N/A</v>
          </cell>
        </row>
        <row r="75">
          <cell r="J75">
            <v>72</v>
          </cell>
          <cell r="K75" t="e">
            <v>#N/A</v>
          </cell>
          <cell r="L75" t="e">
            <v>#N/A</v>
          </cell>
        </row>
        <row r="76">
          <cell r="J76">
            <v>73</v>
          </cell>
          <cell r="K76" t="e">
            <v>#N/A</v>
          </cell>
          <cell r="L76" t="e">
            <v>#N/A</v>
          </cell>
        </row>
        <row r="77">
          <cell r="J77">
            <v>74</v>
          </cell>
          <cell r="K77" t="e">
            <v>#N/A</v>
          </cell>
          <cell r="L77" t="e">
            <v>#N/A</v>
          </cell>
        </row>
        <row r="78">
          <cell r="J78">
            <v>75</v>
          </cell>
          <cell r="K78" t="e">
            <v>#N/A</v>
          </cell>
          <cell r="L78" t="e">
            <v>#N/A</v>
          </cell>
        </row>
        <row r="79">
          <cell r="J79">
            <v>76</v>
          </cell>
          <cell r="K79" t="e">
            <v>#N/A</v>
          </cell>
          <cell r="L79" t="e">
            <v>#N/A</v>
          </cell>
        </row>
        <row r="80">
          <cell r="J80">
            <v>77</v>
          </cell>
          <cell r="K80" t="e">
            <v>#N/A</v>
          </cell>
          <cell r="L80" t="e">
            <v>#N/A</v>
          </cell>
        </row>
        <row r="81">
          <cell r="J81">
            <v>78</v>
          </cell>
          <cell r="K81" t="e">
            <v>#N/A</v>
          </cell>
          <cell r="L81" t="e">
            <v>#N/A</v>
          </cell>
        </row>
        <row r="82">
          <cell r="J82">
            <v>79</v>
          </cell>
          <cell r="K82" t="e">
            <v>#N/A</v>
          </cell>
          <cell r="L82" t="e">
            <v>#N/A</v>
          </cell>
        </row>
        <row r="83">
          <cell r="J83">
            <v>80</v>
          </cell>
          <cell r="K83" t="e">
            <v>#N/A</v>
          </cell>
          <cell r="L83" t="e">
            <v>#N/A</v>
          </cell>
        </row>
        <row r="84">
          <cell r="J84">
            <v>81</v>
          </cell>
          <cell r="K84" t="e">
            <v>#N/A</v>
          </cell>
          <cell r="L84" t="e">
            <v>#N/A</v>
          </cell>
        </row>
        <row r="85">
          <cell r="J85">
            <v>82</v>
          </cell>
          <cell r="K85" t="e">
            <v>#N/A</v>
          </cell>
          <cell r="L85" t="e">
            <v>#N/A</v>
          </cell>
        </row>
        <row r="86">
          <cell r="J86">
            <v>83</v>
          </cell>
          <cell r="K86" t="e">
            <v>#N/A</v>
          </cell>
          <cell r="L86" t="e">
            <v>#N/A</v>
          </cell>
        </row>
        <row r="87">
          <cell r="J87">
            <v>84</v>
          </cell>
          <cell r="K87" t="e">
            <v>#N/A</v>
          </cell>
          <cell r="L87" t="e">
            <v>#N/A</v>
          </cell>
        </row>
        <row r="88">
          <cell r="J88">
            <v>85</v>
          </cell>
          <cell r="K88" t="e">
            <v>#N/A</v>
          </cell>
          <cell r="L88" t="e">
            <v>#N/A</v>
          </cell>
        </row>
        <row r="89">
          <cell r="J89">
            <v>86</v>
          </cell>
          <cell r="K89" t="e">
            <v>#N/A</v>
          </cell>
          <cell r="L89" t="e">
            <v>#N/A</v>
          </cell>
        </row>
        <row r="90">
          <cell r="J90">
            <v>87</v>
          </cell>
          <cell r="K90" t="e">
            <v>#N/A</v>
          </cell>
          <cell r="L90" t="e">
            <v>#N/A</v>
          </cell>
        </row>
        <row r="91">
          <cell r="J91">
            <v>88</v>
          </cell>
          <cell r="K91" t="e">
            <v>#N/A</v>
          </cell>
          <cell r="L91" t="e">
            <v>#N/A</v>
          </cell>
        </row>
        <row r="92">
          <cell r="J92">
            <v>89</v>
          </cell>
          <cell r="K92" t="e">
            <v>#N/A</v>
          </cell>
          <cell r="L92" t="e">
            <v>#N/A</v>
          </cell>
        </row>
        <row r="93">
          <cell r="J93">
            <v>90</v>
          </cell>
          <cell r="K93" t="e">
            <v>#N/A</v>
          </cell>
          <cell r="L93" t="e">
            <v>#N/A</v>
          </cell>
        </row>
        <row r="94">
          <cell r="J94">
            <v>91</v>
          </cell>
          <cell r="K94" t="e">
            <v>#N/A</v>
          </cell>
          <cell r="L94" t="e">
            <v>#N/A</v>
          </cell>
        </row>
        <row r="95">
          <cell r="J95">
            <v>92</v>
          </cell>
          <cell r="K95" t="e">
            <v>#N/A</v>
          </cell>
          <cell r="L95" t="e">
            <v>#N/A</v>
          </cell>
        </row>
        <row r="96">
          <cell r="J96">
            <v>93</v>
          </cell>
          <cell r="K96" t="e">
            <v>#N/A</v>
          </cell>
          <cell r="L96" t="e">
            <v>#N/A</v>
          </cell>
        </row>
        <row r="97">
          <cell r="J97">
            <v>94</v>
          </cell>
          <cell r="K97" t="e">
            <v>#N/A</v>
          </cell>
          <cell r="L97" t="e">
            <v>#N/A</v>
          </cell>
        </row>
        <row r="98">
          <cell r="J98">
            <v>95</v>
          </cell>
          <cell r="K98" t="e">
            <v>#N/A</v>
          </cell>
          <cell r="L98" t="e">
            <v>#N/A</v>
          </cell>
        </row>
        <row r="99">
          <cell r="J99">
            <v>96</v>
          </cell>
          <cell r="K99" t="e">
            <v>#N/A</v>
          </cell>
          <cell r="L99" t="e">
            <v>#N/A</v>
          </cell>
        </row>
        <row r="100">
          <cell r="J100">
            <v>97</v>
          </cell>
          <cell r="K100" t="e">
            <v>#N/A</v>
          </cell>
          <cell r="L100" t="e">
            <v>#N/A</v>
          </cell>
        </row>
        <row r="101">
          <cell r="J101">
            <v>98</v>
          </cell>
          <cell r="K101" t="e">
            <v>#N/A</v>
          </cell>
          <cell r="L101" t="e">
            <v>#N/A</v>
          </cell>
        </row>
        <row r="102">
          <cell r="J102">
            <v>99</v>
          </cell>
          <cell r="K102" t="e">
            <v>#N/A</v>
          </cell>
          <cell r="L102" t="e">
            <v>#N/A</v>
          </cell>
        </row>
        <row r="103">
          <cell r="J103">
            <v>100</v>
          </cell>
          <cell r="K103" t="e">
            <v>#N/A</v>
          </cell>
          <cell r="L103" t="e">
            <v>#N/A</v>
          </cell>
        </row>
        <row r="104">
          <cell r="J104">
            <v>101</v>
          </cell>
          <cell r="K104" t="e">
            <v>#N/A</v>
          </cell>
          <cell r="L104" t="e">
            <v>#N/A</v>
          </cell>
        </row>
        <row r="105">
          <cell r="J105">
            <v>102</v>
          </cell>
          <cell r="K105" t="e">
            <v>#N/A</v>
          </cell>
          <cell r="L105" t="e">
            <v>#N/A</v>
          </cell>
        </row>
        <row r="106">
          <cell r="J106">
            <v>103</v>
          </cell>
          <cell r="K106" t="e">
            <v>#N/A</v>
          </cell>
          <cell r="L106" t="e">
            <v>#N/A</v>
          </cell>
        </row>
        <row r="107">
          <cell r="J107">
            <v>104</v>
          </cell>
          <cell r="K107" t="e">
            <v>#N/A</v>
          </cell>
          <cell r="L107" t="e">
            <v>#N/A</v>
          </cell>
        </row>
        <row r="108">
          <cell r="J108">
            <v>105</v>
          </cell>
          <cell r="K108" t="e">
            <v>#N/A</v>
          </cell>
          <cell r="L108" t="e">
            <v>#N/A</v>
          </cell>
        </row>
        <row r="109">
          <cell r="J109">
            <v>106</v>
          </cell>
          <cell r="K109" t="e">
            <v>#N/A</v>
          </cell>
          <cell r="L109" t="e">
            <v>#N/A</v>
          </cell>
        </row>
        <row r="110">
          <cell r="J110">
            <v>107</v>
          </cell>
          <cell r="K110" t="e">
            <v>#N/A</v>
          </cell>
          <cell r="L110" t="e">
            <v>#N/A</v>
          </cell>
        </row>
        <row r="111">
          <cell r="J111">
            <v>108</v>
          </cell>
          <cell r="K111" t="e">
            <v>#N/A</v>
          </cell>
          <cell r="L111" t="e">
            <v>#N/A</v>
          </cell>
        </row>
        <row r="112">
          <cell r="J112">
            <v>109</v>
          </cell>
          <cell r="K112" t="e">
            <v>#N/A</v>
          </cell>
          <cell r="L112" t="e">
            <v>#N/A</v>
          </cell>
        </row>
        <row r="113">
          <cell r="J113">
            <v>110</v>
          </cell>
          <cell r="K113" t="e">
            <v>#N/A</v>
          </cell>
          <cell r="L113" t="e">
            <v>#N/A</v>
          </cell>
        </row>
        <row r="114">
          <cell r="J114">
            <v>111</v>
          </cell>
          <cell r="K114" t="e">
            <v>#N/A</v>
          </cell>
          <cell r="L114" t="e">
            <v>#N/A</v>
          </cell>
        </row>
        <row r="115">
          <cell r="J115">
            <v>112</v>
          </cell>
          <cell r="K115" t="e">
            <v>#N/A</v>
          </cell>
          <cell r="L115" t="e">
            <v>#N/A</v>
          </cell>
        </row>
        <row r="116">
          <cell r="J116">
            <v>113</v>
          </cell>
          <cell r="K116" t="e">
            <v>#N/A</v>
          </cell>
          <cell r="L116" t="e">
            <v>#N/A</v>
          </cell>
        </row>
        <row r="117">
          <cell r="J117">
            <v>114</v>
          </cell>
          <cell r="K117" t="e">
            <v>#N/A</v>
          </cell>
          <cell r="L117" t="e">
            <v>#N/A</v>
          </cell>
        </row>
        <row r="118">
          <cell r="J118">
            <v>115</v>
          </cell>
          <cell r="K118" t="e">
            <v>#N/A</v>
          </cell>
          <cell r="L118" t="e">
            <v>#N/A</v>
          </cell>
        </row>
        <row r="119">
          <cell r="J119">
            <v>116</v>
          </cell>
          <cell r="K119" t="e">
            <v>#N/A</v>
          </cell>
          <cell r="L119" t="e">
            <v>#N/A</v>
          </cell>
        </row>
        <row r="120">
          <cell r="J120">
            <v>117</v>
          </cell>
          <cell r="K120" t="e">
            <v>#N/A</v>
          </cell>
          <cell r="L120" t="e">
            <v>#N/A</v>
          </cell>
        </row>
        <row r="121">
          <cell r="J121">
            <v>118</v>
          </cell>
          <cell r="K121" t="e">
            <v>#N/A</v>
          </cell>
          <cell r="L121" t="e">
            <v>#N/A</v>
          </cell>
        </row>
        <row r="122">
          <cell r="J122">
            <v>119</v>
          </cell>
          <cell r="K122" t="e">
            <v>#N/A</v>
          </cell>
          <cell r="L122" t="e">
            <v>#N/A</v>
          </cell>
        </row>
        <row r="123">
          <cell r="J123">
            <v>120</v>
          </cell>
          <cell r="K123" t="e">
            <v>#N/A</v>
          </cell>
          <cell r="L123" t="e">
            <v>#N/A</v>
          </cell>
        </row>
        <row r="124">
          <cell r="J124">
            <v>121</v>
          </cell>
          <cell r="K124" t="e">
            <v>#N/A</v>
          </cell>
          <cell r="L124" t="e">
            <v>#N/A</v>
          </cell>
        </row>
        <row r="125">
          <cell r="J125">
            <v>122</v>
          </cell>
          <cell r="K125" t="e">
            <v>#N/A</v>
          </cell>
          <cell r="L125" t="e">
            <v>#N/A</v>
          </cell>
        </row>
        <row r="126">
          <cell r="J126">
            <v>123</v>
          </cell>
          <cell r="K126" t="e">
            <v>#N/A</v>
          </cell>
          <cell r="L126" t="e">
            <v>#N/A</v>
          </cell>
        </row>
        <row r="127">
          <cell r="J127">
            <v>124</v>
          </cell>
          <cell r="K127" t="e">
            <v>#N/A</v>
          </cell>
          <cell r="L127" t="e">
            <v>#N/A</v>
          </cell>
        </row>
        <row r="128">
          <cell r="J128">
            <v>125</v>
          </cell>
          <cell r="K128" t="e">
            <v>#N/A</v>
          </cell>
          <cell r="L128" t="e">
            <v>#N/A</v>
          </cell>
        </row>
        <row r="129">
          <cell r="J129">
            <v>126</v>
          </cell>
          <cell r="K129" t="e">
            <v>#N/A</v>
          </cell>
          <cell r="L129" t="e">
            <v>#N/A</v>
          </cell>
        </row>
        <row r="130">
          <cell r="J130">
            <v>127</v>
          </cell>
          <cell r="K130" t="e">
            <v>#N/A</v>
          </cell>
          <cell r="L130" t="e">
            <v>#N/A</v>
          </cell>
        </row>
        <row r="131">
          <cell r="J131">
            <v>128</v>
          </cell>
          <cell r="K131" t="e">
            <v>#N/A</v>
          </cell>
          <cell r="L131" t="e">
            <v>#N/A</v>
          </cell>
        </row>
        <row r="132">
          <cell r="J132">
            <v>129</v>
          </cell>
          <cell r="K132" t="e">
            <v>#N/A</v>
          </cell>
          <cell r="L132" t="e">
            <v>#N/A</v>
          </cell>
        </row>
        <row r="133">
          <cell r="J133">
            <v>130</v>
          </cell>
          <cell r="K133" t="e">
            <v>#N/A</v>
          </cell>
          <cell r="L133" t="e">
            <v>#N/A</v>
          </cell>
        </row>
        <row r="134">
          <cell r="J134">
            <v>131</v>
          </cell>
          <cell r="K134" t="e">
            <v>#N/A</v>
          </cell>
          <cell r="L134" t="e">
            <v>#N/A</v>
          </cell>
        </row>
        <row r="135">
          <cell r="J135">
            <v>132</v>
          </cell>
          <cell r="K135" t="e">
            <v>#N/A</v>
          </cell>
          <cell r="L135" t="e">
            <v>#N/A</v>
          </cell>
        </row>
        <row r="136">
          <cell r="J136">
            <v>133</v>
          </cell>
          <cell r="K136" t="e">
            <v>#N/A</v>
          </cell>
          <cell r="L136" t="e">
            <v>#N/A</v>
          </cell>
        </row>
        <row r="137">
          <cell r="J137">
            <v>134</v>
          </cell>
          <cell r="K137" t="e">
            <v>#N/A</v>
          </cell>
          <cell r="L137" t="e">
            <v>#N/A</v>
          </cell>
        </row>
        <row r="138">
          <cell r="J138">
            <v>135</v>
          </cell>
          <cell r="K138" t="e">
            <v>#N/A</v>
          </cell>
          <cell r="L138" t="e">
            <v>#N/A</v>
          </cell>
        </row>
        <row r="139">
          <cell r="J139">
            <v>136</v>
          </cell>
          <cell r="K139" t="e">
            <v>#N/A</v>
          </cell>
          <cell r="L139" t="e">
            <v>#N/A</v>
          </cell>
        </row>
        <row r="140">
          <cell r="J140">
            <v>137</v>
          </cell>
          <cell r="K140" t="e">
            <v>#N/A</v>
          </cell>
          <cell r="L140" t="e">
            <v>#N/A</v>
          </cell>
        </row>
        <row r="141">
          <cell r="J141">
            <v>138</v>
          </cell>
          <cell r="K141" t="e">
            <v>#N/A</v>
          </cell>
          <cell r="L141" t="e">
            <v>#N/A</v>
          </cell>
        </row>
        <row r="142">
          <cell r="J142">
            <v>139</v>
          </cell>
          <cell r="K142" t="e">
            <v>#N/A</v>
          </cell>
          <cell r="L142" t="e">
            <v>#N/A</v>
          </cell>
        </row>
        <row r="143">
          <cell r="J143">
            <v>140</v>
          </cell>
          <cell r="K143" t="e">
            <v>#N/A</v>
          </cell>
          <cell r="L143" t="e">
            <v>#N/A</v>
          </cell>
        </row>
        <row r="144">
          <cell r="J144">
            <v>141</v>
          </cell>
          <cell r="K144" t="e">
            <v>#N/A</v>
          </cell>
          <cell r="L144" t="e">
            <v>#N/A</v>
          </cell>
        </row>
        <row r="145">
          <cell r="J145">
            <v>142</v>
          </cell>
          <cell r="K145" t="e">
            <v>#N/A</v>
          </cell>
          <cell r="L145" t="e">
            <v>#N/A</v>
          </cell>
        </row>
        <row r="146">
          <cell r="J146">
            <v>143</v>
          </cell>
          <cell r="K146" t="e">
            <v>#N/A</v>
          </cell>
          <cell r="L146" t="e">
            <v>#N/A</v>
          </cell>
        </row>
        <row r="147">
          <cell r="J147">
            <v>144</v>
          </cell>
          <cell r="K147" t="e">
            <v>#N/A</v>
          </cell>
          <cell r="L147" t="e">
            <v>#N/A</v>
          </cell>
        </row>
        <row r="148">
          <cell r="J148">
            <v>145</v>
          </cell>
          <cell r="K148" t="e">
            <v>#N/A</v>
          </cell>
          <cell r="L148" t="e">
            <v>#N/A</v>
          </cell>
        </row>
        <row r="149">
          <cell r="J149">
            <v>146</v>
          </cell>
          <cell r="K149" t="e">
            <v>#N/A</v>
          </cell>
          <cell r="L149" t="e">
            <v>#N/A</v>
          </cell>
        </row>
        <row r="150">
          <cell r="J150">
            <v>147</v>
          </cell>
          <cell r="K150" t="e">
            <v>#N/A</v>
          </cell>
          <cell r="L150" t="e">
            <v>#N/A</v>
          </cell>
        </row>
        <row r="151">
          <cell r="J151">
            <v>148</v>
          </cell>
          <cell r="K151" t="e">
            <v>#N/A</v>
          </cell>
          <cell r="L151" t="e">
            <v>#N/A</v>
          </cell>
        </row>
        <row r="152">
          <cell r="J152">
            <v>149</v>
          </cell>
          <cell r="K152" t="e">
            <v>#N/A</v>
          </cell>
          <cell r="L152" t="e">
            <v>#N/A</v>
          </cell>
        </row>
        <row r="153">
          <cell r="J153">
            <v>150</v>
          </cell>
          <cell r="K153" t="e">
            <v>#N/A</v>
          </cell>
          <cell r="L153" t="e">
            <v>#N/A</v>
          </cell>
        </row>
        <row r="154">
          <cell r="J154">
            <v>151</v>
          </cell>
          <cell r="K154" t="e">
            <v>#N/A</v>
          </cell>
          <cell r="L154" t="e">
            <v>#N/A</v>
          </cell>
        </row>
        <row r="155">
          <cell r="J155">
            <v>152</v>
          </cell>
          <cell r="K155" t="e">
            <v>#N/A</v>
          </cell>
          <cell r="L155" t="e">
            <v>#N/A</v>
          </cell>
        </row>
        <row r="156">
          <cell r="J156">
            <v>153</v>
          </cell>
          <cell r="K156" t="e">
            <v>#N/A</v>
          </cell>
          <cell r="L156" t="e">
            <v>#N/A</v>
          </cell>
        </row>
        <row r="157">
          <cell r="J157">
            <v>154</v>
          </cell>
          <cell r="K157" t="e">
            <v>#N/A</v>
          </cell>
          <cell r="L157" t="e">
            <v>#N/A</v>
          </cell>
        </row>
        <row r="158">
          <cell r="J158">
            <v>155</v>
          </cell>
          <cell r="K158" t="e">
            <v>#N/A</v>
          </cell>
          <cell r="L158" t="e">
            <v>#N/A</v>
          </cell>
        </row>
        <row r="159">
          <cell r="J159">
            <v>156</v>
          </cell>
          <cell r="K159" t="e">
            <v>#N/A</v>
          </cell>
          <cell r="L159" t="e">
            <v>#N/A</v>
          </cell>
        </row>
        <row r="160">
          <cell r="J160">
            <v>157</v>
          </cell>
          <cell r="K160" t="e">
            <v>#N/A</v>
          </cell>
          <cell r="L160" t="e">
            <v>#N/A</v>
          </cell>
        </row>
        <row r="161">
          <cell r="J161">
            <v>158</v>
          </cell>
          <cell r="K161" t="e">
            <v>#N/A</v>
          </cell>
          <cell r="L161" t="e">
            <v>#N/A</v>
          </cell>
        </row>
        <row r="162">
          <cell r="J162">
            <v>159</v>
          </cell>
          <cell r="K162" t="e">
            <v>#N/A</v>
          </cell>
          <cell r="L162" t="e">
            <v>#N/A</v>
          </cell>
        </row>
        <row r="163">
          <cell r="J163">
            <v>160</v>
          </cell>
          <cell r="K163" t="e">
            <v>#N/A</v>
          </cell>
          <cell r="L163" t="e">
            <v>#N/A</v>
          </cell>
        </row>
        <row r="164">
          <cell r="J164">
            <v>161</v>
          </cell>
          <cell r="K164" t="e">
            <v>#N/A</v>
          </cell>
          <cell r="L164" t="e">
            <v>#N/A</v>
          </cell>
        </row>
        <row r="165">
          <cell r="J165">
            <v>162</v>
          </cell>
          <cell r="K165" t="e">
            <v>#N/A</v>
          </cell>
          <cell r="L165" t="e">
            <v>#N/A</v>
          </cell>
        </row>
        <row r="166">
          <cell r="J166">
            <v>163</v>
          </cell>
          <cell r="K166" t="e">
            <v>#N/A</v>
          </cell>
          <cell r="L166" t="e">
            <v>#N/A</v>
          </cell>
        </row>
        <row r="167">
          <cell r="J167">
            <v>164</v>
          </cell>
          <cell r="K167" t="e">
            <v>#N/A</v>
          </cell>
          <cell r="L167" t="e">
            <v>#N/A</v>
          </cell>
        </row>
        <row r="168">
          <cell r="J168">
            <v>165</v>
          </cell>
          <cell r="K168" t="e">
            <v>#N/A</v>
          </cell>
          <cell r="L168" t="e">
            <v>#N/A</v>
          </cell>
        </row>
        <row r="169">
          <cell r="J169">
            <v>166</v>
          </cell>
          <cell r="K169" t="e">
            <v>#N/A</v>
          </cell>
          <cell r="L169" t="e">
            <v>#N/A</v>
          </cell>
        </row>
        <row r="170">
          <cell r="J170">
            <v>167</v>
          </cell>
          <cell r="K170" t="e">
            <v>#N/A</v>
          </cell>
          <cell r="L170" t="e">
            <v>#N/A</v>
          </cell>
        </row>
        <row r="171">
          <cell r="J171">
            <v>168</v>
          </cell>
          <cell r="K171" t="e">
            <v>#N/A</v>
          </cell>
          <cell r="L171" t="e">
            <v>#N/A</v>
          </cell>
        </row>
        <row r="172">
          <cell r="J172">
            <v>169</v>
          </cell>
          <cell r="K172" t="e">
            <v>#N/A</v>
          </cell>
          <cell r="L172" t="e">
            <v>#N/A</v>
          </cell>
        </row>
        <row r="173">
          <cell r="J173">
            <v>170</v>
          </cell>
          <cell r="K173" t="e">
            <v>#N/A</v>
          </cell>
          <cell r="L173" t="e">
            <v>#N/A</v>
          </cell>
        </row>
        <row r="174">
          <cell r="J174">
            <v>171</v>
          </cell>
          <cell r="K174" t="e">
            <v>#N/A</v>
          </cell>
          <cell r="L174" t="e">
            <v>#N/A</v>
          </cell>
        </row>
        <row r="175">
          <cell r="J175">
            <v>172</v>
          </cell>
          <cell r="K175" t="e">
            <v>#N/A</v>
          </cell>
          <cell r="L175" t="e">
            <v>#N/A</v>
          </cell>
        </row>
        <row r="176">
          <cell r="J176">
            <v>173</v>
          </cell>
          <cell r="K176" t="e">
            <v>#N/A</v>
          </cell>
          <cell r="L176" t="e">
            <v>#N/A</v>
          </cell>
        </row>
        <row r="177">
          <cell r="J177">
            <v>174</v>
          </cell>
          <cell r="K177" t="e">
            <v>#N/A</v>
          </cell>
          <cell r="L177" t="e">
            <v>#N/A</v>
          </cell>
        </row>
        <row r="178">
          <cell r="J178">
            <v>175</v>
          </cell>
          <cell r="K178" t="e">
            <v>#N/A</v>
          </cell>
          <cell r="L178" t="e">
            <v>#N/A</v>
          </cell>
        </row>
        <row r="179">
          <cell r="J179">
            <v>176</v>
          </cell>
          <cell r="K179" t="e">
            <v>#N/A</v>
          </cell>
          <cell r="L179" t="e">
            <v>#N/A</v>
          </cell>
        </row>
        <row r="180">
          <cell r="J180">
            <v>177</v>
          </cell>
          <cell r="K180" t="e">
            <v>#N/A</v>
          </cell>
          <cell r="L180" t="e">
            <v>#N/A</v>
          </cell>
        </row>
        <row r="181">
          <cell r="J181">
            <v>178</v>
          </cell>
          <cell r="K181" t="e">
            <v>#N/A</v>
          </cell>
          <cell r="L181" t="e">
            <v>#N/A</v>
          </cell>
        </row>
        <row r="182">
          <cell r="J182">
            <v>179</v>
          </cell>
          <cell r="K182" t="e">
            <v>#N/A</v>
          </cell>
          <cell r="L182" t="e">
            <v>#N/A</v>
          </cell>
        </row>
        <row r="183">
          <cell r="J183">
            <v>180</v>
          </cell>
          <cell r="K183" t="e">
            <v>#N/A</v>
          </cell>
          <cell r="L183" t="e">
            <v>#N/A</v>
          </cell>
        </row>
        <row r="184">
          <cell r="J184">
            <v>181</v>
          </cell>
          <cell r="K184" t="e">
            <v>#N/A</v>
          </cell>
          <cell r="L184" t="e">
            <v>#N/A</v>
          </cell>
        </row>
        <row r="185">
          <cell r="J185">
            <v>182</v>
          </cell>
          <cell r="K185" t="e">
            <v>#N/A</v>
          </cell>
          <cell r="L185" t="e">
            <v>#N/A</v>
          </cell>
        </row>
        <row r="186">
          <cell r="J186">
            <v>183</v>
          </cell>
          <cell r="K186" t="e">
            <v>#N/A</v>
          </cell>
          <cell r="L186" t="e">
            <v>#N/A</v>
          </cell>
        </row>
        <row r="187">
          <cell r="J187">
            <v>184</v>
          </cell>
          <cell r="K187" t="e">
            <v>#N/A</v>
          </cell>
          <cell r="L187" t="e">
            <v>#N/A</v>
          </cell>
        </row>
        <row r="188">
          <cell r="J188">
            <v>185</v>
          </cell>
          <cell r="K188" t="e">
            <v>#N/A</v>
          </cell>
          <cell r="L188" t="e">
            <v>#N/A</v>
          </cell>
        </row>
        <row r="189">
          <cell r="J189">
            <v>186</v>
          </cell>
          <cell r="K189" t="e">
            <v>#N/A</v>
          </cell>
          <cell r="L189" t="e">
            <v>#N/A</v>
          </cell>
        </row>
        <row r="190">
          <cell r="J190">
            <v>187</v>
          </cell>
          <cell r="K190" t="e">
            <v>#N/A</v>
          </cell>
          <cell r="L190" t="e">
            <v>#N/A</v>
          </cell>
        </row>
        <row r="191">
          <cell r="J191">
            <v>188</v>
          </cell>
          <cell r="K191" t="e">
            <v>#N/A</v>
          </cell>
          <cell r="L191" t="e">
            <v>#N/A</v>
          </cell>
        </row>
        <row r="192">
          <cell r="J192">
            <v>189</v>
          </cell>
          <cell r="K192" t="e">
            <v>#N/A</v>
          </cell>
          <cell r="L192" t="e">
            <v>#N/A</v>
          </cell>
        </row>
        <row r="193">
          <cell r="J193">
            <v>190</v>
          </cell>
          <cell r="K193" t="e">
            <v>#N/A</v>
          </cell>
          <cell r="L193" t="e">
            <v>#N/A</v>
          </cell>
        </row>
        <row r="194">
          <cell r="J194">
            <v>191</v>
          </cell>
          <cell r="K194" t="e">
            <v>#N/A</v>
          </cell>
          <cell r="L194" t="e">
            <v>#N/A</v>
          </cell>
        </row>
        <row r="195">
          <cell r="J195">
            <v>192</v>
          </cell>
          <cell r="K195" t="e">
            <v>#N/A</v>
          </cell>
          <cell r="L195" t="e">
            <v>#N/A</v>
          </cell>
        </row>
        <row r="196">
          <cell r="J196">
            <v>193</v>
          </cell>
          <cell r="K196" t="e">
            <v>#N/A</v>
          </cell>
          <cell r="L196" t="e">
            <v>#N/A</v>
          </cell>
        </row>
        <row r="197">
          <cell r="J197">
            <v>194</v>
          </cell>
          <cell r="K197" t="e">
            <v>#N/A</v>
          </cell>
          <cell r="L197" t="e">
            <v>#N/A</v>
          </cell>
        </row>
        <row r="198">
          <cell r="J198">
            <v>195</v>
          </cell>
          <cell r="K198" t="e">
            <v>#N/A</v>
          </cell>
          <cell r="L198" t="e">
            <v>#N/A</v>
          </cell>
        </row>
        <row r="199">
          <cell r="J199">
            <v>196</v>
          </cell>
          <cell r="K199" t="e">
            <v>#N/A</v>
          </cell>
          <cell r="L199" t="e">
            <v>#N/A</v>
          </cell>
        </row>
        <row r="200">
          <cell r="J200">
            <v>197</v>
          </cell>
          <cell r="K200" t="e">
            <v>#N/A</v>
          </cell>
          <cell r="L200" t="e">
            <v>#N/A</v>
          </cell>
        </row>
        <row r="201">
          <cell r="J201">
            <v>198</v>
          </cell>
          <cell r="K201" t="e">
            <v>#N/A</v>
          </cell>
          <cell r="L201" t="e">
            <v>#N/A</v>
          </cell>
        </row>
        <row r="202">
          <cell r="J202">
            <v>199</v>
          </cell>
          <cell r="K202" t="e">
            <v>#N/A</v>
          </cell>
          <cell r="L202" t="e">
            <v>#N/A</v>
          </cell>
        </row>
        <row r="203">
          <cell r="J203">
            <v>200</v>
          </cell>
          <cell r="K203" t="e">
            <v>#N/A</v>
          </cell>
          <cell r="L203" t="e">
            <v>#N/A</v>
          </cell>
        </row>
        <row r="204">
          <cell r="J204">
            <v>201</v>
          </cell>
          <cell r="K204" t="e">
            <v>#N/A</v>
          </cell>
          <cell r="L204" t="e">
            <v>#N/A</v>
          </cell>
        </row>
        <row r="205">
          <cell r="J205">
            <v>202</v>
          </cell>
          <cell r="K205" t="e">
            <v>#N/A</v>
          </cell>
          <cell r="L205" t="e">
            <v>#N/A</v>
          </cell>
        </row>
        <row r="206">
          <cell r="J206">
            <v>203</v>
          </cell>
          <cell r="K206" t="e">
            <v>#N/A</v>
          </cell>
          <cell r="L206" t="e">
            <v>#N/A</v>
          </cell>
        </row>
        <row r="207">
          <cell r="J207">
            <v>204</v>
          </cell>
          <cell r="K207" t="e">
            <v>#N/A</v>
          </cell>
          <cell r="L207" t="e">
            <v>#N/A</v>
          </cell>
        </row>
        <row r="208">
          <cell r="J208">
            <v>205</v>
          </cell>
          <cell r="K208" t="e">
            <v>#N/A</v>
          </cell>
          <cell r="L208" t="e">
            <v>#N/A</v>
          </cell>
        </row>
        <row r="209">
          <cell r="J209">
            <v>206</v>
          </cell>
          <cell r="K209" t="e">
            <v>#N/A</v>
          </cell>
          <cell r="L209" t="e">
            <v>#N/A</v>
          </cell>
        </row>
        <row r="210">
          <cell r="J210">
            <v>207</v>
          </cell>
          <cell r="K210" t="e">
            <v>#N/A</v>
          </cell>
          <cell r="L210" t="e">
            <v>#N/A</v>
          </cell>
        </row>
        <row r="211">
          <cell r="J211">
            <v>208</v>
          </cell>
          <cell r="K211" t="e">
            <v>#N/A</v>
          </cell>
          <cell r="L211" t="e">
            <v>#N/A</v>
          </cell>
        </row>
        <row r="212">
          <cell r="J212">
            <v>209</v>
          </cell>
          <cell r="K212" t="e">
            <v>#N/A</v>
          </cell>
          <cell r="L212" t="e">
            <v>#N/A</v>
          </cell>
        </row>
        <row r="213">
          <cell r="J213">
            <v>210</v>
          </cell>
          <cell r="K213" t="e">
            <v>#N/A</v>
          </cell>
          <cell r="L213" t="e">
            <v>#N/A</v>
          </cell>
        </row>
        <row r="214">
          <cell r="J214">
            <v>211</v>
          </cell>
          <cell r="K214" t="e">
            <v>#N/A</v>
          </cell>
          <cell r="L214" t="e">
            <v>#N/A</v>
          </cell>
        </row>
        <row r="215">
          <cell r="J215">
            <v>212</v>
          </cell>
          <cell r="K215" t="e">
            <v>#N/A</v>
          </cell>
          <cell r="L215" t="e">
            <v>#N/A</v>
          </cell>
        </row>
        <row r="216">
          <cell r="J216">
            <v>213</v>
          </cell>
          <cell r="K216" t="e">
            <v>#N/A</v>
          </cell>
          <cell r="L216" t="e">
            <v>#N/A</v>
          </cell>
        </row>
        <row r="217">
          <cell r="J217">
            <v>214</v>
          </cell>
          <cell r="K217" t="e">
            <v>#N/A</v>
          </cell>
          <cell r="L217" t="e">
            <v>#N/A</v>
          </cell>
        </row>
        <row r="218">
          <cell r="J218">
            <v>215</v>
          </cell>
          <cell r="K218" t="e">
            <v>#N/A</v>
          </cell>
          <cell r="L218" t="e">
            <v>#N/A</v>
          </cell>
        </row>
        <row r="219">
          <cell r="J219">
            <v>216</v>
          </cell>
          <cell r="K219" t="e">
            <v>#N/A</v>
          </cell>
          <cell r="L219" t="e">
            <v>#N/A</v>
          </cell>
        </row>
        <row r="220">
          <cell r="J220">
            <v>217</v>
          </cell>
          <cell r="K220" t="e">
            <v>#N/A</v>
          </cell>
          <cell r="L220" t="e">
            <v>#N/A</v>
          </cell>
        </row>
        <row r="221">
          <cell r="J221">
            <v>218</v>
          </cell>
          <cell r="K221" t="e">
            <v>#N/A</v>
          </cell>
          <cell r="L221" t="e">
            <v>#N/A</v>
          </cell>
        </row>
        <row r="222">
          <cell r="J222">
            <v>219</v>
          </cell>
          <cell r="K222" t="e">
            <v>#N/A</v>
          </cell>
          <cell r="L222" t="e">
            <v>#N/A</v>
          </cell>
        </row>
        <row r="223">
          <cell r="J223">
            <v>220</v>
          </cell>
          <cell r="K223" t="e">
            <v>#N/A</v>
          </cell>
          <cell r="L223" t="e">
            <v>#N/A</v>
          </cell>
        </row>
        <row r="224">
          <cell r="J224">
            <v>221</v>
          </cell>
          <cell r="K224" t="e">
            <v>#N/A</v>
          </cell>
          <cell r="L224" t="e">
            <v>#N/A</v>
          </cell>
        </row>
        <row r="225">
          <cell r="J225">
            <v>222</v>
          </cell>
          <cell r="K225" t="e">
            <v>#N/A</v>
          </cell>
          <cell r="L225" t="e">
            <v>#N/A</v>
          </cell>
        </row>
        <row r="226">
          <cell r="J226">
            <v>223</v>
          </cell>
          <cell r="K226" t="e">
            <v>#N/A</v>
          </cell>
          <cell r="L226" t="e">
            <v>#N/A</v>
          </cell>
        </row>
        <row r="227">
          <cell r="J227">
            <v>224</v>
          </cell>
          <cell r="K227" t="e">
            <v>#N/A</v>
          </cell>
          <cell r="L227" t="e">
            <v>#N/A</v>
          </cell>
        </row>
        <row r="228">
          <cell r="J228">
            <v>225</v>
          </cell>
          <cell r="K228" t="e">
            <v>#N/A</v>
          </cell>
          <cell r="L228" t="e">
            <v>#N/A</v>
          </cell>
        </row>
        <row r="229">
          <cell r="J229">
            <v>226</v>
          </cell>
          <cell r="K229" t="e">
            <v>#N/A</v>
          </cell>
          <cell r="L229" t="e">
            <v>#N/A</v>
          </cell>
        </row>
        <row r="230">
          <cell r="J230">
            <v>227</v>
          </cell>
          <cell r="K230" t="e">
            <v>#N/A</v>
          </cell>
          <cell r="L230" t="e">
            <v>#N/A</v>
          </cell>
        </row>
        <row r="231">
          <cell r="J231">
            <v>228</v>
          </cell>
          <cell r="K231" t="e">
            <v>#N/A</v>
          </cell>
          <cell r="L231" t="e">
            <v>#N/A</v>
          </cell>
        </row>
        <row r="232">
          <cell r="J232">
            <v>229</v>
          </cell>
          <cell r="K232" t="e">
            <v>#N/A</v>
          </cell>
          <cell r="L232" t="e">
            <v>#N/A</v>
          </cell>
        </row>
        <row r="233">
          <cell r="J233">
            <v>230</v>
          </cell>
          <cell r="K233" t="e">
            <v>#N/A</v>
          </cell>
          <cell r="L233" t="e">
            <v>#N/A</v>
          </cell>
        </row>
        <row r="234">
          <cell r="J234">
            <v>231</v>
          </cell>
          <cell r="K234" t="e">
            <v>#N/A</v>
          </cell>
          <cell r="L234" t="e">
            <v>#N/A</v>
          </cell>
        </row>
        <row r="235">
          <cell r="J235">
            <v>232</v>
          </cell>
          <cell r="K235" t="e">
            <v>#N/A</v>
          </cell>
          <cell r="L235" t="e">
            <v>#N/A</v>
          </cell>
        </row>
        <row r="236">
          <cell r="J236">
            <v>233</v>
          </cell>
          <cell r="K236" t="e">
            <v>#N/A</v>
          </cell>
          <cell r="L236" t="e">
            <v>#N/A</v>
          </cell>
        </row>
        <row r="237">
          <cell r="J237">
            <v>234</v>
          </cell>
          <cell r="K237" t="e">
            <v>#N/A</v>
          </cell>
          <cell r="L237" t="e">
            <v>#N/A</v>
          </cell>
        </row>
        <row r="238">
          <cell r="J238">
            <v>235</v>
          </cell>
          <cell r="K238" t="e">
            <v>#N/A</v>
          </cell>
          <cell r="L238" t="e">
            <v>#N/A</v>
          </cell>
        </row>
        <row r="239">
          <cell r="J239">
            <v>236</v>
          </cell>
          <cell r="K239" t="e">
            <v>#N/A</v>
          </cell>
          <cell r="L239" t="e">
            <v>#N/A</v>
          </cell>
        </row>
        <row r="240">
          <cell r="J240">
            <v>237</v>
          </cell>
          <cell r="K240" t="e">
            <v>#N/A</v>
          </cell>
          <cell r="L240" t="e">
            <v>#N/A</v>
          </cell>
        </row>
        <row r="241">
          <cell r="J241">
            <v>238</v>
          </cell>
          <cell r="K241" t="e">
            <v>#N/A</v>
          </cell>
          <cell r="L241" t="e">
            <v>#N/A</v>
          </cell>
        </row>
        <row r="242">
          <cell r="J242">
            <v>239</v>
          </cell>
          <cell r="K242" t="e">
            <v>#N/A</v>
          </cell>
          <cell r="L242" t="e">
            <v>#N/A</v>
          </cell>
        </row>
        <row r="243">
          <cell r="J243">
            <v>240</v>
          </cell>
          <cell r="K243" t="e">
            <v>#N/A</v>
          </cell>
          <cell r="L243" t="e">
            <v>#N/A</v>
          </cell>
        </row>
        <row r="244">
          <cell r="J244">
            <v>241</v>
          </cell>
          <cell r="K244" t="e">
            <v>#N/A</v>
          </cell>
          <cell r="L244" t="e">
            <v>#N/A</v>
          </cell>
        </row>
        <row r="245">
          <cell r="J245">
            <v>242</v>
          </cell>
          <cell r="K245" t="e">
            <v>#N/A</v>
          </cell>
          <cell r="L245" t="e">
            <v>#N/A</v>
          </cell>
        </row>
        <row r="246">
          <cell r="J246">
            <v>243</v>
          </cell>
          <cell r="K246" t="e">
            <v>#N/A</v>
          </cell>
          <cell r="L246" t="e">
            <v>#N/A</v>
          </cell>
        </row>
        <row r="247">
          <cell r="J247">
            <v>244</v>
          </cell>
          <cell r="K247" t="e">
            <v>#N/A</v>
          </cell>
          <cell r="L247" t="e">
            <v>#N/A</v>
          </cell>
        </row>
        <row r="248">
          <cell r="J248">
            <v>245</v>
          </cell>
          <cell r="K248" t="e">
            <v>#N/A</v>
          </cell>
          <cell r="L248" t="e">
            <v>#N/A</v>
          </cell>
        </row>
        <row r="249">
          <cell r="J249">
            <v>246</v>
          </cell>
          <cell r="K249" t="e">
            <v>#N/A</v>
          </cell>
          <cell r="L249" t="e">
            <v>#N/A</v>
          </cell>
        </row>
        <row r="250">
          <cell r="J250">
            <v>247</v>
          </cell>
          <cell r="K250" t="e">
            <v>#N/A</v>
          </cell>
          <cell r="L250" t="e">
            <v>#N/A</v>
          </cell>
        </row>
        <row r="251">
          <cell r="J251">
            <v>248</v>
          </cell>
          <cell r="K251" t="e">
            <v>#N/A</v>
          </cell>
          <cell r="L251" t="e">
            <v>#N/A</v>
          </cell>
        </row>
        <row r="252">
          <cell r="J252">
            <v>249</v>
          </cell>
          <cell r="K252" t="e">
            <v>#N/A</v>
          </cell>
          <cell r="L252" t="e">
            <v>#N/A</v>
          </cell>
        </row>
        <row r="253">
          <cell r="J253">
            <v>250</v>
          </cell>
          <cell r="K253" t="e">
            <v>#N/A</v>
          </cell>
          <cell r="L253" t="e">
            <v>#N/A</v>
          </cell>
        </row>
        <row r="254">
          <cell r="J254">
            <v>251</v>
          </cell>
          <cell r="K254" t="e">
            <v>#N/A</v>
          </cell>
          <cell r="L254" t="e">
            <v>#N/A</v>
          </cell>
        </row>
        <row r="255">
          <cell r="J255">
            <v>252</v>
          </cell>
          <cell r="K255" t="e">
            <v>#N/A</v>
          </cell>
          <cell r="L255" t="e">
            <v>#N/A</v>
          </cell>
        </row>
        <row r="256">
          <cell r="J256">
            <v>253</v>
          </cell>
          <cell r="K256" t="e">
            <v>#N/A</v>
          </cell>
          <cell r="L256" t="e">
            <v>#N/A</v>
          </cell>
        </row>
        <row r="257">
          <cell r="J257">
            <v>254</v>
          </cell>
          <cell r="K257" t="e">
            <v>#N/A</v>
          </cell>
          <cell r="L257" t="e">
            <v>#N/A</v>
          </cell>
        </row>
        <row r="258">
          <cell r="J258">
            <v>255</v>
          </cell>
          <cell r="K258" t="e">
            <v>#N/A</v>
          </cell>
          <cell r="L258" t="e">
            <v>#N/A</v>
          </cell>
        </row>
        <row r="259">
          <cell r="J259">
            <v>256</v>
          </cell>
          <cell r="K259" t="e">
            <v>#N/A</v>
          </cell>
          <cell r="L259" t="e">
            <v>#N/A</v>
          </cell>
        </row>
        <row r="260">
          <cell r="J260">
            <v>257</v>
          </cell>
          <cell r="K260" t="e">
            <v>#N/A</v>
          </cell>
          <cell r="L260" t="e">
            <v>#N/A</v>
          </cell>
        </row>
        <row r="261">
          <cell r="J261">
            <v>258</v>
          </cell>
          <cell r="K261" t="e">
            <v>#N/A</v>
          </cell>
          <cell r="L261" t="e">
            <v>#N/A</v>
          </cell>
        </row>
        <row r="262">
          <cell r="J262">
            <v>259</v>
          </cell>
          <cell r="K262" t="e">
            <v>#N/A</v>
          </cell>
          <cell r="L262" t="e">
            <v>#N/A</v>
          </cell>
        </row>
        <row r="263">
          <cell r="J263">
            <v>260</v>
          </cell>
          <cell r="K263" t="e">
            <v>#N/A</v>
          </cell>
          <cell r="L263" t="e">
            <v>#N/A</v>
          </cell>
        </row>
        <row r="264">
          <cell r="J264">
            <v>261</v>
          </cell>
          <cell r="K264" t="e">
            <v>#N/A</v>
          </cell>
          <cell r="L264" t="e">
            <v>#N/A</v>
          </cell>
        </row>
        <row r="265">
          <cell r="J265">
            <v>262</v>
          </cell>
          <cell r="K265" t="e">
            <v>#N/A</v>
          </cell>
          <cell r="L265" t="e">
            <v>#N/A</v>
          </cell>
        </row>
        <row r="266">
          <cell r="J266">
            <v>263</v>
          </cell>
          <cell r="K266" t="e">
            <v>#N/A</v>
          </cell>
          <cell r="L266" t="e">
            <v>#N/A</v>
          </cell>
        </row>
        <row r="267">
          <cell r="J267">
            <v>264</v>
          </cell>
          <cell r="K267" t="e">
            <v>#N/A</v>
          </cell>
          <cell r="L267" t="e">
            <v>#N/A</v>
          </cell>
        </row>
        <row r="268">
          <cell r="J268">
            <v>265</v>
          </cell>
          <cell r="K268" t="e">
            <v>#N/A</v>
          </cell>
          <cell r="L268" t="e">
            <v>#N/A</v>
          </cell>
        </row>
        <row r="269">
          <cell r="J269">
            <v>266</v>
          </cell>
          <cell r="K269" t="e">
            <v>#N/A</v>
          </cell>
          <cell r="L269" t="e">
            <v>#N/A</v>
          </cell>
        </row>
        <row r="270">
          <cell r="J270">
            <v>267</v>
          </cell>
          <cell r="K270" t="e">
            <v>#N/A</v>
          </cell>
          <cell r="L270" t="e">
            <v>#N/A</v>
          </cell>
        </row>
        <row r="271">
          <cell r="J271">
            <v>268</v>
          </cell>
          <cell r="K271" t="e">
            <v>#N/A</v>
          </cell>
          <cell r="L271" t="e">
            <v>#N/A</v>
          </cell>
        </row>
        <row r="272">
          <cell r="J272">
            <v>269</v>
          </cell>
          <cell r="K272" t="e">
            <v>#N/A</v>
          </cell>
          <cell r="L272" t="e">
            <v>#N/A</v>
          </cell>
        </row>
        <row r="273">
          <cell r="J273">
            <v>270</v>
          </cell>
          <cell r="K273" t="e">
            <v>#N/A</v>
          </cell>
          <cell r="L273" t="e">
            <v>#N/A</v>
          </cell>
        </row>
        <row r="274">
          <cell r="J274">
            <v>271</v>
          </cell>
          <cell r="K274" t="e">
            <v>#N/A</v>
          </cell>
          <cell r="L274" t="e">
            <v>#N/A</v>
          </cell>
        </row>
        <row r="275">
          <cell r="J275">
            <v>272</v>
          </cell>
          <cell r="K275" t="e">
            <v>#N/A</v>
          </cell>
          <cell r="L275" t="e">
            <v>#N/A</v>
          </cell>
        </row>
        <row r="276">
          <cell r="J276">
            <v>273</v>
          </cell>
          <cell r="K276" t="e">
            <v>#N/A</v>
          </cell>
          <cell r="L276" t="e">
            <v>#N/A</v>
          </cell>
        </row>
        <row r="277">
          <cell r="J277">
            <v>274</v>
          </cell>
          <cell r="K277" t="e">
            <v>#N/A</v>
          </cell>
          <cell r="L277" t="e">
            <v>#N/A</v>
          </cell>
        </row>
        <row r="278">
          <cell r="J278">
            <v>275</v>
          </cell>
          <cell r="K278" t="e">
            <v>#N/A</v>
          </cell>
          <cell r="L278" t="e">
            <v>#N/A</v>
          </cell>
        </row>
        <row r="279">
          <cell r="J279">
            <v>276</v>
          </cell>
          <cell r="K279" t="e">
            <v>#N/A</v>
          </cell>
          <cell r="L279" t="e">
            <v>#N/A</v>
          </cell>
        </row>
        <row r="280">
          <cell r="J280">
            <v>277</v>
          </cell>
          <cell r="K280" t="e">
            <v>#N/A</v>
          </cell>
          <cell r="L280" t="e">
            <v>#N/A</v>
          </cell>
        </row>
        <row r="281">
          <cell r="J281">
            <v>278</v>
          </cell>
          <cell r="K281" t="e">
            <v>#N/A</v>
          </cell>
          <cell r="L281" t="e">
            <v>#N/A</v>
          </cell>
        </row>
        <row r="282">
          <cell r="J282">
            <v>279</v>
          </cell>
          <cell r="K282" t="e">
            <v>#N/A</v>
          </cell>
          <cell r="L282" t="e">
            <v>#N/A</v>
          </cell>
        </row>
        <row r="283">
          <cell r="J283">
            <v>280</v>
          </cell>
          <cell r="K283" t="e">
            <v>#N/A</v>
          </cell>
          <cell r="L283" t="e">
            <v>#N/A</v>
          </cell>
        </row>
        <row r="284">
          <cell r="J284">
            <v>281</v>
          </cell>
          <cell r="K284" t="e">
            <v>#N/A</v>
          </cell>
          <cell r="L284" t="e">
            <v>#N/A</v>
          </cell>
        </row>
        <row r="285">
          <cell r="J285">
            <v>282</v>
          </cell>
          <cell r="K285" t="e">
            <v>#N/A</v>
          </cell>
          <cell r="L285" t="e">
            <v>#N/A</v>
          </cell>
        </row>
        <row r="286">
          <cell r="J286">
            <v>283</v>
          </cell>
          <cell r="K286" t="e">
            <v>#N/A</v>
          </cell>
          <cell r="L286" t="e">
            <v>#N/A</v>
          </cell>
        </row>
        <row r="287">
          <cell r="J287">
            <v>284</v>
          </cell>
          <cell r="K287" t="e">
            <v>#N/A</v>
          </cell>
          <cell r="L287" t="e">
            <v>#N/A</v>
          </cell>
        </row>
        <row r="288">
          <cell r="J288">
            <v>285</v>
          </cell>
          <cell r="K288" t="e">
            <v>#N/A</v>
          </cell>
          <cell r="L288" t="e">
            <v>#N/A</v>
          </cell>
        </row>
        <row r="289">
          <cell r="J289">
            <v>286</v>
          </cell>
          <cell r="K289" t="e">
            <v>#N/A</v>
          </cell>
          <cell r="L289" t="e">
            <v>#N/A</v>
          </cell>
        </row>
        <row r="290">
          <cell r="J290">
            <v>287</v>
          </cell>
          <cell r="K290" t="e">
            <v>#N/A</v>
          </cell>
          <cell r="L290" t="e">
            <v>#N/A</v>
          </cell>
        </row>
        <row r="291">
          <cell r="J291">
            <v>288</v>
          </cell>
          <cell r="K291" t="e">
            <v>#N/A</v>
          </cell>
          <cell r="L291" t="e">
            <v>#N/A</v>
          </cell>
        </row>
        <row r="292">
          <cell r="J292">
            <v>289</v>
          </cell>
          <cell r="K292" t="e">
            <v>#N/A</v>
          </cell>
          <cell r="L292" t="e">
            <v>#N/A</v>
          </cell>
        </row>
        <row r="293">
          <cell r="J293">
            <v>290</v>
          </cell>
          <cell r="K293" t="e">
            <v>#N/A</v>
          </cell>
          <cell r="L293" t="e">
            <v>#N/A</v>
          </cell>
        </row>
        <row r="294">
          <cell r="J294">
            <v>291</v>
          </cell>
          <cell r="K294" t="e">
            <v>#N/A</v>
          </cell>
          <cell r="L294" t="e">
            <v>#N/A</v>
          </cell>
        </row>
        <row r="295">
          <cell r="J295">
            <v>292</v>
          </cell>
          <cell r="K295" t="e">
            <v>#N/A</v>
          </cell>
          <cell r="L295" t="e">
            <v>#N/A</v>
          </cell>
        </row>
        <row r="296">
          <cell r="J296">
            <v>293</v>
          </cell>
          <cell r="K296" t="e">
            <v>#N/A</v>
          </cell>
          <cell r="L296" t="e">
            <v>#N/A</v>
          </cell>
        </row>
        <row r="297">
          <cell r="J297">
            <v>294</v>
          </cell>
          <cell r="K297" t="e">
            <v>#N/A</v>
          </cell>
          <cell r="L297" t="e">
            <v>#N/A</v>
          </cell>
        </row>
        <row r="298">
          <cell r="J298">
            <v>295</v>
          </cell>
          <cell r="K298" t="e">
            <v>#N/A</v>
          </cell>
          <cell r="L298" t="e">
            <v>#N/A</v>
          </cell>
        </row>
        <row r="299">
          <cell r="J299">
            <v>296</v>
          </cell>
          <cell r="K299" t="e">
            <v>#N/A</v>
          </cell>
          <cell r="L299" t="e">
            <v>#N/A</v>
          </cell>
        </row>
        <row r="300">
          <cell r="J300">
            <v>297</v>
          </cell>
          <cell r="K300" t="e">
            <v>#N/A</v>
          </cell>
          <cell r="L300" t="e">
            <v>#N/A</v>
          </cell>
        </row>
        <row r="301">
          <cell r="J301">
            <v>298</v>
          </cell>
          <cell r="K301" t="e">
            <v>#N/A</v>
          </cell>
          <cell r="L301" t="e">
            <v>#N/A</v>
          </cell>
        </row>
        <row r="302">
          <cell r="J302">
            <v>299</v>
          </cell>
          <cell r="K302" t="e">
            <v>#N/A</v>
          </cell>
          <cell r="L302" t="e">
            <v>#N/A</v>
          </cell>
        </row>
        <row r="303">
          <cell r="J303">
            <v>300</v>
          </cell>
          <cell r="K303" t="e">
            <v>#N/A</v>
          </cell>
          <cell r="L303" t="e">
            <v>#N/A</v>
          </cell>
        </row>
        <row r="304">
          <cell r="J304">
            <v>301</v>
          </cell>
          <cell r="K304" t="e">
            <v>#N/A</v>
          </cell>
          <cell r="L304" t="e">
            <v>#N/A</v>
          </cell>
        </row>
        <row r="305">
          <cell r="J305">
            <v>302</v>
          </cell>
          <cell r="K305" t="e">
            <v>#N/A</v>
          </cell>
          <cell r="L305" t="e">
            <v>#N/A</v>
          </cell>
        </row>
        <row r="306">
          <cell r="J306">
            <v>303</v>
          </cell>
          <cell r="K306" t="e">
            <v>#N/A</v>
          </cell>
          <cell r="L306" t="e">
            <v>#N/A</v>
          </cell>
        </row>
        <row r="307">
          <cell r="J307">
            <v>304</v>
          </cell>
          <cell r="K307" t="e">
            <v>#N/A</v>
          </cell>
          <cell r="L307" t="e">
            <v>#N/A</v>
          </cell>
        </row>
        <row r="308">
          <cell r="J308">
            <v>305</v>
          </cell>
          <cell r="K308" t="e">
            <v>#N/A</v>
          </cell>
          <cell r="L308" t="e">
            <v>#N/A</v>
          </cell>
        </row>
        <row r="309">
          <cell r="J309">
            <v>306</v>
          </cell>
          <cell r="K309" t="e">
            <v>#N/A</v>
          </cell>
          <cell r="L309" t="e">
            <v>#N/A</v>
          </cell>
        </row>
        <row r="310">
          <cell r="J310">
            <v>307</v>
          </cell>
          <cell r="K310" t="e">
            <v>#N/A</v>
          </cell>
          <cell r="L310" t="e">
            <v>#N/A</v>
          </cell>
        </row>
        <row r="311">
          <cell r="J311">
            <v>308</v>
          </cell>
          <cell r="K311" t="e">
            <v>#N/A</v>
          </cell>
          <cell r="L311" t="e">
            <v>#N/A</v>
          </cell>
        </row>
        <row r="312">
          <cell r="J312">
            <v>309</v>
          </cell>
          <cell r="K312" t="e">
            <v>#N/A</v>
          </cell>
          <cell r="L312" t="e">
            <v>#N/A</v>
          </cell>
        </row>
        <row r="313">
          <cell r="J313">
            <v>310</v>
          </cell>
          <cell r="K313" t="e">
            <v>#N/A</v>
          </cell>
          <cell r="L313" t="e">
            <v>#N/A</v>
          </cell>
        </row>
        <row r="314">
          <cell r="J314">
            <v>311</v>
          </cell>
          <cell r="K314" t="e">
            <v>#N/A</v>
          </cell>
          <cell r="L314" t="e">
            <v>#N/A</v>
          </cell>
        </row>
        <row r="315">
          <cell r="J315">
            <v>312</v>
          </cell>
          <cell r="K315" t="e">
            <v>#N/A</v>
          </cell>
          <cell r="L315" t="e">
            <v>#N/A</v>
          </cell>
        </row>
        <row r="316">
          <cell r="J316">
            <v>313</v>
          </cell>
          <cell r="K316" t="e">
            <v>#N/A</v>
          </cell>
          <cell r="L316" t="e">
            <v>#N/A</v>
          </cell>
        </row>
        <row r="317">
          <cell r="J317">
            <v>314</v>
          </cell>
          <cell r="K317" t="e">
            <v>#N/A</v>
          </cell>
          <cell r="L317" t="e">
            <v>#N/A</v>
          </cell>
        </row>
        <row r="318">
          <cell r="J318">
            <v>315</v>
          </cell>
          <cell r="K318" t="e">
            <v>#N/A</v>
          </cell>
          <cell r="L318" t="e">
            <v>#N/A</v>
          </cell>
        </row>
        <row r="319">
          <cell r="J319">
            <v>316</v>
          </cell>
          <cell r="K319" t="e">
            <v>#N/A</v>
          </cell>
          <cell r="L319" t="e">
            <v>#N/A</v>
          </cell>
        </row>
        <row r="320">
          <cell r="J320">
            <v>317</v>
          </cell>
          <cell r="K320" t="e">
            <v>#N/A</v>
          </cell>
          <cell r="L320" t="e">
            <v>#N/A</v>
          </cell>
        </row>
        <row r="321">
          <cell r="J321">
            <v>318</v>
          </cell>
          <cell r="K321" t="e">
            <v>#N/A</v>
          </cell>
          <cell r="L321" t="e">
            <v>#N/A</v>
          </cell>
        </row>
        <row r="322">
          <cell r="J322">
            <v>319</v>
          </cell>
          <cell r="K322" t="e">
            <v>#N/A</v>
          </cell>
          <cell r="L322" t="e">
            <v>#N/A</v>
          </cell>
        </row>
        <row r="323">
          <cell r="J323">
            <v>320</v>
          </cell>
          <cell r="K323" t="e">
            <v>#N/A</v>
          </cell>
          <cell r="L323" t="e">
            <v>#N/A</v>
          </cell>
        </row>
        <row r="324">
          <cell r="J324">
            <v>321</v>
          </cell>
          <cell r="K324" t="e">
            <v>#N/A</v>
          </cell>
          <cell r="L324" t="e">
            <v>#N/A</v>
          </cell>
        </row>
        <row r="325">
          <cell r="J325">
            <v>322</v>
          </cell>
          <cell r="K325" t="e">
            <v>#N/A</v>
          </cell>
          <cell r="L325" t="e">
            <v>#N/A</v>
          </cell>
        </row>
        <row r="326">
          <cell r="J326">
            <v>323</v>
          </cell>
          <cell r="K326" t="e">
            <v>#N/A</v>
          </cell>
          <cell r="L326" t="e">
            <v>#N/A</v>
          </cell>
        </row>
        <row r="327">
          <cell r="J327">
            <v>324</v>
          </cell>
          <cell r="K327" t="e">
            <v>#N/A</v>
          </cell>
          <cell r="L327" t="e">
            <v>#N/A</v>
          </cell>
        </row>
        <row r="328">
          <cell r="J328">
            <v>325</v>
          </cell>
          <cell r="K328" t="e">
            <v>#N/A</v>
          </cell>
          <cell r="L328" t="e">
            <v>#N/A</v>
          </cell>
        </row>
        <row r="329">
          <cell r="J329">
            <v>326</v>
          </cell>
          <cell r="K329" t="e">
            <v>#N/A</v>
          </cell>
          <cell r="L329" t="e">
            <v>#N/A</v>
          </cell>
        </row>
        <row r="330">
          <cell r="J330">
            <v>327</v>
          </cell>
          <cell r="K330" t="e">
            <v>#N/A</v>
          </cell>
          <cell r="L330" t="e">
            <v>#N/A</v>
          </cell>
        </row>
        <row r="331">
          <cell r="J331">
            <v>328</v>
          </cell>
          <cell r="K331" t="e">
            <v>#N/A</v>
          </cell>
          <cell r="L331" t="e">
            <v>#N/A</v>
          </cell>
        </row>
        <row r="332">
          <cell r="J332">
            <v>329</v>
          </cell>
          <cell r="K332" t="e">
            <v>#N/A</v>
          </cell>
          <cell r="L332" t="e">
            <v>#N/A</v>
          </cell>
        </row>
        <row r="333">
          <cell r="J333">
            <v>330</v>
          </cell>
          <cell r="K333" t="e">
            <v>#N/A</v>
          </cell>
          <cell r="L333" t="e">
            <v>#N/A</v>
          </cell>
        </row>
        <row r="334">
          <cell r="J334">
            <v>331</v>
          </cell>
          <cell r="K334" t="e">
            <v>#N/A</v>
          </cell>
          <cell r="L334" t="e">
            <v>#N/A</v>
          </cell>
        </row>
        <row r="335">
          <cell r="J335">
            <v>332</v>
          </cell>
          <cell r="K335" t="e">
            <v>#N/A</v>
          </cell>
          <cell r="L335" t="e">
            <v>#N/A</v>
          </cell>
        </row>
        <row r="336">
          <cell r="J336">
            <v>333</v>
          </cell>
          <cell r="K336" t="e">
            <v>#N/A</v>
          </cell>
          <cell r="L336" t="e">
            <v>#N/A</v>
          </cell>
        </row>
        <row r="337">
          <cell r="J337">
            <v>334</v>
          </cell>
          <cell r="K337" t="e">
            <v>#N/A</v>
          </cell>
          <cell r="L337" t="e">
            <v>#N/A</v>
          </cell>
        </row>
        <row r="338">
          <cell r="J338">
            <v>335</v>
          </cell>
          <cell r="K338" t="e">
            <v>#N/A</v>
          </cell>
          <cell r="L338" t="e">
            <v>#N/A</v>
          </cell>
        </row>
        <row r="339">
          <cell r="J339">
            <v>336</v>
          </cell>
          <cell r="K339" t="e">
            <v>#N/A</v>
          </cell>
          <cell r="L339" t="e">
            <v>#N/A</v>
          </cell>
        </row>
        <row r="340">
          <cell r="J340">
            <v>337</v>
          </cell>
          <cell r="K340" t="e">
            <v>#N/A</v>
          </cell>
          <cell r="L340" t="e">
            <v>#N/A</v>
          </cell>
        </row>
        <row r="341">
          <cell r="J341">
            <v>338</v>
          </cell>
          <cell r="K341" t="e">
            <v>#N/A</v>
          </cell>
          <cell r="L341" t="e">
            <v>#N/A</v>
          </cell>
        </row>
        <row r="342">
          <cell r="J342">
            <v>339</v>
          </cell>
          <cell r="K342" t="e">
            <v>#N/A</v>
          </cell>
          <cell r="L342" t="e">
            <v>#N/A</v>
          </cell>
        </row>
        <row r="343">
          <cell r="J343">
            <v>340</v>
          </cell>
          <cell r="K343" t="e">
            <v>#N/A</v>
          </cell>
          <cell r="L343" t="e">
            <v>#N/A</v>
          </cell>
        </row>
        <row r="344">
          <cell r="J344">
            <v>341</v>
          </cell>
          <cell r="K344" t="e">
            <v>#N/A</v>
          </cell>
          <cell r="L344" t="e">
            <v>#N/A</v>
          </cell>
        </row>
        <row r="345">
          <cell r="J345">
            <v>342</v>
          </cell>
          <cell r="K345" t="e">
            <v>#N/A</v>
          </cell>
          <cell r="L345" t="e">
            <v>#N/A</v>
          </cell>
        </row>
        <row r="346">
          <cell r="J346">
            <v>343</v>
          </cell>
          <cell r="K346" t="e">
            <v>#N/A</v>
          </cell>
          <cell r="L346" t="e">
            <v>#N/A</v>
          </cell>
        </row>
        <row r="347">
          <cell r="J347">
            <v>344</v>
          </cell>
          <cell r="K347" t="e">
            <v>#N/A</v>
          </cell>
          <cell r="L347" t="e">
            <v>#N/A</v>
          </cell>
        </row>
        <row r="348">
          <cell r="J348">
            <v>345</v>
          </cell>
          <cell r="K348" t="e">
            <v>#N/A</v>
          </cell>
          <cell r="L348" t="e">
            <v>#N/A</v>
          </cell>
        </row>
        <row r="349">
          <cell r="J349">
            <v>346</v>
          </cell>
          <cell r="K349" t="e">
            <v>#N/A</v>
          </cell>
          <cell r="L349" t="e">
            <v>#N/A</v>
          </cell>
        </row>
        <row r="350">
          <cell r="J350">
            <v>347</v>
          </cell>
          <cell r="K350" t="e">
            <v>#N/A</v>
          </cell>
          <cell r="L350" t="e">
            <v>#N/A</v>
          </cell>
        </row>
        <row r="351">
          <cell r="J351">
            <v>348</v>
          </cell>
          <cell r="K351" t="e">
            <v>#N/A</v>
          </cell>
          <cell r="L351" t="e">
            <v>#N/A</v>
          </cell>
        </row>
        <row r="352">
          <cell r="J352">
            <v>349</v>
          </cell>
          <cell r="K352" t="e">
            <v>#N/A</v>
          </cell>
          <cell r="L352" t="e">
            <v>#N/A</v>
          </cell>
        </row>
        <row r="353">
          <cell r="J353">
            <v>350</v>
          </cell>
          <cell r="K353" t="e">
            <v>#N/A</v>
          </cell>
          <cell r="L353" t="e">
            <v>#N/A</v>
          </cell>
        </row>
        <row r="354">
          <cell r="J354">
            <v>351</v>
          </cell>
          <cell r="K354" t="e">
            <v>#N/A</v>
          </cell>
          <cell r="L354" t="e">
            <v>#N/A</v>
          </cell>
        </row>
        <row r="355">
          <cell r="J355">
            <v>352</v>
          </cell>
          <cell r="K355" t="e">
            <v>#N/A</v>
          </cell>
          <cell r="L355" t="e">
            <v>#N/A</v>
          </cell>
        </row>
        <row r="356">
          <cell r="J356">
            <v>353</v>
          </cell>
          <cell r="K356" t="e">
            <v>#N/A</v>
          </cell>
          <cell r="L356" t="e">
            <v>#N/A</v>
          </cell>
        </row>
        <row r="357">
          <cell r="J357">
            <v>354</v>
          </cell>
          <cell r="K357" t="e">
            <v>#N/A</v>
          </cell>
          <cell r="L357" t="e">
            <v>#N/A</v>
          </cell>
        </row>
        <row r="358">
          <cell r="J358">
            <v>355</v>
          </cell>
          <cell r="K358" t="e">
            <v>#N/A</v>
          </cell>
          <cell r="L358" t="e">
            <v>#N/A</v>
          </cell>
        </row>
        <row r="359">
          <cell r="J359">
            <v>356</v>
          </cell>
          <cell r="K359" t="e">
            <v>#N/A</v>
          </cell>
          <cell r="L359" t="e">
            <v>#N/A</v>
          </cell>
        </row>
        <row r="360">
          <cell r="J360">
            <v>357</v>
          </cell>
          <cell r="K360" t="e">
            <v>#N/A</v>
          </cell>
          <cell r="L360" t="e">
            <v>#N/A</v>
          </cell>
        </row>
        <row r="361">
          <cell r="J361">
            <v>358</v>
          </cell>
          <cell r="K361" t="e">
            <v>#N/A</v>
          </cell>
          <cell r="L361" t="e">
            <v>#N/A</v>
          </cell>
        </row>
        <row r="362">
          <cell r="J362">
            <v>359</v>
          </cell>
          <cell r="K362" t="e">
            <v>#N/A</v>
          </cell>
          <cell r="L362" t="e">
            <v>#N/A</v>
          </cell>
        </row>
        <row r="363">
          <cell r="J363">
            <v>360</v>
          </cell>
          <cell r="K363" t="e">
            <v>#N/A</v>
          </cell>
          <cell r="L363" t="e">
            <v>#N/A</v>
          </cell>
        </row>
      </sheetData>
      <sheetData sheetId="43">
        <row r="4">
          <cell r="I4" t="e">
            <v>#VALUE!</v>
          </cell>
        </row>
      </sheetData>
      <sheetData sheetId="44">
        <row r="8">
          <cell r="A8">
            <v>1</v>
          </cell>
          <cell r="B8">
            <v>2</v>
          </cell>
        </row>
        <row r="18">
          <cell r="G18" t="e">
            <v>#VALUE!</v>
          </cell>
          <cell r="H18" t="e">
            <v>#VALUE!</v>
          </cell>
        </row>
        <row r="19">
          <cell r="B19">
            <v>0</v>
          </cell>
          <cell r="D19">
            <v>0</v>
          </cell>
          <cell r="G19" t="e">
            <v>#VALUE!</v>
          </cell>
          <cell r="H19" t="e">
            <v>#VALUE!</v>
          </cell>
        </row>
        <row r="20">
          <cell r="B20" t="e">
            <v>#N/A</v>
          </cell>
          <cell r="G20" t="e">
            <v>#N/A</v>
          </cell>
          <cell r="H20" t="e">
            <v>#N/A</v>
          </cell>
        </row>
        <row r="21">
          <cell r="B21" t="e">
            <v>#VALUE!</v>
          </cell>
          <cell r="D21" t="e">
            <v>#VALUE!</v>
          </cell>
          <cell r="G21" t="e">
            <v>#VALUE!</v>
          </cell>
        </row>
        <row r="22">
          <cell r="G22" t="e">
            <v>#VALUE!</v>
          </cell>
        </row>
      </sheetData>
      <sheetData sheetId="45">
        <row r="6">
          <cell r="B6">
            <v>29</v>
          </cell>
        </row>
        <row r="14">
          <cell r="B14" t="e">
            <v>#VALUE!</v>
          </cell>
        </row>
        <row r="15">
          <cell r="B15">
            <v>0</v>
          </cell>
        </row>
        <row r="16">
          <cell r="B16" t="str">
            <v>Tlaxcala</v>
          </cell>
        </row>
        <row r="17">
          <cell r="B17" t="str">
            <v/>
          </cell>
        </row>
        <row r="18">
          <cell r="B18" t="str">
            <v/>
          </cell>
        </row>
        <row r="19">
          <cell r="B19" t="str">
            <v>Gastos Notariales</v>
          </cell>
        </row>
        <row r="20">
          <cell r="B20" t="str">
            <v>Gastos, derechos y honorarios notariales</v>
          </cell>
        </row>
        <row r="21">
          <cell r="B21" t="b">
            <v>0</v>
          </cell>
        </row>
        <row r="22">
          <cell r="B22" t="str">
            <v/>
          </cell>
        </row>
      </sheetData>
      <sheetData sheetId="46"/>
      <sheetData sheetId="47"/>
      <sheetData sheetId="48">
        <row r="4">
          <cell r="A4">
            <v>1</v>
          </cell>
        </row>
        <row r="5">
          <cell r="A5">
            <v>1</v>
          </cell>
        </row>
        <row r="6">
          <cell r="A6">
            <v>2</v>
          </cell>
        </row>
        <row r="9">
          <cell r="B9" t="str">
            <v>No Frontera</v>
          </cell>
        </row>
        <row r="10">
          <cell r="B10">
            <v>0.12</v>
          </cell>
        </row>
        <row r="11">
          <cell r="B11">
            <v>0.16</v>
          </cell>
        </row>
        <row r="17">
          <cell r="B17">
            <v>6</v>
          </cell>
          <cell r="E17">
            <v>2</v>
          </cell>
        </row>
        <row r="18">
          <cell r="B18">
            <v>5</v>
          </cell>
          <cell r="E18">
            <v>7</v>
          </cell>
        </row>
        <row r="20">
          <cell r="B20" t="b">
            <v>0</v>
          </cell>
          <cell r="E20" t="b">
            <v>0</v>
          </cell>
        </row>
        <row r="23">
          <cell r="D23">
            <v>1</v>
          </cell>
          <cell r="E23">
            <v>2</v>
          </cell>
        </row>
        <row r="24">
          <cell r="F24">
            <v>1</v>
          </cell>
        </row>
        <row r="25">
          <cell r="F25">
            <v>2</v>
          </cell>
        </row>
        <row r="27">
          <cell r="E27" t="b">
            <v>0</v>
          </cell>
        </row>
        <row r="28">
          <cell r="B28" t="b">
            <v>0</v>
          </cell>
          <cell r="E28" t="b">
            <v>0</v>
          </cell>
        </row>
        <row r="30">
          <cell r="B30" t="b">
            <v>0</v>
          </cell>
        </row>
        <row r="32">
          <cell r="B32">
            <v>1</v>
          </cell>
        </row>
      </sheetData>
      <sheetData sheetId="49">
        <row r="3">
          <cell r="AF3">
            <v>1000000</v>
          </cell>
        </row>
        <row r="4">
          <cell r="AF4">
            <v>0.9</v>
          </cell>
        </row>
        <row r="6">
          <cell r="H6">
            <v>0</v>
          </cell>
          <cell r="J6" t="e">
            <v>#N/A</v>
          </cell>
          <cell r="K6">
            <v>0</v>
          </cell>
          <cell r="M6">
            <v>0</v>
          </cell>
          <cell r="N6">
            <v>0</v>
          </cell>
          <cell r="Q6">
            <v>0</v>
          </cell>
          <cell r="AF6" t="e">
            <v>#N/A</v>
          </cell>
          <cell r="AG6" t="e">
            <v>#N/A</v>
          </cell>
          <cell r="AS6" t="e">
            <v>#N/A</v>
          </cell>
          <cell r="AW6">
            <v>4.662E-4</v>
          </cell>
          <cell r="AX6">
            <v>4.0189655172413795E-4</v>
          </cell>
          <cell r="AY6">
            <v>7.4379999999999997E-4</v>
          </cell>
        </row>
        <row r="8">
          <cell r="B8" t="str">
            <v>0000000100</v>
          </cell>
          <cell r="I8" t="e">
            <v>#N/A</v>
          </cell>
          <cell r="J8" t="e">
            <v>#N/A</v>
          </cell>
          <cell r="L8" t="e">
            <v>#N/A</v>
          </cell>
          <cell r="P8" t="e">
            <v>#N/A</v>
          </cell>
          <cell r="Q8" t="e">
            <v>#N/A</v>
          </cell>
          <cell r="R8" t="e">
            <v>#N/A</v>
          </cell>
          <cell r="S8" t="e">
            <v>#N/A</v>
          </cell>
          <cell r="T8" t="e">
            <v>#N/A</v>
          </cell>
          <cell r="U8" t="e">
            <v>#N/A</v>
          </cell>
          <cell r="W8" t="e">
            <v>#N/A</v>
          </cell>
          <cell r="X8" t="e">
            <v>#N/A</v>
          </cell>
          <cell r="Y8" t="e">
            <v>#N/A</v>
          </cell>
          <cell r="Z8" t="e">
            <v>#N/A</v>
          </cell>
          <cell r="AA8" t="e">
            <v>#N/A</v>
          </cell>
          <cell r="AB8" t="e">
            <v>#N/A</v>
          </cell>
          <cell r="AC8" t="e">
            <v>#N/A</v>
          </cell>
          <cell r="AD8" t="e">
            <v>#N/A</v>
          </cell>
          <cell r="AE8" t="e">
            <v>#N/A</v>
          </cell>
          <cell r="AF8" t="e">
            <v>#N/A</v>
          </cell>
          <cell r="AH8" t="e">
            <v>#N/A</v>
          </cell>
          <cell r="AI8" t="e">
            <v>#N/A</v>
          </cell>
          <cell r="AJ8" t="e">
            <v>#N/A</v>
          </cell>
          <cell r="AK8" t="e">
            <v>#N/A</v>
          </cell>
          <cell r="AL8" t="e">
            <v>#N/A</v>
          </cell>
          <cell r="AM8" t="e">
            <v>#N/A</v>
          </cell>
          <cell r="AN8" t="e">
            <v>#N/A</v>
          </cell>
          <cell r="AO8" t="e">
            <v>#N/A</v>
          </cell>
          <cell r="AP8" t="e">
            <v>#N/A</v>
          </cell>
          <cell r="AQ8" t="e">
            <v>#N/A</v>
          </cell>
          <cell r="AR8" t="e">
            <v>#N/A</v>
          </cell>
          <cell r="AT8" t="e">
            <v>#N/A</v>
          </cell>
          <cell r="AU8" t="e">
            <v>#N/A</v>
          </cell>
          <cell r="AV8" t="e">
            <v>#N/A</v>
          </cell>
          <cell r="BD8" t="e">
            <v>#N/A</v>
          </cell>
          <cell r="BE8" t="e">
            <v>#N/A</v>
          </cell>
          <cell r="BF8" t="e">
            <v>#N/A</v>
          </cell>
          <cell r="BG8" t="e">
            <v>#N/A</v>
          </cell>
        </row>
        <row r="9">
          <cell r="B9" t="str">
            <v>01000001A</v>
          </cell>
          <cell r="C9" t="str">
            <v>Casa</v>
          </cell>
          <cell r="D9" t="str">
            <v>Ninguno</v>
          </cell>
          <cell r="E9" t="str">
            <v>Ninguno</v>
          </cell>
          <cell r="F9" t="str">
            <v>01</v>
          </cell>
          <cell r="G9" t="str">
            <v>A</v>
          </cell>
          <cell r="H9">
            <v>0</v>
          </cell>
          <cell r="I9">
            <v>0</v>
          </cell>
          <cell r="J9">
            <v>12</v>
          </cell>
          <cell r="K9">
            <v>0</v>
          </cell>
          <cell r="L9">
            <v>30.4</v>
          </cell>
          <cell r="M9">
            <v>0</v>
          </cell>
          <cell r="N9">
            <v>0</v>
          </cell>
          <cell r="O9">
            <v>1</v>
          </cell>
          <cell r="P9">
            <v>0</v>
          </cell>
          <cell r="Q9">
            <v>0.01</v>
          </cell>
          <cell r="R9">
            <v>1200</v>
          </cell>
          <cell r="S9">
            <v>400000</v>
          </cell>
          <cell r="T9">
            <v>3.0000000000000001E-3</v>
          </cell>
          <cell r="U9">
            <v>750</v>
          </cell>
          <cell r="V9">
            <v>646.55172413793105</v>
          </cell>
          <cell r="W9">
            <v>349</v>
          </cell>
          <cell r="X9">
            <v>0</v>
          </cell>
          <cell r="Y9">
            <v>0</v>
          </cell>
          <cell r="Z9">
            <v>1</v>
          </cell>
          <cell r="AA9">
            <v>0</v>
          </cell>
          <cell r="AB9">
            <v>1</v>
          </cell>
          <cell r="AC9">
            <v>1</v>
          </cell>
          <cell r="AD9">
            <v>350000</v>
          </cell>
          <cell r="AE9">
            <v>75000</v>
          </cell>
          <cell r="AF9">
            <v>0.9</v>
          </cell>
          <cell r="AG9">
            <v>0</v>
          </cell>
          <cell r="AH9">
            <v>2</v>
          </cell>
          <cell r="AI9">
            <v>98.8</v>
          </cell>
          <cell r="AJ9">
            <v>0</v>
          </cell>
          <cell r="AK9">
            <v>0</v>
          </cell>
          <cell r="AL9">
            <v>0</v>
          </cell>
          <cell r="AM9">
            <v>0</v>
          </cell>
          <cell r="AN9">
            <v>0</v>
          </cell>
          <cell r="AO9">
            <v>0</v>
          </cell>
          <cell r="AP9">
            <v>0</v>
          </cell>
          <cell r="AQ9">
            <v>0</v>
          </cell>
          <cell r="AR9">
            <v>2</v>
          </cell>
          <cell r="AS9">
            <v>0</v>
          </cell>
          <cell r="AT9">
            <v>0</v>
          </cell>
          <cell r="AU9">
            <v>0</v>
          </cell>
          <cell r="AV9">
            <v>0</v>
          </cell>
          <cell r="AW9">
            <v>0</v>
          </cell>
          <cell r="AX9">
            <v>0</v>
          </cell>
          <cell r="AY9">
            <v>0</v>
          </cell>
          <cell r="AZ9">
            <v>0</v>
          </cell>
          <cell r="BA9">
            <v>0</v>
          </cell>
          <cell r="BB9">
            <v>0</v>
          </cell>
          <cell r="BC9">
            <v>360</v>
          </cell>
          <cell r="BD9">
            <v>0</v>
          </cell>
          <cell r="BE9">
            <v>0</v>
          </cell>
          <cell r="BF9">
            <v>1</v>
          </cell>
          <cell r="BG9" t="str">
            <v>Crédito Hipotecario a Tasa Fija con Amortización Creciente</v>
          </cell>
        </row>
        <row r="10">
          <cell r="B10" t="str">
            <v>01010101A</v>
          </cell>
          <cell r="C10" t="str">
            <v>Casa</v>
          </cell>
          <cell r="D10" t="str">
            <v>INFONAVIT</v>
          </cell>
          <cell r="E10" t="str">
            <v>Apoyo INFONAVIT</v>
          </cell>
          <cell r="F10" t="str">
            <v>01</v>
          </cell>
          <cell r="G10" t="str">
            <v>A</v>
          </cell>
          <cell r="H10">
            <v>0</v>
          </cell>
          <cell r="I10">
            <v>0</v>
          </cell>
          <cell r="J10">
            <v>12</v>
          </cell>
          <cell r="K10">
            <v>0</v>
          </cell>
          <cell r="L10">
            <v>30.4</v>
          </cell>
          <cell r="M10">
            <v>0</v>
          </cell>
          <cell r="N10">
            <v>0</v>
          </cell>
          <cell r="O10">
            <v>1</v>
          </cell>
          <cell r="P10">
            <v>0</v>
          </cell>
          <cell r="Q10">
            <v>0.01</v>
          </cell>
          <cell r="R10">
            <v>1200</v>
          </cell>
          <cell r="S10">
            <v>400000</v>
          </cell>
          <cell r="T10">
            <v>3.0000000000000001E-3</v>
          </cell>
          <cell r="U10">
            <v>750</v>
          </cell>
          <cell r="V10">
            <v>646.55172413793105</v>
          </cell>
          <cell r="W10">
            <v>349</v>
          </cell>
          <cell r="X10">
            <v>0</v>
          </cell>
          <cell r="Y10">
            <v>0</v>
          </cell>
          <cell r="Z10">
            <v>1</v>
          </cell>
          <cell r="AA10">
            <v>0</v>
          </cell>
          <cell r="AB10">
            <v>1</v>
          </cell>
          <cell r="AC10">
            <v>1</v>
          </cell>
          <cell r="AD10">
            <v>350000</v>
          </cell>
          <cell r="AE10">
            <v>75000</v>
          </cell>
          <cell r="AF10">
            <v>0.95</v>
          </cell>
          <cell r="AG10">
            <v>0</v>
          </cell>
          <cell r="AH10">
            <v>2</v>
          </cell>
          <cell r="AI10">
            <v>98.8</v>
          </cell>
          <cell r="AJ10">
            <v>0</v>
          </cell>
          <cell r="AK10">
            <v>0</v>
          </cell>
          <cell r="AL10">
            <v>0</v>
          </cell>
          <cell r="AM10">
            <v>0</v>
          </cell>
          <cell r="AN10">
            <v>0</v>
          </cell>
          <cell r="AO10">
            <v>0</v>
          </cell>
          <cell r="AP10">
            <v>4</v>
          </cell>
          <cell r="AQ10">
            <v>0.05</v>
          </cell>
          <cell r="AR10">
            <v>2</v>
          </cell>
          <cell r="AS10">
            <v>0</v>
          </cell>
          <cell r="AT10">
            <v>0</v>
          </cell>
          <cell r="AU10">
            <v>0</v>
          </cell>
          <cell r="AV10">
            <v>0</v>
          </cell>
          <cell r="AW10">
            <v>0</v>
          </cell>
          <cell r="AX10">
            <v>0</v>
          </cell>
          <cell r="AY10">
            <v>0</v>
          </cell>
          <cell r="AZ10">
            <v>0</v>
          </cell>
          <cell r="BA10">
            <v>0</v>
          </cell>
          <cell r="BB10">
            <v>0</v>
          </cell>
          <cell r="BC10">
            <v>360</v>
          </cell>
          <cell r="BD10">
            <v>0</v>
          </cell>
          <cell r="BE10">
            <v>0</v>
          </cell>
          <cell r="BF10">
            <v>3</v>
          </cell>
          <cell r="BG10" t="str">
            <v>Crédito Hipotecario programa Apoyo INFONAVIT</v>
          </cell>
        </row>
        <row r="11">
          <cell r="B11" t="str">
            <v>01010201A</v>
          </cell>
          <cell r="C11" t="str">
            <v>Casa</v>
          </cell>
          <cell r="D11" t="str">
            <v>INFONAVIT</v>
          </cell>
          <cell r="E11" t="str">
            <v>Cofinavit</v>
          </cell>
          <cell r="F11" t="str">
            <v>01</v>
          </cell>
          <cell r="G11" t="str">
            <v>A</v>
          </cell>
          <cell r="H11">
            <v>0</v>
          </cell>
          <cell r="I11">
            <v>0</v>
          </cell>
          <cell r="J11">
            <v>12</v>
          </cell>
          <cell r="K11">
            <v>0</v>
          </cell>
          <cell r="L11">
            <v>30.4</v>
          </cell>
          <cell r="M11">
            <v>0</v>
          </cell>
          <cell r="N11">
            <v>0</v>
          </cell>
          <cell r="O11">
            <v>1</v>
          </cell>
          <cell r="P11">
            <v>0</v>
          </cell>
          <cell r="Q11">
            <v>0.01</v>
          </cell>
          <cell r="R11">
            <v>1200</v>
          </cell>
          <cell r="S11">
            <v>400000</v>
          </cell>
          <cell r="T11">
            <v>3.0000000000000001E-3</v>
          </cell>
          <cell r="U11">
            <v>750</v>
          </cell>
          <cell r="V11">
            <v>646.55172413793105</v>
          </cell>
          <cell r="W11">
            <v>349</v>
          </cell>
          <cell r="X11">
            <v>0</v>
          </cell>
          <cell r="Y11">
            <v>0</v>
          </cell>
          <cell r="Z11">
            <v>1</v>
          </cell>
          <cell r="AA11">
            <v>0</v>
          </cell>
          <cell r="AB11">
            <v>1</v>
          </cell>
          <cell r="AC11">
            <v>1</v>
          </cell>
          <cell r="AD11">
            <v>350000</v>
          </cell>
          <cell r="AE11">
            <v>75000</v>
          </cell>
          <cell r="AF11">
            <v>0.95</v>
          </cell>
          <cell r="AG11">
            <v>0</v>
          </cell>
          <cell r="AH11">
            <v>2</v>
          </cell>
          <cell r="AI11">
            <v>98.8</v>
          </cell>
          <cell r="AJ11">
            <v>180</v>
          </cell>
          <cell r="AK11">
            <v>180</v>
          </cell>
          <cell r="AL11">
            <v>0</v>
          </cell>
          <cell r="AM11">
            <v>430</v>
          </cell>
          <cell r="AN11">
            <v>1</v>
          </cell>
          <cell r="AO11">
            <v>0.05</v>
          </cell>
          <cell r="AP11">
            <v>0</v>
          </cell>
          <cell r="AQ11">
            <v>0</v>
          </cell>
          <cell r="AR11">
            <v>2</v>
          </cell>
          <cell r="AS11">
            <v>0</v>
          </cell>
          <cell r="AT11">
            <v>0</v>
          </cell>
          <cell r="AU11">
            <v>0</v>
          </cell>
          <cell r="AV11">
            <v>0</v>
          </cell>
          <cell r="AW11">
            <v>0</v>
          </cell>
          <cell r="AX11">
            <v>0</v>
          </cell>
          <cell r="AY11">
            <v>0</v>
          </cell>
          <cell r="AZ11">
            <v>0</v>
          </cell>
          <cell r="BA11">
            <v>0</v>
          </cell>
          <cell r="BB11">
            <v>0</v>
          </cell>
          <cell r="BC11">
            <v>360</v>
          </cell>
          <cell r="BD11">
            <v>0</v>
          </cell>
          <cell r="BE11">
            <v>0</v>
          </cell>
          <cell r="BF11">
            <v>1</v>
          </cell>
          <cell r="BG11" t="str">
            <v>Crédito Hipotecario Cofinanciamiento INFONAVIT</v>
          </cell>
        </row>
        <row r="12">
          <cell r="B12" t="str">
            <v>01020401A</v>
          </cell>
          <cell r="C12" t="str">
            <v>Casa</v>
          </cell>
          <cell r="D12" t="str">
            <v>FOVISSSTE</v>
          </cell>
          <cell r="E12" t="str">
            <v>Alia2+</v>
          </cell>
          <cell r="F12" t="str">
            <v>01</v>
          </cell>
          <cell r="G12" t="str">
            <v>A</v>
          </cell>
          <cell r="H12">
            <v>0</v>
          </cell>
          <cell r="I12">
            <v>0</v>
          </cell>
          <cell r="J12">
            <v>12</v>
          </cell>
          <cell r="K12">
            <v>0</v>
          </cell>
          <cell r="L12">
            <v>30.4</v>
          </cell>
          <cell r="M12">
            <v>0</v>
          </cell>
          <cell r="N12">
            <v>0</v>
          </cell>
          <cell r="O12">
            <v>1</v>
          </cell>
          <cell r="P12">
            <v>0</v>
          </cell>
          <cell r="Q12">
            <v>0.01</v>
          </cell>
          <cell r="R12">
            <v>1200</v>
          </cell>
          <cell r="S12">
            <v>400000</v>
          </cell>
          <cell r="T12">
            <v>3.0000000000000001E-3</v>
          </cell>
          <cell r="U12">
            <v>750</v>
          </cell>
          <cell r="V12">
            <v>646.55172413793105</v>
          </cell>
          <cell r="W12">
            <v>349</v>
          </cell>
          <cell r="X12">
            <v>0</v>
          </cell>
          <cell r="Y12">
            <v>0</v>
          </cell>
          <cell r="Z12">
            <v>1</v>
          </cell>
          <cell r="AA12">
            <v>0</v>
          </cell>
          <cell r="AB12">
            <v>1</v>
          </cell>
          <cell r="AC12">
            <v>1</v>
          </cell>
          <cell r="AD12">
            <v>350000</v>
          </cell>
          <cell r="AE12">
            <v>75000</v>
          </cell>
          <cell r="AF12">
            <v>0.95</v>
          </cell>
          <cell r="AG12">
            <v>0</v>
          </cell>
          <cell r="AH12">
            <v>2</v>
          </cell>
          <cell r="AI12">
            <v>98.8</v>
          </cell>
          <cell r="AJ12">
            <v>0</v>
          </cell>
          <cell r="AK12">
            <v>0</v>
          </cell>
          <cell r="AL12">
            <v>116.626</v>
          </cell>
          <cell r="AM12">
            <v>0</v>
          </cell>
          <cell r="AN12">
            <v>1</v>
          </cell>
          <cell r="AO12">
            <v>0</v>
          </cell>
          <cell r="AP12">
            <v>0</v>
          </cell>
          <cell r="AQ12">
            <v>0</v>
          </cell>
          <cell r="AR12">
            <v>2</v>
          </cell>
          <cell r="AS12">
            <v>0</v>
          </cell>
          <cell r="AT12">
            <v>0</v>
          </cell>
          <cell r="AU12">
            <v>0</v>
          </cell>
          <cell r="AV12">
            <v>0</v>
          </cell>
          <cell r="AW12">
            <v>0</v>
          </cell>
          <cell r="AX12">
            <v>0</v>
          </cell>
          <cell r="AY12">
            <v>0</v>
          </cell>
          <cell r="AZ12">
            <v>0</v>
          </cell>
          <cell r="BA12">
            <v>0</v>
          </cell>
          <cell r="BB12">
            <v>0</v>
          </cell>
          <cell r="BC12">
            <v>360</v>
          </cell>
          <cell r="BD12">
            <v>0</v>
          </cell>
          <cell r="BE12">
            <v>0</v>
          </cell>
          <cell r="BF12">
            <v>1</v>
          </cell>
          <cell r="BG12" t="str">
            <v>Tasa Fija Crédito Hipotecario Alia2+ con Amortización Creciente</v>
          </cell>
        </row>
        <row r="13">
          <cell r="B13" t="str">
            <v>01020501A</v>
          </cell>
          <cell r="C13" t="str">
            <v>Casa</v>
          </cell>
          <cell r="D13" t="str">
            <v>FOVISSSTE</v>
          </cell>
          <cell r="E13" t="str">
            <v>Respalda2</v>
          </cell>
          <cell r="F13" t="str">
            <v>01</v>
          </cell>
          <cell r="G13" t="str">
            <v>A</v>
          </cell>
          <cell r="H13">
            <v>0</v>
          </cell>
          <cell r="I13">
            <v>0</v>
          </cell>
          <cell r="J13">
            <v>12</v>
          </cell>
          <cell r="K13">
            <v>0</v>
          </cell>
          <cell r="L13">
            <v>30.4</v>
          </cell>
          <cell r="M13">
            <v>0</v>
          </cell>
          <cell r="N13">
            <v>0</v>
          </cell>
          <cell r="O13">
            <v>1</v>
          </cell>
          <cell r="P13">
            <v>0</v>
          </cell>
          <cell r="Q13">
            <v>0.01</v>
          </cell>
          <cell r="R13">
            <v>1200</v>
          </cell>
          <cell r="S13">
            <v>400000</v>
          </cell>
          <cell r="T13">
            <v>3.0000000000000001E-3</v>
          </cell>
          <cell r="U13">
            <v>750</v>
          </cell>
          <cell r="V13">
            <v>646.55172413793105</v>
          </cell>
          <cell r="W13">
            <v>349</v>
          </cell>
          <cell r="X13">
            <v>0</v>
          </cell>
          <cell r="Y13">
            <v>0</v>
          </cell>
          <cell r="Z13">
            <v>1</v>
          </cell>
          <cell r="AA13">
            <v>0</v>
          </cell>
          <cell r="AB13">
            <v>1</v>
          </cell>
          <cell r="AC13">
            <v>1</v>
          </cell>
          <cell r="AD13">
            <v>350000</v>
          </cell>
          <cell r="AE13">
            <v>75000</v>
          </cell>
          <cell r="AF13">
            <v>0.95</v>
          </cell>
          <cell r="AG13">
            <v>0</v>
          </cell>
          <cell r="AH13">
            <v>2</v>
          </cell>
          <cell r="AI13">
            <v>98.8</v>
          </cell>
          <cell r="AJ13">
            <v>0</v>
          </cell>
          <cell r="AK13">
            <v>0</v>
          </cell>
          <cell r="AL13">
            <v>116.626</v>
          </cell>
          <cell r="AM13">
            <v>0</v>
          </cell>
          <cell r="AN13">
            <v>1</v>
          </cell>
          <cell r="AO13">
            <v>0</v>
          </cell>
          <cell r="AP13">
            <v>0</v>
          </cell>
          <cell r="AQ13">
            <v>0</v>
          </cell>
          <cell r="AR13">
            <v>2</v>
          </cell>
          <cell r="AS13">
            <v>0</v>
          </cell>
          <cell r="AT13">
            <v>0</v>
          </cell>
          <cell r="AU13">
            <v>0</v>
          </cell>
          <cell r="AV13">
            <v>0</v>
          </cell>
          <cell r="AW13">
            <v>0</v>
          </cell>
          <cell r="AX13">
            <v>0</v>
          </cell>
          <cell r="AY13">
            <v>0</v>
          </cell>
          <cell r="AZ13">
            <v>0</v>
          </cell>
          <cell r="BA13">
            <v>0</v>
          </cell>
          <cell r="BB13">
            <v>0</v>
          </cell>
          <cell r="BC13">
            <v>360</v>
          </cell>
          <cell r="BD13">
            <v>0</v>
          </cell>
          <cell r="BE13">
            <v>0</v>
          </cell>
          <cell r="BF13">
            <v>1</v>
          </cell>
          <cell r="BG13" t="str">
            <v>Tasa Fija Crédito Hipotecario Respalda2 con Amortización Creciente</v>
          </cell>
        </row>
        <row r="14">
          <cell r="B14" t="str">
            <v>01000001E</v>
          </cell>
          <cell r="C14" t="str">
            <v>Casa</v>
          </cell>
          <cell r="D14" t="str">
            <v>Ninguno</v>
          </cell>
          <cell r="E14" t="str">
            <v>Ninguno</v>
          </cell>
          <cell r="F14" t="str">
            <v>01</v>
          </cell>
          <cell r="G14" t="str">
            <v>E</v>
          </cell>
          <cell r="H14">
            <v>0</v>
          </cell>
          <cell r="I14">
            <v>0</v>
          </cell>
          <cell r="J14">
            <v>1</v>
          </cell>
          <cell r="K14">
            <v>0</v>
          </cell>
          <cell r="L14">
            <v>30.4</v>
          </cell>
          <cell r="M14">
            <v>0</v>
          </cell>
          <cell r="N14">
            <v>0</v>
          </cell>
          <cell r="O14">
            <v>12</v>
          </cell>
          <cell r="P14">
            <v>1</v>
          </cell>
          <cell r="Q14">
            <v>0.01</v>
          </cell>
          <cell r="R14">
            <v>1200</v>
          </cell>
          <cell r="S14">
            <v>400000</v>
          </cell>
          <cell r="T14">
            <v>3.0000000000000001E-3</v>
          </cell>
          <cell r="U14">
            <v>500</v>
          </cell>
          <cell r="V14">
            <v>431.0344827586207</v>
          </cell>
          <cell r="W14">
            <v>299</v>
          </cell>
          <cell r="X14">
            <v>0</v>
          </cell>
          <cell r="Y14">
            <v>0</v>
          </cell>
          <cell r="Z14">
            <v>1</v>
          </cell>
          <cell r="AA14">
            <v>0</v>
          </cell>
          <cell r="AB14">
            <v>1</v>
          </cell>
          <cell r="AC14">
            <v>1</v>
          </cell>
          <cell r="AD14">
            <v>350000</v>
          </cell>
          <cell r="AE14">
            <v>75000</v>
          </cell>
          <cell r="AF14">
            <v>0.9</v>
          </cell>
          <cell r="AG14">
            <v>0</v>
          </cell>
          <cell r="AH14">
            <v>2</v>
          </cell>
          <cell r="AI14">
            <v>98.8</v>
          </cell>
          <cell r="AJ14">
            <v>0</v>
          </cell>
          <cell r="AK14">
            <v>0</v>
          </cell>
          <cell r="AL14">
            <v>0</v>
          </cell>
          <cell r="AM14">
            <v>0</v>
          </cell>
          <cell r="AN14">
            <v>0</v>
          </cell>
          <cell r="AO14">
            <v>0</v>
          </cell>
          <cell r="AP14">
            <v>0</v>
          </cell>
          <cell r="AQ14">
            <v>0</v>
          </cell>
          <cell r="AR14">
            <v>2</v>
          </cell>
          <cell r="AS14">
            <v>0</v>
          </cell>
          <cell r="AT14">
            <v>0</v>
          </cell>
          <cell r="AU14">
            <v>0</v>
          </cell>
          <cell r="AV14">
            <v>0</v>
          </cell>
          <cell r="AW14">
            <v>0</v>
          </cell>
          <cell r="AX14">
            <v>0</v>
          </cell>
          <cell r="AY14">
            <v>0</v>
          </cell>
          <cell r="AZ14">
            <v>0</v>
          </cell>
          <cell r="BA14">
            <v>0</v>
          </cell>
          <cell r="BB14">
            <v>0</v>
          </cell>
          <cell r="BC14">
            <v>360</v>
          </cell>
          <cell r="BD14">
            <v>0</v>
          </cell>
          <cell r="BE14">
            <v>0</v>
          </cell>
          <cell r="BF14">
            <v>1</v>
          </cell>
          <cell r="BG14" t="str">
            <v>Tasa Fija Crédito Hipotecario con Pagos Mensuales y Amortización Creciente</v>
          </cell>
        </row>
        <row r="15">
          <cell r="B15" t="str">
            <v>01010101E</v>
          </cell>
          <cell r="C15" t="str">
            <v>Casa</v>
          </cell>
          <cell r="D15" t="str">
            <v>INFONAVIT</v>
          </cell>
          <cell r="E15" t="str">
            <v>Apoyo INFONAVIT</v>
          </cell>
          <cell r="F15" t="str">
            <v>01</v>
          </cell>
          <cell r="G15" t="str">
            <v>E</v>
          </cell>
          <cell r="H15">
            <v>0</v>
          </cell>
          <cell r="I15">
            <v>0</v>
          </cell>
          <cell r="J15">
            <v>1</v>
          </cell>
          <cell r="K15">
            <v>0</v>
          </cell>
          <cell r="L15">
            <v>30.4</v>
          </cell>
          <cell r="M15">
            <v>0</v>
          </cell>
          <cell r="N15">
            <v>0</v>
          </cell>
          <cell r="O15">
            <v>12</v>
          </cell>
          <cell r="P15">
            <v>1</v>
          </cell>
          <cell r="Q15">
            <v>0.01</v>
          </cell>
          <cell r="R15">
            <v>1200</v>
          </cell>
          <cell r="S15">
            <v>400000</v>
          </cell>
          <cell r="T15">
            <v>3.0000000000000001E-3</v>
          </cell>
          <cell r="U15">
            <v>500</v>
          </cell>
          <cell r="V15">
            <v>431.0344827586207</v>
          </cell>
          <cell r="W15">
            <v>299</v>
          </cell>
          <cell r="X15">
            <v>0</v>
          </cell>
          <cell r="Y15">
            <v>0</v>
          </cell>
          <cell r="Z15">
            <v>1</v>
          </cell>
          <cell r="AA15">
            <v>0</v>
          </cell>
          <cell r="AB15">
            <v>1</v>
          </cell>
          <cell r="AC15">
            <v>1</v>
          </cell>
          <cell r="AD15">
            <v>350000</v>
          </cell>
          <cell r="AE15">
            <v>75000</v>
          </cell>
          <cell r="AF15">
            <v>0.95</v>
          </cell>
          <cell r="AG15">
            <v>0</v>
          </cell>
          <cell r="AH15">
            <v>2</v>
          </cell>
          <cell r="AI15">
            <v>98.8</v>
          </cell>
          <cell r="AJ15">
            <v>0</v>
          </cell>
          <cell r="AK15">
            <v>0</v>
          </cell>
          <cell r="AL15">
            <v>0</v>
          </cell>
          <cell r="AM15">
            <v>0</v>
          </cell>
          <cell r="AN15">
            <v>0</v>
          </cell>
          <cell r="AO15">
            <v>0</v>
          </cell>
          <cell r="AP15">
            <v>4</v>
          </cell>
          <cell r="AQ15">
            <v>0.05</v>
          </cell>
          <cell r="AR15">
            <v>2</v>
          </cell>
          <cell r="AS15">
            <v>0</v>
          </cell>
          <cell r="AT15">
            <v>0</v>
          </cell>
          <cell r="AU15">
            <v>0</v>
          </cell>
          <cell r="AV15">
            <v>0</v>
          </cell>
          <cell r="AW15">
            <v>0</v>
          </cell>
          <cell r="AX15">
            <v>0</v>
          </cell>
          <cell r="AY15">
            <v>0</v>
          </cell>
          <cell r="AZ15">
            <v>0</v>
          </cell>
          <cell r="BA15">
            <v>0</v>
          </cell>
          <cell r="BB15">
            <v>0</v>
          </cell>
          <cell r="BC15">
            <v>360</v>
          </cell>
          <cell r="BD15">
            <v>0</v>
          </cell>
          <cell r="BE15">
            <v>0</v>
          </cell>
          <cell r="BF15">
            <v>3</v>
          </cell>
          <cell r="BG15" t="str">
            <v>Tasa Fija Crédito Hipotecario con Pagos Mensuales y Amortización Creciente</v>
          </cell>
        </row>
        <row r="16">
          <cell r="B16" t="str">
            <v>01010201E</v>
          </cell>
          <cell r="C16" t="str">
            <v>Casa</v>
          </cell>
          <cell r="D16" t="str">
            <v>INFONAVIT</v>
          </cell>
          <cell r="E16" t="str">
            <v>Cofinavit</v>
          </cell>
          <cell r="F16" t="str">
            <v>01</v>
          </cell>
          <cell r="G16" t="str">
            <v>E</v>
          </cell>
          <cell r="H16">
            <v>0</v>
          </cell>
          <cell r="I16">
            <v>0</v>
          </cell>
          <cell r="J16">
            <v>1</v>
          </cell>
          <cell r="K16">
            <v>0</v>
          </cell>
          <cell r="L16">
            <v>30.4</v>
          </cell>
          <cell r="M16">
            <v>0</v>
          </cell>
          <cell r="N16">
            <v>0</v>
          </cell>
          <cell r="O16">
            <v>12</v>
          </cell>
          <cell r="P16">
            <v>1</v>
          </cell>
          <cell r="Q16">
            <v>0.01</v>
          </cell>
          <cell r="R16">
            <v>1200</v>
          </cell>
          <cell r="S16">
            <v>400000</v>
          </cell>
          <cell r="T16">
            <v>3.0000000000000001E-3</v>
          </cell>
          <cell r="U16">
            <v>500</v>
          </cell>
          <cell r="V16">
            <v>431.0344827586207</v>
          </cell>
          <cell r="W16">
            <v>299</v>
          </cell>
          <cell r="X16">
            <v>0</v>
          </cell>
          <cell r="Y16">
            <v>0</v>
          </cell>
          <cell r="Z16">
            <v>1</v>
          </cell>
          <cell r="AA16">
            <v>0</v>
          </cell>
          <cell r="AB16">
            <v>1</v>
          </cell>
          <cell r="AC16">
            <v>1</v>
          </cell>
          <cell r="AD16">
            <v>350000</v>
          </cell>
          <cell r="AE16">
            <v>75000</v>
          </cell>
          <cell r="AF16">
            <v>0.95</v>
          </cell>
          <cell r="AG16">
            <v>0</v>
          </cell>
          <cell r="AH16">
            <v>2</v>
          </cell>
          <cell r="AI16">
            <v>98.8</v>
          </cell>
          <cell r="AJ16">
            <v>180</v>
          </cell>
          <cell r="AK16">
            <v>180</v>
          </cell>
          <cell r="AL16">
            <v>0</v>
          </cell>
          <cell r="AM16">
            <v>0</v>
          </cell>
          <cell r="AN16">
            <v>0</v>
          </cell>
          <cell r="AO16">
            <v>0.05</v>
          </cell>
          <cell r="AP16">
            <v>0</v>
          </cell>
          <cell r="AQ16">
            <v>0</v>
          </cell>
          <cell r="AR16">
            <v>2</v>
          </cell>
          <cell r="AS16">
            <v>0</v>
          </cell>
          <cell r="AT16">
            <v>0</v>
          </cell>
          <cell r="AU16">
            <v>0</v>
          </cell>
          <cell r="AV16">
            <v>0</v>
          </cell>
          <cell r="AW16">
            <v>0</v>
          </cell>
          <cell r="AX16">
            <v>0</v>
          </cell>
          <cell r="AY16">
            <v>0</v>
          </cell>
          <cell r="AZ16">
            <v>0</v>
          </cell>
          <cell r="BA16">
            <v>0</v>
          </cell>
          <cell r="BB16">
            <v>0</v>
          </cell>
          <cell r="BC16">
            <v>360</v>
          </cell>
          <cell r="BD16">
            <v>0</v>
          </cell>
          <cell r="BE16">
            <v>0</v>
          </cell>
          <cell r="BF16">
            <v>1</v>
          </cell>
          <cell r="BG16" t="str">
            <v>Tasa Fija Crédito Hipotecario con Pagos Mensuales y Amortización Creciente</v>
          </cell>
        </row>
        <row r="17">
          <cell r="B17" t="str">
            <v>01020401E</v>
          </cell>
          <cell r="C17" t="str">
            <v>Casa</v>
          </cell>
          <cell r="D17" t="str">
            <v>FOVISSSTE</v>
          </cell>
          <cell r="E17" t="str">
            <v>Alia2+</v>
          </cell>
          <cell r="F17" t="str">
            <v>01</v>
          </cell>
          <cell r="G17" t="str">
            <v>E</v>
          </cell>
          <cell r="H17">
            <v>0</v>
          </cell>
          <cell r="I17">
            <v>0</v>
          </cell>
          <cell r="J17">
            <v>1</v>
          </cell>
          <cell r="K17">
            <v>0</v>
          </cell>
          <cell r="L17">
            <v>30.4</v>
          </cell>
          <cell r="M17">
            <v>0</v>
          </cell>
          <cell r="N17">
            <v>0</v>
          </cell>
          <cell r="O17">
            <v>12</v>
          </cell>
          <cell r="P17">
            <v>1</v>
          </cell>
          <cell r="Q17">
            <v>0.01</v>
          </cell>
          <cell r="R17">
            <v>1200</v>
          </cell>
          <cell r="S17">
            <v>400000</v>
          </cell>
          <cell r="T17">
            <v>3.0000000000000001E-3</v>
          </cell>
          <cell r="U17">
            <v>500</v>
          </cell>
          <cell r="V17">
            <v>431.0344827586207</v>
          </cell>
          <cell r="W17">
            <v>299</v>
          </cell>
          <cell r="X17">
            <v>0</v>
          </cell>
          <cell r="Y17">
            <v>0</v>
          </cell>
          <cell r="Z17">
            <v>1</v>
          </cell>
          <cell r="AA17">
            <v>0</v>
          </cell>
          <cell r="AB17">
            <v>1</v>
          </cell>
          <cell r="AC17">
            <v>1</v>
          </cell>
          <cell r="AD17">
            <v>350000</v>
          </cell>
          <cell r="AE17">
            <v>75000</v>
          </cell>
          <cell r="AF17">
            <v>0.85</v>
          </cell>
          <cell r="AG17">
            <v>0</v>
          </cell>
          <cell r="AH17">
            <v>2</v>
          </cell>
          <cell r="AI17">
            <v>98.8</v>
          </cell>
          <cell r="AJ17">
            <v>0</v>
          </cell>
          <cell r="AK17">
            <v>0</v>
          </cell>
          <cell r="AL17">
            <v>116.626</v>
          </cell>
          <cell r="AM17">
            <v>0</v>
          </cell>
          <cell r="AN17">
            <v>1</v>
          </cell>
          <cell r="AO17">
            <v>0</v>
          </cell>
          <cell r="AP17">
            <v>0</v>
          </cell>
          <cell r="AQ17">
            <v>0</v>
          </cell>
          <cell r="AR17">
            <v>2</v>
          </cell>
          <cell r="AS17">
            <v>0</v>
          </cell>
          <cell r="AT17">
            <v>0</v>
          </cell>
          <cell r="AU17">
            <v>0</v>
          </cell>
          <cell r="AV17">
            <v>0</v>
          </cell>
          <cell r="AW17">
            <v>0</v>
          </cell>
          <cell r="AX17">
            <v>0</v>
          </cell>
          <cell r="AY17">
            <v>0</v>
          </cell>
          <cell r="AZ17">
            <v>0</v>
          </cell>
          <cell r="BA17">
            <v>0</v>
          </cell>
          <cell r="BB17">
            <v>0</v>
          </cell>
          <cell r="BC17">
            <v>360</v>
          </cell>
          <cell r="BD17">
            <v>0</v>
          </cell>
          <cell r="BE17">
            <v>0</v>
          </cell>
          <cell r="BF17">
            <v>1</v>
          </cell>
          <cell r="BG17" t="str">
            <v>Tasa Fija Crédito Hipotecario Alia2+ con Pagos Mensuales y Amortización Crecientes</v>
          </cell>
        </row>
        <row r="18">
          <cell r="B18" t="str">
            <v>01020501E</v>
          </cell>
          <cell r="C18" t="str">
            <v>Casa</v>
          </cell>
          <cell r="D18" t="str">
            <v>FOVISSSTE</v>
          </cell>
          <cell r="E18" t="str">
            <v>Respalda2</v>
          </cell>
          <cell r="F18" t="str">
            <v>01</v>
          </cell>
          <cell r="G18" t="str">
            <v>E</v>
          </cell>
          <cell r="H18">
            <v>0</v>
          </cell>
          <cell r="I18">
            <v>0</v>
          </cell>
          <cell r="J18">
            <v>1</v>
          </cell>
          <cell r="K18">
            <v>0</v>
          </cell>
          <cell r="L18">
            <v>30.4</v>
          </cell>
          <cell r="M18">
            <v>0</v>
          </cell>
          <cell r="N18">
            <v>0</v>
          </cell>
          <cell r="O18">
            <v>12</v>
          </cell>
          <cell r="P18">
            <v>1</v>
          </cell>
          <cell r="Q18">
            <v>0.01</v>
          </cell>
          <cell r="R18">
            <v>1200</v>
          </cell>
          <cell r="S18">
            <v>400000</v>
          </cell>
          <cell r="T18">
            <v>3.0000000000000001E-3</v>
          </cell>
          <cell r="U18">
            <v>500</v>
          </cell>
          <cell r="V18">
            <v>431.0344827586207</v>
          </cell>
          <cell r="W18">
            <v>299</v>
          </cell>
          <cell r="X18">
            <v>0</v>
          </cell>
          <cell r="Y18">
            <v>0</v>
          </cell>
          <cell r="Z18">
            <v>1</v>
          </cell>
          <cell r="AA18">
            <v>0</v>
          </cell>
          <cell r="AB18">
            <v>1</v>
          </cell>
          <cell r="AC18">
            <v>1</v>
          </cell>
          <cell r="AD18">
            <v>350000</v>
          </cell>
          <cell r="AE18">
            <v>75000</v>
          </cell>
          <cell r="AF18">
            <v>0.85</v>
          </cell>
          <cell r="AG18">
            <v>0</v>
          </cell>
          <cell r="AH18">
            <v>2</v>
          </cell>
          <cell r="AI18">
            <v>98.8</v>
          </cell>
          <cell r="AJ18">
            <v>0</v>
          </cell>
          <cell r="AK18">
            <v>0</v>
          </cell>
          <cell r="AL18">
            <v>116.626</v>
          </cell>
          <cell r="AM18">
            <v>0</v>
          </cell>
          <cell r="AN18">
            <v>1</v>
          </cell>
          <cell r="AO18">
            <v>0</v>
          </cell>
          <cell r="AP18">
            <v>0</v>
          </cell>
          <cell r="AQ18">
            <v>0</v>
          </cell>
          <cell r="AR18">
            <v>2</v>
          </cell>
          <cell r="AS18">
            <v>0</v>
          </cell>
          <cell r="AT18">
            <v>0</v>
          </cell>
          <cell r="AU18">
            <v>0</v>
          </cell>
          <cell r="AV18">
            <v>0</v>
          </cell>
          <cell r="AW18">
            <v>0</v>
          </cell>
          <cell r="AX18">
            <v>0</v>
          </cell>
          <cell r="AY18">
            <v>0</v>
          </cell>
          <cell r="AZ18">
            <v>0</v>
          </cell>
          <cell r="BA18">
            <v>0</v>
          </cell>
          <cell r="BB18">
            <v>0</v>
          </cell>
          <cell r="BC18">
            <v>360</v>
          </cell>
          <cell r="BD18">
            <v>0</v>
          </cell>
          <cell r="BE18">
            <v>0</v>
          </cell>
          <cell r="BF18">
            <v>1</v>
          </cell>
          <cell r="BG18" t="str">
            <v>Tasa Fija Crédito Hipotecario Respalda2 con Pagos Mensuales y Amortización Crecientes</v>
          </cell>
        </row>
        <row r="19">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row>
        <row r="20">
          <cell r="B20" t="str">
            <v>02000001A</v>
          </cell>
          <cell r="C20" t="str">
            <v>Mejora</v>
          </cell>
          <cell r="D20" t="str">
            <v>Ninguno</v>
          </cell>
          <cell r="E20" t="str">
            <v>Ninguno</v>
          </cell>
          <cell r="F20" t="str">
            <v>01</v>
          </cell>
          <cell r="G20" t="str">
            <v>A</v>
          </cell>
          <cell r="H20">
            <v>0</v>
          </cell>
          <cell r="I20">
            <v>0</v>
          </cell>
          <cell r="J20">
            <v>12</v>
          </cell>
          <cell r="K20">
            <v>0</v>
          </cell>
          <cell r="L20">
            <v>30.4</v>
          </cell>
          <cell r="M20">
            <v>0</v>
          </cell>
          <cell r="N20">
            <v>0</v>
          </cell>
          <cell r="O20">
            <v>1</v>
          </cell>
          <cell r="P20">
            <v>0</v>
          </cell>
          <cell r="Q20">
            <v>0</v>
          </cell>
          <cell r="R20">
            <v>1200</v>
          </cell>
          <cell r="S20">
            <v>400000</v>
          </cell>
          <cell r="T20">
            <v>3.0000000000000001E-3</v>
          </cell>
          <cell r="U20">
            <v>750</v>
          </cell>
          <cell r="V20">
            <v>646.55172413793105</v>
          </cell>
          <cell r="W20">
            <v>349</v>
          </cell>
          <cell r="X20">
            <v>0.03</v>
          </cell>
          <cell r="Y20">
            <v>0</v>
          </cell>
          <cell r="Z20">
            <v>1</v>
          </cell>
          <cell r="AA20">
            <v>0</v>
          </cell>
          <cell r="AB20">
            <v>1</v>
          </cell>
          <cell r="AC20">
            <v>1</v>
          </cell>
          <cell r="AD20">
            <v>350000</v>
          </cell>
          <cell r="AE20">
            <v>75000</v>
          </cell>
          <cell r="AF20">
            <v>0.85</v>
          </cell>
          <cell r="AG20">
            <v>0</v>
          </cell>
          <cell r="AH20">
            <v>2</v>
          </cell>
          <cell r="AI20">
            <v>98.8</v>
          </cell>
          <cell r="AJ20">
            <v>0</v>
          </cell>
          <cell r="AK20">
            <v>0</v>
          </cell>
          <cell r="AL20">
            <v>0</v>
          </cell>
          <cell r="AM20">
            <v>0</v>
          </cell>
          <cell r="AN20">
            <v>0</v>
          </cell>
          <cell r="AO20">
            <v>0</v>
          </cell>
          <cell r="AP20">
            <v>0</v>
          </cell>
          <cell r="AQ20">
            <v>0</v>
          </cell>
          <cell r="AR20">
            <v>2</v>
          </cell>
          <cell r="AS20">
            <v>0</v>
          </cell>
          <cell r="AT20">
            <v>0</v>
          </cell>
          <cell r="AU20">
            <v>0</v>
          </cell>
          <cell r="AV20">
            <v>0</v>
          </cell>
          <cell r="AW20">
            <v>0</v>
          </cell>
          <cell r="AX20">
            <v>0</v>
          </cell>
          <cell r="AY20">
            <v>0</v>
          </cell>
          <cell r="AZ20">
            <v>0</v>
          </cell>
          <cell r="BA20">
            <v>0</v>
          </cell>
          <cell r="BB20">
            <v>0</v>
          </cell>
          <cell r="BC20">
            <v>360</v>
          </cell>
          <cell r="BD20">
            <v>0</v>
          </cell>
          <cell r="BE20">
            <v>0</v>
          </cell>
          <cell r="BF20">
            <v>1</v>
          </cell>
          <cell r="BG20" t="str">
            <v>Crédito Hipotecario a Tasa Fija con Amortización Creciente</v>
          </cell>
        </row>
        <row r="21">
          <cell r="B21" t="str">
            <v>02000001E</v>
          </cell>
          <cell r="C21" t="str">
            <v>Mejora</v>
          </cell>
          <cell r="D21" t="str">
            <v>Ninguno</v>
          </cell>
          <cell r="E21" t="str">
            <v>Ninguno</v>
          </cell>
          <cell r="F21" t="str">
            <v>01</v>
          </cell>
          <cell r="G21" t="str">
            <v>E</v>
          </cell>
          <cell r="H21">
            <v>0</v>
          </cell>
          <cell r="I21">
            <v>0</v>
          </cell>
          <cell r="J21">
            <v>1</v>
          </cell>
          <cell r="K21">
            <v>0</v>
          </cell>
          <cell r="L21">
            <v>30.4</v>
          </cell>
          <cell r="M21">
            <v>0</v>
          </cell>
          <cell r="N21">
            <v>0</v>
          </cell>
          <cell r="O21">
            <v>12</v>
          </cell>
          <cell r="P21">
            <v>1</v>
          </cell>
          <cell r="Q21">
            <v>0</v>
          </cell>
          <cell r="R21">
            <v>1200</v>
          </cell>
          <cell r="S21">
            <v>400000</v>
          </cell>
          <cell r="T21">
            <v>3.0000000000000001E-3</v>
          </cell>
          <cell r="U21">
            <v>500</v>
          </cell>
          <cell r="V21">
            <v>431.0344827586207</v>
          </cell>
          <cell r="W21">
            <v>299</v>
          </cell>
          <cell r="X21">
            <v>0.03</v>
          </cell>
          <cell r="Y21">
            <v>0</v>
          </cell>
          <cell r="Z21">
            <v>1</v>
          </cell>
          <cell r="AA21">
            <v>0</v>
          </cell>
          <cell r="AB21">
            <v>1</v>
          </cell>
          <cell r="AC21">
            <v>1</v>
          </cell>
          <cell r="AD21">
            <v>350000</v>
          </cell>
          <cell r="AE21">
            <v>75000</v>
          </cell>
          <cell r="AF21">
            <v>0.85</v>
          </cell>
          <cell r="AG21">
            <v>0</v>
          </cell>
          <cell r="AH21">
            <v>2</v>
          </cell>
          <cell r="AI21">
            <v>98.8</v>
          </cell>
          <cell r="AJ21">
            <v>0</v>
          </cell>
          <cell r="AK21">
            <v>0</v>
          </cell>
          <cell r="AL21">
            <v>0</v>
          </cell>
          <cell r="AM21">
            <v>0</v>
          </cell>
          <cell r="AN21">
            <v>0</v>
          </cell>
          <cell r="AO21">
            <v>0</v>
          </cell>
          <cell r="AP21">
            <v>0</v>
          </cell>
          <cell r="AQ21">
            <v>0</v>
          </cell>
          <cell r="AR21">
            <v>2</v>
          </cell>
          <cell r="AS21">
            <v>0</v>
          </cell>
          <cell r="AT21">
            <v>0</v>
          </cell>
          <cell r="AU21">
            <v>0</v>
          </cell>
          <cell r="AV21">
            <v>0</v>
          </cell>
          <cell r="AW21">
            <v>0</v>
          </cell>
          <cell r="AX21">
            <v>0</v>
          </cell>
          <cell r="AY21">
            <v>0</v>
          </cell>
          <cell r="AZ21">
            <v>0</v>
          </cell>
          <cell r="BA21">
            <v>0</v>
          </cell>
          <cell r="BB21">
            <v>0</v>
          </cell>
          <cell r="BC21">
            <v>360</v>
          </cell>
          <cell r="BD21">
            <v>0</v>
          </cell>
          <cell r="BE21">
            <v>0</v>
          </cell>
          <cell r="BF21">
            <v>1</v>
          </cell>
          <cell r="BG21" t="str">
            <v>Tasa Fija Crédito Hipotecario con Pagos Mensuales y Amortización Creciente</v>
          </cell>
        </row>
        <row r="22">
          <cell r="B22" t="str">
            <v>02010101A</v>
          </cell>
          <cell r="C22" t="str">
            <v>Mejora</v>
          </cell>
          <cell r="D22" t="str">
            <v>INFONAVIT</v>
          </cell>
          <cell r="E22" t="str">
            <v>Apoyo INFONAVIT</v>
          </cell>
          <cell r="F22" t="str">
            <v>01</v>
          </cell>
          <cell r="G22" t="str">
            <v>A</v>
          </cell>
          <cell r="H22">
            <v>0</v>
          </cell>
          <cell r="I22">
            <v>0</v>
          </cell>
          <cell r="J22">
            <v>12</v>
          </cell>
          <cell r="K22">
            <v>0</v>
          </cell>
          <cell r="L22">
            <v>30.4</v>
          </cell>
          <cell r="M22">
            <v>0</v>
          </cell>
          <cell r="N22">
            <v>0</v>
          </cell>
          <cell r="O22">
            <v>1</v>
          </cell>
          <cell r="P22">
            <v>0</v>
          </cell>
          <cell r="Q22">
            <v>0</v>
          </cell>
          <cell r="R22">
            <v>1200</v>
          </cell>
          <cell r="S22">
            <v>400000</v>
          </cell>
          <cell r="T22">
            <v>3.0000000000000001E-3</v>
          </cell>
          <cell r="U22">
            <v>750</v>
          </cell>
          <cell r="V22">
            <v>646.55172413793105</v>
          </cell>
          <cell r="W22">
            <v>349</v>
          </cell>
          <cell r="X22">
            <v>0.03</v>
          </cell>
          <cell r="Y22">
            <v>0</v>
          </cell>
          <cell r="Z22">
            <v>1</v>
          </cell>
          <cell r="AA22">
            <v>0</v>
          </cell>
          <cell r="AB22">
            <v>1</v>
          </cell>
          <cell r="AC22">
            <v>1</v>
          </cell>
          <cell r="AD22">
            <v>350000</v>
          </cell>
          <cell r="AE22">
            <v>75000</v>
          </cell>
          <cell r="AF22">
            <v>0.95</v>
          </cell>
          <cell r="AG22">
            <v>0</v>
          </cell>
          <cell r="AH22">
            <v>2</v>
          </cell>
          <cell r="AI22">
            <v>200</v>
          </cell>
          <cell r="AJ22">
            <v>0</v>
          </cell>
          <cell r="AK22">
            <v>0</v>
          </cell>
          <cell r="AL22">
            <v>0</v>
          </cell>
          <cell r="AM22">
            <v>0</v>
          </cell>
          <cell r="AN22">
            <v>0</v>
          </cell>
          <cell r="AO22">
            <v>0</v>
          </cell>
          <cell r="AP22">
            <v>4</v>
          </cell>
          <cell r="AQ22">
            <v>0.05</v>
          </cell>
          <cell r="AR22">
            <v>2</v>
          </cell>
          <cell r="AS22">
            <v>0</v>
          </cell>
          <cell r="AT22">
            <v>0</v>
          </cell>
          <cell r="AU22">
            <v>0</v>
          </cell>
          <cell r="AV22">
            <v>0</v>
          </cell>
          <cell r="AW22">
            <v>0</v>
          </cell>
          <cell r="AX22">
            <v>0</v>
          </cell>
          <cell r="AY22">
            <v>0</v>
          </cell>
          <cell r="AZ22">
            <v>0</v>
          </cell>
          <cell r="BA22">
            <v>0</v>
          </cell>
          <cell r="BB22">
            <v>0</v>
          </cell>
          <cell r="BC22">
            <v>360</v>
          </cell>
          <cell r="BD22">
            <v>0</v>
          </cell>
          <cell r="BE22">
            <v>0</v>
          </cell>
          <cell r="BF22">
            <v>1</v>
          </cell>
          <cell r="BG22" t="str">
            <v>Crédito Hipotecario a Tasa Fija con Amortización Creciente</v>
          </cell>
        </row>
        <row r="23">
          <cell r="B23" t="str">
            <v>02010101E</v>
          </cell>
          <cell r="C23" t="str">
            <v>Mejora</v>
          </cell>
          <cell r="D23" t="str">
            <v>INFONAVIT</v>
          </cell>
          <cell r="E23" t="str">
            <v>Apoyo INFONAVIT</v>
          </cell>
          <cell r="F23" t="str">
            <v>01</v>
          </cell>
          <cell r="G23" t="str">
            <v>E</v>
          </cell>
          <cell r="H23">
            <v>0</v>
          </cell>
          <cell r="I23">
            <v>0</v>
          </cell>
          <cell r="J23">
            <v>1</v>
          </cell>
          <cell r="K23">
            <v>0</v>
          </cell>
          <cell r="L23">
            <v>30.4</v>
          </cell>
          <cell r="M23">
            <v>0</v>
          </cell>
          <cell r="N23">
            <v>0</v>
          </cell>
          <cell r="O23">
            <v>12</v>
          </cell>
          <cell r="P23">
            <v>1</v>
          </cell>
          <cell r="Q23">
            <v>0</v>
          </cell>
          <cell r="R23">
            <v>1200</v>
          </cell>
          <cell r="S23">
            <v>400000</v>
          </cell>
          <cell r="T23">
            <v>3.0000000000000001E-3</v>
          </cell>
          <cell r="U23">
            <v>500</v>
          </cell>
          <cell r="V23">
            <v>431.0344827586207</v>
          </cell>
          <cell r="W23">
            <v>299</v>
          </cell>
          <cell r="X23">
            <v>0.03</v>
          </cell>
          <cell r="Y23">
            <v>0</v>
          </cell>
          <cell r="Z23">
            <v>1</v>
          </cell>
          <cell r="AA23">
            <v>0</v>
          </cell>
          <cell r="AB23">
            <v>1</v>
          </cell>
          <cell r="AC23">
            <v>1</v>
          </cell>
          <cell r="AD23">
            <v>350000</v>
          </cell>
          <cell r="AE23">
            <v>75000</v>
          </cell>
          <cell r="AF23">
            <v>0.95</v>
          </cell>
          <cell r="AG23">
            <v>0</v>
          </cell>
          <cell r="AH23">
            <v>2</v>
          </cell>
          <cell r="AI23">
            <v>200</v>
          </cell>
          <cell r="AJ23">
            <v>0</v>
          </cell>
          <cell r="AK23">
            <v>0</v>
          </cell>
          <cell r="AL23">
            <v>0</v>
          </cell>
          <cell r="AM23">
            <v>0</v>
          </cell>
          <cell r="AN23">
            <v>0</v>
          </cell>
          <cell r="AO23">
            <v>0</v>
          </cell>
          <cell r="AP23">
            <v>4</v>
          </cell>
          <cell r="AQ23">
            <v>0.05</v>
          </cell>
          <cell r="AR23">
            <v>2</v>
          </cell>
          <cell r="AS23">
            <v>0</v>
          </cell>
          <cell r="AT23">
            <v>0</v>
          </cell>
          <cell r="AU23">
            <v>0</v>
          </cell>
          <cell r="AV23">
            <v>0</v>
          </cell>
          <cell r="AW23">
            <v>0</v>
          </cell>
          <cell r="AX23">
            <v>0</v>
          </cell>
          <cell r="AY23">
            <v>0</v>
          </cell>
          <cell r="AZ23">
            <v>0</v>
          </cell>
          <cell r="BA23">
            <v>0</v>
          </cell>
          <cell r="BB23">
            <v>0</v>
          </cell>
          <cell r="BC23">
            <v>360</v>
          </cell>
          <cell r="BD23">
            <v>0</v>
          </cell>
          <cell r="BE23">
            <v>0</v>
          </cell>
          <cell r="BF23">
            <v>1</v>
          </cell>
          <cell r="BG23" t="str">
            <v>Tasa Fija Crédito Hipotecario con Pagos Mensuales y Amortización Creciente</v>
          </cell>
        </row>
        <row r="24">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row>
        <row r="25">
          <cell r="B25" t="str">
            <v>10000001A</v>
          </cell>
          <cell r="C25" t="str">
            <v>Mejora con Remodelación</v>
          </cell>
          <cell r="D25" t="str">
            <v>Ninguno</v>
          </cell>
          <cell r="E25" t="str">
            <v>Ninguno</v>
          </cell>
          <cell r="F25" t="str">
            <v>01</v>
          </cell>
          <cell r="G25" t="str">
            <v>A</v>
          </cell>
          <cell r="H25">
            <v>0</v>
          </cell>
          <cell r="I25">
            <v>0</v>
          </cell>
          <cell r="J25">
            <v>12</v>
          </cell>
          <cell r="K25">
            <v>0</v>
          </cell>
          <cell r="L25">
            <v>30.4</v>
          </cell>
          <cell r="M25">
            <v>0</v>
          </cell>
          <cell r="N25">
            <v>0</v>
          </cell>
          <cell r="O25">
            <v>1</v>
          </cell>
          <cell r="P25">
            <v>0</v>
          </cell>
          <cell r="Q25">
            <v>0</v>
          </cell>
          <cell r="R25">
            <v>1200</v>
          </cell>
          <cell r="S25">
            <v>400000</v>
          </cell>
          <cell r="T25">
            <v>3.0000000000000001E-3</v>
          </cell>
          <cell r="U25">
            <v>750</v>
          </cell>
          <cell r="V25">
            <v>646.55172413793105</v>
          </cell>
          <cell r="W25">
            <v>349</v>
          </cell>
          <cell r="X25">
            <v>0.03</v>
          </cell>
          <cell r="Y25">
            <v>0</v>
          </cell>
          <cell r="Z25">
            <v>1</v>
          </cell>
          <cell r="AA25">
            <v>0</v>
          </cell>
          <cell r="AB25">
            <v>1</v>
          </cell>
          <cell r="AC25">
            <v>1</v>
          </cell>
          <cell r="AD25">
            <v>350000</v>
          </cell>
          <cell r="AE25">
            <v>75000</v>
          </cell>
          <cell r="AF25">
            <v>0.7</v>
          </cell>
          <cell r="AG25">
            <v>0</v>
          </cell>
          <cell r="AH25">
            <v>2</v>
          </cell>
          <cell r="AI25">
            <v>98.8</v>
          </cell>
          <cell r="AJ25">
            <v>0</v>
          </cell>
          <cell r="AK25">
            <v>0</v>
          </cell>
          <cell r="AL25">
            <v>0</v>
          </cell>
          <cell r="AM25">
            <v>0</v>
          </cell>
          <cell r="AN25">
            <v>0</v>
          </cell>
          <cell r="AO25">
            <v>0</v>
          </cell>
          <cell r="AP25">
            <v>0</v>
          </cell>
          <cell r="AQ25">
            <v>0</v>
          </cell>
          <cell r="AR25">
            <v>2</v>
          </cell>
          <cell r="AS25">
            <v>0</v>
          </cell>
          <cell r="AT25">
            <v>0</v>
          </cell>
          <cell r="AU25">
            <v>0</v>
          </cell>
          <cell r="AV25">
            <v>0</v>
          </cell>
          <cell r="AW25">
            <v>0</v>
          </cell>
          <cell r="AX25">
            <v>0</v>
          </cell>
          <cell r="AY25">
            <v>0</v>
          </cell>
          <cell r="AZ25">
            <v>0</v>
          </cell>
          <cell r="BA25">
            <v>0</v>
          </cell>
          <cell r="BB25">
            <v>0</v>
          </cell>
          <cell r="BC25">
            <v>360</v>
          </cell>
          <cell r="BD25">
            <v>0</v>
          </cell>
          <cell r="BE25">
            <v>0</v>
          </cell>
          <cell r="BF25">
            <v>1</v>
          </cell>
          <cell r="BG25" t="str">
            <v>Crédito Hipotecario a Tasa Fija con Amortización Creciente</v>
          </cell>
        </row>
        <row r="26">
          <cell r="B26" t="str">
            <v>10000001E</v>
          </cell>
          <cell r="C26" t="str">
            <v>Mejora con Remodelación</v>
          </cell>
          <cell r="D26" t="str">
            <v>Ninguno</v>
          </cell>
          <cell r="E26" t="str">
            <v>Ninguno</v>
          </cell>
          <cell r="F26" t="str">
            <v>01</v>
          </cell>
          <cell r="G26" t="str">
            <v>E</v>
          </cell>
          <cell r="H26">
            <v>0</v>
          </cell>
          <cell r="I26">
            <v>0</v>
          </cell>
          <cell r="J26">
            <v>1</v>
          </cell>
          <cell r="K26">
            <v>0</v>
          </cell>
          <cell r="L26">
            <v>30.4</v>
          </cell>
          <cell r="M26">
            <v>0</v>
          </cell>
          <cell r="N26">
            <v>0</v>
          </cell>
          <cell r="O26">
            <v>12</v>
          </cell>
          <cell r="P26">
            <v>1</v>
          </cell>
          <cell r="Q26">
            <v>0</v>
          </cell>
          <cell r="R26">
            <v>1200</v>
          </cell>
          <cell r="S26">
            <v>400000</v>
          </cell>
          <cell r="T26">
            <v>3.0000000000000001E-3</v>
          </cell>
          <cell r="U26">
            <v>500</v>
          </cell>
          <cell r="V26">
            <v>431.0344827586207</v>
          </cell>
          <cell r="W26">
            <v>299</v>
          </cell>
          <cell r="X26">
            <v>0.03</v>
          </cell>
          <cell r="Y26">
            <v>0</v>
          </cell>
          <cell r="Z26">
            <v>1</v>
          </cell>
          <cell r="AA26">
            <v>0</v>
          </cell>
          <cell r="AB26">
            <v>1</v>
          </cell>
          <cell r="AC26">
            <v>1</v>
          </cell>
          <cell r="AD26">
            <v>350000</v>
          </cell>
          <cell r="AE26">
            <v>75000</v>
          </cell>
          <cell r="AF26">
            <v>0.7</v>
          </cell>
          <cell r="AG26">
            <v>0</v>
          </cell>
          <cell r="AH26">
            <v>2</v>
          </cell>
          <cell r="AI26">
            <v>98.8</v>
          </cell>
          <cell r="AJ26">
            <v>0</v>
          </cell>
          <cell r="AK26">
            <v>0</v>
          </cell>
          <cell r="AL26">
            <v>0</v>
          </cell>
          <cell r="AM26">
            <v>0</v>
          </cell>
          <cell r="AN26">
            <v>0</v>
          </cell>
          <cell r="AO26">
            <v>0</v>
          </cell>
          <cell r="AP26">
            <v>0</v>
          </cell>
          <cell r="AQ26">
            <v>0</v>
          </cell>
          <cell r="AR26">
            <v>2</v>
          </cell>
          <cell r="AS26">
            <v>0</v>
          </cell>
          <cell r="AT26">
            <v>0</v>
          </cell>
          <cell r="AU26">
            <v>0</v>
          </cell>
          <cell r="AV26">
            <v>0</v>
          </cell>
          <cell r="AW26">
            <v>0</v>
          </cell>
          <cell r="AX26">
            <v>0</v>
          </cell>
          <cell r="AY26">
            <v>0</v>
          </cell>
          <cell r="AZ26">
            <v>0</v>
          </cell>
          <cell r="BA26">
            <v>0</v>
          </cell>
          <cell r="BB26">
            <v>0</v>
          </cell>
          <cell r="BC26">
            <v>360</v>
          </cell>
          <cell r="BD26">
            <v>0</v>
          </cell>
          <cell r="BE26">
            <v>0</v>
          </cell>
          <cell r="BF26">
            <v>1</v>
          </cell>
          <cell r="BG26" t="str">
            <v>Tasa Fija Crédito Hipotecario con Pagos Mensuales y Amortización Creciente</v>
          </cell>
        </row>
        <row r="27">
          <cell r="B27">
            <v>0</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row>
        <row r="28">
          <cell r="B28" t="str">
            <v>03000001A</v>
          </cell>
          <cell r="C28" t="str">
            <v>Construcción</v>
          </cell>
          <cell r="D28" t="str">
            <v>Ninguno</v>
          </cell>
          <cell r="E28" t="str">
            <v>Ninguno</v>
          </cell>
          <cell r="F28" t="str">
            <v>01</v>
          </cell>
          <cell r="G28" t="str">
            <v>A</v>
          </cell>
          <cell r="H28">
            <v>0</v>
          </cell>
          <cell r="I28">
            <v>0</v>
          </cell>
          <cell r="J28">
            <v>12</v>
          </cell>
          <cell r="K28">
            <v>0</v>
          </cell>
          <cell r="L28">
            <v>30.4</v>
          </cell>
          <cell r="M28">
            <v>0</v>
          </cell>
          <cell r="N28">
            <v>0</v>
          </cell>
          <cell r="O28">
            <v>1</v>
          </cell>
          <cell r="P28">
            <v>0</v>
          </cell>
          <cell r="Q28">
            <v>0.01</v>
          </cell>
          <cell r="R28">
            <v>1200</v>
          </cell>
          <cell r="S28">
            <v>400000</v>
          </cell>
          <cell r="T28">
            <v>3.0000000000000001E-3</v>
          </cell>
          <cell r="U28">
            <v>750</v>
          </cell>
          <cell r="V28">
            <v>646.55172413793105</v>
          </cell>
          <cell r="W28">
            <v>349</v>
          </cell>
          <cell r="X28">
            <v>0</v>
          </cell>
          <cell r="Y28">
            <v>0</v>
          </cell>
          <cell r="Z28">
            <v>1</v>
          </cell>
          <cell r="AA28">
            <v>0.01</v>
          </cell>
          <cell r="AB28">
            <v>4</v>
          </cell>
          <cell r="AC28">
            <v>12</v>
          </cell>
          <cell r="AD28">
            <v>500000</v>
          </cell>
          <cell r="AE28">
            <v>200000</v>
          </cell>
          <cell r="AF28">
            <v>0.7</v>
          </cell>
          <cell r="AG28">
            <v>0</v>
          </cell>
          <cell r="AH28">
            <v>2</v>
          </cell>
          <cell r="AI28">
            <v>98.8</v>
          </cell>
          <cell r="AJ28">
            <v>0</v>
          </cell>
          <cell r="AK28">
            <v>0</v>
          </cell>
          <cell r="AL28">
            <v>0</v>
          </cell>
          <cell r="AM28">
            <v>0</v>
          </cell>
          <cell r="AN28">
            <v>0</v>
          </cell>
          <cell r="AO28">
            <v>0</v>
          </cell>
          <cell r="AP28">
            <v>0</v>
          </cell>
          <cell r="AQ28">
            <v>0</v>
          </cell>
          <cell r="AR28">
            <v>2</v>
          </cell>
          <cell r="AS28">
            <v>0</v>
          </cell>
          <cell r="AT28">
            <v>0</v>
          </cell>
          <cell r="AU28">
            <v>0</v>
          </cell>
          <cell r="AV28">
            <v>0</v>
          </cell>
          <cell r="AW28">
            <v>0</v>
          </cell>
          <cell r="AX28">
            <v>0</v>
          </cell>
          <cell r="AY28">
            <v>0</v>
          </cell>
          <cell r="AZ28">
            <v>0</v>
          </cell>
          <cell r="BA28">
            <v>0</v>
          </cell>
          <cell r="BB28">
            <v>0</v>
          </cell>
          <cell r="BC28">
            <v>360</v>
          </cell>
          <cell r="BD28">
            <v>0</v>
          </cell>
          <cell r="BE28">
            <v>0</v>
          </cell>
          <cell r="BF28">
            <v>1</v>
          </cell>
          <cell r="BG28" t="str">
            <v>Crédito Hipotecario a Tasa Fija con Amortización Creciente</v>
          </cell>
        </row>
        <row r="29">
          <cell r="B29" t="str">
            <v>03000001E</v>
          </cell>
          <cell r="C29" t="str">
            <v>Construcción</v>
          </cell>
          <cell r="D29" t="str">
            <v>Ninguno</v>
          </cell>
          <cell r="E29" t="str">
            <v>Ninguno</v>
          </cell>
          <cell r="F29" t="str">
            <v>01</v>
          </cell>
          <cell r="G29" t="str">
            <v>E</v>
          </cell>
          <cell r="H29">
            <v>0</v>
          </cell>
          <cell r="I29">
            <v>0</v>
          </cell>
          <cell r="J29">
            <v>1</v>
          </cell>
          <cell r="K29">
            <v>0</v>
          </cell>
          <cell r="L29">
            <v>30.4</v>
          </cell>
          <cell r="M29">
            <v>0</v>
          </cell>
          <cell r="N29">
            <v>0</v>
          </cell>
          <cell r="O29">
            <v>12</v>
          </cell>
          <cell r="P29">
            <v>1</v>
          </cell>
          <cell r="Q29">
            <v>0.01</v>
          </cell>
          <cell r="R29">
            <v>1200</v>
          </cell>
          <cell r="S29">
            <v>400000</v>
          </cell>
          <cell r="T29">
            <v>3.0000000000000001E-3</v>
          </cell>
          <cell r="U29">
            <v>500</v>
          </cell>
          <cell r="V29">
            <v>431.0344827586207</v>
          </cell>
          <cell r="W29">
            <v>299</v>
          </cell>
          <cell r="X29">
            <v>0</v>
          </cell>
          <cell r="Y29">
            <v>0</v>
          </cell>
          <cell r="Z29">
            <v>1</v>
          </cell>
          <cell r="AA29">
            <v>0.01</v>
          </cell>
          <cell r="AB29">
            <v>4</v>
          </cell>
          <cell r="AC29">
            <v>12</v>
          </cell>
          <cell r="AD29">
            <v>500000</v>
          </cell>
          <cell r="AE29">
            <v>200000</v>
          </cell>
          <cell r="AF29">
            <v>0.5</v>
          </cell>
          <cell r="AG29">
            <v>0</v>
          </cell>
          <cell r="AH29">
            <v>2</v>
          </cell>
          <cell r="AI29">
            <v>98.8</v>
          </cell>
          <cell r="AJ29">
            <v>0</v>
          </cell>
          <cell r="AK29">
            <v>0</v>
          </cell>
          <cell r="AL29">
            <v>0</v>
          </cell>
          <cell r="AM29">
            <v>0</v>
          </cell>
          <cell r="AN29">
            <v>0</v>
          </cell>
          <cell r="AO29">
            <v>0</v>
          </cell>
          <cell r="AP29">
            <v>0</v>
          </cell>
          <cell r="AQ29">
            <v>0</v>
          </cell>
          <cell r="AR29">
            <v>2</v>
          </cell>
          <cell r="AS29">
            <v>0</v>
          </cell>
          <cell r="AT29">
            <v>0</v>
          </cell>
          <cell r="AU29">
            <v>0</v>
          </cell>
          <cell r="AV29">
            <v>0</v>
          </cell>
          <cell r="AW29">
            <v>0</v>
          </cell>
          <cell r="AX29">
            <v>0</v>
          </cell>
          <cell r="AY29">
            <v>0</v>
          </cell>
          <cell r="AZ29">
            <v>0</v>
          </cell>
          <cell r="BA29">
            <v>0</v>
          </cell>
          <cell r="BB29">
            <v>0</v>
          </cell>
          <cell r="BC29">
            <v>360</v>
          </cell>
          <cell r="BD29">
            <v>0</v>
          </cell>
          <cell r="BE29">
            <v>0</v>
          </cell>
          <cell r="BF29">
            <v>1</v>
          </cell>
          <cell r="BG29" t="str">
            <v>Tasa Fija Crédito Hipotecario con Pagos Mensuales y Amortización Creciente</v>
          </cell>
        </row>
        <row r="30">
          <cell r="B30" t="str">
            <v>03010101A</v>
          </cell>
          <cell r="C30" t="str">
            <v>Construcción</v>
          </cell>
          <cell r="D30" t="str">
            <v>INFONAVIT</v>
          </cell>
          <cell r="E30" t="str">
            <v>Apoyo INFONAVIT</v>
          </cell>
          <cell r="F30" t="str">
            <v>01</v>
          </cell>
          <cell r="G30" t="str">
            <v>A</v>
          </cell>
          <cell r="H30">
            <v>0</v>
          </cell>
          <cell r="I30">
            <v>0</v>
          </cell>
          <cell r="J30">
            <v>12</v>
          </cell>
          <cell r="K30">
            <v>0</v>
          </cell>
          <cell r="L30">
            <v>30.4</v>
          </cell>
          <cell r="M30">
            <v>0</v>
          </cell>
          <cell r="N30">
            <v>0</v>
          </cell>
          <cell r="O30">
            <v>1</v>
          </cell>
          <cell r="P30">
            <v>0</v>
          </cell>
          <cell r="Q30">
            <v>0.01</v>
          </cell>
          <cell r="R30">
            <v>1200</v>
          </cell>
          <cell r="S30">
            <v>400000</v>
          </cell>
          <cell r="T30">
            <v>3.0000000000000001E-3</v>
          </cell>
          <cell r="U30">
            <v>750</v>
          </cell>
          <cell r="V30">
            <v>646.55172413793105</v>
          </cell>
          <cell r="W30">
            <v>349</v>
          </cell>
          <cell r="X30">
            <v>0</v>
          </cell>
          <cell r="Y30">
            <v>0</v>
          </cell>
          <cell r="Z30">
            <v>1</v>
          </cell>
          <cell r="AA30">
            <v>0.01</v>
          </cell>
          <cell r="AB30">
            <v>4</v>
          </cell>
          <cell r="AC30">
            <v>12</v>
          </cell>
          <cell r="AD30">
            <v>500000</v>
          </cell>
          <cell r="AE30">
            <v>200000</v>
          </cell>
          <cell r="AF30">
            <v>0.8</v>
          </cell>
          <cell r="AG30">
            <v>0</v>
          </cell>
          <cell r="AH30">
            <v>2</v>
          </cell>
          <cell r="AI30">
            <v>200</v>
          </cell>
          <cell r="AJ30">
            <v>0</v>
          </cell>
          <cell r="AK30">
            <v>0</v>
          </cell>
          <cell r="AL30">
            <v>0</v>
          </cell>
          <cell r="AM30">
            <v>0</v>
          </cell>
          <cell r="AN30">
            <v>0</v>
          </cell>
          <cell r="AO30">
            <v>0</v>
          </cell>
          <cell r="AP30">
            <v>4</v>
          </cell>
          <cell r="AQ30">
            <v>0.05</v>
          </cell>
          <cell r="AR30">
            <v>2</v>
          </cell>
          <cell r="AS30">
            <v>0</v>
          </cell>
          <cell r="AT30">
            <v>0</v>
          </cell>
          <cell r="AU30">
            <v>0</v>
          </cell>
          <cell r="AV30">
            <v>0</v>
          </cell>
          <cell r="AW30">
            <v>0</v>
          </cell>
          <cell r="AX30">
            <v>0</v>
          </cell>
          <cell r="AY30">
            <v>0</v>
          </cell>
          <cell r="AZ30">
            <v>0</v>
          </cell>
          <cell r="BA30">
            <v>0</v>
          </cell>
          <cell r="BB30">
            <v>0</v>
          </cell>
          <cell r="BC30">
            <v>360</v>
          </cell>
          <cell r="BD30">
            <v>0</v>
          </cell>
          <cell r="BE30">
            <v>0</v>
          </cell>
          <cell r="BF30">
            <v>1</v>
          </cell>
          <cell r="BG30" t="str">
            <v>Crédito Hipotecario a Tasa Fija con Amortización Creciente</v>
          </cell>
        </row>
        <row r="31">
          <cell r="B31" t="str">
            <v>03010101E</v>
          </cell>
          <cell r="C31" t="str">
            <v>Construcción</v>
          </cell>
          <cell r="D31" t="str">
            <v>INFONAVIT</v>
          </cell>
          <cell r="E31" t="str">
            <v>Apoyo INFONAVIT</v>
          </cell>
          <cell r="F31" t="str">
            <v>01</v>
          </cell>
          <cell r="G31" t="str">
            <v>E</v>
          </cell>
          <cell r="H31">
            <v>0</v>
          </cell>
          <cell r="I31">
            <v>0</v>
          </cell>
          <cell r="J31">
            <v>1</v>
          </cell>
          <cell r="K31">
            <v>0</v>
          </cell>
          <cell r="L31">
            <v>30.4</v>
          </cell>
          <cell r="M31">
            <v>0</v>
          </cell>
          <cell r="N31">
            <v>0</v>
          </cell>
          <cell r="O31">
            <v>12</v>
          </cell>
          <cell r="P31">
            <v>1</v>
          </cell>
          <cell r="Q31">
            <v>0.01</v>
          </cell>
          <cell r="R31">
            <v>1200</v>
          </cell>
          <cell r="S31">
            <v>400000</v>
          </cell>
          <cell r="T31">
            <v>3.0000000000000001E-3</v>
          </cell>
          <cell r="U31">
            <v>500</v>
          </cell>
          <cell r="V31">
            <v>431.0344827586207</v>
          </cell>
          <cell r="W31">
            <v>299</v>
          </cell>
          <cell r="X31">
            <v>0</v>
          </cell>
          <cell r="Y31">
            <v>0</v>
          </cell>
          <cell r="Z31">
            <v>1</v>
          </cell>
          <cell r="AA31">
            <v>0.01</v>
          </cell>
          <cell r="AB31">
            <v>4</v>
          </cell>
          <cell r="AC31">
            <v>12</v>
          </cell>
          <cell r="AD31">
            <v>500000</v>
          </cell>
          <cell r="AE31">
            <v>200000</v>
          </cell>
          <cell r="AF31">
            <v>0.6</v>
          </cell>
          <cell r="AG31">
            <v>0</v>
          </cell>
          <cell r="AH31">
            <v>2</v>
          </cell>
          <cell r="AI31">
            <v>200</v>
          </cell>
          <cell r="AJ31">
            <v>0</v>
          </cell>
          <cell r="AK31">
            <v>0</v>
          </cell>
          <cell r="AL31">
            <v>0</v>
          </cell>
          <cell r="AM31">
            <v>0</v>
          </cell>
          <cell r="AN31">
            <v>0</v>
          </cell>
          <cell r="AO31">
            <v>0</v>
          </cell>
          <cell r="AP31">
            <v>4</v>
          </cell>
          <cell r="AQ31">
            <v>0.05</v>
          </cell>
          <cell r="AR31">
            <v>2</v>
          </cell>
          <cell r="AS31">
            <v>0</v>
          </cell>
          <cell r="AT31">
            <v>0</v>
          </cell>
          <cell r="AU31">
            <v>0</v>
          </cell>
          <cell r="AV31">
            <v>0</v>
          </cell>
          <cell r="AW31">
            <v>0</v>
          </cell>
          <cell r="AX31">
            <v>0</v>
          </cell>
          <cell r="AY31">
            <v>0</v>
          </cell>
          <cell r="AZ31">
            <v>0</v>
          </cell>
          <cell r="BA31">
            <v>0</v>
          </cell>
          <cell r="BB31">
            <v>0</v>
          </cell>
          <cell r="BC31">
            <v>360</v>
          </cell>
          <cell r="BD31">
            <v>0</v>
          </cell>
          <cell r="BE31">
            <v>0</v>
          </cell>
          <cell r="BF31">
            <v>1</v>
          </cell>
          <cell r="BG31" t="str">
            <v>Tasa Fija Crédito Hipotecario con Pagos Mensuales y Amortización Creciente</v>
          </cell>
        </row>
        <row r="32">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row>
        <row r="33">
          <cell r="B33" t="str">
            <v>04000001A</v>
          </cell>
          <cell r="C33" t="str">
            <v>Remodelación</v>
          </cell>
          <cell r="D33" t="str">
            <v>Ninguno</v>
          </cell>
          <cell r="E33" t="str">
            <v>Ninguno</v>
          </cell>
          <cell r="F33" t="str">
            <v>01</v>
          </cell>
          <cell r="G33" t="str">
            <v>A</v>
          </cell>
          <cell r="H33">
            <v>0</v>
          </cell>
          <cell r="I33">
            <v>0</v>
          </cell>
          <cell r="J33">
            <v>12</v>
          </cell>
          <cell r="K33">
            <v>0</v>
          </cell>
          <cell r="L33">
            <v>30.4</v>
          </cell>
          <cell r="M33">
            <v>0</v>
          </cell>
          <cell r="N33">
            <v>0</v>
          </cell>
          <cell r="O33">
            <v>1</v>
          </cell>
          <cell r="P33">
            <v>0</v>
          </cell>
          <cell r="Q33">
            <v>0.01</v>
          </cell>
          <cell r="R33">
            <v>1200</v>
          </cell>
          <cell r="S33">
            <v>400000</v>
          </cell>
          <cell r="T33">
            <v>3.0000000000000001E-3</v>
          </cell>
          <cell r="U33">
            <v>750</v>
          </cell>
          <cell r="V33">
            <v>646.55172413793105</v>
          </cell>
          <cell r="W33">
            <v>349</v>
          </cell>
          <cell r="X33">
            <v>0</v>
          </cell>
          <cell r="Y33">
            <v>0</v>
          </cell>
          <cell r="Z33">
            <v>1</v>
          </cell>
          <cell r="AA33">
            <v>0</v>
          </cell>
          <cell r="AB33">
            <v>1</v>
          </cell>
          <cell r="AC33">
            <v>1</v>
          </cell>
          <cell r="AD33">
            <v>500000</v>
          </cell>
          <cell r="AE33">
            <v>150000</v>
          </cell>
          <cell r="AF33">
            <v>0.4</v>
          </cell>
          <cell r="AG33">
            <v>0</v>
          </cell>
          <cell r="AH33">
            <v>2</v>
          </cell>
          <cell r="AI33">
            <v>98.8</v>
          </cell>
          <cell r="AJ33">
            <v>0</v>
          </cell>
          <cell r="AK33">
            <v>0</v>
          </cell>
          <cell r="AL33">
            <v>0</v>
          </cell>
          <cell r="AM33">
            <v>0</v>
          </cell>
          <cell r="AN33">
            <v>0</v>
          </cell>
          <cell r="AO33">
            <v>0</v>
          </cell>
          <cell r="AP33">
            <v>0</v>
          </cell>
          <cell r="AQ33">
            <v>0</v>
          </cell>
          <cell r="AR33">
            <v>2</v>
          </cell>
          <cell r="AS33">
            <v>0</v>
          </cell>
          <cell r="AT33">
            <v>0</v>
          </cell>
          <cell r="AU33">
            <v>0</v>
          </cell>
          <cell r="AV33">
            <v>0</v>
          </cell>
          <cell r="AW33">
            <v>0</v>
          </cell>
          <cell r="AX33">
            <v>0</v>
          </cell>
          <cell r="AY33">
            <v>0</v>
          </cell>
          <cell r="AZ33">
            <v>0</v>
          </cell>
          <cell r="BA33">
            <v>0</v>
          </cell>
          <cell r="BB33">
            <v>0</v>
          </cell>
          <cell r="BC33">
            <v>360</v>
          </cell>
          <cell r="BD33">
            <v>0</v>
          </cell>
          <cell r="BE33">
            <v>0</v>
          </cell>
          <cell r="BF33">
            <v>1</v>
          </cell>
          <cell r="BG33" t="str">
            <v>Crédito Hipotecario a Tasa Fija con Amortización Creciente</v>
          </cell>
        </row>
        <row r="34">
          <cell r="B34" t="str">
            <v>04000001E</v>
          </cell>
          <cell r="C34" t="str">
            <v>Remodelación</v>
          </cell>
          <cell r="D34" t="str">
            <v>Ninguno</v>
          </cell>
          <cell r="E34" t="str">
            <v>Ninguno</v>
          </cell>
          <cell r="F34" t="str">
            <v>01</v>
          </cell>
          <cell r="G34" t="str">
            <v>E</v>
          </cell>
          <cell r="H34">
            <v>0</v>
          </cell>
          <cell r="I34">
            <v>0</v>
          </cell>
          <cell r="J34">
            <v>1</v>
          </cell>
          <cell r="K34">
            <v>0</v>
          </cell>
          <cell r="L34">
            <v>30.4</v>
          </cell>
          <cell r="M34">
            <v>0</v>
          </cell>
          <cell r="N34">
            <v>0</v>
          </cell>
          <cell r="O34">
            <v>12</v>
          </cell>
          <cell r="P34">
            <v>1</v>
          </cell>
          <cell r="Q34">
            <v>0.01</v>
          </cell>
          <cell r="R34">
            <v>1200</v>
          </cell>
          <cell r="S34">
            <v>400000</v>
          </cell>
          <cell r="T34">
            <v>3.0000000000000001E-3</v>
          </cell>
          <cell r="U34">
            <v>500</v>
          </cell>
          <cell r="V34">
            <v>431.0344827586207</v>
          </cell>
          <cell r="W34">
            <v>299</v>
          </cell>
          <cell r="X34">
            <v>0</v>
          </cell>
          <cell r="Y34">
            <v>0</v>
          </cell>
          <cell r="Z34">
            <v>1</v>
          </cell>
          <cell r="AA34">
            <v>0</v>
          </cell>
          <cell r="AB34">
            <v>1</v>
          </cell>
          <cell r="AC34">
            <v>1</v>
          </cell>
          <cell r="AD34">
            <v>500000</v>
          </cell>
          <cell r="AE34">
            <v>150000</v>
          </cell>
          <cell r="AF34">
            <v>0.4</v>
          </cell>
          <cell r="AG34">
            <v>0</v>
          </cell>
          <cell r="AH34">
            <v>2</v>
          </cell>
          <cell r="AI34">
            <v>98.8</v>
          </cell>
          <cell r="AJ34">
            <v>0</v>
          </cell>
          <cell r="AK34">
            <v>0</v>
          </cell>
          <cell r="AL34">
            <v>0</v>
          </cell>
          <cell r="AM34">
            <v>0</v>
          </cell>
          <cell r="AN34">
            <v>0</v>
          </cell>
          <cell r="AO34">
            <v>0</v>
          </cell>
          <cell r="AP34">
            <v>0</v>
          </cell>
          <cell r="AQ34">
            <v>0</v>
          </cell>
          <cell r="AR34">
            <v>2</v>
          </cell>
          <cell r="AS34">
            <v>0</v>
          </cell>
          <cell r="AT34">
            <v>0</v>
          </cell>
          <cell r="AU34">
            <v>0</v>
          </cell>
          <cell r="AV34">
            <v>0</v>
          </cell>
          <cell r="AW34">
            <v>0</v>
          </cell>
          <cell r="AX34">
            <v>0</v>
          </cell>
          <cell r="AY34">
            <v>0</v>
          </cell>
          <cell r="AZ34">
            <v>0</v>
          </cell>
          <cell r="BA34">
            <v>0</v>
          </cell>
          <cell r="BB34">
            <v>0</v>
          </cell>
          <cell r="BC34">
            <v>360</v>
          </cell>
          <cell r="BD34">
            <v>0</v>
          </cell>
          <cell r="BE34">
            <v>0</v>
          </cell>
          <cell r="BF34">
            <v>1</v>
          </cell>
          <cell r="BG34" t="str">
            <v>Tasa Fija Crédito Hipotecario con Pagos Mensuales y Amortización Creciente</v>
          </cell>
        </row>
        <row r="35">
          <cell r="E35">
            <v>0</v>
          </cell>
          <cell r="AF35">
            <v>0</v>
          </cell>
          <cell r="AG35">
            <v>0</v>
          </cell>
          <cell r="AP35">
            <v>0</v>
          </cell>
          <cell r="AQ35">
            <v>0</v>
          </cell>
        </row>
        <row r="36">
          <cell r="B36" t="str">
            <v>0500000000</v>
          </cell>
          <cell r="C36" t="str">
            <v>Liquidez</v>
          </cell>
          <cell r="D36" t="str">
            <v>Ninguno</v>
          </cell>
          <cell r="E36" t="str">
            <v>Ninguno</v>
          </cell>
          <cell r="F36" t="str">
            <v>00</v>
          </cell>
          <cell r="G36" t="str">
            <v>00</v>
          </cell>
          <cell r="H36">
            <v>0</v>
          </cell>
          <cell r="I36">
            <v>0</v>
          </cell>
          <cell r="J36">
            <v>1</v>
          </cell>
          <cell r="K36">
            <v>0</v>
          </cell>
          <cell r="L36">
            <v>30.4</v>
          </cell>
          <cell r="M36">
            <v>0</v>
          </cell>
          <cell r="N36">
            <v>0</v>
          </cell>
          <cell r="O36">
            <v>1</v>
          </cell>
          <cell r="P36">
            <v>0</v>
          </cell>
          <cell r="Q36">
            <v>0.03</v>
          </cell>
          <cell r="R36">
            <v>1200</v>
          </cell>
          <cell r="S36">
            <v>400000</v>
          </cell>
          <cell r="T36">
            <v>3.0000000000000001E-3</v>
          </cell>
          <cell r="U36">
            <v>500</v>
          </cell>
          <cell r="V36">
            <v>431.0344827586207</v>
          </cell>
          <cell r="W36">
            <v>360</v>
          </cell>
          <cell r="X36">
            <v>0</v>
          </cell>
          <cell r="Y36">
            <v>0</v>
          </cell>
          <cell r="Z36">
            <v>1</v>
          </cell>
          <cell r="AA36">
            <v>0</v>
          </cell>
          <cell r="AB36">
            <v>1</v>
          </cell>
          <cell r="AC36">
            <v>1</v>
          </cell>
          <cell r="AD36">
            <v>500000</v>
          </cell>
          <cell r="AE36">
            <v>200000</v>
          </cell>
          <cell r="AF36">
            <v>0.7</v>
          </cell>
          <cell r="AG36">
            <v>0</v>
          </cell>
          <cell r="AH36">
            <v>2</v>
          </cell>
          <cell r="AI36">
            <v>98.8</v>
          </cell>
          <cell r="AJ36">
            <v>0</v>
          </cell>
          <cell r="AK36">
            <v>0</v>
          </cell>
          <cell r="AL36">
            <v>0</v>
          </cell>
          <cell r="AM36">
            <v>0</v>
          </cell>
          <cell r="AN36">
            <v>0</v>
          </cell>
          <cell r="AO36">
            <v>0</v>
          </cell>
          <cell r="AP36">
            <v>0</v>
          </cell>
          <cell r="AQ36">
            <v>0</v>
          </cell>
          <cell r="AR36">
            <v>2</v>
          </cell>
          <cell r="AS36">
            <v>0</v>
          </cell>
          <cell r="AT36">
            <v>0</v>
          </cell>
          <cell r="AU36">
            <v>0</v>
          </cell>
          <cell r="AV36">
            <v>0</v>
          </cell>
          <cell r="AW36">
            <v>0</v>
          </cell>
          <cell r="AX36">
            <v>0</v>
          </cell>
          <cell r="AY36">
            <v>0</v>
          </cell>
          <cell r="AZ36">
            <v>0</v>
          </cell>
          <cell r="BA36">
            <v>0</v>
          </cell>
          <cell r="BB36">
            <v>0</v>
          </cell>
          <cell r="BC36">
            <v>360</v>
          </cell>
          <cell r="BD36">
            <v>0</v>
          </cell>
          <cell r="BE36">
            <v>0</v>
          </cell>
          <cell r="BF36">
            <v>7</v>
          </cell>
          <cell r="BG36" t="str">
            <v>Crédito Hipotecario a Tasa Fija con Amortización Creciente</v>
          </cell>
        </row>
        <row r="37">
          <cell r="C37">
            <v>0</v>
          </cell>
          <cell r="D37">
            <v>0</v>
          </cell>
          <cell r="E37">
            <v>0</v>
          </cell>
          <cell r="F37">
            <v>0</v>
          </cell>
          <cell r="G37">
            <v>0</v>
          </cell>
          <cell r="I37">
            <v>0</v>
          </cell>
          <cell r="J37">
            <v>0</v>
          </cell>
          <cell r="L37">
            <v>0</v>
          </cell>
          <cell r="M37">
            <v>0</v>
          </cell>
          <cell r="N37">
            <v>0</v>
          </cell>
          <cell r="O37">
            <v>0</v>
          </cell>
          <cell r="P37">
            <v>0</v>
          </cell>
          <cell r="R37">
            <v>0</v>
          </cell>
          <cell r="S37">
            <v>0</v>
          </cell>
          <cell r="T37">
            <v>0</v>
          </cell>
          <cell r="U37">
            <v>0</v>
          </cell>
          <cell r="V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row>
        <row r="38">
          <cell r="B38" t="str">
            <v>0600000000</v>
          </cell>
          <cell r="C38" t="str">
            <v>Terreno</v>
          </cell>
          <cell r="D38" t="str">
            <v>Ninguno</v>
          </cell>
          <cell r="E38" t="str">
            <v>Ninguno</v>
          </cell>
          <cell r="F38" t="str">
            <v>00</v>
          </cell>
          <cell r="G38" t="str">
            <v>00</v>
          </cell>
          <cell r="H38">
            <v>0</v>
          </cell>
          <cell r="I38">
            <v>0</v>
          </cell>
          <cell r="J38">
            <v>1</v>
          </cell>
          <cell r="K38">
            <v>0</v>
          </cell>
          <cell r="L38">
            <v>30.4</v>
          </cell>
          <cell r="M38">
            <v>0</v>
          </cell>
          <cell r="N38">
            <v>0</v>
          </cell>
          <cell r="O38">
            <v>1</v>
          </cell>
          <cell r="P38">
            <v>0</v>
          </cell>
          <cell r="Q38">
            <v>1.4999999999999999E-2</v>
          </cell>
          <cell r="R38">
            <v>1200</v>
          </cell>
          <cell r="S38">
            <v>400000</v>
          </cell>
          <cell r="T38">
            <v>3.0000000000000001E-3</v>
          </cell>
          <cell r="U38">
            <v>500</v>
          </cell>
          <cell r="V38">
            <v>431.0344827586207</v>
          </cell>
          <cell r="W38">
            <v>250</v>
          </cell>
          <cell r="X38">
            <v>0</v>
          </cell>
          <cell r="Y38">
            <v>0</v>
          </cell>
          <cell r="Z38">
            <v>1</v>
          </cell>
          <cell r="AA38">
            <v>0</v>
          </cell>
          <cell r="AB38">
            <v>1</v>
          </cell>
          <cell r="AC38">
            <v>1</v>
          </cell>
          <cell r="AD38">
            <v>500000</v>
          </cell>
          <cell r="AE38">
            <v>200000</v>
          </cell>
          <cell r="AF38">
            <v>0.7</v>
          </cell>
          <cell r="AG38">
            <v>0</v>
          </cell>
          <cell r="AH38">
            <v>2</v>
          </cell>
          <cell r="AI38">
            <v>98.8</v>
          </cell>
          <cell r="AJ38">
            <v>0</v>
          </cell>
          <cell r="AK38">
            <v>0</v>
          </cell>
          <cell r="AL38">
            <v>0</v>
          </cell>
          <cell r="AM38">
            <v>0</v>
          </cell>
          <cell r="AN38">
            <v>0</v>
          </cell>
          <cell r="AO38">
            <v>0</v>
          </cell>
          <cell r="AP38">
            <v>0</v>
          </cell>
          <cell r="AQ38">
            <v>0</v>
          </cell>
          <cell r="AR38">
            <v>2</v>
          </cell>
          <cell r="AS38">
            <v>0</v>
          </cell>
          <cell r="AT38">
            <v>0</v>
          </cell>
          <cell r="AU38">
            <v>0</v>
          </cell>
          <cell r="AV38">
            <v>0</v>
          </cell>
          <cell r="AW38">
            <v>0</v>
          </cell>
          <cell r="AX38">
            <v>0</v>
          </cell>
          <cell r="AY38">
            <v>0</v>
          </cell>
          <cell r="AZ38">
            <v>0</v>
          </cell>
          <cell r="BA38">
            <v>0</v>
          </cell>
          <cell r="BB38">
            <v>0</v>
          </cell>
          <cell r="BC38">
            <v>360</v>
          </cell>
          <cell r="BD38">
            <v>0</v>
          </cell>
          <cell r="BE38">
            <v>0</v>
          </cell>
          <cell r="BF38">
            <v>7</v>
          </cell>
          <cell r="BG38" t="str">
            <v>Crédito Hipotecario a Tasa Fija con Amortización Creciente</v>
          </cell>
        </row>
        <row r="39">
          <cell r="C39">
            <v>0</v>
          </cell>
          <cell r="E39">
            <v>0</v>
          </cell>
          <cell r="AF39">
            <v>0</v>
          </cell>
          <cell r="AG39">
            <v>0</v>
          </cell>
          <cell r="AP39">
            <v>0</v>
          </cell>
          <cell r="AQ39">
            <v>0</v>
          </cell>
        </row>
        <row r="40">
          <cell r="B40" t="str">
            <v>0700000000</v>
          </cell>
          <cell r="C40" t="str">
            <v>Subrogación</v>
          </cell>
          <cell r="D40" t="str">
            <v>Ninguno</v>
          </cell>
          <cell r="E40" t="str">
            <v>Ninguno</v>
          </cell>
          <cell r="F40" t="str">
            <v>00</v>
          </cell>
          <cell r="G40" t="str">
            <v>00</v>
          </cell>
          <cell r="H40">
            <v>0</v>
          </cell>
          <cell r="I40">
            <v>5.0000000000000001E-3</v>
          </cell>
          <cell r="J40">
            <v>12</v>
          </cell>
          <cell r="K40">
            <v>0</v>
          </cell>
          <cell r="L40">
            <v>30.4</v>
          </cell>
          <cell r="M40">
            <v>0</v>
          </cell>
          <cell r="N40">
            <v>0</v>
          </cell>
          <cell r="O40">
            <v>1</v>
          </cell>
          <cell r="P40">
            <v>0</v>
          </cell>
          <cell r="Q40">
            <v>0</v>
          </cell>
          <cell r="R40">
            <v>1500</v>
          </cell>
          <cell r="S40">
            <v>1000000000000</v>
          </cell>
          <cell r="T40">
            <v>3.0000000000000001E-3</v>
          </cell>
          <cell r="U40">
            <v>3500</v>
          </cell>
          <cell r="V40">
            <v>3017.2413793103451</v>
          </cell>
          <cell r="W40">
            <v>249</v>
          </cell>
          <cell r="X40">
            <v>0.03</v>
          </cell>
          <cell r="Y40">
            <v>0</v>
          </cell>
          <cell r="Z40">
            <v>12</v>
          </cell>
          <cell r="AA40">
            <v>0</v>
          </cell>
          <cell r="AB40">
            <v>1</v>
          </cell>
          <cell r="AC40">
            <v>1</v>
          </cell>
          <cell r="AD40">
            <v>350000</v>
          </cell>
          <cell r="AE40">
            <v>75000</v>
          </cell>
          <cell r="AF40">
            <v>0.85</v>
          </cell>
          <cell r="AG40">
            <v>0</v>
          </cell>
          <cell r="AH40">
            <v>2</v>
          </cell>
          <cell r="AI40">
            <v>98.8</v>
          </cell>
          <cell r="AJ40">
            <v>0</v>
          </cell>
          <cell r="AK40">
            <v>0</v>
          </cell>
          <cell r="AL40">
            <v>0</v>
          </cell>
          <cell r="AM40">
            <v>0</v>
          </cell>
          <cell r="AN40">
            <v>0</v>
          </cell>
          <cell r="AO40">
            <v>0</v>
          </cell>
          <cell r="AP40">
            <v>0</v>
          </cell>
          <cell r="AQ40">
            <v>0</v>
          </cell>
          <cell r="AR40">
            <v>2</v>
          </cell>
          <cell r="AS40">
            <v>0</v>
          </cell>
          <cell r="AT40">
            <v>0</v>
          </cell>
          <cell r="AU40">
            <v>0</v>
          </cell>
          <cell r="AV40">
            <v>0</v>
          </cell>
          <cell r="AW40">
            <v>0</v>
          </cell>
          <cell r="AX40">
            <v>0</v>
          </cell>
          <cell r="AY40">
            <v>0</v>
          </cell>
          <cell r="AZ40">
            <v>0</v>
          </cell>
          <cell r="BA40">
            <v>0</v>
          </cell>
          <cell r="BB40">
            <v>0</v>
          </cell>
          <cell r="BC40">
            <v>360</v>
          </cell>
          <cell r="BD40">
            <v>0</v>
          </cell>
          <cell r="BE40">
            <v>0</v>
          </cell>
          <cell r="BF40">
            <v>7</v>
          </cell>
          <cell r="BG40" t="str">
            <v>Crédito Hipotecario a Tasa Fija con Amortización Creciente</v>
          </cell>
        </row>
        <row r="41">
          <cell r="C41">
            <v>0</v>
          </cell>
          <cell r="E41">
            <v>0</v>
          </cell>
          <cell r="AF41">
            <v>0</v>
          </cell>
          <cell r="AG41">
            <v>0</v>
          </cell>
          <cell r="AP41">
            <v>0</v>
          </cell>
          <cell r="AQ41">
            <v>0</v>
          </cell>
        </row>
        <row r="42">
          <cell r="B42" t="str">
            <v>08000001A</v>
          </cell>
          <cell r="C42" t="str">
            <v>CVTO</v>
          </cell>
          <cell r="D42" t="str">
            <v>Ninguno</v>
          </cell>
          <cell r="E42" t="str">
            <v>Ninguno</v>
          </cell>
          <cell r="F42" t="str">
            <v>01</v>
          </cell>
          <cell r="G42" t="str">
            <v>A</v>
          </cell>
          <cell r="H42">
            <v>0</v>
          </cell>
          <cell r="I42">
            <v>0</v>
          </cell>
          <cell r="J42">
            <v>12</v>
          </cell>
          <cell r="K42">
            <v>0</v>
          </cell>
          <cell r="L42">
            <v>30.4</v>
          </cell>
          <cell r="M42">
            <v>0</v>
          </cell>
          <cell r="N42">
            <v>0</v>
          </cell>
          <cell r="O42">
            <v>1</v>
          </cell>
          <cell r="P42">
            <v>0</v>
          </cell>
          <cell r="Q42">
            <v>0.01</v>
          </cell>
          <cell r="R42">
            <v>1200</v>
          </cell>
          <cell r="S42">
            <v>400000</v>
          </cell>
          <cell r="T42">
            <v>3.0000000000000001E-3</v>
          </cell>
          <cell r="U42">
            <v>750</v>
          </cell>
          <cell r="V42">
            <v>646.55172413793105</v>
          </cell>
          <cell r="W42">
            <v>349</v>
          </cell>
          <cell r="X42">
            <v>0</v>
          </cell>
          <cell r="Y42">
            <v>0</v>
          </cell>
          <cell r="Z42">
            <v>1</v>
          </cell>
          <cell r="AA42">
            <v>0.01</v>
          </cell>
          <cell r="AB42">
            <v>2</v>
          </cell>
          <cell r="AC42">
            <v>12</v>
          </cell>
          <cell r="AD42">
            <v>350000</v>
          </cell>
          <cell r="AE42">
            <v>75000</v>
          </cell>
          <cell r="AF42">
            <v>0.9</v>
          </cell>
          <cell r="AG42">
            <v>0</v>
          </cell>
          <cell r="AH42">
            <v>2</v>
          </cell>
          <cell r="AI42">
            <v>98.8</v>
          </cell>
          <cell r="AJ42">
            <v>0</v>
          </cell>
          <cell r="AK42">
            <v>0</v>
          </cell>
          <cell r="AL42">
            <v>0</v>
          </cell>
          <cell r="AM42">
            <v>0</v>
          </cell>
          <cell r="AN42">
            <v>0</v>
          </cell>
          <cell r="AO42">
            <v>0</v>
          </cell>
          <cell r="AP42">
            <v>0</v>
          </cell>
          <cell r="AQ42">
            <v>0</v>
          </cell>
          <cell r="AR42">
            <v>2</v>
          </cell>
          <cell r="AS42">
            <v>0</v>
          </cell>
          <cell r="AT42">
            <v>0</v>
          </cell>
          <cell r="AU42">
            <v>0</v>
          </cell>
          <cell r="AV42">
            <v>0</v>
          </cell>
          <cell r="AW42">
            <v>0</v>
          </cell>
          <cell r="AX42">
            <v>0</v>
          </cell>
          <cell r="AY42">
            <v>0</v>
          </cell>
          <cell r="AZ42">
            <v>0</v>
          </cell>
          <cell r="BA42">
            <v>0</v>
          </cell>
          <cell r="BB42">
            <v>0</v>
          </cell>
          <cell r="BC42">
            <v>360</v>
          </cell>
          <cell r="BD42">
            <v>0</v>
          </cell>
          <cell r="BE42">
            <v>0</v>
          </cell>
          <cell r="BF42">
            <v>1</v>
          </cell>
          <cell r="BG42" t="str">
            <v>Crédito Hipotecario a Tasa Fija con Amortización Creciente</v>
          </cell>
        </row>
        <row r="43">
          <cell r="B43" t="str">
            <v>08010101A</v>
          </cell>
          <cell r="C43" t="str">
            <v>CVTO</v>
          </cell>
          <cell r="D43" t="str">
            <v>INFONAVIT</v>
          </cell>
          <cell r="E43" t="str">
            <v>Apoyo INFONAVIT</v>
          </cell>
          <cell r="F43" t="str">
            <v>01</v>
          </cell>
          <cell r="G43" t="str">
            <v>A</v>
          </cell>
          <cell r="H43">
            <v>0</v>
          </cell>
          <cell r="I43">
            <v>0</v>
          </cell>
          <cell r="J43">
            <v>12</v>
          </cell>
          <cell r="K43">
            <v>0</v>
          </cell>
          <cell r="L43">
            <v>30.4</v>
          </cell>
          <cell r="M43">
            <v>0</v>
          </cell>
          <cell r="N43">
            <v>0</v>
          </cell>
          <cell r="O43">
            <v>1</v>
          </cell>
          <cell r="P43">
            <v>0</v>
          </cell>
          <cell r="Q43">
            <v>0.01</v>
          </cell>
          <cell r="R43">
            <v>1200</v>
          </cell>
          <cell r="S43">
            <v>400000</v>
          </cell>
          <cell r="T43">
            <v>3.0000000000000001E-3</v>
          </cell>
          <cell r="U43">
            <v>750</v>
          </cell>
          <cell r="V43">
            <v>646.55172413793105</v>
          </cell>
          <cell r="W43">
            <v>349</v>
          </cell>
          <cell r="X43">
            <v>0</v>
          </cell>
          <cell r="Y43">
            <v>0</v>
          </cell>
          <cell r="Z43">
            <v>1</v>
          </cell>
          <cell r="AA43">
            <v>0.01</v>
          </cell>
          <cell r="AB43">
            <v>2</v>
          </cell>
          <cell r="AC43">
            <v>12</v>
          </cell>
          <cell r="AD43">
            <v>350000</v>
          </cell>
          <cell r="AE43">
            <v>75000</v>
          </cell>
          <cell r="AF43">
            <v>0.9</v>
          </cell>
          <cell r="AG43">
            <v>0</v>
          </cell>
          <cell r="AH43">
            <v>2</v>
          </cell>
          <cell r="AI43">
            <v>98.8</v>
          </cell>
          <cell r="AJ43">
            <v>0</v>
          </cell>
          <cell r="AK43">
            <v>0</v>
          </cell>
          <cell r="AL43">
            <v>0</v>
          </cell>
          <cell r="AM43">
            <v>0</v>
          </cell>
          <cell r="AN43">
            <v>0</v>
          </cell>
          <cell r="AO43">
            <v>0</v>
          </cell>
          <cell r="AP43">
            <v>4</v>
          </cell>
          <cell r="AQ43">
            <v>0.05</v>
          </cell>
          <cell r="AR43">
            <v>2</v>
          </cell>
          <cell r="AS43">
            <v>0</v>
          </cell>
          <cell r="AT43">
            <v>0</v>
          </cell>
          <cell r="AU43">
            <v>0</v>
          </cell>
          <cell r="AV43">
            <v>0</v>
          </cell>
          <cell r="AW43">
            <v>0</v>
          </cell>
          <cell r="AX43">
            <v>0</v>
          </cell>
          <cell r="AY43">
            <v>0</v>
          </cell>
          <cell r="AZ43">
            <v>0</v>
          </cell>
          <cell r="BA43">
            <v>0</v>
          </cell>
          <cell r="BB43">
            <v>0</v>
          </cell>
          <cell r="BC43">
            <v>360</v>
          </cell>
          <cell r="BD43">
            <v>0</v>
          </cell>
          <cell r="BE43">
            <v>0</v>
          </cell>
          <cell r="BF43">
            <v>3</v>
          </cell>
          <cell r="BG43" t="str">
            <v>Crédito Hipotecario programa Apoyo INFONAVIT</v>
          </cell>
        </row>
        <row r="44">
          <cell r="B44" t="str">
            <v>08000001E</v>
          </cell>
          <cell r="C44" t="str">
            <v>CVTO</v>
          </cell>
          <cell r="D44" t="str">
            <v>Ninguno</v>
          </cell>
          <cell r="E44" t="str">
            <v>Ninguno</v>
          </cell>
          <cell r="F44" t="str">
            <v>01</v>
          </cell>
          <cell r="G44" t="str">
            <v>E</v>
          </cell>
          <cell r="H44">
            <v>0</v>
          </cell>
          <cell r="I44">
            <v>0</v>
          </cell>
          <cell r="J44">
            <v>1</v>
          </cell>
          <cell r="K44">
            <v>0</v>
          </cell>
          <cell r="L44">
            <v>30.4</v>
          </cell>
          <cell r="M44">
            <v>0</v>
          </cell>
          <cell r="N44">
            <v>0</v>
          </cell>
          <cell r="O44">
            <v>12</v>
          </cell>
          <cell r="P44">
            <v>1</v>
          </cell>
          <cell r="Q44">
            <v>0.01</v>
          </cell>
          <cell r="R44">
            <v>1200</v>
          </cell>
          <cell r="S44">
            <v>400000</v>
          </cell>
          <cell r="T44">
            <v>3.0000000000000001E-3</v>
          </cell>
          <cell r="U44">
            <v>500</v>
          </cell>
          <cell r="V44">
            <v>431.0344827586207</v>
          </cell>
          <cell r="W44">
            <v>299</v>
          </cell>
          <cell r="X44">
            <v>0</v>
          </cell>
          <cell r="Y44">
            <v>0</v>
          </cell>
          <cell r="Z44">
            <v>1</v>
          </cell>
          <cell r="AA44">
            <v>0.01</v>
          </cell>
          <cell r="AB44">
            <v>2</v>
          </cell>
          <cell r="AC44">
            <v>12</v>
          </cell>
          <cell r="AD44">
            <v>350000</v>
          </cell>
          <cell r="AE44">
            <v>75000</v>
          </cell>
          <cell r="AF44">
            <v>0.9</v>
          </cell>
          <cell r="AG44">
            <v>0</v>
          </cell>
          <cell r="AH44">
            <v>2</v>
          </cell>
          <cell r="AI44">
            <v>98.8</v>
          </cell>
          <cell r="AJ44">
            <v>0</v>
          </cell>
          <cell r="AK44">
            <v>0</v>
          </cell>
          <cell r="AL44">
            <v>0</v>
          </cell>
          <cell r="AM44">
            <v>0</v>
          </cell>
          <cell r="AN44">
            <v>0</v>
          </cell>
          <cell r="AO44">
            <v>0</v>
          </cell>
          <cell r="AP44">
            <v>0</v>
          </cell>
          <cell r="AQ44">
            <v>0</v>
          </cell>
          <cell r="AR44">
            <v>2</v>
          </cell>
          <cell r="AS44">
            <v>0</v>
          </cell>
          <cell r="AT44">
            <v>0</v>
          </cell>
          <cell r="AU44">
            <v>0</v>
          </cell>
          <cell r="AV44">
            <v>0</v>
          </cell>
          <cell r="AW44">
            <v>0</v>
          </cell>
          <cell r="AX44">
            <v>0</v>
          </cell>
          <cell r="AY44">
            <v>0</v>
          </cell>
          <cell r="AZ44">
            <v>0</v>
          </cell>
          <cell r="BA44">
            <v>0</v>
          </cell>
          <cell r="BB44">
            <v>0</v>
          </cell>
          <cell r="BC44">
            <v>360</v>
          </cell>
          <cell r="BD44">
            <v>0</v>
          </cell>
          <cell r="BE44">
            <v>0</v>
          </cell>
          <cell r="BF44">
            <v>1</v>
          </cell>
          <cell r="BG44" t="str">
            <v>Tasa Fija Crédito Hipotecario con Pagos Mensuales y Amortización Creciente</v>
          </cell>
        </row>
        <row r="45">
          <cell r="B45" t="str">
            <v>08010101E</v>
          </cell>
          <cell r="C45" t="str">
            <v>CVTO</v>
          </cell>
          <cell r="D45" t="str">
            <v>INFONAVIT</v>
          </cell>
          <cell r="E45" t="str">
            <v>Apoyo INFONAVIT</v>
          </cell>
          <cell r="F45" t="str">
            <v>01</v>
          </cell>
          <cell r="G45" t="str">
            <v>E</v>
          </cell>
          <cell r="H45">
            <v>0</v>
          </cell>
          <cell r="I45">
            <v>0</v>
          </cell>
          <cell r="J45">
            <v>1</v>
          </cell>
          <cell r="K45">
            <v>0</v>
          </cell>
          <cell r="L45">
            <v>30.4</v>
          </cell>
          <cell r="M45">
            <v>0</v>
          </cell>
          <cell r="N45">
            <v>0</v>
          </cell>
          <cell r="O45">
            <v>12</v>
          </cell>
          <cell r="P45">
            <v>1</v>
          </cell>
          <cell r="Q45">
            <v>0.01</v>
          </cell>
          <cell r="R45">
            <v>1200</v>
          </cell>
          <cell r="S45">
            <v>400000</v>
          </cell>
          <cell r="T45">
            <v>3.0000000000000001E-3</v>
          </cell>
          <cell r="U45">
            <v>500</v>
          </cell>
          <cell r="V45">
            <v>431.0344827586207</v>
          </cell>
          <cell r="W45">
            <v>299</v>
          </cell>
          <cell r="X45">
            <v>0</v>
          </cell>
          <cell r="Y45">
            <v>0</v>
          </cell>
          <cell r="Z45">
            <v>1</v>
          </cell>
          <cell r="AA45">
            <v>0.01</v>
          </cell>
          <cell r="AB45">
            <v>2</v>
          </cell>
          <cell r="AC45">
            <v>12</v>
          </cell>
          <cell r="AD45">
            <v>350000</v>
          </cell>
          <cell r="AE45">
            <v>75000</v>
          </cell>
          <cell r="AF45">
            <v>0.9</v>
          </cell>
          <cell r="AG45">
            <v>0</v>
          </cell>
          <cell r="AH45">
            <v>2</v>
          </cell>
          <cell r="AI45">
            <v>98.8</v>
          </cell>
          <cell r="AJ45">
            <v>0</v>
          </cell>
          <cell r="AK45">
            <v>0</v>
          </cell>
          <cell r="AL45">
            <v>0</v>
          </cell>
          <cell r="AM45">
            <v>0</v>
          </cell>
          <cell r="AN45">
            <v>0</v>
          </cell>
          <cell r="AO45">
            <v>0</v>
          </cell>
          <cell r="AP45">
            <v>4</v>
          </cell>
          <cell r="AQ45">
            <v>0.05</v>
          </cell>
          <cell r="AR45">
            <v>2</v>
          </cell>
          <cell r="AS45">
            <v>0</v>
          </cell>
          <cell r="AT45">
            <v>0</v>
          </cell>
          <cell r="AU45">
            <v>0</v>
          </cell>
          <cell r="AV45">
            <v>0</v>
          </cell>
          <cell r="AW45">
            <v>0</v>
          </cell>
          <cell r="AX45">
            <v>0</v>
          </cell>
          <cell r="AY45">
            <v>0</v>
          </cell>
          <cell r="AZ45">
            <v>0</v>
          </cell>
          <cell r="BA45">
            <v>0</v>
          </cell>
          <cell r="BB45">
            <v>0</v>
          </cell>
          <cell r="BC45">
            <v>360</v>
          </cell>
          <cell r="BD45">
            <v>0</v>
          </cell>
          <cell r="BE45">
            <v>0</v>
          </cell>
          <cell r="BF45">
            <v>3</v>
          </cell>
          <cell r="BG45" t="str">
            <v>Tasa Fija Crédito Hipotecario con Pagos Mensuales y Amortización Creciente</v>
          </cell>
        </row>
        <row r="46">
          <cell r="C46">
            <v>0</v>
          </cell>
          <cell r="E46">
            <v>0</v>
          </cell>
          <cell r="AF46">
            <v>0</v>
          </cell>
          <cell r="AG46">
            <v>0</v>
          </cell>
          <cell r="AH46">
            <v>0</v>
          </cell>
          <cell r="AP46">
            <v>0</v>
          </cell>
          <cell r="AQ46">
            <v>0</v>
          </cell>
        </row>
        <row r="47">
          <cell r="B47" t="str">
            <v>09000000A</v>
          </cell>
          <cell r="C47" t="str">
            <v>T+C</v>
          </cell>
          <cell r="D47" t="str">
            <v>Ninguno</v>
          </cell>
          <cell r="E47" t="str">
            <v>Ninguno</v>
          </cell>
          <cell r="F47" t="str">
            <v>00</v>
          </cell>
          <cell r="G47" t="str">
            <v>A</v>
          </cell>
          <cell r="H47">
            <v>0</v>
          </cell>
          <cell r="I47">
            <v>0</v>
          </cell>
          <cell r="J47">
            <v>12</v>
          </cell>
          <cell r="K47">
            <v>0</v>
          </cell>
          <cell r="L47">
            <v>30.4</v>
          </cell>
          <cell r="M47">
            <v>0</v>
          </cell>
          <cell r="N47">
            <v>0</v>
          </cell>
          <cell r="O47">
            <v>1</v>
          </cell>
          <cell r="P47">
            <v>0</v>
          </cell>
          <cell r="Q47">
            <v>0.01</v>
          </cell>
          <cell r="R47">
            <v>1200</v>
          </cell>
          <cell r="S47">
            <v>400000</v>
          </cell>
          <cell r="T47">
            <v>3.0000000000000001E-3</v>
          </cell>
          <cell r="U47">
            <v>750</v>
          </cell>
          <cell r="V47">
            <v>646.55172413793105</v>
          </cell>
          <cell r="W47">
            <v>349</v>
          </cell>
          <cell r="X47">
            <v>0</v>
          </cell>
          <cell r="Y47">
            <v>0</v>
          </cell>
          <cell r="Z47">
            <v>1</v>
          </cell>
          <cell r="AA47">
            <v>0.01</v>
          </cell>
          <cell r="AB47">
            <v>12</v>
          </cell>
          <cell r="AC47">
            <v>12</v>
          </cell>
          <cell r="AD47">
            <v>800000</v>
          </cell>
          <cell r="AE47">
            <v>200000</v>
          </cell>
          <cell r="AF47">
            <v>0.85</v>
          </cell>
          <cell r="AG47">
            <v>0</v>
          </cell>
          <cell r="AH47">
            <v>2.5</v>
          </cell>
          <cell r="AI47">
            <v>98.8</v>
          </cell>
          <cell r="AJ47">
            <v>0</v>
          </cell>
          <cell r="AK47">
            <v>0</v>
          </cell>
          <cell r="AL47">
            <v>0</v>
          </cell>
          <cell r="AM47">
            <v>0</v>
          </cell>
          <cell r="AN47">
            <v>0</v>
          </cell>
          <cell r="AO47">
            <v>0</v>
          </cell>
          <cell r="AP47">
            <v>0</v>
          </cell>
          <cell r="AQ47">
            <v>0</v>
          </cell>
          <cell r="AR47">
            <v>2</v>
          </cell>
          <cell r="AS47">
            <v>0</v>
          </cell>
          <cell r="AT47">
            <v>0</v>
          </cell>
          <cell r="AU47">
            <v>0</v>
          </cell>
          <cell r="AV47">
            <v>0</v>
          </cell>
          <cell r="AW47">
            <v>0</v>
          </cell>
          <cell r="AX47">
            <v>0</v>
          </cell>
          <cell r="AY47">
            <v>0</v>
          </cell>
          <cell r="AZ47">
            <v>0</v>
          </cell>
          <cell r="BA47">
            <v>0</v>
          </cell>
          <cell r="BB47">
            <v>0</v>
          </cell>
          <cell r="BC47">
            <v>360</v>
          </cell>
          <cell r="BD47">
            <v>0</v>
          </cell>
          <cell r="BE47">
            <v>0</v>
          </cell>
          <cell r="BF47">
            <v>1</v>
          </cell>
          <cell r="BG47" t="str">
            <v>Crédito Hipotecario a Tasa Fija con Amortización Creciente</v>
          </cell>
        </row>
        <row r="48">
          <cell r="B48" t="str">
            <v>09000000E</v>
          </cell>
          <cell r="C48" t="str">
            <v>T+C</v>
          </cell>
          <cell r="D48" t="str">
            <v>Ninguno</v>
          </cell>
          <cell r="E48" t="str">
            <v>Ninguno</v>
          </cell>
          <cell r="F48" t="str">
            <v>00</v>
          </cell>
          <cell r="G48" t="str">
            <v>E</v>
          </cell>
          <cell r="H48">
            <v>0</v>
          </cell>
          <cell r="I48">
            <v>0</v>
          </cell>
          <cell r="J48">
            <v>1</v>
          </cell>
          <cell r="K48">
            <v>0</v>
          </cell>
          <cell r="L48">
            <v>30.4</v>
          </cell>
          <cell r="M48">
            <v>0</v>
          </cell>
          <cell r="N48">
            <v>0</v>
          </cell>
          <cell r="O48">
            <v>12</v>
          </cell>
          <cell r="P48">
            <v>1</v>
          </cell>
          <cell r="Q48">
            <v>0.01</v>
          </cell>
          <cell r="R48">
            <v>1200</v>
          </cell>
          <cell r="S48">
            <v>400000</v>
          </cell>
          <cell r="T48">
            <v>3.0000000000000001E-3</v>
          </cell>
          <cell r="U48">
            <v>500</v>
          </cell>
          <cell r="V48">
            <v>431.0344827586207</v>
          </cell>
          <cell r="W48">
            <v>299</v>
          </cell>
          <cell r="X48">
            <v>0</v>
          </cell>
          <cell r="Y48">
            <v>0</v>
          </cell>
          <cell r="Z48">
            <v>1</v>
          </cell>
          <cell r="AA48">
            <v>0.01</v>
          </cell>
          <cell r="AB48">
            <v>12</v>
          </cell>
          <cell r="AC48">
            <v>12</v>
          </cell>
          <cell r="AD48">
            <v>800000</v>
          </cell>
          <cell r="AE48">
            <v>200000</v>
          </cell>
          <cell r="AF48">
            <v>0.85</v>
          </cell>
          <cell r="AG48">
            <v>0</v>
          </cell>
          <cell r="AH48">
            <v>2.5</v>
          </cell>
          <cell r="AI48">
            <v>98.8</v>
          </cell>
          <cell r="AJ48">
            <v>0</v>
          </cell>
          <cell r="AK48">
            <v>0</v>
          </cell>
          <cell r="AL48">
            <v>0</v>
          </cell>
          <cell r="AM48">
            <v>0</v>
          </cell>
          <cell r="AN48">
            <v>0</v>
          </cell>
          <cell r="AO48">
            <v>0</v>
          </cell>
          <cell r="AP48">
            <v>0</v>
          </cell>
          <cell r="AQ48">
            <v>0</v>
          </cell>
          <cell r="AR48">
            <v>2</v>
          </cell>
          <cell r="AS48">
            <v>0</v>
          </cell>
          <cell r="AT48">
            <v>0</v>
          </cell>
          <cell r="AU48">
            <v>0</v>
          </cell>
          <cell r="AV48">
            <v>0</v>
          </cell>
          <cell r="AW48">
            <v>0</v>
          </cell>
          <cell r="AX48">
            <v>0</v>
          </cell>
          <cell r="AY48">
            <v>0</v>
          </cell>
          <cell r="AZ48">
            <v>0</v>
          </cell>
          <cell r="BA48">
            <v>0</v>
          </cell>
          <cell r="BB48">
            <v>0</v>
          </cell>
          <cell r="BC48">
            <v>360</v>
          </cell>
          <cell r="BD48">
            <v>0</v>
          </cell>
          <cell r="BE48">
            <v>0</v>
          </cell>
          <cell r="BF48">
            <v>1</v>
          </cell>
          <cell r="BG48" t="str">
            <v>Tasa Fija Crédito Hipotecario con Pagos Mensuales y Amortización Creciente</v>
          </cell>
        </row>
        <row r="49">
          <cell r="B49" t="str">
            <v>09010100A</v>
          </cell>
          <cell r="C49" t="str">
            <v>T+C</v>
          </cell>
          <cell r="D49" t="str">
            <v>INFONAVIT</v>
          </cell>
          <cell r="E49" t="str">
            <v>Apoyo INFONAVIT</v>
          </cell>
          <cell r="F49" t="str">
            <v>00</v>
          </cell>
          <cell r="G49" t="str">
            <v>A</v>
          </cell>
          <cell r="H49">
            <v>0</v>
          </cell>
          <cell r="I49">
            <v>0</v>
          </cell>
          <cell r="J49">
            <v>12</v>
          </cell>
          <cell r="K49">
            <v>0</v>
          </cell>
          <cell r="L49">
            <v>30.4</v>
          </cell>
          <cell r="M49">
            <v>0</v>
          </cell>
          <cell r="N49">
            <v>0</v>
          </cell>
          <cell r="O49">
            <v>1</v>
          </cell>
          <cell r="P49">
            <v>0</v>
          </cell>
          <cell r="Q49">
            <v>0.01</v>
          </cell>
          <cell r="R49">
            <v>1200</v>
          </cell>
          <cell r="S49">
            <v>400000</v>
          </cell>
          <cell r="T49">
            <v>3.0000000000000001E-3</v>
          </cell>
          <cell r="U49">
            <v>750</v>
          </cell>
          <cell r="V49">
            <v>646.55172413793105</v>
          </cell>
          <cell r="W49">
            <v>349</v>
          </cell>
          <cell r="X49">
            <v>0</v>
          </cell>
          <cell r="Y49">
            <v>0</v>
          </cell>
          <cell r="Z49">
            <v>1</v>
          </cell>
          <cell r="AA49">
            <v>0.01</v>
          </cell>
          <cell r="AB49">
            <v>12</v>
          </cell>
          <cell r="AC49">
            <v>12</v>
          </cell>
          <cell r="AD49">
            <v>800000</v>
          </cell>
          <cell r="AE49">
            <v>200000</v>
          </cell>
          <cell r="AF49">
            <v>0.95</v>
          </cell>
          <cell r="AG49">
            <v>0</v>
          </cell>
          <cell r="AH49">
            <v>2.5</v>
          </cell>
          <cell r="AI49">
            <v>200</v>
          </cell>
          <cell r="AJ49">
            <v>0</v>
          </cell>
          <cell r="AK49">
            <v>0</v>
          </cell>
          <cell r="AL49">
            <v>0</v>
          </cell>
          <cell r="AM49">
            <v>0</v>
          </cell>
          <cell r="AN49">
            <v>0</v>
          </cell>
          <cell r="AO49">
            <v>0</v>
          </cell>
          <cell r="AP49">
            <v>4</v>
          </cell>
          <cell r="AQ49">
            <v>0.05</v>
          </cell>
          <cell r="AR49">
            <v>2</v>
          </cell>
          <cell r="AS49">
            <v>0</v>
          </cell>
          <cell r="AT49">
            <v>0</v>
          </cell>
          <cell r="AU49">
            <v>0</v>
          </cell>
          <cell r="AV49">
            <v>0</v>
          </cell>
          <cell r="AW49">
            <v>0</v>
          </cell>
          <cell r="AX49">
            <v>0</v>
          </cell>
          <cell r="AY49">
            <v>0</v>
          </cell>
          <cell r="AZ49">
            <v>0</v>
          </cell>
          <cell r="BA49">
            <v>0</v>
          </cell>
          <cell r="BB49">
            <v>0</v>
          </cell>
          <cell r="BC49">
            <v>360</v>
          </cell>
          <cell r="BD49">
            <v>0</v>
          </cell>
          <cell r="BE49">
            <v>0</v>
          </cell>
          <cell r="BF49">
            <v>3</v>
          </cell>
          <cell r="BG49" t="str">
            <v>Crédito Hipotecario a Tasa Fija con Amortización Creciente</v>
          </cell>
        </row>
        <row r="50">
          <cell r="B50" t="str">
            <v>09010100E</v>
          </cell>
          <cell r="C50" t="str">
            <v>T+C</v>
          </cell>
          <cell r="D50" t="str">
            <v>INFONAVIT</v>
          </cell>
          <cell r="E50" t="str">
            <v>Apoyo INFONAVIT</v>
          </cell>
          <cell r="F50" t="str">
            <v>00</v>
          </cell>
          <cell r="G50" t="str">
            <v>E</v>
          </cell>
          <cell r="H50">
            <v>0</v>
          </cell>
          <cell r="I50">
            <v>0</v>
          </cell>
          <cell r="J50">
            <v>1</v>
          </cell>
          <cell r="K50">
            <v>0</v>
          </cell>
          <cell r="L50">
            <v>30.4</v>
          </cell>
          <cell r="M50">
            <v>0</v>
          </cell>
          <cell r="N50">
            <v>0</v>
          </cell>
          <cell r="O50">
            <v>12</v>
          </cell>
          <cell r="P50">
            <v>1</v>
          </cell>
          <cell r="Q50">
            <v>0.01</v>
          </cell>
          <cell r="R50">
            <v>1200</v>
          </cell>
          <cell r="S50">
            <v>400000</v>
          </cell>
          <cell r="T50">
            <v>3.0000000000000001E-3</v>
          </cell>
          <cell r="U50">
            <v>500</v>
          </cell>
          <cell r="V50">
            <v>431.0344827586207</v>
          </cell>
          <cell r="W50">
            <v>299</v>
          </cell>
          <cell r="X50">
            <v>0</v>
          </cell>
          <cell r="Y50">
            <v>0</v>
          </cell>
          <cell r="Z50">
            <v>1</v>
          </cell>
          <cell r="AA50">
            <v>0.01</v>
          </cell>
          <cell r="AB50">
            <v>12</v>
          </cell>
          <cell r="AC50">
            <v>12</v>
          </cell>
          <cell r="AD50">
            <v>800000</v>
          </cell>
          <cell r="AE50">
            <v>200000</v>
          </cell>
          <cell r="AF50">
            <v>0.95</v>
          </cell>
          <cell r="AG50">
            <v>0</v>
          </cell>
          <cell r="AH50">
            <v>2.5</v>
          </cell>
          <cell r="AI50">
            <v>200</v>
          </cell>
          <cell r="AJ50">
            <v>0</v>
          </cell>
          <cell r="AK50">
            <v>0</v>
          </cell>
          <cell r="AL50">
            <v>0</v>
          </cell>
          <cell r="AM50">
            <v>0</v>
          </cell>
          <cell r="AN50">
            <v>0</v>
          </cell>
          <cell r="AO50">
            <v>0</v>
          </cell>
          <cell r="AP50">
            <v>4</v>
          </cell>
          <cell r="AQ50">
            <v>0.05</v>
          </cell>
          <cell r="AR50">
            <v>2</v>
          </cell>
          <cell r="AS50">
            <v>0</v>
          </cell>
          <cell r="AT50">
            <v>0</v>
          </cell>
          <cell r="AU50">
            <v>0</v>
          </cell>
          <cell r="AV50">
            <v>0</v>
          </cell>
          <cell r="AW50">
            <v>0</v>
          </cell>
          <cell r="AX50">
            <v>0</v>
          </cell>
          <cell r="AY50">
            <v>0</v>
          </cell>
          <cell r="AZ50">
            <v>0</v>
          </cell>
          <cell r="BA50">
            <v>0</v>
          </cell>
          <cell r="BB50">
            <v>0</v>
          </cell>
          <cell r="BC50">
            <v>360</v>
          </cell>
          <cell r="BD50">
            <v>0</v>
          </cell>
          <cell r="BE50">
            <v>0</v>
          </cell>
          <cell r="BF50">
            <v>3</v>
          </cell>
          <cell r="BG50" t="str">
            <v>Tasa Fija Crédito Hipotecario con Pagos Mensuales y Amortización Creciente</v>
          </cell>
        </row>
        <row r="52">
          <cell r="A52">
            <v>0</v>
          </cell>
          <cell r="B52">
            <v>1</v>
          </cell>
          <cell r="C52">
            <v>2</v>
          </cell>
          <cell r="D52">
            <v>3</v>
          </cell>
          <cell r="E52">
            <v>4</v>
          </cell>
          <cell r="F52">
            <v>5</v>
          </cell>
          <cell r="G52">
            <v>6</v>
          </cell>
          <cell r="H52">
            <v>7</v>
          </cell>
          <cell r="I52">
            <v>8</v>
          </cell>
          <cell r="J52">
            <v>9</v>
          </cell>
          <cell r="K52">
            <v>10</v>
          </cell>
          <cell r="L52">
            <v>11</v>
          </cell>
          <cell r="M52">
            <v>12</v>
          </cell>
          <cell r="N52">
            <v>13</v>
          </cell>
          <cell r="O52">
            <v>14</v>
          </cell>
          <cell r="P52">
            <v>15</v>
          </cell>
          <cell r="Q52">
            <v>16</v>
          </cell>
          <cell r="R52">
            <v>17</v>
          </cell>
          <cell r="S52">
            <v>18</v>
          </cell>
          <cell r="T52">
            <v>19</v>
          </cell>
          <cell r="U52">
            <v>20</v>
          </cell>
          <cell r="V52">
            <v>21</v>
          </cell>
          <cell r="W52">
            <v>22</v>
          </cell>
          <cell r="X52">
            <v>23</v>
          </cell>
          <cell r="Y52">
            <v>24</v>
          </cell>
          <cell r="Z52">
            <v>25</v>
          </cell>
          <cell r="AA52">
            <v>26</v>
          </cell>
          <cell r="AB52">
            <v>27</v>
          </cell>
          <cell r="AC52">
            <v>28</v>
          </cell>
          <cell r="AD52">
            <v>29</v>
          </cell>
          <cell r="AE52">
            <v>30</v>
          </cell>
          <cell r="AF52">
            <v>31</v>
          </cell>
          <cell r="AG52">
            <v>32</v>
          </cell>
          <cell r="AH52">
            <v>33</v>
          </cell>
          <cell r="AI52">
            <v>34</v>
          </cell>
          <cell r="AJ52">
            <v>35</v>
          </cell>
          <cell r="AK52">
            <v>36</v>
          </cell>
          <cell r="AL52">
            <v>37</v>
          </cell>
          <cell r="AM52">
            <v>38</v>
          </cell>
          <cell r="AN52">
            <v>39</v>
          </cell>
          <cell r="AO52">
            <v>40</v>
          </cell>
          <cell r="AP52">
            <v>41</v>
          </cell>
          <cell r="AQ52">
            <v>42</v>
          </cell>
          <cell r="AR52">
            <v>43</v>
          </cell>
          <cell r="AS52">
            <v>44</v>
          </cell>
          <cell r="AT52">
            <v>45</v>
          </cell>
          <cell r="AU52">
            <v>46</v>
          </cell>
          <cell r="AV52">
            <v>47</v>
          </cell>
          <cell r="AW52">
            <v>48</v>
          </cell>
          <cell r="AX52">
            <v>49</v>
          </cell>
          <cell r="AY52">
            <v>50</v>
          </cell>
          <cell r="AZ52">
            <v>51</v>
          </cell>
          <cell r="BA52">
            <v>52</v>
          </cell>
          <cell r="BB52">
            <v>53</v>
          </cell>
          <cell r="BC52">
            <v>54</v>
          </cell>
          <cell r="BD52">
            <v>55</v>
          </cell>
          <cell r="BE52">
            <v>56</v>
          </cell>
          <cell r="BF52">
            <v>57</v>
          </cell>
          <cell r="BG52">
            <v>58</v>
          </cell>
        </row>
        <row r="55">
          <cell r="B55">
            <v>0</v>
          </cell>
        </row>
        <row r="56">
          <cell r="B56">
            <v>0</v>
          </cell>
        </row>
        <row r="57">
          <cell r="B57">
            <v>0</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G57">
            <v>0</v>
          </cell>
          <cell r="AI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row>
        <row r="58">
          <cell r="B58">
            <v>0</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G58">
            <v>0</v>
          </cell>
          <cell r="AI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row>
        <row r="59">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G59">
            <v>0</v>
          </cell>
          <cell r="AI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row>
        <row r="60">
          <cell r="B60">
            <v>0</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G60">
            <v>0</v>
          </cell>
          <cell r="AI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row>
        <row r="61">
          <cell r="B61">
            <v>0</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G61">
            <v>0</v>
          </cell>
          <cell r="AI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row>
        <row r="62">
          <cell r="B62">
            <v>0</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G62">
            <v>0</v>
          </cell>
          <cell r="AI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row>
        <row r="63">
          <cell r="AJ63">
            <v>0</v>
          </cell>
        </row>
        <row r="66">
          <cell r="J66">
            <v>0</v>
          </cell>
          <cell r="K66">
            <v>0</v>
          </cell>
          <cell r="L66">
            <v>0</v>
          </cell>
          <cell r="M66">
            <v>0</v>
          </cell>
        </row>
        <row r="67">
          <cell r="J67">
            <v>0</v>
          </cell>
          <cell r="K67">
            <v>0</v>
          </cell>
          <cell r="L67">
            <v>0</v>
          </cell>
          <cell r="M67">
            <v>0</v>
          </cell>
        </row>
      </sheetData>
      <sheetData sheetId="50">
        <row r="1">
          <cell r="A1">
            <v>10</v>
          </cell>
          <cell r="B1">
            <v>10</v>
          </cell>
          <cell r="C1">
            <v>10.3</v>
          </cell>
          <cell r="D1">
            <v>9.1</v>
          </cell>
        </row>
        <row r="2">
          <cell r="A2">
            <v>8.8000000000000007</v>
          </cell>
          <cell r="B2">
            <v>8.8000000000000007</v>
          </cell>
          <cell r="C2">
            <v>9.33</v>
          </cell>
          <cell r="D2">
            <v>7.85</v>
          </cell>
        </row>
        <row r="3">
          <cell r="A3">
            <v>10</v>
          </cell>
        </row>
        <row r="4">
          <cell r="A4">
            <v>10</v>
          </cell>
        </row>
        <row r="5">
          <cell r="A5">
            <v>8.8000000000000007</v>
          </cell>
        </row>
        <row r="6">
          <cell r="A6">
            <v>8.8000000000000007</v>
          </cell>
        </row>
        <row r="7">
          <cell r="A7">
            <v>2.01E-2</v>
          </cell>
          <cell r="B7">
            <v>2.01E-2</v>
          </cell>
          <cell r="C7">
            <v>2.0299999999999999E-2</v>
          </cell>
          <cell r="D7">
            <v>2.7799999999999998E-2</v>
          </cell>
        </row>
        <row r="8">
          <cell r="A8">
            <v>2.0299999999999999E-2</v>
          </cell>
          <cell r="B8">
            <v>2.0299999999999999E-2</v>
          </cell>
          <cell r="C8">
            <v>1.72E-2</v>
          </cell>
          <cell r="D8">
            <v>2.8400000000000002E-2</v>
          </cell>
        </row>
        <row r="9">
          <cell r="A9" t="e">
            <v>#N/A</v>
          </cell>
        </row>
        <row r="10">
          <cell r="B10">
            <v>35</v>
          </cell>
          <cell r="C10">
            <v>35</v>
          </cell>
          <cell r="D10">
            <v>35</v>
          </cell>
        </row>
      </sheetData>
      <sheetData sheetId="51">
        <row r="1">
          <cell r="A1">
            <v>1</v>
          </cell>
          <cell r="B1" t="str">
            <v>Reduce Plazo</v>
          </cell>
          <cell r="C1">
            <v>3</v>
          </cell>
        </row>
        <row r="2">
          <cell r="E2">
            <v>1</v>
          </cell>
        </row>
        <row r="4">
          <cell r="E4">
            <v>3</v>
          </cell>
        </row>
        <row r="7">
          <cell r="B7" t="str">
            <v>Reduce Plazo</v>
          </cell>
          <cell r="C7" t="str">
            <v>Reduce Plazo</v>
          </cell>
          <cell r="D7" t="str">
            <v>Reduce Plazo</v>
          </cell>
          <cell r="E7" t="str">
            <v>Reduce Plazo</v>
          </cell>
        </row>
        <row r="8">
          <cell r="B8" t="e">
            <v>#REF!</v>
          </cell>
          <cell r="C8" t="e">
            <v>#REF!</v>
          </cell>
          <cell r="D8" t="e">
            <v>#REF!</v>
          </cell>
          <cell r="E8" t="e">
            <v>#REF!</v>
          </cell>
        </row>
        <row r="9">
          <cell r="B9" t="e">
            <v>#REF!</v>
          </cell>
          <cell r="C9" t="e">
            <v>#REF!</v>
          </cell>
          <cell r="D9" t="e">
            <v>#REF!</v>
          </cell>
          <cell r="E9" t="e">
            <v>#REF!</v>
          </cell>
        </row>
        <row r="12">
          <cell r="B12" t="str">
            <v>Reduce Plazo y Pago</v>
          </cell>
        </row>
        <row r="13">
          <cell r="B13" t="str">
            <v>Reduce Pago</v>
          </cell>
        </row>
        <row r="14">
          <cell r="B14" t="str">
            <v>Reduce Plazo</v>
          </cell>
        </row>
        <row r="17">
          <cell r="B17" t="str">
            <v>Reduce Plazo y Pago</v>
          </cell>
          <cell r="C17" t="str">
            <v>Reduce Plazo y Pago</v>
          </cell>
          <cell r="D17" t="str">
            <v>Reduce Plazo y Pago</v>
          </cell>
          <cell r="E17" t="str">
            <v>Reduce Plazo y Pago</v>
          </cell>
          <cell r="F17" t="str">
            <v>Reduce Plazo y Pago</v>
          </cell>
          <cell r="G17" t="str">
            <v>Reduce Plazo y Pago</v>
          </cell>
          <cell r="H17" t="str">
            <v>Reduce Plazo y Pago</v>
          </cell>
        </row>
        <row r="18">
          <cell r="B18" t="str">
            <v>Reduce Pago</v>
          </cell>
          <cell r="C18" t="str">
            <v>Reduce Pago</v>
          </cell>
          <cell r="D18" t="str">
            <v>Reduce Pago</v>
          </cell>
          <cell r="E18" t="str">
            <v>Reduce Pago</v>
          </cell>
          <cell r="F18" t="str">
            <v>Reduce Pago</v>
          </cell>
          <cell r="G18" t="str">
            <v>Reduce Pago</v>
          </cell>
          <cell r="H18" t="str">
            <v>Reduce Pago</v>
          </cell>
        </row>
        <row r="19">
          <cell r="B19" t="str">
            <v>Reduce Plazo</v>
          </cell>
          <cell r="C19" t="str">
            <v>Reduce Plazo</v>
          </cell>
          <cell r="D19" t="str">
            <v>Reduce Plazo</v>
          </cell>
          <cell r="E19" t="str">
            <v>Reduce Plazo</v>
          </cell>
          <cell r="F19" t="str">
            <v>Reduce Plazo</v>
          </cell>
          <cell r="G19" t="str">
            <v>Reduce Plazo</v>
          </cell>
          <cell r="H19" t="str">
            <v>Reduce Plazo</v>
          </cell>
        </row>
        <row r="22">
          <cell r="B22" t="str">
            <v>Reduce Plazo y Pago</v>
          </cell>
          <cell r="C22" t="str">
            <v>Reduce Plazo y Pago</v>
          </cell>
          <cell r="D22" t="str">
            <v>Reduce Plazo y Pago</v>
          </cell>
          <cell r="E22" t="str">
            <v>Reduce Plazo y Pago</v>
          </cell>
          <cell r="F22" t="str">
            <v>Reduce Plazo y Pago</v>
          </cell>
          <cell r="G22" t="str">
            <v>Reduce Plazo y Pago</v>
          </cell>
          <cell r="H22" t="str">
            <v>Reduce Plazo y Pago</v>
          </cell>
        </row>
        <row r="23">
          <cell r="B23" t="str">
            <v>Reduce Pago</v>
          </cell>
          <cell r="C23" t="str">
            <v>Reduce Pago</v>
          </cell>
          <cell r="D23" t="str">
            <v>Reduce Pago</v>
          </cell>
          <cell r="E23" t="str">
            <v>Reduce Pago</v>
          </cell>
          <cell r="F23" t="str">
            <v>Reduce Pago</v>
          </cell>
          <cell r="G23" t="str">
            <v>Reduce Pago</v>
          </cell>
          <cell r="H23" t="str">
            <v>Reduce Pago</v>
          </cell>
        </row>
        <row r="24">
          <cell r="B24" t="str">
            <v>Reduce Plazo</v>
          </cell>
          <cell r="C24" t="str">
            <v>Reduce Plazo</v>
          </cell>
          <cell r="D24" t="str">
            <v>Reduce Plazo</v>
          </cell>
          <cell r="E24" t="str">
            <v>Reduce Plazo</v>
          </cell>
          <cell r="F24" t="str">
            <v>Reduce Plazo</v>
          </cell>
          <cell r="G24" t="str">
            <v>Reduce Plazo</v>
          </cell>
          <cell r="H24" t="str">
            <v>Reduce Plazo</v>
          </cell>
        </row>
        <row r="27">
          <cell r="B27" t="str">
            <v>Reduce Plazo y Pago</v>
          </cell>
          <cell r="C27" t="str">
            <v>Reduce Plazo y Pago</v>
          </cell>
          <cell r="D27" t="str">
            <v>Reduce Plazo y Pago</v>
          </cell>
          <cell r="E27" t="str">
            <v>Reduce Plazo y Pago</v>
          </cell>
          <cell r="F27" t="str">
            <v>Reduce Plazo y Pago</v>
          </cell>
          <cell r="G27" t="str">
            <v>Reduce Plazo y Pago</v>
          </cell>
          <cell r="H27" t="str">
            <v>Reduce Plazo y Pago</v>
          </cell>
        </row>
        <row r="28">
          <cell r="B28" t="str">
            <v>Reduce Pago</v>
          </cell>
          <cell r="C28" t="str">
            <v>Reduce Pago</v>
          </cell>
          <cell r="D28" t="str">
            <v>Reduce Pago</v>
          </cell>
          <cell r="E28" t="str">
            <v>Reduce Pago</v>
          </cell>
          <cell r="F28" t="str">
            <v>Reduce Plazo</v>
          </cell>
          <cell r="G28" t="str">
            <v>Reduce Pago</v>
          </cell>
          <cell r="H28" t="str">
            <v>Reduce Pago</v>
          </cell>
        </row>
        <row r="29">
          <cell r="B29" t="str">
            <v>Reduce Plazo</v>
          </cell>
          <cell r="C29" t="str">
            <v>Reduce Plazo</v>
          </cell>
          <cell r="D29" t="str">
            <v>Reduce Plazo</v>
          </cell>
          <cell r="E29" t="str">
            <v>Reduce Plazo</v>
          </cell>
          <cell r="G29" t="str">
            <v>Reduce Plazo</v>
          </cell>
          <cell r="H29" t="str">
            <v>Reduce Plazo</v>
          </cell>
        </row>
        <row r="32">
          <cell r="B32" t="str">
            <v>Reduce Plazo</v>
          </cell>
          <cell r="C32" t="str">
            <v>Reduce Plazo</v>
          </cell>
          <cell r="D32" t="str">
            <v>Reduce Plazo</v>
          </cell>
          <cell r="E32" t="str">
            <v>Reduce Plazo</v>
          </cell>
        </row>
        <row r="34">
          <cell r="D34">
            <v>0</v>
          </cell>
        </row>
      </sheetData>
      <sheetData sheetId="52">
        <row r="4">
          <cell r="A4">
            <v>0</v>
          </cell>
          <cell r="B4">
            <v>0</v>
          </cell>
          <cell r="C4" t="str">
            <v>Sin Selección</v>
          </cell>
          <cell r="D4" t="str">
            <v>00</v>
          </cell>
          <cell r="E4">
            <v>0</v>
          </cell>
          <cell r="F4">
            <v>0</v>
          </cell>
          <cell r="G4">
            <v>0</v>
          </cell>
          <cell r="H4">
            <v>0</v>
          </cell>
        </row>
        <row r="5">
          <cell r="B5" t="str">
            <v>Id</v>
          </cell>
          <cell r="C5" t="str">
            <v>Descripción</v>
          </cell>
          <cell r="D5" t="str">
            <v>Código</v>
          </cell>
          <cell r="E5" t="str">
            <v>Pagos Crecientes?</v>
          </cell>
          <cell r="F5" t="str">
            <v>Tasa Interés</v>
          </cell>
          <cell r="G5" t="str">
            <v>Multitasa?</v>
          </cell>
          <cell r="H5" t="str">
            <v>Tasa Final</v>
          </cell>
        </row>
        <row r="6">
          <cell r="B6">
            <v>0</v>
          </cell>
          <cell r="C6" t="str">
            <v>Sin Selección</v>
          </cell>
          <cell r="D6" t="str">
            <v>00</v>
          </cell>
          <cell r="E6">
            <v>0</v>
          </cell>
          <cell r="F6">
            <v>0</v>
          </cell>
          <cell r="G6">
            <v>0</v>
          </cell>
          <cell r="H6">
            <v>0</v>
          </cell>
        </row>
        <row r="7">
          <cell r="B7">
            <v>1</v>
          </cell>
          <cell r="C7" t="str">
            <v>Hipoteca Fuerte</v>
          </cell>
          <cell r="D7" t="str">
            <v>A</v>
          </cell>
          <cell r="E7">
            <v>0</v>
          </cell>
          <cell r="F7">
            <v>0</v>
          </cell>
          <cell r="G7" t="b">
            <v>1</v>
          </cell>
          <cell r="H7">
            <v>0.09</v>
          </cell>
        </row>
        <row r="8">
          <cell r="B8">
            <v>5</v>
          </cell>
          <cell r="C8" t="str">
            <v>Hipoteca Más por Menos</v>
          </cell>
          <cell r="D8" t="str">
            <v>E</v>
          </cell>
          <cell r="E8" t="b">
            <v>1</v>
          </cell>
          <cell r="F8">
            <v>0.113</v>
          </cell>
          <cell r="G8">
            <v>0</v>
          </cell>
          <cell r="H8">
            <v>0</v>
          </cell>
        </row>
        <row r="10">
          <cell r="B10">
            <v>2</v>
          </cell>
        </row>
        <row r="11">
          <cell r="B11">
            <v>3</v>
          </cell>
        </row>
        <row r="12">
          <cell r="B12">
            <v>4</v>
          </cell>
        </row>
        <row r="13">
          <cell r="B13">
            <v>6</v>
          </cell>
        </row>
      </sheetData>
      <sheetData sheetId="53"/>
      <sheetData sheetId="54"/>
      <sheetData sheetId="55">
        <row r="5">
          <cell r="L5" t="e">
            <v>#N/A</v>
          </cell>
        </row>
        <row r="9">
          <cell r="G9" t="e">
            <v>#N/A</v>
          </cell>
          <cell r="J9">
            <v>15</v>
          </cell>
        </row>
        <row r="10">
          <cell r="G10" t="e">
            <v>#N/A</v>
          </cell>
          <cell r="J10" t="e">
            <v>#N/A</v>
          </cell>
        </row>
        <row r="11">
          <cell r="G11" t="e">
            <v>#N/A</v>
          </cell>
        </row>
        <row r="12">
          <cell r="G12" t="e">
            <v>#N/A</v>
          </cell>
        </row>
        <row r="13">
          <cell r="G13" t="e">
            <v>#N/A</v>
          </cell>
          <cell r="J13" t="e">
            <v>#N/A</v>
          </cell>
        </row>
        <row r="14">
          <cell r="G14" t="e">
            <v>#N/A</v>
          </cell>
        </row>
        <row r="15">
          <cell r="G15" t="e">
            <v>#N/A</v>
          </cell>
        </row>
        <row r="16">
          <cell r="G16" t="e">
            <v>#N/A</v>
          </cell>
          <cell r="J16" t="e">
            <v>#N/A</v>
          </cell>
        </row>
        <row r="17">
          <cell r="G17" t="e">
            <v>#N/A</v>
          </cell>
          <cell r="J17" t="e">
            <v>#N/A</v>
          </cell>
        </row>
        <row r="18">
          <cell r="G18" t="e">
            <v>#N/A</v>
          </cell>
        </row>
        <row r="19">
          <cell r="G19" t="e">
            <v>#N/A</v>
          </cell>
          <cell r="J19" t="e">
            <v>#N/A</v>
          </cell>
        </row>
        <row r="20">
          <cell r="G20" t="e">
            <v>#N/A</v>
          </cell>
          <cell r="J20" t="e">
            <v>#N/A</v>
          </cell>
        </row>
        <row r="21">
          <cell r="G21" t="e">
            <v>#N/A</v>
          </cell>
          <cell r="J21" t="e">
            <v>#N/A</v>
          </cell>
        </row>
        <row r="22">
          <cell r="G22" t="e">
            <v>#N/A</v>
          </cell>
        </row>
        <row r="23">
          <cell r="G23" t="e">
            <v>#N/A</v>
          </cell>
          <cell r="J23" t="e">
            <v>#N/A</v>
          </cell>
        </row>
        <row r="24">
          <cell r="G24" t="e">
            <v>#N/A</v>
          </cell>
        </row>
      </sheetData>
      <sheetData sheetId="56">
        <row r="3">
          <cell r="B3">
            <v>1000000</v>
          </cell>
        </row>
        <row r="4">
          <cell r="B4">
            <v>7000000</v>
          </cell>
        </row>
        <row r="5">
          <cell r="B5">
            <v>0.93</v>
          </cell>
        </row>
      </sheetData>
      <sheetData sheetId="57">
        <row r="3">
          <cell r="D3" t="e">
            <v>#VALUE!</v>
          </cell>
          <cell r="E3" t="e">
            <v>#VALUE!</v>
          </cell>
          <cell r="F3" t="str">
            <v>* Sólo para Hipoteca Más por Menos: La tasa de interés es de 11.30% del mes 1 al 37, de 11.55% del mes 38 al 73, de 11.80% del mes 74 en adelante.</v>
          </cell>
          <cell r="O3" t="str">
            <v/>
          </cell>
        </row>
        <row r="4">
          <cell r="D4" t="e">
            <v>#VALUE!</v>
          </cell>
          <cell r="E4" t="e">
            <v>#VALUE!</v>
          </cell>
        </row>
        <row r="7">
          <cell r="D7" t="e">
            <v>#VALUE!</v>
          </cell>
        </row>
        <row r="8">
          <cell r="D8" t="e">
            <v>#VALUE!</v>
          </cell>
        </row>
      </sheetData>
      <sheetData sheetId="58"/>
      <sheetData sheetId="59"/>
      <sheetData sheetId="60"/>
      <sheetData sheetId="61"/>
      <sheetData sheetId="62"/>
      <sheetData sheetId="63"/>
      <sheetData sheetId="64">
        <row r="4">
          <cell r="S4" t="e">
            <v>#VALUE!</v>
          </cell>
          <cell r="T4" t="e">
            <v>#VALUE!</v>
          </cell>
          <cell r="U4" t="e">
            <v>#VALUE!</v>
          </cell>
        </row>
        <row r="5">
          <cell r="S5" t="e">
            <v>#N/A</v>
          </cell>
          <cell r="T5" t="e">
            <v>#N/A</v>
          </cell>
          <cell r="U5" t="e">
            <v>#N/A</v>
          </cell>
        </row>
        <row r="6">
          <cell r="S6" t="e">
            <v>#N/A</v>
          </cell>
          <cell r="T6" t="e">
            <v>#N/A</v>
          </cell>
          <cell r="U6" t="e">
            <v>#N/A</v>
          </cell>
        </row>
        <row r="7">
          <cell r="S7" t="e">
            <v>#N/A</v>
          </cell>
          <cell r="T7" t="e">
            <v>#N/A</v>
          </cell>
          <cell r="U7" t="e">
            <v>#N/A</v>
          </cell>
        </row>
        <row r="8">
          <cell r="S8" t="e">
            <v>#N/A</v>
          </cell>
          <cell r="T8" t="e">
            <v>#N/A</v>
          </cell>
          <cell r="U8" t="e">
            <v>#N/A</v>
          </cell>
        </row>
        <row r="9">
          <cell r="S9" t="e">
            <v>#N/A</v>
          </cell>
          <cell r="T9" t="e">
            <v>#N/A</v>
          </cell>
          <cell r="U9" t="e">
            <v>#N/A</v>
          </cell>
        </row>
        <row r="10">
          <cell r="S10" t="e">
            <v>#N/A</v>
          </cell>
          <cell r="T10" t="e">
            <v>#N/A</v>
          </cell>
          <cell r="U10" t="e">
            <v>#N/A</v>
          </cell>
        </row>
        <row r="11">
          <cell r="S11" t="e">
            <v>#N/A</v>
          </cell>
          <cell r="T11" t="e">
            <v>#N/A</v>
          </cell>
          <cell r="U11" t="e">
            <v>#N/A</v>
          </cell>
        </row>
        <row r="12">
          <cell r="S12" t="e">
            <v>#N/A</v>
          </cell>
          <cell r="T12" t="e">
            <v>#N/A</v>
          </cell>
          <cell r="U12" t="e">
            <v>#N/A</v>
          </cell>
        </row>
        <row r="13">
          <cell r="S13" t="e">
            <v>#N/A</v>
          </cell>
          <cell r="T13" t="e">
            <v>#N/A</v>
          </cell>
          <cell r="U13" t="e">
            <v>#N/A</v>
          </cell>
        </row>
        <row r="14">
          <cell r="S14" t="e">
            <v>#N/A</v>
          </cell>
          <cell r="T14" t="e">
            <v>#N/A</v>
          </cell>
          <cell r="U14" t="e">
            <v>#N/A</v>
          </cell>
        </row>
        <row r="15">
          <cell r="S15" t="e">
            <v>#N/A</v>
          </cell>
          <cell r="T15" t="e">
            <v>#N/A</v>
          </cell>
          <cell r="U15" t="e">
            <v>#N/A</v>
          </cell>
        </row>
        <row r="16">
          <cell r="S16" t="e">
            <v>#N/A</v>
          </cell>
          <cell r="T16" t="e">
            <v>#N/A</v>
          </cell>
          <cell r="U16" t="e">
            <v>#N/A</v>
          </cell>
        </row>
        <row r="17">
          <cell r="S17" t="e">
            <v>#N/A</v>
          </cell>
          <cell r="T17" t="e">
            <v>#N/A</v>
          </cell>
          <cell r="U17" t="e">
            <v>#N/A</v>
          </cell>
        </row>
        <row r="18">
          <cell r="S18" t="e">
            <v>#N/A</v>
          </cell>
          <cell r="T18" t="e">
            <v>#N/A</v>
          </cell>
          <cell r="U18" t="e">
            <v>#N/A</v>
          </cell>
        </row>
        <row r="19">
          <cell r="S19" t="e">
            <v>#N/A</v>
          </cell>
          <cell r="T19" t="e">
            <v>#N/A</v>
          </cell>
          <cell r="U19" t="e">
            <v>#N/A</v>
          </cell>
        </row>
        <row r="20">
          <cell r="S20" t="e">
            <v>#N/A</v>
          </cell>
          <cell r="T20" t="e">
            <v>#N/A</v>
          </cell>
          <cell r="U20" t="e">
            <v>#N/A</v>
          </cell>
        </row>
        <row r="21">
          <cell r="S21" t="e">
            <v>#N/A</v>
          </cell>
          <cell r="T21" t="e">
            <v>#N/A</v>
          </cell>
          <cell r="U21" t="e">
            <v>#N/A</v>
          </cell>
        </row>
        <row r="22">
          <cell r="S22" t="e">
            <v>#N/A</v>
          </cell>
          <cell r="T22" t="e">
            <v>#N/A</v>
          </cell>
          <cell r="U22" t="e">
            <v>#N/A</v>
          </cell>
        </row>
        <row r="23">
          <cell r="S23" t="e">
            <v>#N/A</v>
          </cell>
          <cell r="T23" t="e">
            <v>#N/A</v>
          </cell>
          <cell r="U23" t="e">
            <v>#N/A</v>
          </cell>
        </row>
        <row r="24">
          <cell r="S24" t="e">
            <v>#N/A</v>
          </cell>
          <cell r="T24" t="e">
            <v>#N/A</v>
          </cell>
          <cell r="U24" t="e">
            <v>#N/A</v>
          </cell>
        </row>
        <row r="25">
          <cell r="S25" t="e">
            <v>#N/A</v>
          </cell>
          <cell r="T25" t="e">
            <v>#N/A</v>
          </cell>
          <cell r="U25" t="e">
            <v>#N/A</v>
          </cell>
        </row>
        <row r="26">
          <cell r="S26" t="e">
            <v>#N/A</v>
          </cell>
          <cell r="T26" t="e">
            <v>#N/A</v>
          </cell>
          <cell r="U26" t="e">
            <v>#N/A</v>
          </cell>
        </row>
        <row r="27">
          <cell r="S27" t="e">
            <v>#N/A</v>
          </cell>
          <cell r="T27" t="e">
            <v>#N/A</v>
          </cell>
          <cell r="U27" t="e">
            <v>#N/A</v>
          </cell>
        </row>
        <row r="28">
          <cell r="S28" t="e">
            <v>#N/A</v>
          </cell>
          <cell r="T28" t="e">
            <v>#N/A</v>
          </cell>
          <cell r="U28" t="e">
            <v>#N/A</v>
          </cell>
        </row>
        <row r="29">
          <cell r="S29" t="e">
            <v>#N/A</v>
          </cell>
          <cell r="T29" t="e">
            <v>#N/A</v>
          </cell>
          <cell r="U29" t="e">
            <v>#N/A</v>
          </cell>
        </row>
        <row r="30">
          <cell r="S30" t="e">
            <v>#N/A</v>
          </cell>
          <cell r="T30" t="e">
            <v>#N/A</v>
          </cell>
          <cell r="U30" t="e">
            <v>#N/A</v>
          </cell>
        </row>
        <row r="31">
          <cell r="S31" t="e">
            <v>#N/A</v>
          </cell>
          <cell r="T31" t="e">
            <v>#N/A</v>
          </cell>
          <cell r="U31" t="e">
            <v>#N/A</v>
          </cell>
        </row>
        <row r="32">
          <cell r="S32" t="e">
            <v>#N/A</v>
          </cell>
          <cell r="T32" t="e">
            <v>#N/A</v>
          </cell>
          <cell r="U32" t="e">
            <v>#N/A</v>
          </cell>
        </row>
        <row r="33">
          <cell r="S33" t="e">
            <v>#N/A</v>
          </cell>
          <cell r="T33" t="e">
            <v>#N/A</v>
          </cell>
          <cell r="U33" t="e">
            <v>#N/A</v>
          </cell>
        </row>
        <row r="34">
          <cell r="S34" t="e">
            <v>#N/A</v>
          </cell>
          <cell r="T34" t="e">
            <v>#N/A</v>
          </cell>
          <cell r="U34" t="e">
            <v>#N/A</v>
          </cell>
        </row>
        <row r="35">
          <cell r="S35" t="e">
            <v>#N/A</v>
          </cell>
          <cell r="T35" t="e">
            <v>#N/A</v>
          </cell>
          <cell r="U35" t="e">
            <v>#N/A</v>
          </cell>
        </row>
        <row r="36">
          <cell r="S36" t="e">
            <v>#N/A</v>
          </cell>
          <cell r="T36" t="e">
            <v>#N/A</v>
          </cell>
          <cell r="U36" t="e">
            <v>#N/A</v>
          </cell>
        </row>
        <row r="37">
          <cell r="S37" t="e">
            <v>#N/A</v>
          </cell>
          <cell r="T37" t="e">
            <v>#N/A</v>
          </cell>
          <cell r="U37" t="e">
            <v>#N/A</v>
          </cell>
        </row>
        <row r="38">
          <cell r="S38" t="e">
            <v>#N/A</v>
          </cell>
          <cell r="T38" t="e">
            <v>#N/A</v>
          </cell>
          <cell r="U38" t="e">
            <v>#N/A</v>
          </cell>
        </row>
        <row r="39">
          <cell r="S39" t="e">
            <v>#N/A</v>
          </cell>
          <cell r="T39" t="e">
            <v>#N/A</v>
          </cell>
          <cell r="U39" t="e">
            <v>#N/A</v>
          </cell>
        </row>
        <row r="40">
          <cell r="S40" t="e">
            <v>#N/A</v>
          </cell>
          <cell r="T40" t="e">
            <v>#N/A</v>
          </cell>
          <cell r="U40" t="e">
            <v>#N/A</v>
          </cell>
        </row>
        <row r="41">
          <cell r="S41" t="e">
            <v>#N/A</v>
          </cell>
          <cell r="T41" t="e">
            <v>#N/A</v>
          </cell>
          <cell r="U41" t="e">
            <v>#N/A</v>
          </cell>
        </row>
        <row r="42">
          <cell r="S42" t="e">
            <v>#N/A</v>
          </cell>
          <cell r="T42" t="e">
            <v>#N/A</v>
          </cell>
          <cell r="U42" t="e">
            <v>#N/A</v>
          </cell>
        </row>
        <row r="43">
          <cell r="S43" t="e">
            <v>#N/A</v>
          </cell>
          <cell r="T43" t="e">
            <v>#N/A</v>
          </cell>
          <cell r="U43" t="e">
            <v>#N/A</v>
          </cell>
        </row>
        <row r="44">
          <cell r="S44" t="e">
            <v>#N/A</v>
          </cell>
          <cell r="T44" t="e">
            <v>#N/A</v>
          </cell>
          <cell r="U44" t="e">
            <v>#N/A</v>
          </cell>
        </row>
        <row r="45">
          <cell r="S45" t="e">
            <v>#N/A</v>
          </cell>
          <cell r="T45" t="e">
            <v>#N/A</v>
          </cell>
          <cell r="U45" t="e">
            <v>#N/A</v>
          </cell>
        </row>
        <row r="46">
          <cell r="S46" t="e">
            <v>#N/A</v>
          </cell>
          <cell r="T46" t="e">
            <v>#N/A</v>
          </cell>
          <cell r="U46" t="e">
            <v>#N/A</v>
          </cell>
        </row>
        <row r="47">
          <cell r="S47" t="e">
            <v>#N/A</v>
          </cell>
          <cell r="T47" t="e">
            <v>#N/A</v>
          </cell>
          <cell r="U47" t="e">
            <v>#N/A</v>
          </cell>
        </row>
        <row r="48">
          <cell r="S48" t="e">
            <v>#N/A</v>
          </cell>
          <cell r="T48" t="e">
            <v>#N/A</v>
          </cell>
          <cell r="U48" t="e">
            <v>#N/A</v>
          </cell>
        </row>
        <row r="49">
          <cell r="S49" t="e">
            <v>#N/A</v>
          </cell>
          <cell r="T49" t="e">
            <v>#N/A</v>
          </cell>
          <cell r="U49" t="e">
            <v>#N/A</v>
          </cell>
        </row>
        <row r="50">
          <cell r="S50" t="e">
            <v>#N/A</v>
          </cell>
          <cell r="T50" t="e">
            <v>#N/A</v>
          </cell>
          <cell r="U50" t="e">
            <v>#N/A</v>
          </cell>
        </row>
        <row r="51">
          <cell r="S51" t="e">
            <v>#N/A</v>
          </cell>
          <cell r="T51" t="e">
            <v>#N/A</v>
          </cell>
          <cell r="U51" t="e">
            <v>#N/A</v>
          </cell>
        </row>
        <row r="52">
          <cell r="S52" t="e">
            <v>#N/A</v>
          </cell>
          <cell r="T52" t="e">
            <v>#N/A</v>
          </cell>
          <cell r="U52" t="e">
            <v>#N/A</v>
          </cell>
        </row>
        <row r="53">
          <cell r="S53" t="e">
            <v>#N/A</v>
          </cell>
          <cell r="T53" t="e">
            <v>#N/A</v>
          </cell>
          <cell r="U53" t="e">
            <v>#N/A</v>
          </cell>
        </row>
        <row r="54">
          <cell r="S54" t="e">
            <v>#N/A</v>
          </cell>
          <cell r="T54" t="e">
            <v>#N/A</v>
          </cell>
          <cell r="U54" t="e">
            <v>#N/A</v>
          </cell>
        </row>
        <row r="55">
          <cell r="S55" t="e">
            <v>#N/A</v>
          </cell>
          <cell r="T55" t="e">
            <v>#N/A</v>
          </cell>
          <cell r="U55" t="e">
            <v>#N/A</v>
          </cell>
        </row>
        <row r="56">
          <cell r="S56" t="e">
            <v>#N/A</v>
          </cell>
          <cell r="T56" t="e">
            <v>#N/A</v>
          </cell>
          <cell r="U56" t="e">
            <v>#N/A</v>
          </cell>
        </row>
        <row r="57">
          <cell r="S57" t="e">
            <v>#N/A</v>
          </cell>
          <cell r="T57" t="e">
            <v>#N/A</v>
          </cell>
          <cell r="U57" t="e">
            <v>#N/A</v>
          </cell>
        </row>
        <row r="58">
          <cell r="S58" t="e">
            <v>#N/A</v>
          </cell>
          <cell r="T58" t="e">
            <v>#N/A</v>
          </cell>
          <cell r="U58" t="e">
            <v>#N/A</v>
          </cell>
        </row>
        <row r="59">
          <cell r="S59" t="e">
            <v>#N/A</v>
          </cell>
          <cell r="T59" t="e">
            <v>#N/A</v>
          </cell>
          <cell r="U59" t="e">
            <v>#N/A</v>
          </cell>
        </row>
        <row r="60">
          <cell r="S60" t="e">
            <v>#N/A</v>
          </cell>
          <cell r="T60" t="e">
            <v>#N/A</v>
          </cell>
          <cell r="U60" t="e">
            <v>#N/A</v>
          </cell>
        </row>
        <row r="61">
          <cell r="S61" t="e">
            <v>#N/A</v>
          </cell>
          <cell r="T61" t="e">
            <v>#N/A</v>
          </cell>
          <cell r="U61" t="e">
            <v>#N/A</v>
          </cell>
        </row>
        <row r="62">
          <cell r="S62" t="e">
            <v>#N/A</v>
          </cell>
          <cell r="T62" t="e">
            <v>#N/A</v>
          </cell>
          <cell r="U62" t="e">
            <v>#N/A</v>
          </cell>
        </row>
        <row r="63">
          <cell r="S63" t="e">
            <v>#N/A</v>
          </cell>
          <cell r="T63" t="e">
            <v>#N/A</v>
          </cell>
          <cell r="U63" t="e">
            <v>#N/A</v>
          </cell>
        </row>
        <row r="64">
          <cell r="S64" t="e">
            <v>#N/A</v>
          </cell>
          <cell r="T64" t="e">
            <v>#N/A</v>
          </cell>
          <cell r="U64" t="e">
            <v>#N/A</v>
          </cell>
        </row>
        <row r="65">
          <cell r="S65" t="e">
            <v>#N/A</v>
          </cell>
          <cell r="T65" t="e">
            <v>#N/A</v>
          </cell>
          <cell r="U65" t="e">
            <v>#N/A</v>
          </cell>
        </row>
        <row r="66">
          <cell r="S66" t="e">
            <v>#N/A</v>
          </cell>
          <cell r="T66" t="e">
            <v>#N/A</v>
          </cell>
          <cell r="U66" t="e">
            <v>#N/A</v>
          </cell>
        </row>
        <row r="67">
          <cell r="S67" t="e">
            <v>#N/A</v>
          </cell>
          <cell r="T67" t="e">
            <v>#N/A</v>
          </cell>
          <cell r="U67" t="e">
            <v>#N/A</v>
          </cell>
        </row>
        <row r="68">
          <cell r="S68" t="e">
            <v>#N/A</v>
          </cell>
          <cell r="T68" t="e">
            <v>#N/A</v>
          </cell>
          <cell r="U68" t="e">
            <v>#N/A</v>
          </cell>
        </row>
        <row r="69">
          <cell r="S69" t="e">
            <v>#N/A</v>
          </cell>
          <cell r="T69" t="e">
            <v>#N/A</v>
          </cell>
          <cell r="U69" t="e">
            <v>#N/A</v>
          </cell>
        </row>
        <row r="70">
          <cell r="S70" t="e">
            <v>#N/A</v>
          </cell>
          <cell r="T70" t="e">
            <v>#N/A</v>
          </cell>
          <cell r="U70" t="e">
            <v>#N/A</v>
          </cell>
        </row>
        <row r="71">
          <cell r="S71" t="e">
            <v>#N/A</v>
          </cell>
          <cell r="T71" t="e">
            <v>#N/A</v>
          </cell>
          <cell r="U71" t="e">
            <v>#N/A</v>
          </cell>
        </row>
        <row r="72">
          <cell r="S72" t="e">
            <v>#N/A</v>
          </cell>
          <cell r="T72" t="e">
            <v>#N/A</v>
          </cell>
          <cell r="U72" t="e">
            <v>#N/A</v>
          </cell>
        </row>
        <row r="73">
          <cell r="S73" t="e">
            <v>#N/A</v>
          </cell>
          <cell r="T73" t="e">
            <v>#N/A</v>
          </cell>
          <cell r="U73" t="e">
            <v>#N/A</v>
          </cell>
        </row>
        <row r="74">
          <cell r="S74" t="e">
            <v>#N/A</v>
          </cell>
          <cell r="T74" t="e">
            <v>#N/A</v>
          </cell>
          <cell r="U74" t="e">
            <v>#N/A</v>
          </cell>
        </row>
        <row r="75">
          <cell r="S75" t="e">
            <v>#N/A</v>
          </cell>
          <cell r="T75" t="e">
            <v>#N/A</v>
          </cell>
          <cell r="U75" t="e">
            <v>#N/A</v>
          </cell>
        </row>
        <row r="76">
          <cell r="S76" t="e">
            <v>#N/A</v>
          </cell>
          <cell r="T76" t="e">
            <v>#N/A</v>
          </cell>
          <cell r="U76" t="e">
            <v>#N/A</v>
          </cell>
        </row>
        <row r="77">
          <cell r="S77" t="e">
            <v>#N/A</v>
          </cell>
          <cell r="T77" t="e">
            <v>#N/A</v>
          </cell>
          <cell r="U77" t="e">
            <v>#N/A</v>
          </cell>
        </row>
        <row r="78">
          <cell r="S78" t="e">
            <v>#N/A</v>
          </cell>
          <cell r="T78" t="e">
            <v>#N/A</v>
          </cell>
          <cell r="U78" t="e">
            <v>#N/A</v>
          </cell>
        </row>
        <row r="79">
          <cell r="S79" t="e">
            <v>#N/A</v>
          </cell>
          <cell r="T79" t="e">
            <v>#N/A</v>
          </cell>
          <cell r="U79" t="e">
            <v>#N/A</v>
          </cell>
        </row>
        <row r="80">
          <cell r="S80" t="e">
            <v>#N/A</v>
          </cell>
          <cell r="T80" t="e">
            <v>#N/A</v>
          </cell>
          <cell r="U80" t="e">
            <v>#N/A</v>
          </cell>
        </row>
        <row r="81">
          <cell r="S81" t="e">
            <v>#N/A</v>
          </cell>
          <cell r="T81" t="e">
            <v>#N/A</v>
          </cell>
          <cell r="U81" t="e">
            <v>#N/A</v>
          </cell>
        </row>
        <row r="82">
          <cell r="S82" t="e">
            <v>#N/A</v>
          </cell>
          <cell r="T82" t="e">
            <v>#N/A</v>
          </cell>
          <cell r="U82" t="e">
            <v>#N/A</v>
          </cell>
        </row>
        <row r="83">
          <cell r="S83" t="e">
            <v>#N/A</v>
          </cell>
          <cell r="T83" t="e">
            <v>#N/A</v>
          </cell>
          <cell r="U83" t="e">
            <v>#N/A</v>
          </cell>
        </row>
        <row r="84">
          <cell r="S84" t="e">
            <v>#N/A</v>
          </cell>
          <cell r="T84" t="e">
            <v>#N/A</v>
          </cell>
          <cell r="U84" t="e">
            <v>#N/A</v>
          </cell>
        </row>
        <row r="85">
          <cell r="S85" t="e">
            <v>#N/A</v>
          </cell>
          <cell r="T85" t="e">
            <v>#N/A</v>
          </cell>
          <cell r="U85" t="e">
            <v>#N/A</v>
          </cell>
        </row>
        <row r="86">
          <cell r="S86" t="e">
            <v>#N/A</v>
          </cell>
          <cell r="T86" t="e">
            <v>#N/A</v>
          </cell>
          <cell r="U86" t="e">
            <v>#N/A</v>
          </cell>
        </row>
        <row r="87">
          <cell r="S87" t="e">
            <v>#N/A</v>
          </cell>
          <cell r="T87" t="e">
            <v>#N/A</v>
          </cell>
          <cell r="U87" t="e">
            <v>#N/A</v>
          </cell>
        </row>
        <row r="88">
          <cell r="S88" t="e">
            <v>#N/A</v>
          </cell>
          <cell r="T88" t="e">
            <v>#N/A</v>
          </cell>
          <cell r="U88" t="e">
            <v>#N/A</v>
          </cell>
        </row>
        <row r="89">
          <cell r="S89" t="e">
            <v>#N/A</v>
          </cell>
          <cell r="T89" t="e">
            <v>#N/A</v>
          </cell>
          <cell r="U89" t="e">
            <v>#N/A</v>
          </cell>
        </row>
        <row r="90">
          <cell r="S90" t="e">
            <v>#N/A</v>
          </cell>
          <cell r="T90" t="e">
            <v>#N/A</v>
          </cell>
          <cell r="U90" t="e">
            <v>#N/A</v>
          </cell>
        </row>
        <row r="91">
          <cell r="S91" t="e">
            <v>#N/A</v>
          </cell>
          <cell r="T91" t="e">
            <v>#N/A</v>
          </cell>
          <cell r="U91" t="e">
            <v>#N/A</v>
          </cell>
        </row>
        <row r="92">
          <cell r="S92" t="e">
            <v>#N/A</v>
          </cell>
          <cell r="T92" t="e">
            <v>#N/A</v>
          </cell>
          <cell r="U92" t="e">
            <v>#N/A</v>
          </cell>
        </row>
        <row r="93">
          <cell r="S93" t="e">
            <v>#N/A</v>
          </cell>
          <cell r="T93" t="e">
            <v>#N/A</v>
          </cell>
          <cell r="U93" t="e">
            <v>#N/A</v>
          </cell>
        </row>
        <row r="94">
          <cell r="S94" t="e">
            <v>#N/A</v>
          </cell>
          <cell r="T94" t="e">
            <v>#N/A</v>
          </cell>
          <cell r="U94" t="e">
            <v>#N/A</v>
          </cell>
        </row>
        <row r="95">
          <cell r="S95" t="e">
            <v>#N/A</v>
          </cell>
          <cell r="T95" t="e">
            <v>#N/A</v>
          </cell>
          <cell r="U95" t="e">
            <v>#N/A</v>
          </cell>
        </row>
        <row r="96">
          <cell r="S96" t="e">
            <v>#N/A</v>
          </cell>
          <cell r="T96" t="e">
            <v>#N/A</v>
          </cell>
          <cell r="U96" t="e">
            <v>#N/A</v>
          </cell>
        </row>
        <row r="97">
          <cell r="S97" t="e">
            <v>#N/A</v>
          </cell>
          <cell r="T97" t="e">
            <v>#N/A</v>
          </cell>
          <cell r="U97" t="e">
            <v>#N/A</v>
          </cell>
        </row>
        <row r="98">
          <cell r="S98" t="e">
            <v>#N/A</v>
          </cell>
          <cell r="T98" t="e">
            <v>#N/A</v>
          </cell>
          <cell r="U98" t="e">
            <v>#N/A</v>
          </cell>
        </row>
        <row r="99">
          <cell r="S99" t="e">
            <v>#N/A</v>
          </cell>
          <cell r="T99" t="e">
            <v>#N/A</v>
          </cell>
          <cell r="U99" t="e">
            <v>#N/A</v>
          </cell>
        </row>
        <row r="100">
          <cell r="S100" t="e">
            <v>#N/A</v>
          </cell>
          <cell r="T100" t="e">
            <v>#N/A</v>
          </cell>
          <cell r="U100" t="e">
            <v>#N/A</v>
          </cell>
        </row>
        <row r="101">
          <cell r="S101" t="e">
            <v>#N/A</v>
          </cell>
          <cell r="T101" t="e">
            <v>#N/A</v>
          </cell>
          <cell r="U101" t="e">
            <v>#N/A</v>
          </cell>
        </row>
        <row r="102">
          <cell r="S102" t="e">
            <v>#N/A</v>
          </cell>
          <cell r="T102" t="e">
            <v>#N/A</v>
          </cell>
          <cell r="U102" t="e">
            <v>#N/A</v>
          </cell>
        </row>
        <row r="103">
          <cell r="S103" t="e">
            <v>#N/A</v>
          </cell>
          <cell r="T103" t="e">
            <v>#N/A</v>
          </cell>
          <cell r="U103" t="e">
            <v>#N/A</v>
          </cell>
        </row>
        <row r="104">
          <cell r="S104" t="e">
            <v>#N/A</v>
          </cell>
          <cell r="T104" t="e">
            <v>#N/A</v>
          </cell>
          <cell r="U104" t="e">
            <v>#N/A</v>
          </cell>
        </row>
        <row r="105">
          <cell r="S105" t="e">
            <v>#N/A</v>
          </cell>
          <cell r="T105" t="e">
            <v>#N/A</v>
          </cell>
          <cell r="U105" t="e">
            <v>#N/A</v>
          </cell>
        </row>
        <row r="106">
          <cell r="S106" t="e">
            <v>#N/A</v>
          </cell>
          <cell r="T106" t="e">
            <v>#N/A</v>
          </cell>
          <cell r="U106" t="e">
            <v>#N/A</v>
          </cell>
        </row>
        <row r="107">
          <cell r="S107" t="e">
            <v>#N/A</v>
          </cell>
          <cell r="T107" t="e">
            <v>#N/A</v>
          </cell>
          <cell r="U107" t="e">
            <v>#N/A</v>
          </cell>
        </row>
        <row r="108">
          <cell r="S108" t="e">
            <v>#N/A</v>
          </cell>
          <cell r="T108" t="e">
            <v>#N/A</v>
          </cell>
          <cell r="U108" t="e">
            <v>#N/A</v>
          </cell>
        </row>
        <row r="109">
          <cell r="S109" t="e">
            <v>#N/A</v>
          </cell>
          <cell r="T109" t="e">
            <v>#N/A</v>
          </cell>
          <cell r="U109" t="e">
            <v>#N/A</v>
          </cell>
        </row>
        <row r="110">
          <cell r="S110" t="e">
            <v>#N/A</v>
          </cell>
          <cell r="T110" t="e">
            <v>#N/A</v>
          </cell>
          <cell r="U110" t="e">
            <v>#N/A</v>
          </cell>
        </row>
        <row r="111">
          <cell r="S111" t="e">
            <v>#N/A</v>
          </cell>
          <cell r="T111" t="e">
            <v>#N/A</v>
          </cell>
          <cell r="U111" t="e">
            <v>#N/A</v>
          </cell>
        </row>
        <row r="112">
          <cell r="S112" t="e">
            <v>#N/A</v>
          </cell>
          <cell r="T112" t="e">
            <v>#N/A</v>
          </cell>
          <cell r="U112" t="e">
            <v>#N/A</v>
          </cell>
        </row>
        <row r="113">
          <cell r="S113" t="e">
            <v>#N/A</v>
          </cell>
          <cell r="T113" t="e">
            <v>#N/A</v>
          </cell>
          <cell r="U113" t="e">
            <v>#N/A</v>
          </cell>
        </row>
        <row r="114">
          <cell r="S114" t="e">
            <v>#N/A</v>
          </cell>
          <cell r="T114" t="e">
            <v>#N/A</v>
          </cell>
          <cell r="U114" t="e">
            <v>#N/A</v>
          </cell>
        </row>
        <row r="115">
          <cell r="S115" t="e">
            <v>#N/A</v>
          </cell>
          <cell r="T115" t="e">
            <v>#N/A</v>
          </cell>
          <cell r="U115" t="e">
            <v>#N/A</v>
          </cell>
        </row>
        <row r="116">
          <cell r="S116" t="e">
            <v>#N/A</v>
          </cell>
          <cell r="T116" t="e">
            <v>#N/A</v>
          </cell>
          <cell r="U116" t="e">
            <v>#N/A</v>
          </cell>
        </row>
        <row r="117">
          <cell r="S117" t="e">
            <v>#N/A</v>
          </cell>
          <cell r="T117" t="e">
            <v>#N/A</v>
          </cell>
          <cell r="U117" t="e">
            <v>#N/A</v>
          </cell>
        </row>
        <row r="118">
          <cell r="S118" t="e">
            <v>#N/A</v>
          </cell>
          <cell r="T118" t="e">
            <v>#N/A</v>
          </cell>
          <cell r="U118" t="e">
            <v>#N/A</v>
          </cell>
        </row>
        <row r="119">
          <cell r="S119" t="e">
            <v>#N/A</v>
          </cell>
          <cell r="T119" t="e">
            <v>#N/A</v>
          </cell>
          <cell r="U119" t="e">
            <v>#N/A</v>
          </cell>
        </row>
        <row r="120">
          <cell r="S120" t="e">
            <v>#N/A</v>
          </cell>
          <cell r="T120" t="e">
            <v>#N/A</v>
          </cell>
          <cell r="U120" t="e">
            <v>#N/A</v>
          </cell>
        </row>
        <row r="121">
          <cell r="S121" t="e">
            <v>#N/A</v>
          </cell>
          <cell r="T121" t="e">
            <v>#N/A</v>
          </cell>
          <cell r="U121" t="e">
            <v>#N/A</v>
          </cell>
        </row>
        <row r="122">
          <cell r="S122" t="e">
            <v>#N/A</v>
          </cell>
          <cell r="T122" t="e">
            <v>#N/A</v>
          </cell>
          <cell r="U122" t="e">
            <v>#N/A</v>
          </cell>
        </row>
        <row r="123">
          <cell r="S123" t="e">
            <v>#N/A</v>
          </cell>
          <cell r="T123" t="e">
            <v>#N/A</v>
          </cell>
          <cell r="U123" t="e">
            <v>#N/A</v>
          </cell>
        </row>
        <row r="124">
          <cell r="S124" t="e">
            <v>#N/A</v>
          </cell>
          <cell r="T124" t="e">
            <v>#N/A</v>
          </cell>
          <cell r="U124" t="e">
            <v>#N/A</v>
          </cell>
        </row>
        <row r="125">
          <cell r="S125" t="e">
            <v>#N/A</v>
          </cell>
          <cell r="T125" t="e">
            <v>#N/A</v>
          </cell>
          <cell r="U125" t="e">
            <v>#N/A</v>
          </cell>
        </row>
        <row r="126">
          <cell r="S126" t="e">
            <v>#N/A</v>
          </cell>
          <cell r="T126" t="e">
            <v>#N/A</v>
          </cell>
          <cell r="U126" t="e">
            <v>#N/A</v>
          </cell>
        </row>
        <row r="127">
          <cell r="S127" t="e">
            <v>#N/A</v>
          </cell>
          <cell r="T127" t="e">
            <v>#N/A</v>
          </cell>
          <cell r="U127" t="e">
            <v>#N/A</v>
          </cell>
        </row>
        <row r="128">
          <cell r="S128" t="e">
            <v>#N/A</v>
          </cell>
          <cell r="T128" t="e">
            <v>#N/A</v>
          </cell>
          <cell r="U128" t="e">
            <v>#N/A</v>
          </cell>
        </row>
        <row r="129">
          <cell r="S129" t="e">
            <v>#N/A</v>
          </cell>
          <cell r="T129" t="e">
            <v>#N/A</v>
          </cell>
          <cell r="U129" t="e">
            <v>#N/A</v>
          </cell>
        </row>
        <row r="130">
          <cell r="S130" t="e">
            <v>#N/A</v>
          </cell>
          <cell r="T130" t="e">
            <v>#N/A</v>
          </cell>
          <cell r="U130" t="e">
            <v>#N/A</v>
          </cell>
        </row>
        <row r="131">
          <cell r="S131" t="e">
            <v>#N/A</v>
          </cell>
          <cell r="T131" t="e">
            <v>#N/A</v>
          </cell>
          <cell r="U131" t="e">
            <v>#N/A</v>
          </cell>
        </row>
        <row r="132">
          <cell r="S132" t="e">
            <v>#N/A</v>
          </cell>
          <cell r="T132" t="e">
            <v>#N/A</v>
          </cell>
          <cell r="U132" t="e">
            <v>#N/A</v>
          </cell>
        </row>
        <row r="133">
          <cell r="S133" t="e">
            <v>#N/A</v>
          </cell>
          <cell r="T133" t="e">
            <v>#N/A</v>
          </cell>
          <cell r="U133" t="e">
            <v>#N/A</v>
          </cell>
        </row>
        <row r="134">
          <cell r="S134" t="e">
            <v>#N/A</v>
          </cell>
          <cell r="T134" t="e">
            <v>#N/A</v>
          </cell>
          <cell r="U134" t="e">
            <v>#N/A</v>
          </cell>
        </row>
        <row r="135">
          <cell r="S135" t="e">
            <v>#N/A</v>
          </cell>
          <cell r="T135" t="e">
            <v>#N/A</v>
          </cell>
          <cell r="U135" t="e">
            <v>#N/A</v>
          </cell>
        </row>
        <row r="136">
          <cell r="S136" t="e">
            <v>#N/A</v>
          </cell>
          <cell r="T136" t="e">
            <v>#N/A</v>
          </cell>
          <cell r="U136" t="e">
            <v>#N/A</v>
          </cell>
        </row>
        <row r="137">
          <cell r="S137" t="e">
            <v>#N/A</v>
          </cell>
          <cell r="T137" t="e">
            <v>#N/A</v>
          </cell>
          <cell r="U137" t="e">
            <v>#N/A</v>
          </cell>
        </row>
        <row r="138">
          <cell r="S138" t="e">
            <v>#N/A</v>
          </cell>
          <cell r="T138" t="e">
            <v>#N/A</v>
          </cell>
          <cell r="U138" t="e">
            <v>#N/A</v>
          </cell>
        </row>
        <row r="139">
          <cell r="S139" t="e">
            <v>#N/A</v>
          </cell>
          <cell r="T139" t="e">
            <v>#N/A</v>
          </cell>
          <cell r="U139" t="e">
            <v>#N/A</v>
          </cell>
        </row>
        <row r="140">
          <cell r="S140" t="e">
            <v>#N/A</v>
          </cell>
          <cell r="T140" t="e">
            <v>#N/A</v>
          </cell>
          <cell r="U140" t="e">
            <v>#N/A</v>
          </cell>
        </row>
        <row r="141">
          <cell r="S141" t="e">
            <v>#N/A</v>
          </cell>
          <cell r="T141" t="e">
            <v>#N/A</v>
          </cell>
          <cell r="U141" t="e">
            <v>#N/A</v>
          </cell>
        </row>
        <row r="142">
          <cell r="S142" t="e">
            <v>#N/A</v>
          </cell>
          <cell r="T142" t="e">
            <v>#N/A</v>
          </cell>
          <cell r="U142" t="e">
            <v>#N/A</v>
          </cell>
        </row>
        <row r="143">
          <cell r="S143" t="e">
            <v>#N/A</v>
          </cell>
          <cell r="T143" t="e">
            <v>#N/A</v>
          </cell>
          <cell r="U143" t="e">
            <v>#N/A</v>
          </cell>
        </row>
        <row r="144">
          <cell r="S144" t="e">
            <v>#N/A</v>
          </cell>
          <cell r="T144" t="e">
            <v>#N/A</v>
          </cell>
          <cell r="U144" t="e">
            <v>#N/A</v>
          </cell>
        </row>
        <row r="145">
          <cell r="S145" t="e">
            <v>#N/A</v>
          </cell>
          <cell r="T145" t="e">
            <v>#N/A</v>
          </cell>
          <cell r="U145" t="e">
            <v>#N/A</v>
          </cell>
        </row>
        <row r="146">
          <cell r="S146" t="e">
            <v>#N/A</v>
          </cell>
          <cell r="T146" t="e">
            <v>#N/A</v>
          </cell>
          <cell r="U146" t="e">
            <v>#N/A</v>
          </cell>
        </row>
        <row r="147">
          <cell r="S147" t="e">
            <v>#N/A</v>
          </cell>
          <cell r="T147" t="e">
            <v>#N/A</v>
          </cell>
          <cell r="U147" t="e">
            <v>#N/A</v>
          </cell>
        </row>
        <row r="148">
          <cell r="S148" t="e">
            <v>#N/A</v>
          </cell>
          <cell r="T148" t="e">
            <v>#N/A</v>
          </cell>
          <cell r="U148" t="e">
            <v>#N/A</v>
          </cell>
        </row>
        <row r="149">
          <cell r="S149" t="e">
            <v>#N/A</v>
          </cell>
          <cell r="T149" t="e">
            <v>#N/A</v>
          </cell>
          <cell r="U149" t="e">
            <v>#N/A</v>
          </cell>
        </row>
        <row r="150">
          <cell r="S150" t="e">
            <v>#N/A</v>
          </cell>
          <cell r="T150" t="e">
            <v>#N/A</v>
          </cell>
          <cell r="U150" t="e">
            <v>#N/A</v>
          </cell>
        </row>
        <row r="151">
          <cell r="S151" t="e">
            <v>#N/A</v>
          </cell>
          <cell r="T151" t="e">
            <v>#N/A</v>
          </cell>
          <cell r="U151" t="e">
            <v>#N/A</v>
          </cell>
        </row>
        <row r="152">
          <cell r="S152" t="e">
            <v>#N/A</v>
          </cell>
          <cell r="T152" t="e">
            <v>#N/A</v>
          </cell>
          <cell r="U152" t="e">
            <v>#N/A</v>
          </cell>
        </row>
        <row r="153">
          <cell r="S153" t="e">
            <v>#N/A</v>
          </cell>
          <cell r="T153" t="e">
            <v>#N/A</v>
          </cell>
          <cell r="U153" t="e">
            <v>#N/A</v>
          </cell>
        </row>
        <row r="154">
          <cell r="S154" t="e">
            <v>#N/A</v>
          </cell>
          <cell r="T154" t="e">
            <v>#N/A</v>
          </cell>
          <cell r="U154" t="e">
            <v>#N/A</v>
          </cell>
        </row>
        <row r="155">
          <cell r="S155" t="e">
            <v>#N/A</v>
          </cell>
          <cell r="T155" t="e">
            <v>#N/A</v>
          </cell>
          <cell r="U155" t="e">
            <v>#N/A</v>
          </cell>
        </row>
        <row r="156">
          <cell r="S156" t="e">
            <v>#N/A</v>
          </cell>
          <cell r="T156" t="e">
            <v>#N/A</v>
          </cell>
          <cell r="U156" t="e">
            <v>#N/A</v>
          </cell>
        </row>
        <row r="157">
          <cell r="S157" t="e">
            <v>#N/A</v>
          </cell>
          <cell r="T157" t="e">
            <v>#N/A</v>
          </cell>
          <cell r="U157" t="e">
            <v>#N/A</v>
          </cell>
        </row>
        <row r="158">
          <cell r="S158" t="e">
            <v>#N/A</v>
          </cell>
          <cell r="T158" t="e">
            <v>#N/A</v>
          </cell>
          <cell r="U158" t="e">
            <v>#N/A</v>
          </cell>
        </row>
        <row r="159">
          <cell r="S159" t="e">
            <v>#N/A</v>
          </cell>
          <cell r="T159" t="e">
            <v>#N/A</v>
          </cell>
          <cell r="U159" t="e">
            <v>#N/A</v>
          </cell>
        </row>
        <row r="160">
          <cell r="S160" t="e">
            <v>#N/A</v>
          </cell>
          <cell r="T160" t="e">
            <v>#N/A</v>
          </cell>
          <cell r="U160" t="e">
            <v>#N/A</v>
          </cell>
        </row>
        <row r="161">
          <cell r="S161" t="e">
            <v>#N/A</v>
          </cell>
          <cell r="T161" t="e">
            <v>#N/A</v>
          </cell>
          <cell r="U161" t="e">
            <v>#N/A</v>
          </cell>
        </row>
        <row r="162">
          <cell r="S162" t="e">
            <v>#N/A</v>
          </cell>
          <cell r="T162" t="e">
            <v>#N/A</v>
          </cell>
          <cell r="U162" t="e">
            <v>#N/A</v>
          </cell>
        </row>
        <row r="163">
          <cell r="S163" t="e">
            <v>#N/A</v>
          </cell>
          <cell r="T163" t="e">
            <v>#N/A</v>
          </cell>
          <cell r="U163" t="e">
            <v>#N/A</v>
          </cell>
        </row>
        <row r="164">
          <cell r="S164" t="e">
            <v>#N/A</v>
          </cell>
          <cell r="T164" t="e">
            <v>#N/A</v>
          </cell>
          <cell r="U164" t="e">
            <v>#N/A</v>
          </cell>
        </row>
        <row r="165">
          <cell r="S165" t="e">
            <v>#N/A</v>
          </cell>
          <cell r="T165" t="e">
            <v>#N/A</v>
          </cell>
          <cell r="U165" t="e">
            <v>#N/A</v>
          </cell>
        </row>
        <row r="166">
          <cell r="S166" t="e">
            <v>#N/A</v>
          </cell>
          <cell r="T166" t="e">
            <v>#N/A</v>
          </cell>
          <cell r="U166" t="e">
            <v>#N/A</v>
          </cell>
        </row>
        <row r="167">
          <cell r="S167" t="e">
            <v>#N/A</v>
          </cell>
          <cell r="T167" t="e">
            <v>#N/A</v>
          </cell>
          <cell r="U167" t="e">
            <v>#N/A</v>
          </cell>
        </row>
        <row r="168">
          <cell r="S168" t="e">
            <v>#N/A</v>
          </cell>
          <cell r="T168" t="e">
            <v>#N/A</v>
          </cell>
          <cell r="U168" t="e">
            <v>#N/A</v>
          </cell>
        </row>
        <row r="169">
          <cell r="S169" t="e">
            <v>#N/A</v>
          </cell>
          <cell r="T169" t="e">
            <v>#N/A</v>
          </cell>
          <cell r="U169" t="e">
            <v>#N/A</v>
          </cell>
        </row>
        <row r="170">
          <cell r="S170" t="e">
            <v>#N/A</v>
          </cell>
          <cell r="T170" t="e">
            <v>#N/A</v>
          </cell>
          <cell r="U170" t="e">
            <v>#N/A</v>
          </cell>
        </row>
        <row r="171">
          <cell r="S171" t="e">
            <v>#N/A</v>
          </cell>
          <cell r="T171" t="e">
            <v>#N/A</v>
          </cell>
          <cell r="U171" t="e">
            <v>#N/A</v>
          </cell>
        </row>
        <row r="172">
          <cell r="S172" t="e">
            <v>#N/A</v>
          </cell>
          <cell r="T172" t="e">
            <v>#N/A</v>
          </cell>
          <cell r="U172" t="e">
            <v>#N/A</v>
          </cell>
        </row>
        <row r="173">
          <cell r="S173" t="e">
            <v>#N/A</v>
          </cell>
          <cell r="T173" t="e">
            <v>#N/A</v>
          </cell>
          <cell r="U173" t="e">
            <v>#N/A</v>
          </cell>
        </row>
        <row r="174">
          <cell r="S174" t="e">
            <v>#N/A</v>
          </cell>
          <cell r="T174" t="e">
            <v>#N/A</v>
          </cell>
          <cell r="U174" t="e">
            <v>#N/A</v>
          </cell>
        </row>
        <row r="175">
          <cell r="S175" t="e">
            <v>#N/A</v>
          </cell>
          <cell r="T175" t="e">
            <v>#N/A</v>
          </cell>
          <cell r="U175" t="e">
            <v>#N/A</v>
          </cell>
        </row>
        <row r="176">
          <cell r="S176" t="e">
            <v>#N/A</v>
          </cell>
          <cell r="T176" t="e">
            <v>#N/A</v>
          </cell>
          <cell r="U176" t="e">
            <v>#N/A</v>
          </cell>
        </row>
        <row r="177">
          <cell r="S177" t="e">
            <v>#N/A</v>
          </cell>
          <cell r="T177" t="e">
            <v>#N/A</v>
          </cell>
          <cell r="U177" t="e">
            <v>#N/A</v>
          </cell>
        </row>
        <row r="178">
          <cell r="S178" t="e">
            <v>#N/A</v>
          </cell>
          <cell r="T178" t="e">
            <v>#N/A</v>
          </cell>
          <cell r="U178" t="e">
            <v>#N/A</v>
          </cell>
        </row>
        <row r="179">
          <cell r="S179" t="e">
            <v>#N/A</v>
          </cell>
          <cell r="T179" t="e">
            <v>#N/A</v>
          </cell>
          <cell r="U179" t="e">
            <v>#N/A</v>
          </cell>
        </row>
        <row r="180">
          <cell r="S180" t="e">
            <v>#N/A</v>
          </cell>
          <cell r="T180" t="e">
            <v>#N/A</v>
          </cell>
          <cell r="U180" t="e">
            <v>#N/A</v>
          </cell>
        </row>
        <row r="181">
          <cell r="S181" t="e">
            <v>#N/A</v>
          </cell>
          <cell r="T181" t="e">
            <v>#N/A</v>
          </cell>
          <cell r="U181" t="e">
            <v>#N/A</v>
          </cell>
        </row>
        <row r="182">
          <cell r="S182" t="e">
            <v>#N/A</v>
          </cell>
          <cell r="T182" t="e">
            <v>#N/A</v>
          </cell>
          <cell r="U182" t="e">
            <v>#N/A</v>
          </cell>
        </row>
        <row r="183">
          <cell r="S183" t="e">
            <v>#N/A</v>
          </cell>
          <cell r="T183" t="e">
            <v>#N/A</v>
          </cell>
          <cell r="U183" t="e">
            <v>#N/A</v>
          </cell>
        </row>
        <row r="184">
          <cell r="S184" t="e">
            <v>#N/A</v>
          </cell>
          <cell r="T184" t="e">
            <v>#N/A</v>
          </cell>
          <cell r="U184" t="e">
            <v>#N/A</v>
          </cell>
        </row>
        <row r="185">
          <cell r="S185" t="e">
            <v>#N/A</v>
          </cell>
          <cell r="T185" t="e">
            <v>#N/A</v>
          </cell>
          <cell r="U185" t="e">
            <v>#N/A</v>
          </cell>
        </row>
        <row r="186">
          <cell r="S186" t="e">
            <v>#N/A</v>
          </cell>
          <cell r="T186" t="e">
            <v>#N/A</v>
          </cell>
          <cell r="U186" t="e">
            <v>#N/A</v>
          </cell>
        </row>
        <row r="187">
          <cell r="S187" t="e">
            <v>#N/A</v>
          </cell>
          <cell r="T187" t="e">
            <v>#N/A</v>
          </cell>
          <cell r="U187" t="e">
            <v>#N/A</v>
          </cell>
        </row>
        <row r="188">
          <cell r="S188" t="e">
            <v>#N/A</v>
          </cell>
          <cell r="T188" t="e">
            <v>#N/A</v>
          </cell>
          <cell r="U188" t="e">
            <v>#N/A</v>
          </cell>
        </row>
        <row r="189">
          <cell r="S189" t="e">
            <v>#N/A</v>
          </cell>
          <cell r="T189" t="e">
            <v>#N/A</v>
          </cell>
          <cell r="U189" t="e">
            <v>#N/A</v>
          </cell>
        </row>
        <row r="190">
          <cell r="S190" t="e">
            <v>#N/A</v>
          </cell>
          <cell r="T190" t="e">
            <v>#N/A</v>
          </cell>
          <cell r="U190" t="e">
            <v>#N/A</v>
          </cell>
        </row>
        <row r="191">
          <cell r="S191" t="e">
            <v>#N/A</v>
          </cell>
          <cell r="T191" t="e">
            <v>#N/A</v>
          </cell>
          <cell r="U191" t="e">
            <v>#N/A</v>
          </cell>
        </row>
        <row r="192">
          <cell r="S192" t="e">
            <v>#N/A</v>
          </cell>
          <cell r="T192" t="e">
            <v>#N/A</v>
          </cell>
          <cell r="U192" t="e">
            <v>#N/A</v>
          </cell>
        </row>
        <row r="193">
          <cell r="S193" t="e">
            <v>#N/A</v>
          </cell>
          <cell r="T193" t="e">
            <v>#N/A</v>
          </cell>
          <cell r="U193" t="e">
            <v>#N/A</v>
          </cell>
        </row>
        <row r="194">
          <cell r="S194" t="e">
            <v>#N/A</v>
          </cell>
          <cell r="T194" t="e">
            <v>#N/A</v>
          </cell>
          <cell r="U194" t="e">
            <v>#N/A</v>
          </cell>
        </row>
        <row r="195">
          <cell r="S195" t="e">
            <v>#N/A</v>
          </cell>
          <cell r="T195" t="e">
            <v>#N/A</v>
          </cell>
          <cell r="U195" t="e">
            <v>#N/A</v>
          </cell>
        </row>
        <row r="196">
          <cell r="S196" t="e">
            <v>#N/A</v>
          </cell>
          <cell r="T196" t="e">
            <v>#N/A</v>
          </cell>
          <cell r="U196" t="e">
            <v>#N/A</v>
          </cell>
        </row>
        <row r="197">
          <cell r="S197" t="e">
            <v>#N/A</v>
          </cell>
          <cell r="T197" t="e">
            <v>#N/A</v>
          </cell>
          <cell r="U197" t="e">
            <v>#N/A</v>
          </cell>
        </row>
        <row r="198">
          <cell r="S198" t="e">
            <v>#N/A</v>
          </cell>
          <cell r="T198" t="e">
            <v>#N/A</v>
          </cell>
          <cell r="U198" t="e">
            <v>#N/A</v>
          </cell>
        </row>
        <row r="199">
          <cell r="S199" t="e">
            <v>#N/A</v>
          </cell>
          <cell r="T199" t="e">
            <v>#N/A</v>
          </cell>
          <cell r="U199" t="e">
            <v>#N/A</v>
          </cell>
        </row>
        <row r="200">
          <cell r="S200" t="e">
            <v>#N/A</v>
          </cell>
          <cell r="T200" t="e">
            <v>#N/A</v>
          </cell>
          <cell r="U200" t="e">
            <v>#N/A</v>
          </cell>
        </row>
        <row r="201">
          <cell r="S201" t="e">
            <v>#N/A</v>
          </cell>
          <cell r="T201" t="e">
            <v>#N/A</v>
          </cell>
          <cell r="U201" t="e">
            <v>#N/A</v>
          </cell>
        </row>
        <row r="202">
          <cell r="S202" t="e">
            <v>#N/A</v>
          </cell>
          <cell r="T202" t="e">
            <v>#N/A</v>
          </cell>
          <cell r="U202" t="e">
            <v>#N/A</v>
          </cell>
        </row>
        <row r="203">
          <cell r="S203" t="e">
            <v>#N/A</v>
          </cell>
          <cell r="T203" t="e">
            <v>#N/A</v>
          </cell>
          <cell r="U203" t="e">
            <v>#N/A</v>
          </cell>
        </row>
        <row r="204">
          <cell r="S204" t="e">
            <v>#N/A</v>
          </cell>
          <cell r="T204" t="e">
            <v>#N/A</v>
          </cell>
          <cell r="U204" t="e">
            <v>#N/A</v>
          </cell>
        </row>
        <row r="205">
          <cell r="S205" t="e">
            <v>#N/A</v>
          </cell>
          <cell r="T205" t="e">
            <v>#N/A</v>
          </cell>
          <cell r="U205" t="e">
            <v>#N/A</v>
          </cell>
        </row>
        <row r="206">
          <cell r="S206" t="e">
            <v>#N/A</v>
          </cell>
          <cell r="T206" t="e">
            <v>#N/A</v>
          </cell>
          <cell r="U206" t="e">
            <v>#N/A</v>
          </cell>
        </row>
        <row r="207">
          <cell r="S207" t="e">
            <v>#N/A</v>
          </cell>
          <cell r="T207" t="e">
            <v>#N/A</v>
          </cell>
          <cell r="U207" t="e">
            <v>#N/A</v>
          </cell>
        </row>
        <row r="208">
          <cell r="S208" t="e">
            <v>#N/A</v>
          </cell>
          <cell r="T208" t="e">
            <v>#N/A</v>
          </cell>
          <cell r="U208" t="e">
            <v>#N/A</v>
          </cell>
        </row>
        <row r="209">
          <cell r="S209" t="e">
            <v>#N/A</v>
          </cell>
          <cell r="T209" t="e">
            <v>#N/A</v>
          </cell>
          <cell r="U209" t="e">
            <v>#N/A</v>
          </cell>
        </row>
        <row r="210">
          <cell r="S210" t="e">
            <v>#N/A</v>
          </cell>
          <cell r="T210" t="e">
            <v>#N/A</v>
          </cell>
          <cell r="U210" t="e">
            <v>#N/A</v>
          </cell>
        </row>
        <row r="211">
          <cell r="S211" t="e">
            <v>#N/A</v>
          </cell>
          <cell r="T211" t="e">
            <v>#N/A</v>
          </cell>
          <cell r="U211" t="e">
            <v>#N/A</v>
          </cell>
        </row>
        <row r="212">
          <cell r="S212" t="e">
            <v>#N/A</v>
          </cell>
          <cell r="T212" t="e">
            <v>#N/A</v>
          </cell>
          <cell r="U212" t="e">
            <v>#N/A</v>
          </cell>
        </row>
        <row r="213">
          <cell r="S213" t="e">
            <v>#N/A</v>
          </cell>
          <cell r="T213" t="e">
            <v>#N/A</v>
          </cell>
          <cell r="U213" t="e">
            <v>#N/A</v>
          </cell>
        </row>
        <row r="214">
          <cell r="S214" t="e">
            <v>#N/A</v>
          </cell>
          <cell r="T214" t="e">
            <v>#N/A</v>
          </cell>
          <cell r="U214" t="e">
            <v>#N/A</v>
          </cell>
        </row>
        <row r="215">
          <cell r="S215" t="e">
            <v>#N/A</v>
          </cell>
          <cell r="T215" t="e">
            <v>#N/A</v>
          </cell>
          <cell r="U215" t="e">
            <v>#N/A</v>
          </cell>
        </row>
        <row r="216">
          <cell r="S216" t="e">
            <v>#N/A</v>
          </cell>
          <cell r="T216" t="e">
            <v>#N/A</v>
          </cell>
          <cell r="U216" t="e">
            <v>#N/A</v>
          </cell>
        </row>
        <row r="217">
          <cell r="S217" t="e">
            <v>#N/A</v>
          </cell>
          <cell r="T217" t="e">
            <v>#N/A</v>
          </cell>
          <cell r="U217" t="e">
            <v>#N/A</v>
          </cell>
        </row>
        <row r="218">
          <cell r="S218" t="e">
            <v>#N/A</v>
          </cell>
          <cell r="T218" t="e">
            <v>#N/A</v>
          </cell>
          <cell r="U218" t="e">
            <v>#N/A</v>
          </cell>
        </row>
        <row r="219">
          <cell r="S219" t="e">
            <v>#N/A</v>
          </cell>
          <cell r="T219" t="e">
            <v>#N/A</v>
          </cell>
          <cell r="U219" t="e">
            <v>#N/A</v>
          </cell>
        </row>
        <row r="220">
          <cell r="S220" t="e">
            <v>#N/A</v>
          </cell>
          <cell r="T220" t="e">
            <v>#N/A</v>
          </cell>
          <cell r="U220" t="e">
            <v>#N/A</v>
          </cell>
        </row>
        <row r="221">
          <cell r="S221" t="e">
            <v>#N/A</v>
          </cell>
          <cell r="T221" t="e">
            <v>#N/A</v>
          </cell>
          <cell r="U221" t="e">
            <v>#N/A</v>
          </cell>
        </row>
        <row r="222">
          <cell r="S222" t="e">
            <v>#N/A</v>
          </cell>
          <cell r="T222" t="e">
            <v>#N/A</v>
          </cell>
          <cell r="U222" t="e">
            <v>#N/A</v>
          </cell>
        </row>
        <row r="223">
          <cell r="S223" t="e">
            <v>#N/A</v>
          </cell>
          <cell r="T223" t="e">
            <v>#N/A</v>
          </cell>
          <cell r="U223" t="e">
            <v>#N/A</v>
          </cell>
        </row>
        <row r="224">
          <cell r="S224" t="e">
            <v>#N/A</v>
          </cell>
          <cell r="T224" t="e">
            <v>#N/A</v>
          </cell>
          <cell r="U224" t="e">
            <v>#N/A</v>
          </cell>
        </row>
        <row r="225">
          <cell r="S225" t="e">
            <v>#N/A</v>
          </cell>
          <cell r="T225" t="e">
            <v>#N/A</v>
          </cell>
          <cell r="U225" t="e">
            <v>#N/A</v>
          </cell>
        </row>
        <row r="226">
          <cell r="S226" t="e">
            <v>#N/A</v>
          </cell>
          <cell r="T226" t="e">
            <v>#N/A</v>
          </cell>
          <cell r="U226" t="e">
            <v>#N/A</v>
          </cell>
        </row>
        <row r="227">
          <cell r="S227" t="e">
            <v>#N/A</v>
          </cell>
          <cell r="T227" t="e">
            <v>#N/A</v>
          </cell>
          <cell r="U227" t="e">
            <v>#N/A</v>
          </cell>
        </row>
        <row r="228">
          <cell r="S228" t="e">
            <v>#N/A</v>
          </cell>
          <cell r="T228" t="e">
            <v>#N/A</v>
          </cell>
          <cell r="U228" t="e">
            <v>#N/A</v>
          </cell>
        </row>
        <row r="229">
          <cell r="S229" t="e">
            <v>#N/A</v>
          </cell>
          <cell r="T229" t="e">
            <v>#N/A</v>
          </cell>
          <cell r="U229" t="e">
            <v>#N/A</v>
          </cell>
        </row>
        <row r="230">
          <cell r="S230" t="e">
            <v>#N/A</v>
          </cell>
          <cell r="T230" t="e">
            <v>#N/A</v>
          </cell>
          <cell r="U230" t="e">
            <v>#N/A</v>
          </cell>
        </row>
        <row r="231">
          <cell r="S231" t="e">
            <v>#N/A</v>
          </cell>
          <cell r="T231" t="e">
            <v>#N/A</v>
          </cell>
          <cell r="U231" t="e">
            <v>#N/A</v>
          </cell>
        </row>
        <row r="232">
          <cell r="S232" t="e">
            <v>#N/A</v>
          </cell>
          <cell r="T232" t="e">
            <v>#N/A</v>
          </cell>
          <cell r="U232" t="e">
            <v>#N/A</v>
          </cell>
        </row>
        <row r="233">
          <cell r="S233" t="e">
            <v>#N/A</v>
          </cell>
          <cell r="T233" t="e">
            <v>#N/A</v>
          </cell>
          <cell r="U233" t="e">
            <v>#N/A</v>
          </cell>
        </row>
        <row r="234">
          <cell r="S234" t="e">
            <v>#N/A</v>
          </cell>
          <cell r="T234" t="e">
            <v>#N/A</v>
          </cell>
          <cell r="U234" t="e">
            <v>#N/A</v>
          </cell>
        </row>
        <row r="235">
          <cell r="S235" t="e">
            <v>#N/A</v>
          </cell>
          <cell r="T235" t="e">
            <v>#N/A</v>
          </cell>
          <cell r="U235" t="e">
            <v>#N/A</v>
          </cell>
        </row>
        <row r="236">
          <cell r="S236" t="e">
            <v>#N/A</v>
          </cell>
          <cell r="T236" t="e">
            <v>#N/A</v>
          </cell>
          <cell r="U236" t="e">
            <v>#N/A</v>
          </cell>
        </row>
        <row r="237">
          <cell r="S237" t="e">
            <v>#N/A</v>
          </cell>
          <cell r="T237" t="e">
            <v>#N/A</v>
          </cell>
          <cell r="U237" t="e">
            <v>#N/A</v>
          </cell>
        </row>
        <row r="238">
          <cell r="S238" t="e">
            <v>#N/A</v>
          </cell>
          <cell r="T238" t="e">
            <v>#N/A</v>
          </cell>
          <cell r="U238" t="e">
            <v>#N/A</v>
          </cell>
        </row>
        <row r="239">
          <cell r="S239" t="e">
            <v>#N/A</v>
          </cell>
          <cell r="T239" t="e">
            <v>#N/A</v>
          </cell>
          <cell r="U239" t="e">
            <v>#N/A</v>
          </cell>
        </row>
        <row r="240">
          <cell r="S240" t="e">
            <v>#N/A</v>
          </cell>
          <cell r="T240" t="e">
            <v>#N/A</v>
          </cell>
          <cell r="U240" t="e">
            <v>#N/A</v>
          </cell>
        </row>
        <row r="241">
          <cell r="S241" t="e">
            <v>#N/A</v>
          </cell>
          <cell r="T241" t="e">
            <v>#N/A</v>
          </cell>
          <cell r="U241" t="e">
            <v>#N/A</v>
          </cell>
        </row>
        <row r="242">
          <cell r="S242" t="e">
            <v>#N/A</v>
          </cell>
          <cell r="T242" t="e">
            <v>#N/A</v>
          </cell>
          <cell r="U242" t="e">
            <v>#N/A</v>
          </cell>
        </row>
        <row r="243">
          <cell r="S243" t="e">
            <v>#N/A</v>
          </cell>
          <cell r="T243" t="e">
            <v>#N/A</v>
          </cell>
          <cell r="U243" t="e">
            <v>#N/A</v>
          </cell>
        </row>
        <row r="244">
          <cell r="S244" t="e">
            <v>#N/A</v>
          </cell>
          <cell r="T244" t="e">
            <v>#N/A</v>
          </cell>
          <cell r="U244" t="e">
            <v>#N/A</v>
          </cell>
        </row>
        <row r="245">
          <cell r="S245" t="e">
            <v>#N/A</v>
          </cell>
          <cell r="T245" t="e">
            <v>#N/A</v>
          </cell>
          <cell r="U245" t="e">
            <v>#N/A</v>
          </cell>
        </row>
        <row r="246">
          <cell r="S246" t="e">
            <v>#N/A</v>
          </cell>
          <cell r="T246" t="e">
            <v>#N/A</v>
          </cell>
          <cell r="U246" t="e">
            <v>#N/A</v>
          </cell>
        </row>
        <row r="247">
          <cell r="S247" t="e">
            <v>#N/A</v>
          </cell>
          <cell r="T247" t="e">
            <v>#N/A</v>
          </cell>
          <cell r="U247" t="e">
            <v>#N/A</v>
          </cell>
        </row>
        <row r="248">
          <cell r="S248" t="e">
            <v>#N/A</v>
          </cell>
          <cell r="T248" t="e">
            <v>#N/A</v>
          </cell>
          <cell r="U248" t="e">
            <v>#N/A</v>
          </cell>
        </row>
        <row r="249">
          <cell r="S249" t="e">
            <v>#N/A</v>
          </cell>
          <cell r="T249" t="e">
            <v>#N/A</v>
          </cell>
          <cell r="U249" t="e">
            <v>#N/A</v>
          </cell>
        </row>
        <row r="250">
          <cell r="S250" t="e">
            <v>#N/A</v>
          </cell>
          <cell r="T250" t="e">
            <v>#N/A</v>
          </cell>
          <cell r="U250" t="e">
            <v>#N/A</v>
          </cell>
        </row>
        <row r="251">
          <cell r="S251" t="e">
            <v>#N/A</v>
          </cell>
          <cell r="T251" t="e">
            <v>#N/A</v>
          </cell>
          <cell r="U251" t="e">
            <v>#N/A</v>
          </cell>
        </row>
        <row r="252">
          <cell r="S252" t="e">
            <v>#N/A</v>
          </cell>
          <cell r="T252" t="e">
            <v>#N/A</v>
          </cell>
          <cell r="U252" t="e">
            <v>#N/A</v>
          </cell>
        </row>
        <row r="253">
          <cell r="S253" t="e">
            <v>#N/A</v>
          </cell>
          <cell r="T253" t="e">
            <v>#N/A</v>
          </cell>
          <cell r="U253" t="e">
            <v>#N/A</v>
          </cell>
        </row>
        <row r="254">
          <cell r="S254" t="e">
            <v>#N/A</v>
          </cell>
          <cell r="T254" t="e">
            <v>#N/A</v>
          </cell>
          <cell r="U254" t="e">
            <v>#N/A</v>
          </cell>
        </row>
        <row r="255">
          <cell r="S255" t="e">
            <v>#N/A</v>
          </cell>
          <cell r="T255" t="e">
            <v>#N/A</v>
          </cell>
          <cell r="U255" t="e">
            <v>#N/A</v>
          </cell>
        </row>
        <row r="256">
          <cell r="S256" t="e">
            <v>#N/A</v>
          </cell>
          <cell r="T256" t="e">
            <v>#N/A</v>
          </cell>
          <cell r="U256" t="e">
            <v>#N/A</v>
          </cell>
        </row>
        <row r="257">
          <cell r="S257" t="e">
            <v>#N/A</v>
          </cell>
          <cell r="T257" t="e">
            <v>#N/A</v>
          </cell>
          <cell r="U257" t="e">
            <v>#N/A</v>
          </cell>
        </row>
        <row r="258">
          <cell r="S258" t="e">
            <v>#N/A</v>
          </cell>
          <cell r="T258" t="e">
            <v>#N/A</v>
          </cell>
          <cell r="U258" t="e">
            <v>#N/A</v>
          </cell>
        </row>
        <row r="259">
          <cell r="S259" t="e">
            <v>#N/A</v>
          </cell>
          <cell r="T259" t="e">
            <v>#N/A</v>
          </cell>
          <cell r="U259" t="e">
            <v>#N/A</v>
          </cell>
        </row>
        <row r="260">
          <cell r="S260" t="e">
            <v>#N/A</v>
          </cell>
          <cell r="T260" t="e">
            <v>#N/A</v>
          </cell>
          <cell r="U260" t="e">
            <v>#N/A</v>
          </cell>
        </row>
        <row r="261">
          <cell r="S261" t="e">
            <v>#N/A</v>
          </cell>
          <cell r="T261" t="e">
            <v>#N/A</v>
          </cell>
          <cell r="U261" t="e">
            <v>#N/A</v>
          </cell>
        </row>
        <row r="262">
          <cell r="S262" t="e">
            <v>#N/A</v>
          </cell>
          <cell r="T262" t="e">
            <v>#N/A</v>
          </cell>
          <cell r="U262" t="e">
            <v>#N/A</v>
          </cell>
        </row>
        <row r="263">
          <cell r="S263" t="e">
            <v>#N/A</v>
          </cell>
          <cell r="T263" t="e">
            <v>#N/A</v>
          </cell>
          <cell r="U263" t="e">
            <v>#N/A</v>
          </cell>
        </row>
        <row r="264">
          <cell r="S264" t="e">
            <v>#N/A</v>
          </cell>
          <cell r="T264" t="e">
            <v>#N/A</v>
          </cell>
          <cell r="U264" t="e">
            <v>#N/A</v>
          </cell>
        </row>
        <row r="265">
          <cell r="S265" t="e">
            <v>#N/A</v>
          </cell>
          <cell r="T265" t="e">
            <v>#N/A</v>
          </cell>
          <cell r="U265" t="e">
            <v>#N/A</v>
          </cell>
        </row>
        <row r="266">
          <cell r="S266" t="e">
            <v>#N/A</v>
          </cell>
          <cell r="T266" t="e">
            <v>#N/A</v>
          </cell>
          <cell r="U266" t="e">
            <v>#N/A</v>
          </cell>
        </row>
        <row r="267">
          <cell r="S267" t="e">
            <v>#N/A</v>
          </cell>
          <cell r="T267" t="e">
            <v>#N/A</v>
          </cell>
          <cell r="U267" t="e">
            <v>#N/A</v>
          </cell>
        </row>
        <row r="268">
          <cell r="S268" t="e">
            <v>#N/A</v>
          </cell>
          <cell r="T268" t="e">
            <v>#N/A</v>
          </cell>
          <cell r="U268" t="e">
            <v>#N/A</v>
          </cell>
        </row>
        <row r="269">
          <cell r="S269" t="e">
            <v>#N/A</v>
          </cell>
          <cell r="T269" t="e">
            <v>#N/A</v>
          </cell>
          <cell r="U269" t="e">
            <v>#N/A</v>
          </cell>
        </row>
        <row r="270">
          <cell r="S270" t="e">
            <v>#N/A</v>
          </cell>
          <cell r="T270" t="e">
            <v>#N/A</v>
          </cell>
          <cell r="U270" t="e">
            <v>#N/A</v>
          </cell>
        </row>
        <row r="271">
          <cell r="S271" t="e">
            <v>#N/A</v>
          </cell>
          <cell r="T271" t="e">
            <v>#N/A</v>
          </cell>
          <cell r="U271" t="e">
            <v>#N/A</v>
          </cell>
        </row>
        <row r="272">
          <cell r="S272" t="e">
            <v>#N/A</v>
          </cell>
          <cell r="T272" t="e">
            <v>#N/A</v>
          </cell>
          <cell r="U272" t="e">
            <v>#N/A</v>
          </cell>
        </row>
        <row r="273">
          <cell r="S273" t="e">
            <v>#N/A</v>
          </cell>
          <cell r="T273" t="e">
            <v>#N/A</v>
          </cell>
          <cell r="U273" t="e">
            <v>#N/A</v>
          </cell>
        </row>
        <row r="274">
          <cell r="S274" t="e">
            <v>#N/A</v>
          </cell>
          <cell r="T274" t="e">
            <v>#N/A</v>
          </cell>
          <cell r="U274" t="e">
            <v>#N/A</v>
          </cell>
        </row>
        <row r="275">
          <cell r="S275" t="e">
            <v>#N/A</v>
          </cell>
          <cell r="T275" t="e">
            <v>#N/A</v>
          </cell>
          <cell r="U275" t="e">
            <v>#N/A</v>
          </cell>
        </row>
        <row r="276">
          <cell r="S276" t="e">
            <v>#N/A</v>
          </cell>
          <cell r="T276" t="e">
            <v>#N/A</v>
          </cell>
          <cell r="U276" t="e">
            <v>#N/A</v>
          </cell>
        </row>
        <row r="277">
          <cell r="S277" t="e">
            <v>#N/A</v>
          </cell>
          <cell r="T277" t="e">
            <v>#N/A</v>
          </cell>
          <cell r="U277" t="e">
            <v>#N/A</v>
          </cell>
        </row>
        <row r="278">
          <cell r="S278" t="e">
            <v>#N/A</v>
          </cell>
          <cell r="T278" t="e">
            <v>#N/A</v>
          </cell>
          <cell r="U278" t="e">
            <v>#N/A</v>
          </cell>
        </row>
        <row r="279">
          <cell r="S279" t="e">
            <v>#N/A</v>
          </cell>
          <cell r="T279" t="e">
            <v>#N/A</v>
          </cell>
          <cell r="U279" t="e">
            <v>#N/A</v>
          </cell>
        </row>
        <row r="280">
          <cell r="S280" t="e">
            <v>#N/A</v>
          </cell>
          <cell r="T280" t="e">
            <v>#N/A</v>
          </cell>
          <cell r="U280" t="e">
            <v>#N/A</v>
          </cell>
        </row>
        <row r="281">
          <cell r="S281" t="e">
            <v>#N/A</v>
          </cell>
          <cell r="T281" t="e">
            <v>#N/A</v>
          </cell>
          <cell r="U281" t="e">
            <v>#N/A</v>
          </cell>
        </row>
        <row r="282">
          <cell r="S282" t="e">
            <v>#N/A</v>
          </cell>
          <cell r="T282" t="e">
            <v>#N/A</v>
          </cell>
          <cell r="U282" t="e">
            <v>#N/A</v>
          </cell>
        </row>
        <row r="283">
          <cell r="S283" t="e">
            <v>#N/A</v>
          </cell>
          <cell r="T283" t="e">
            <v>#N/A</v>
          </cell>
          <cell r="U283" t="e">
            <v>#N/A</v>
          </cell>
        </row>
        <row r="284">
          <cell r="S284" t="e">
            <v>#N/A</v>
          </cell>
          <cell r="T284" t="e">
            <v>#N/A</v>
          </cell>
          <cell r="U284" t="e">
            <v>#N/A</v>
          </cell>
        </row>
        <row r="285">
          <cell r="S285" t="e">
            <v>#N/A</v>
          </cell>
          <cell r="T285" t="e">
            <v>#N/A</v>
          </cell>
          <cell r="U285" t="e">
            <v>#N/A</v>
          </cell>
        </row>
        <row r="286">
          <cell r="S286" t="e">
            <v>#N/A</v>
          </cell>
          <cell r="T286" t="e">
            <v>#N/A</v>
          </cell>
          <cell r="U286" t="e">
            <v>#N/A</v>
          </cell>
        </row>
        <row r="287">
          <cell r="S287" t="e">
            <v>#N/A</v>
          </cell>
          <cell r="T287" t="e">
            <v>#N/A</v>
          </cell>
          <cell r="U287" t="e">
            <v>#N/A</v>
          </cell>
        </row>
        <row r="288">
          <cell r="S288" t="e">
            <v>#N/A</v>
          </cell>
          <cell r="T288" t="e">
            <v>#N/A</v>
          </cell>
          <cell r="U288" t="e">
            <v>#N/A</v>
          </cell>
        </row>
        <row r="289">
          <cell r="S289" t="e">
            <v>#N/A</v>
          </cell>
          <cell r="T289" t="e">
            <v>#N/A</v>
          </cell>
          <cell r="U289" t="e">
            <v>#N/A</v>
          </cell>
        </row>
        <row r="290">
          <cell r="S290" t="e">
            <v>#N/A</v>
          </cell>
          <cell r="T290" t="e">
            <v>#N/A</v>
          </cell>
          <cell r="U290" t="e">
            <v>#N/A</v>
          </cell>
        </row>
        <row r="291">
          <cell r="S291" t="e">
            <v>#N/A</v>
          </cell>
          <cell r="T291" t="e">
            <v>#N/A</v>
          </cell>
          <cell r="U291" t="e">
            <v>#N/A</v>
          </cell>
        </row>
        <row r="292">
          <cell r="S292" t="e">
            <v>#N/A</v>
          </cell>
          <cell r="T292" t="e">
            <v>#N/A</v>
          </cell>
          <cell r="U292" t="e">
            <v>#N/A</v>
          </cell>
        </row>
        <row r="293">
          <cell r="S293" t="e">
            <v>#N/A</v>
          </cell>
          <cell r="T293" t="e">
            <v>#N/A</v>
          </cell>
          <cell r="U293" t="e">
            <v>#N/A</v>
          </cell>
        </row>
        <row r="294">
          <cell r="S294" t="e">
            <v>#N/A</v>
          </cell>
          <cell r="T294" t="e">
            <v>#N/A</v>
          </cell>
          <cell r="U294" t="e">
            <v>#N/A</v>
          </cell>
        </row>
        <row r="295">
          <cell r="S295" t="e">
            <v>#N/A</v>
          </cell>
          <cell r="T295" t="e">
            <v>#N/A</v>
          </cell>
          <cell r="U295" t="e">
            <v>#N/A</v>
          </cell>
        </row>
        <row r="296">
          <cell r="S296" t="e">
            <v>#N/A</v>
          </cell>
          <cell r="T296" t="e">
            <v>#N/A</v>
          </cell>
          <cell r="U296" t="e">
            <v>#N/A</v>
          </cell>
        </row>
        <row r="297">
          <cell r="S297" t="e">
            <v>#N/A</v>
          </cell>
          <cell r="T297" t="e">
            <v>#N/A</v>
          </cell>
          <cell r="U297" t="e">
            <v>#N/A</v>
          </cell>
        </row>
        <row r="298">
          <cell r="S298" t="e">
            <v>#N/A</v>
          </cell>
          <cell r="T298" t="e">
            <v>#N/A</v>
          </cell>
          <cell r="U298" t="e">
            <v>#N/A</v>
          </cell>
        </row>
        <row r="299">
          <cell r="S299" t="e">
            <v>#N/A</v>
          </cell>
          <cell r="T299" t="e">
            <v>#N/A</v>
          </cell>
          <cell r="U299" t="e">
            <v>#N/A</v>
          </cell>
        </row>
        <row r="300">
          <cell r="S300" t="e">
            <v>#N/A</v>
          </cell>
          <cell r="T300" t="e">
            <v>#N/A</v>
          </cell>
          <cell r="U300" t="e">
            <v>#N/A</v>
          </cell>
        </row>
        <row r="301">
          <cell r="S301" t="e">
            <v>#N/A</v>
          </cell>
          <cell r="T301" t="e">
            <v>#N/A</v>
          </cell>
          <cell r="U301" t="e">
            <v>#N/A</v>
          </cell>
        </row>
        <row r="302">
          <cell r="S302" t="e">
            <v>#N/A</v>
          </cell>
          <cell r="T302" t="e">
            <v>#N/A</v>
          </cell>
          <cell r="U302" t="e">
            <v>#N/A</v>
          </cell>
        </row>
        <row r="303">
          <cell r="S303" t="e">
            <v>#N/A</v>
          </cell>
          <cell r="T303" t="e">
            <v>#N/A</v>
          </cell>
          <cell r="U303" t="e">
            <v>#N/A</v>
          </cell>
        </row>
        <row r="304">
          <cell r="S304" t="e">
            <v>#N/A</v>
          </cell>
          <cell r="T304" t="e">
            <v>#N/A</v>
          </cell>
          <cell r="U304" t="e">
            <v>#N/A</v>
          </cell>
        </row>
        <row r="305">
          <cell r="S305" t="e">
            <v>#N/A</v>
          </cell>
          <cell r="T305" t="e">
            <v>#N/A</v>
          </cell>
          <cell r="U305" t="e">
            <v>#N/A</v>
          </cell>
        </row>
        <row r="306">
          <cell r="S306" t="e">
            <v>#N/A</v>
          </cell>
          <cell r="T306" t="e">
            <v>#N/A</v>
          </cell>
          <cell r="U306" t="e">
            <v>#N/A</v>
          </cell>
        </row>
        <row r="307">
          <cell r="S307" t="e">
            <v>#N/A</v>
          </cell>
          <cell r="T307" t="e">
            <v>#N/A</v>
          </cell>
          <cell r="U307" t="e">
            <v>#N/A</v>
          </cell>
        </row>
        <row r="308">
          <cell r="S308" t="e">
            <v>#N/A</v>
          </cell>
          <cell r="T308" t="e">
            <v>#N/A</v>
          </cell>
          <cell r="U308" t="e">
            <v>#N/A</v>
          </cell>
        </row>
        <row r="309">
          <cell r="S309" t="e">
            <v>#N/A</v>
          </cell>
          <cell r="T309" t="e">
            <v>#N/A</v>
          </cell>
          <cell r="U309" t="e">
            <v>#N/A</v>
          </cell>
        </row>
        <row r="310">
          <cell r="S310" t="e">
            <v>#N/A</v>
          </cell>
          <cell r="T310" t="e">
            <v>#N/A</v>
          </cell>
          <cell r="U310" t="e">
            <v>#N/A</v>
          </cell>
        </row>
        <row r="311">
          <cell r="S311" t="e">
            <v>#N/A</v>
          </cell>
          <cell r="T311" t="e">
            <v>#N/A</v>
          </cell>
          <cell r="U311" t="e">
            <v>#N/A</v>
          </cell>
        </row>
        <row r="312">
          <cell r="S312" t="e">
            <v>#N/A</v>
          </cell>
          <cell r="T312" t="e">
            <v>#N/A</v>
          </cell>
          <cell r="U312" t="e">
            <v>#N/A</v>
          </cell>
        </row>
        <row r="313">
          <cell r="S313" t="e">
            <v>#N/A</v>
          </cell>
          <cell r="T313" t="e">
            <v>#N/A</v>
          </cell>
          <cell r="U313" t="e">
            <v>#N/A</v>
          </cell>
        </row>
        <row r="314">
          <cell r="S314" t="e">
            <v>#N/A</v>
          </cell>
          <cell r="T314" t="e">
            <v>#N/A</v>
          </cell>
          <cell r="U314" t="e">
            <v>#N/A</v>
          </cell>
        </row>
        <row r="315">
          <cell r="S315" t="e">
            <v>#N/A</v>
          </cell>
          <cell r="T315" t="e">
            <v>#N/A</v>
          </cell>
          <cell r="U315" t="e">
            <v>#N/A</v>
          </cell>
        </row>
        <row r="316">
          <cell r="S316" t="e">
            <v>#N/A</v>
          </cell>
          <cell r="T316" t="e">
            <v>#N/A</v>
          </cell>
          <cell r="U316" t="e">
            <v>#N/A</v>
          </cell>
        </row>
        <row r="317">
          <cell r="S317" t="e">
            <v>#N/A</v>
          </cell>
          <cell r="T317" t="e">
            <v>#N/A</v>
          </cell>
          <cell r="U317" t="e">
            <v>#N/A</v>
          </cell>
        </row>
        <row r="318">
          <cell r="S318" t="e">
            <v>#N/A</v>
          </cell>
          <cell r="T318" t="e">
            <v>#N/A</v>
          </cell>
          <cell r="U318" t="e">
            <v>#N/A</v>
          </cell>
        </row>
        <row r="319">
          <cell r="S319" t="e">
            <v>#N/A</v>
          </cell>
          <cell r="T319" t="e">
            <v>#N/A</v>
          </cell>
          <cell r="U319" t="e">
            <v>#N/A</v>
          </cell>
        </row>
        <row r="320">
          <cell r="S320" t="e">
            <v>#N/A</v>
          </cell>
          <cell r="T320" t="e">
            <v>#N/A</v>
          </cell>
          <cell r="U320" t="e">
            <v>#N/A</v>
          </cell>
        </row>
        <row r="321">
          <cell r="S321" t="e">
            <v>#N/A</v>
          </cell>
          <cell r="T321" t="e">
            <v>#N/A</v>
          </cell>
          <cell r="U321" t="e">
            <v>#N/A</v>
          </cell>
        </row>
        <row r="322">
          <cell r="S322" t="e">
            <v>#N/A</v>
          </cell>
          <cell r="T322" t="e">
            <v>#N/A</v>
          </cell>
          <cell r="U322" t="e">
            <v>#N/A</v>
          </cell>
        </row>
        <row r="323">
          <cell r="S323" t="e">
            <v>#N/A</v>
          </cell>
          <cell r="T323" t="e">
            <v>#N/A</v>
          </cell>
          <cell r="U323" t="e">
            <v>#N/A</v>
          </cell>
        </row>
        <row r="324">
          <cell r="S324" t="e">
            <v>#N/A</v>
          </cell>
          <cell r="T324" t="e">
            <v>#N/A</v>
          </cell>
          <cell r="U324" t="e">
            <v>#N/A</v>
          </cell>
        </row>
        <row r="325">
          <cell r="S325" t="e">
            <v>#N/A</v>
          </cell>
          <cell r="T325" t="e">
            <v>#N/A</v>
          </cell>
          <cell r="U325" t="e">
            <v>#N/A</v>
          </cell>
        </row>
        <row r="326">
          <cell r="S326" t="e">
            <v>#N/A</v>
          </cell>
          <cell r="T326" t="e">
            <v>#N/A</v>
          </cell>
          <cell r="U326" t="e">
            <v>#N/A</v>
          </cell>
        </row>
        <row r="327">
          <cell r="S327" t="e">
            <v>#N/A</v>
          </cell>
          <cell r="T327" t="e">
            <v>#N/A</v>
          </cell>
          <cell r="U327" t="e">
            <v>#N/A</v>
          </cell>
        </row>
        <row r="328">
          <cell r="S328" t="e">
            <v>#N/A</v>
          </cell>
          <cell r="T328" t="e">
            <v>#N/A</v>
          </cell>
          <cell r="U328" t="e">
            <v>#N/A</v>
          </cell>
        </row>
        <row r="329">
          <cell r="S329" t="e">
            <v>#N/A</v>
          </cell>
          <cell r="T329" t="e">
            <v>#N/A</v>
          </cell>
          <cell r="U329" t="e">
            <v>#N/A</v>
          </cell>
        </row>
        <row r="330">
          <cell r="S330" t="e">
            <v>#N/A</v>
          </cell>
          <cell r="T330" t="e">
            <v>#N/A</v>
          </cell>
          <cell r="U330" t="e">
            <v>#N/A</v>
          </cell>
        </row>
        <row r="331">
          <cell r="S331" t="e">
            <v>#N/A</v>
          </cell>
          <cell r="T331" t="e">
            <v>#N/A</v>
          </cell>
          <cell r="U331" t="e">
            <v>#N/A</v>
          </cell>
        </row>
        <row r="332">
          <cell r="S332" t="e">
            <v>#N/A</v>
          </cell>
          <cell r="T332" t="e">
            <v>#N/A</v>
          </cell>
          <cell r="U332" t="e">
            <v>#N/A</v>
          </cell>
        </row>
        <row r="333">
          <cell r="S333" t="e">
            <v>#N/A</v>
          </cell>
          <cell r="T333" t="e">
            <v>#N/A</v>
          </cell>
          <cell r="U333" t="e">
            <v>#N/A</v>
          </cell>
        </row>
        <row r="334">
          <cell r="S334" t="e">
            <v>#N/A</v>
          </cell>
          <cell r="T334" t="e">
            <v>#N/A</v>
          </cell>
          <cell r="U334" t="e">
            <v>#N/A</v>
          </cell>
        </row>
        <row r="335">
          <cell r="S335" t="e">
            <v>#N/A</v>
          </cell>
          <cell r="T335" t="e">
            <v>#N/A</v>
          </cell>
          <cell r="U335" t="e">
            <v>#N/A</v>
          </cell>
        </row>
        <row r="336">
          <cell r="S336" t="e">
            <v>#N/A</v>
          </cell>
          <cell r="T336" t="e">
            <v>#N/A</v>
          </cell>
          <cell r="U336" t="e">
            <v>#N/A</v>
          </cell>
        </row>
        <row r="337">
          <cell r="S337" t="e">
            <v>#N/A</v>
          </cell>
          <cell r="T337" t="e">
            <v>#N/A</v>
          </cell>
          <cell r="U337" t="e">
            <v>#N/A</v>
          </cell>
        </row>
        <row r="338">
          <cell r="S338" t="e">
            <v>#N/A</v>
          </cell>
          <cell r="T338" t="e">
            <v>#N/A</v>
          </cell>
          <cell r="U338" t="e">
            <v>#N/A</v>
          </cell>
        </row>
        <row r="339">
          <cell r="S339" t="e">
            <v>#N/A</v>
          </cell>
          <cell r="T339" t="e">
            <v>#N/A</v>
          </cell>
          <cell r="U339" t="e">
            <v>#N/A</v>
          </cell>
        </row>
        <row r="340">
          <cell r="S340" t="e">
            <v>#N/A</v>
          </cell>
          <cell r="T340" t="e">
            <v>#N/A</v>
          </cell>
          <cell r="U340" t="e">
            <v>#N/A</v>
          </cell>
        </row>
        <row r="341">
          <cell r="S341" t="e">
            <v>#N/A</v>
          </cell>
          <cell r="T341" t="e">
            <v>#N/A</v>
          </cell>
          <cell r="U341" t="e">
            <v>#N/A</v>
          </cell>
        </row>
        <row r="342">
          <cell r="S342" t="e">
            <v>#N/A</v>
          </cell>
          <cell r="T342" t="e">
            <v>#N/A</v>
          </cell>
          <cell r="U342" t="e">
            <v>#N/A</v>
          </cell>
        </row>
        <row r="343">
          <cell r="S343" t="e">
            <v>#N/A</v>
          </cell>
          <cell r="T343" t="e">
            <v>#N/A</v>
          </cell>
          <cell r="U343" t="e">
            <v>#N/A</v>
          </cell>
        </row>
        <row r="344">
          <cell r="S344" t="e">
            <v>#N/A</v>
          </cell>
          <cell r="T344" t="e">
            <v>#N/A</v>
          </cell>
          <cell r="U344" t="e">
            <v>#N/A</v>
          </cell>
        </row>
        <row r="345">
          <cell r="S345" t="e">
            <v>#N/A</v>
          </cell>
          <cell r="T345" t="e">
            <v>#N/A</v>
          </cell>
          <cell r="U345" t="e">
            <v>#N/A</v>
          </cell>
        </row>
        <row r="346">
          <cell r="S346" t="e">
            <v>#N/A</v>
          </cell>
          <cell r="T346" t="e">
            <v>#N/A</v>
          </cell>
          <cell r="U346" t="e">
            <v>#N/A</v>
          </cell>
        </row>
        <row r="347">
          <cell r="S347" t="e">
            <v>#N/A</v>
          </cell>
          <cell r="T347" t="e">
            <v>#N/A</v>
          </cell>
          <cell r="U347" t="e">
            <v>#N/A</v>
          </cell>
        </row>
        <row r="348">
          <cell r="S348" t="e">
            <v>#N/A</v>
          </cell>
          <cell r="T348" t="e">
            <v>#N/A</v>
          </cell>
          <cell r="U348" t="e">
            <v>#N/A</v>
          </cell>
        </row>
        <row r="349">
          <cell r="S349" t="e">
            <v>#N/A</v>
          </cell>
          <cell r="T349" t="e">
            <v>#N/A</v>
          </cell>
          <cell r="U349" t="e">
            <v>#N/A</v>
          </cell>
        </row>
        <row r="350">
          <cell r="S350" t="e">
            <v>#N/A</v>
          </cell>
          <cell r="T350" t="e">
            <v>#N/A</v>
          </cell>
          <cell r="U350" t="e">
            <v>#N/A</v>
          </cell>
        </row>
        <row r="351">
          <cell r="S351" t="e">
            <v>#N/A</v>
          </cell>
          <cell r="T351" t="e">
            <v>#N/A</v>
          </cell>
          <cell r="U351" t="e">
            <v>#N/A</v>
          </cell>
        </row>
        <row r="352">
          <cell r="S352" t="e">
            <v>#N/A</v>
          </cell>
          <cell r="T352" t="e">
            <v>#N/A</v>
          </cell>
          <cell r="U352" t="e">
            <v>#N/A</v>
          </cell>
        </row>
        <row r="353">
          <cell r="S353" t="e">
            <v>#N/A</v>
          </cell>
          <cell r="T353" t="e">
            <v>#N/A</v>
          </cell>
          <cell r="U353" t="e">
            <v>#N/A</v>
          </cell>
        </row>
        <row r="354">
          <cell r="S354" t="e">
            <v>#N/A</v>
          </cell>
          <cell r="T354" t="e">
            <v>#N/A</v>
          </cell>
          <cell r="U354" t="e">
            <v>#N/A</v>
          </cell>
        </row>
        <row r="355">
          <cell r="S355" t="e">
            <v>#N/A</v>
          </cell>
          <cell r="T355" t="e">
            <v>#N/A</v>
          </cell>
          <cell r="U355" t="e">
            <v>#N/A</v>
          </cell>
        </row>
        <row r="356">
          <cell r="S356" t="e">
            <v>#N/A</v>
          </cell>
          <cell r="T356" t="e">
            <v>#N/A</v>
          </cell>
          <cell r="U356" t="e">
            <v>#N/A</v>
          </cell>
        </row>
        <row r="357">
          <cell r="S357" t="e">
            <v>#N/A</v>
          </cell>
          <cell r="T357" t="e">
            <v>#N/A</v>
          </cell>
          <cell r="U357" t="e">
            <v>#N/A</v>
          </cell>
        </row>
        <row r="358">
          <cell r="S358" t="e">
            <v>#N/A</v>
          </cell>
          <cell r="T358" t="e">
            <v>#N/A</v>
          </cell>
          <cell r="U358" t="e">
            <v>#N/A</v>
          </cell>
        </row>
        <row r="359">
          <cell r="S359" t="e">
            <v>#N/A</v>
          </cell>
          <cell r="T359" t="e">
            <v>#N/A</v>
          </cell>
          <cell r="U359" t="e">
            <v>#N/A</v>
          </cell>
        </row>
        <row r="360">
          <cell r="S360" t="e">
            <v>#N/A</v>
          </cell>
          <cell r="T360" t="e">
            <v>#N/A</v>
          </cell>
          <cell r="U360" t="e">
            <v>#N/A</v>
          </cell>
        </row>
        <row r="361">
          <cell r="S361" t="e">
            <v>#N/A</v>
          </cell>
          <cell r="T361" t="e">
            <v>#N/A</v>
          </cell>
          <cell r="U361" t="e">
            <v>#N/A</v>
          </cell>
        </row>
        <row r="362">
          <cell r="S362" t="e">
            <v>#N/A</v>
          </cell>
          <cell r="T362" t="e">
            <v>#N/A</v>
          </cell>
          <cell r="U362" t="e">
            <v>#N/A</v>
          </cell>
        </row>
        <row r="363">
          <cell r="S363" t="e">
            <v>#N/A</v>
          </cell>
          <cell r="T363" t="e">
            <v>#N/A</v>
          </cell>
          <cell r="U363" t="e">
            <v>#N/A</v>
          </cell>
        </row>
      </sheetData>
      <sheetData sheetId="65"/>
      <sheetData sheetId="66">
        <row r="4">
          <cell r="N4" t="e">
            <v>#N/A</v>
          </cell>
        </row>
        <row r="5">
          <cell r="N5" t="e">
            <v>#N/A</v>
          </cell>
        </row>
        <row r="6">
          <cell r="N6" t="e">
            <v>#N/A</v>
          </cell>
        </row>
        <row r="7">
          <cell r="N7" t="e">
            <v>#N/A</v>
          </cell>
        </row>
        <row r="8">
          <cell r="H8" t="str">
            <v>[Removed - 201612.E]</v>
          </cell>
          <cell r="I8" t="str">
            <v>[Removed - 201612.E]</v>
          </cell>
          <cell r="N8" t="e">
            <v>#N/A</v>
          </cell>
        </row>
        <row r="9">
          <cell r="N9" t="e">
            <v>#N/A</v>
          </cell>
        </row>
        <row r="10">
          <cell r="N10" t="e">
            <v>#N/A</v>
          </cell>
        </row>
        <row r="11">
          <cell r="N11" t="e">
            <v>#N/A</v>
          </cell>
        </row>
        <row r="12">
          <cell r="N12" t="e">
            <v>#N/A</v>
          </cell>
        </row>
        <row r="13">
          <cell r="N13" t="e">
            <v>#N/A</v>
          </cell>
        </row>
        <row r="14">
          <cell r="N14" t="e">
            <v>#N/A</v>
          </cell>
        </row>
        <row r="15">
          <cell r="N15" t="e">
            <v>#N/A</v>
          </cell>
        </row>
        <row r="16">
          <cell r="N16" t="e">
            <v>#N/A</v>
          </cell>
        </row>
        <row r="17">
          <cell r="N17" t="e">
            <v>#N/A</v>
          </cell>
        </row>
        <row r="18">
          <cell r="N18" t="e">
            <v>#N/A</v>
          </cell>
        </row>
        <row r="19">
          <cell r="N19" t="e">
            <v>#N/A</v>
          </cell>
        </row>
        <row r="20">
          <cell r="N20" t="e">
            <v>#N/A</v>
          </cell>
        </row>
        <row r="21">
          <cell r="N21" t="e">
            <v>#N/A</v>
          </cell>
        </row>
        <row r="22">
          <cell r="N22" t="e">
            <v>#N/A</v>
          </cell>
        </row>
        <row r="23">
          <cell r="N23" t="e">
            <v>#N/A</v>
          </cell>
        </row>
        <row r="24">
          <cell r="N24" t="e">
            <v>#N/A</v>
          </cell>
        </row>
        <row r="25">
          <cell r="A25" t="str">
            <v>de 11.30% del mes 1 al 37, de 11.55% del mes 38 al 73, de 11.80% del mes 74 en adelante</v>
          </cell>
          <cell r="N25" t="e">
            <v>#N/A</v>
          </cell>
        </row>
        <row r="26">
          <cell r="N26" t="e">
            <v>#N/A</v>
          </cell>
        </row>
        <row r="27">
          <cell r="N27" t="e">
            <v>#N/A</v>
          </cell>
        </row>
        <row r="28">
          <cell r="N28" t="e">
            <v>#N/A</v>
          </cell>
        </row>
        <row r="29">
          <cell r="N29" t="e">
            <v>#N/A</v>
          </cell>
        </row>
        <row r="30">
          <cell r="N30" t="e">
            <v>#N/A</v>
          </cell>
        </row>
        <row r="31">
          <cell r="N31" t="e">
            <v>#N/A</v>
          </cell>
        </row>
        <row r="32">
          <cell r="N32" t="e">
            <v>#N/A</v>
          </cell>
        </row>
        <row r="33">
          <cell r="N33" t="e">
            <v>#N/A</v>
          </cell>
        </row>
        <row r="34">
          <cell r="N34" t="e">
            <v>#N/A</v>
          </cell>
        </row>
        <row r="35">
          <cell r="N35" t="e">
            <v>#N/A</v>
          </cell>
        </row>
        <row r="36">
          <cell r="N36" t="e">
            <v>#N/A</v>
          </cell>
        </row>
        <row r="37">
          <cell r="N37" t="e">
            <v>#N/A</v>
          </cell>
        </row>
        <row r="38">
          <cell r="N38" t="e">
            <v>#N/A</v>
          </cell>
        </row>
        <row r="39">
          <cell r="N39" t="e">
            <v>#N/A</v>
          </cell>
        </row>
        <row r="40">
          <cell r="N40" t="e">
            <v>#N/A</v>
          </cell>
        </row>
        <row r="41">
          <cell r="N41" t="e">
            <v>#N/A</v>
          </cell>
        </row>
        <row r="42">
          <cell r="N42" t="e">
            <v>#N/A</v>
          </cell>
        </row>
        <row r="43">
          <cell r="N43" t="e">
            <v>#N/A</v>
          </cell>
        </row>
        <row r="44">
          <cell r="N44" t="e">
            <v>#N/A</v>
          </cell>
        </row>
        <row r="45">
          <cell r="N45" t="e">
            <v>#N/A</v>
          </cell>
        </row>
        <row r="46">
          <cell r="N46" t="e">
            <v>#N/A</v>
          </cell>
        </row>
        <row r="47">
          <cell r="N47" t="e">
            <v>#N/A</v>
          </cell>
        </row>
        <row r="48">
          <cell r="N48" t="e">
            <v>#N/A</v>
          </cell>
        </row>
        <row r="49">
          <cell r="N49" t="e">
            <v>#N/A</v>
          </cell>
        </row>
        <row r="50">
          <cell r="N50" t="e">
            <v>#N/A</v>
          </cell>
        </row>
        <row r="51">
          <cell r="N51" t="e">
            <v>#N/A</v>
          </cell>
        </row>
        <row r="52">
          <cell r="N52" t="e">
            <v>#N/A</v>
          </cell>
        </row>
        <row r="53">
          <cell r="N53" t="e">
            <v>#N/A</v>
          </cell>
        </row>
        <row r="54">
          <cell r="N54" t="e">
            <v>#N/A</v>
          </cell>
        </row>
        <row r="55">
          <cell r="N55" t="e">
            <v>#N/A</v>
          </cell>
        </row>
        <row r="56">
          <cell r="N56" t="e">
            <v>#N/A</v>
          </cell>
        </row>
        <row r="57">
          <cell r="N57" t="e">
            <v>#N/A</v>
          </cell>
        </row>
        <row r="58">
          <cell r="N58" t="e">
            <v>#N/A</v>
          </cell>
        </row>
        <row r="59">
          <cell r="N59" t="e">
            <v>#N/A</v>
          </cell>
        </row>
        <row r="60">
          <cell r="N60" t="e">
            <v>#N/A</v>
          </cell>
        </row>
        <row r="61">
          <cell r="N61" t="e">
            <v>#N/A</v>
          </cell>
        </row>
        <row r="62">
          <cell r="N62" t="e">
            <v>#N/A</v>
          </cell>
        </row>
        <row r="63">
          <cell r="N63" t="e">
            <v>#N/A</v>
          </cell>
        </row>
        <row r="64">
          <cell r="N64" t="e">
            <v>#N/A</v>
          </cell>
        </row>
        <row r="65">
          <cell r="N65" t="e">
            <v>#N/A</v>
          </cell>
        </row>
        <row r="66">
          <cell r="N66" t="e">
            <v>#N/A</v>
          </cell>
        </row>
        <row r="67">
          <cell r="N67" t="e">
            <v>#N/A</v>
          </cell>
        </row>
        <row r="68">
          <cell r="N68" t="e">
            <v>#N/A</v>
          </cell>
        </row>
        <row r="69">
          <cell r="N69" t="e">
            <v>#N/A</v>
          </cell>
        </row>
        <row r="70">
          <cell r="N70" t="e">
            <v>#N/A</v>
          </cell>
        </row>
        <row r="71">
          <cell r="N71" t="e">
            <v>#N/A</v>
          </cell>
        </row>
        <row r="72">
          <cell r="N72" t="e">
            <v>#N/A</v>
          </cell>
        </row>
        <row r="73">
          <cell r="N73" t="e">
            <v>#N/A</v>
          </cell>
        </row>
        <row r="74">
          <cell r="N74" t="e">
            <v>#N/A</v>
          </cell>
        </row>
        <row r="75">
          <cell r="N75" t="e">
            <v>#N/A</v>
          </cell>
        </row>
        <row r="76">
          <cell r="N76" t="e">
            <v>#N/A</v>
          </cell>
        </row>
        <row r="77">
          <cell r="N77" t="e">
            <v>#N/A</v>
          </cell>
        </row>
        <row r="78">
          <cell r="N78" t="e">
            <v>#N/A</v>
          </cell>
        </row>
        <row r="79">
          <cell r="N79" t="e">
            <v>#N/A</v>
          </cell>
        </row>
        <row r="80">
          <cell r="N80" t="e">
            <v>#N/A</v>
          </cell>
        </row>
        <row r="81">
          <cell r="N81" t="e">
            <v>#N/A</v>
          </cell>
        </row>
        <row r="82">
          <cell r="N82" t="e">
            <v>#N/A</v>
          </cell>
        </row>
        <row r="83">
          <cell r="N83" t="e">
            <v>#N/A</v>
          </cell>
        </row>
        <row r="84">
          <cell r="N84" t="e">
            <v>#N/A</v>
          </cell>
        </row>
        <row r="85">
          <cell r="N85" t="e">
            <v>#N/A</v>
          </cell>
        </row>
        <row r="86">
          <cell r="N86" t="e">
            <v>#N/A</v>
          </cell>
        </row>
        <row r="87">
          <cell r="N87" t="e">
            <v>#N/A</v>
          </cell>
        </row>
        <row r="88">
          <cell r="N88" t="e">
            <v>#N/A</v>
          </cell>
        </row>
        <row r="89">
          <cell r="N89" t="e">
            <v>#N/A</v>
          </cell>
        </row>
        <row r="90">
          <cell r="N90" t="e">
            <v>#N/A</v>
          </cell>
        </row>
        <row r="91">
          <cell r="N91" t="e">
            <v>#N/A</v>
          </cell>
        </row>
        <row r="92">
          <cell r="N92" t="e">
            <v>#N/A</v>
          </cell>
        </row>
        <row r="93">
          <cell r="N93" t="e">
            <v>#N/A</v>
          </cell>
        </row>
        <row r="94">
          <cell r="N94" t="e">
            <v>#N/A</v>
          </cell>
        </row>
        <row r="95">
          <cell r="N95" t="e">
            <v>#N/A</v>
          </cell>
        </row>
        <row r="96">
          <cell r="N96" t="e">
            <v>#N/A</v>
          </cell>
        </row>
        <row r="97">
          <cell r="N97" t="e">
            <v>#N/A</v>
          </cell>
        </row>
        <row r="98">
          <cell r="N98" t="e">
            <v>#N/A</v>
          </cell>
        </row>
        <row r="99">
          <cell r="N99" t="e">
            <v>#N/A</v>
          </cell>
        </row>
        <row r="100">
          <cell r="N100" t="e">
            <v>#N/A</v>
          </cell>
        </row>
        <row r="101">
          <cell r="N101" t="e">
            <v>#N/A</v>
          </cell>
        </row>
        <row r="102">
          <cell r="N102" t="e">
            <v>#N/A</v>
          </cell>
        </row>
        <row r="103">
          <cell r="N103" t="e">
            <v>#N/A</v>
          </cell>
        </row>
        <row r="104">
          <cell r="N104" t="e">
            <v>#N/A</v>
          </cell>
        </row>
        <row r="105">
          <cell r="N105" t="e">
            <v>#N/A</v>
          </cell>
        </row>
        <row r="106">
          <cell r="N106" t="e">
            <v>#N/A</v>
          </cell>
        </row>
        <row r="107">
          <cell r="N107" t="e">
            <v>#N/A</v>
          </cell>
        </row>
        <row r="108">
          <cell r="N108" t="e">
            <v>#N/A</v>
          </cell>
        </row>
        <row r="109">
          <cell r="N109" t="e">
            <v>#N/A</v>
          </cell>
        </row>
        <row r="110">
          <cell r="N110" t="e">
            <v>#N/A</v>
          </cell>
        </row>
        <row r="111">
          <cell r="N111" t="e">
            <v>#N/A</v>
          </cell>
        </row>
        <row r="112">
          <cell r="N112" t="e">
            <v>#N/A</v>
          </cell>
        </row>
        <row r="113">
          <cell r="N113" t="e">
            <v>#N/A</v>
          </cell>
        </row>
        <row r="114">
          <cell r="N114" t="e">
            <v>#N/A</v>
          </cell>
        </row>
        <row r="115">
          <cell r="N115" t="e">
            <v>#N/A</v>
          </cell>
        </row>
        <row r="116">
          <cell r="N116" t="e">
            <v>#N/A</v>
          </cell>
        </row>
        <row r="117">
          <cell r="N117" t="e">
            <v>#N/A</v>
          </cell>
        </row>
        <row r="118">
          <cell r="N118" t="e">
            <v>#N/A</v>
          </cell>
        </row>
        <row r="119">
          <cell r="N119" t="e">
            <v>#N/A</v>
          </cell>
        </row>
        <row r="120">
          <cell r="N120" t="e">
            <v>#N/A</v>
          </cell>
        </row>
        <row r="121">
          <cell r="N121" t="e">
            <v>#N/A</v>
          </cell>
        </row>
        <row r="122">
          <cell r="N122" t="e">
            <v>#N/A</v>
          </cell>
        </row>
        <row r="123">
          <cell r="N123" t="e">
            <v>#N/A</v>
          </cell>
        </row>
        <row r="124">
          <cell r="N124" t="e">
            <v>#N/A</v>
          </cell>
        </row>
        <row r="125">
          <cell r="N125" t="e">
            <v>#N/A</v>
          </cell>
        </row>
        <row r="126">
          <cell r="N126" t="e">
            <v>#N/A</v>
          </cell>
        </row>
        <row r="127">
          <cell r="N127" t="e">
            <v>#N/A</v>
          </cell>
        </row>
        <row r="128">
          <cell r="N128" t="e">
            <v>#N/A</v>
          </cell>
        </row>
        <row r="129">
          <cell r="N129" t="e">
            <v>#N/A</v>
          </cell>
        </row>
        <row r="130">
          <cell r="N130" t="e">
            <v>#N/A</v>
          </cell>
        </row>
        <row r="131">
          <cell r="N131" t="e">
            <v>#N/A</v>
          </cell>
        </row>
        <row r="132">
          <cell r="N132" t="e">
            <v>#N/A</v>
          </cell>
        </row>
        <row r="133">
          <cell r="N133" t="e">
            <v>#N/A</v>
          </cell>
        </row>
        <row r="134">
          <cell r="N134" t="e">
            <v>#N/A</v>
          </cell>
        </row>
        <row r="135">
          <cell r="N135" t="e">
            <v>#N/A</v>
          </cell>
        </row>
        <row r="136">
          <cell r="N136" t="e">
            <v>#N/A</v>
          </cell>
        </row>
        <row r="137">
          <cell r="N137" t="e">
            <v>#N/A</v>
          </cell>
        </row>
        <row r="138">
          <cell r="N138" t="e">
            <v>#N/A</v>
          </cell>
        </row>
        <row r="139">
          <cell r="N139" t="e">
            <v>#N/A</v>
          </cell>
        </row>
        <row r="140">
          <cell r="N140" t="e">
            <v>#N/A</v>
          </cell>
        </row>
        <row r="141">
          <cell r="N141" t="e">
            <v>#N/A</v>
          </cell>
        </row>
        <row r="142">
          <cell r="N142" t="e">
            <v>#N/A</v>
          </cell>
        </row>
        <row r="143">
          <cell r="N143" t="e">
            <v>#N/A</v>
          </cell>
        </row>
        <row r="144">
          <cell r="N144" t="e">
            <v>#N/A</v>
          </cell>
        </row>
        <row r="145">
          <cell r="N145" t="e">
            <v>#N/A</v>
          </cell>
        </row>
        <row r="146">
          <cell r="N146" t="e">
            <v>#N/A</v>
          </cell>
        </row>
        <row r="147">
          <cell r="N147" t="e">
            <v>#N/A</v>
          </cell>
        </row>
        <row r="148">
          <cell r="N148" t="e">
            <v>#N/A</v>
          </cell>
        </row>
        <row r="149">
          <cell r="N149" t="e">
            <v>#N/A</v>
          </cell>
        </row>
        <row r="150">
          <cell r="N150" t="e">
            <v>#N/A</v>
          </cell>
        </row>
        <row r="151">
          <cell r="N151" t="e">
            <v>#N/A</v>
          </cell>
        </row>
        <row r="152">
          <cell r="N152" t="e">
            <v>#N/A</v>
          </cell>
        </row>
        <row r="153">
          <cell r="N153" t="e">
            <v>#N/A</v>
          </cell>
        </row>
        <row r="154">
          <cell r="N154" t="e">
            <v>#N/A</v>
          </cell>
        </row>
        <row r="155">
          <cell r="N155" t="e">
            <v>#N/A</v>
          </cell>
        </row>
        <row r="156">
          <cell r="N156" t="e">
            <v>#N/A</v>
          </cell>
        </row>
        <row r="157">
          <cell r="N157" t="e">
            <v>#N/A</v>
          </cell>
        </row>
        <row r="158">
          <cell r="N158" t="e">
            <v>#N/A</v>
          </cell>
        </row>
        <row r="159">
          <cell r="N159" t="e">
            <v>#N/A</v>
          </cell>
        </row>
        <row r="160">
          <cell r="N160" t="e">
            <v>#N/A</v>
          </cell>
        </row>
        <row r="161">
          <cell r="N161" t="e">
            <v>#N/A</v>
          </cell>
        </row>
        <row r="162">
          <cell r="N162" t="e">
            <v>#N/A</v>
          </cell>
        </row>
        <row r="163">
          <cell r="N163" t="e">
            <v>#N/A</v>
          </cell>
        </row>
        <row r="164">
          <cell r="N164" t="e">
            <v>#N/A</v>
          </cell>
        </row>
        <row r="165">
          <cell r="N165" t="e">
            <v>#N/A</v>
          </cell>
        </row>
        <row r="166">
          <cell r="N166" t="e">
            <v>#N/A</v>
          </cell>
        </row>
        <row r="167">
          <cell r="N167" t="e">
            <v>#N/A</v>
          </cell>
        </row>
        <row r="168">
          <cell r="N168" t="e">
            <v>#N/A</v>
          </cell>
        </row>
        <row r="169">
          <cell r="N169" t="e">
            <v>#N/A</v>
          </cell>
        </row>
        <row r="170">
          <cell r="N170" t="e">
            <v>#N/A</v>
          </cell>
        </row>
        <row r="171">
          <cell r="N171" t="e">
            <v>#N/A</v>
          </cell>
        </row>
        <row r="172">
          <cell r="N172" t="e">
            <v>#N/A</v>
          </cell>
        </row>
        <row r="173">
          <cell r="N173" t="e">
            <v>#N/A</v>
          </cell>
        </row>
        <row r="174">
          <cell r="N174" t="e">
            <v>#N/A</v>
          </cell>
        </row>
        <row r="175">
          <cell r="N175" t="e">
            <v>#N/A</v>
          </cell>
        </row>
        <row r="176">
          <cell r="N176" t="e">
            <v>#N/A</v>
          </cell>
        </row>
        <row r="177">
          <cell r="N177" t="e">
            <v>#N/A</v>
          </cell>
        </row>
        <row r="178">
          <cell r="N178" t="e">
            <v>#N/A</v>
          </cell>
        </row>
        <row r="179">
          <cell r="N179" t="e">
            <v>#N/A</v>
          </cell>
        </row>
        <row r="180">
          <cell r="N180" t="e">
            <v>#N/A</v>
          </cell>
        </row>
        <row r="181">
          <cell r="N181" t="e">
            <v>#N/A</v>
          </cell>
        </row>
        <row r="182">
          <cell r="N182" t="e">
            <v>#N/A</v>
          </cell>
        </row>
        <row r="183">
          <cell r="N183" t="e">
            <v>#N/A</v>
          </cell>
        </row>
        <row r="184">
          <cell r="N184" t="e">
            <v>#N/A</v>
          </cell>
        </row>
        <row r="185">
          <cell r="N185" t="e">
            <v>#N/A</v>
          </cell>
        </row>
        <row r="186">
          <cell r="N186" t="e">
            <v>#N/A</v>
          </cell>
        </row>
        <row r="187">
          <cell r="N187" t="e">
            <v>#N/A</v>
          </cell>
        </row>
        <row r="188">
          <cell r="N188" t="e">
            <v>#N/A</v>
          </cell>
        </row>
        <row r="189">
          <cell r="N189" t="e">
            <v>#N/A</v>
          </cell>
        </row>
        <row r="190">
          <cell r="N190" t="e">
            <v>#N/A</v>
          </cell>
        </row>
        <row r="191">
          <cell r="N191" t="e">
            <v>#N/A</v>
          </cell>
        </row>
        <row r="192">
          <cell r="N192" t="e">
            <v>#N/A</v>
          </cell>
        </row>
        <row r="193">
          <cell r="N193" t="e">
            <v>#N/A</v>
          </cell>
        </row>
        <row r="194">
          <cell r="N194" t="e">
            <v>#N/A</v>
          </cell>
        </row>
        <row r="195">
          <cell r="N195" t="e">
            <v>#N/A</v>
          </cell>
        </row>
        <row r="196">
          <cell r="N196" t="e">
            <v>#N/A</v>
          </cell>
        </row>
        <row r="197">
          <cell r="N197" t="e">
            <v>#N/A</v>
          </cell>
        </row>
        <row r="198">
          <cell r="N198" t="e">
            <v>#N/A</v>
          </cell>
        </row>
        <row r="199">
          <cell r="N199" t="e">
            <v>#N/A</v>
          </cell>
        </row>
        <row r="200">
          <cell r="N200" t="e">
            <v>#N/A</v>
          </cell>
        </row>
        <row r="201">
          <cell r="N201" t="e">
            <v>#N/A</v>
          </cell>
        </row>
        <row r="202">
          <cell r="N202" t="e">
            <v>#N/A</v>
          </cell>
        </row>
        <row r="203">
          <cell r="N203" t="e">
            <v>#N/A</v>
          </cell>
        </row>
        <row r="204">
          <cell r="N204" t="e">
            <v>#N/A</v>
          </cell>
        </row>
        <row r="205">
          <cell r="N205" t="e">
            <v>#N/A</v>
          </cell>
        </row>
        <row r="206">
          <cell r="N206" t="e">
            <v>#N/A</v>
          </cell>
        </row>
        <row r="207">
          <cell r="N207" t="e">
            <v>#N/A</v>
          </cell>
        </row>
        <row r="208">
          <cell r="N208" t="e">
            <v>#N/A</v>
          </cell>
        </row>
        <row r="209">
          <cell r="N209" t="e">
            <v>#N/A</v>
          </cell>
        </row>
        <row r="210">
          <cell r="N210" t="e">
            <v>#N/A</v>
          </cell>
        </row>
        <row r="211">
          <cell r="N211" t="e">
            <v>#N/A</v>
          </cell>
        </row>
        <row r="212">
          <cell r="N212" t="e">
            <v>#N/A</v>
          </cell>
        </row>
        <row r="213">
          <cell r="N213" t="e">
            <v>#N/A</v>
          </cell>
        </row>
        <row r="214">
          <cell r="N214" t="e">
            <v>#N/A</v>
          </cell>
        </row>
        <row r="215">
          <cell r="N215" t="e">
            <v>#N/A</v>
          </cell>
        </row>
        <row r="216">
          <cell r="N216" t="e">
            <v>#N/A</v>
          </cell>
        </row>
        <row r="217">
          <cell r="N217" t="e">
            <v>#N/A</v>
          </cell>
        </row>
        <row r="218">
          <cell r="N218" t="e">
            <v>#N/A</v>
          </cell>
        </row>
        <row r="219">
          <cell r="N219" t="e">
            <v>#N/A</v>
          </cell>
        </row>
        <row r="220">
          <cell r="N220" t="e">
            <v>#N/A</v>
          </cell>
        </row>
        <row r="221">
          <cell r="N221" t="e">
            <v>#N/A</v>
          </cell>
        </row>
        <row r="222">
          <cell r="N222" t="e">
            <v>#N/A</v>
          </cell>
        </row>
        <row r="223">
          <cell r="N223" t="e">
            <v>#N/A</v>
          </cell>
        </row>
        <row r="224">
          <cell r="N224" t="e">
            <v>#N/A</v>
          </cell>
        </row>
        <row r="225">
          <cell r="N225" t="e">
            <v>#N/A</v>
          </cell>
        </row>
        <row r="226">
          <cell r="N226" t="e">
            <v>#N/A</v>
          </cell>
        </row>
        <row r="227">
          <cell r="N227" t="e">
            <v>#N/A</v>
          </cell>
        </row>
        <row r="228">
          <cell r="N228" t="e">
            <v>#N/A</v>
          </cell>
        </row>
        <row r="229">
          <cell r="N229" t="e">
            <v>#N/A</v>
          </cell>
        </row>
        <row r="230">
          <cell r="N230" t="e">
            <v>#N/A</v>
          </cell>
        </row>
        <row r="231">
          <cell r="N231" t="e">
            <v>#N/A</v>
          </cell>
        </row>
        <row r="232">
          <cell r="N232" t="e">
            <v>#N/A</v>
          </cell>
        </row>
        <row r="233">
          <cell r="N233" t="e">
            <v>#N/A</v>
          </cell>
        </row>
        <row r="234">
          <cell r="N234" t="e">
            <v>#N/A</v>
          </cell>
        </row>
        <row r="235">
          <cell r="N235" t="e">
            <v>#N/A</v>
          </cell>
        </row>
        <row r="236">
          <cell r="N236" t="e">
            <v>#N/A</v>
          </cell>
        </row>
        <row r="237">
          <cell r="N237" t="e">
            <v>#N/A</v>
          </cell>
        </row>
        <row r="238">
          <cell r="N238" t="e">
            <v>#N/A</v>
          </cell>
        </row>
        <row r="239">
          <cell r="N239" t="e">
            <v>#N/A</v>
          </cell>
        </row>
        <row r="240">
          <cell r="N240" t="e">
            <v>#N/A</v>
          </cell>
        </row>
        <row r="241">
          <cell r="N241" t="e">
            <v>#N/A</v>
          </cell>
        </row>
        <row r="242">
          <cell r="N242" t="e">
            <v>#N/A</v>
          </cell>
        </row>
        <row r="243">
          <cell r="N243" t="e">
            <v>#N/A</v>
          </cell>
        </row>
        <row r="244">
          <cell r="N244" t="e">
            <v>#N/A</v>
          </cell>
        </row>
        <row r="245">
          <cell r="N245" t="e">
            <v>#N/A</v>
          </cell>
        </row>
        <row r="246">
          <cell r="N246" t="e">
            <v>#N/A</v>
          </cell>
        </row>
        <row r="247">
          <cell r="N247" t="e">
            <v>#N/A</v>
          </cell>
        </row>
        <row r="248">
          <cell r="N248" t="e">
            <v>#N/A</v>
          </cell>
        </row>
        <row r="249">
          <cell r="N249" t="e">
            <v>#N/A</v>
          </cell>
        </row>
        <row r="250">
          <cell r="N250" t="e">
            <v>#N/A</v>
          </cell>
        </row>
        <row r="251">
          <cell r="N251" t="e">
            <v>#N/A</v>
          </cell>
        </row>
        <row r="252">
          <cell r="N252" t="e">
            <v>#N/A</v>
          </cell>
        </row>
        <row r="253">
          <cell r="N253" t="e">
            <v>#N/A</v>
          </cell>
        </row>
        <row r="254">
          <cell r="N254" t="e">
            <v>#N/A</v>
          </cell>
        </row>
        <row r="255">
          <cell r="N255" t="e">
            <v>#N/A</v>
          </cell>
        </row>
        <row r="256">
          <cell r="N256" t="e">
            <v>#N/A</v>
          </cell>
        </row>
        <row r="257">
          <cell r="N257" t="e">
            <v>#N/A</v>
          </cell>
        </row>
        <row r="258">
          <cell r="N258" t="e">
            <v>#N/A</v>
          </cell>
        </row>
        <row r="259">
          <cell r="N259" t="e">
            <v>#N/A</v>
          </cell>
        </row>
        <row r="260">
          <cell r="N260" t="e">
            <v>#N/A</v>
          </cell>
        </row>
        <row r="261">
          <cell r="N261" t="e">
            <v>#N/A</v>
          </cell>
        </row>
        <row r="262">
          <cell r="N262" t="e">
            <v>#N/A</v>
          </cell>
        </row>
        <row r="263">
          <cell r="N263" t="e">
            <v>#N/A</v>
          </cell>
        </row>
        <row r="264">
          <cell r="N264" t="e">
            <v>#N/A</v>
          </cell>
        </row>
        <row r="265">
          <cell r="N265" t="e">
            <v>#N/A</v>
          </cell>
        </row>
        <row r="266">
          <cell r="N266" t="e">
            <v>#N/A</v>
          </cell>
        </row>
        <row r="267">
          <cell r="N267" t="e">
            <v>#N/A</v>
          </cell>
        </row>
        <row r="268">
          <cell r="N268" t="e">
            <v>#N/A</v>
          </cell>
        </row>
        <row r="269">
          <cell r="N269" t="e">
            <v>#N/A</v>
          </cell>
        </row>
        <row r="270">
          <cell r="N270" t="e">
            <v>#N/A</v>
          </cell>
        </row>
        <row r="271">
          <cell r="N271" t="e">
            <v>#N/A</v>
          </cell>
        </row>
        <row r="272">
          <cell r="N272" t="e">
            <v>#N/A</v>
          </cell>
        </row>
        <row r="273">
          <cell r="N273" t="e">
            <v>#N/A</v>
          </cell>
        </row>
        <row r="274">
          <cell r="N274" t="e">
            <v>#N/A</v>
          </cell>
        </row>
        <row r="275">
          <cell r="N275" t="e">
            <v>#N/A</v>
          </cell>
        </row>
        <row r="276">
          <cell r="N276" t="e">
            <v>#N/A</v>
          </cell>
        </row>
        <row r="277">
          <cell r="N277" t="e">
            <v>#N/A</v>
          </cell>
        </row>
        <row r="278">
          <cell r="N278" t="e">
            <v>#N/A</v>
          </cell>
        </row>
        <row r="279">
          <cell r="N279" t="e">
            <v>#N/A</v>
          </cell>
        </row>
        <row r="280">
          <cell r="N280" t="e">
            <v>#N/A</v>
          </cell>
        </row>
        <row r="281">
          <cell r="N281" t="e">
            <v>#N/A</v>
          </cell>
        </row>
        <row r="282">
          <cell r="N282" t="e">
            <v>#N/A</v>
          </cell>
        </row>
        <row r="283">
          <cell r="N283" t="e">
            <v>#N/A</v>
          </cell>
        </row>
        <row r="284">
          <cell r="N284" t="e">
            <v>#N/A</v>
          </cell>
        </row>
        <row r="285">
          <cell r="N285" t="e">
            <v>#N/A</v>
          </cell>
        </row>
        <row r="286">
          <cell r="N286" t="e">
            <v>#N/A</v>
          </cell>
        </row>
        <row r="287">
          <cell r="N287" t="e">
            <v>#N/A</v>
          </cell>
        </row>
        <row r="288">
          <cell r="N288" t="e">
            <v>#N/A</v>
          </cell>
        </row>
        <row r="289">
          <cell r="N289" t="e">
            <v>#N/A</v>
          </cell>
        </row>
        <row r="290">
          <cell r="N290" t="e">
            <v>#N/A</v>
          </cell>
        </row>
        <row r="291">
          <cell r="N291" t="e">
            <v>#N/A</v>
          </cell>
        </row>
        <row r="292">
          <cell r="N292" t="e">
            <v>#N/A</v>
          </cell>
        </row>
        <row r="293">
          <cell r="N293" t="e">
            <v>#N/A</v>
          </cell>
        </row>
        <row r="294">
          <cell r="N294" t="e">
            <v>#N/A</v>
          </cell>
        </row>
        <row r="295">
          <cell r="N295" t="e">
            <v>#N/A</v>
          </cell>
        </row>
        <row r="296">
          <cell r="N296" t="e">
            <v>#N/A</v>
          </cell>
        </row>
        <row r="297">
          <cell r="N297" t="e">
            <v>#N/A</v>
          </cell>
        </row>
        <row r="298">
          <cell r="N298" t="e">
            <v>#N/A</v>
          </cell>
        </row>
        <row r="299">
          <cell r="N299" t="e">
            <v>#N/A</v>
          </cell>
        </row>
        <row r="300">
          <cell r="N300" t="e">
            <v>#N/A</v>
          </cell>
        </row>
        <row r="301">
          <cell r="N301" t="e">
            <v>#N/A</v>
          </cell>
        </row>
        <row r="302">
          <cell r="N302" t="e">
            <v>#N/A</v>
          </cell>
        </row>
        <row r="303">
          <cell r="N303" t="e">
            <v>#N/A</v>
          </cell>
        </row>
        <row r="304">
          <cell r="N304" t="e">
            <v>#N/A</v>
          </cell>
        </row>
        <row r="305">
          <cell r="N305" t="e">
            <v>#N/A</v>
          </cell>
        </row>
        <row r="306">
          <cell r="N306" t="e">
            <v>#N/A</v>
          </cell>
        </row>
        <row r="307">
          <cell r="N307" t="e">
            <v>#N/A</v>
          </cell>
        </row>
        <row r="308">
          <cell r="N308" t="e">
            <v>#N/A</v>
          </cell>
        </row>
        <row r="309">
          <cell r="N309" t="e">
            <v>#N/A</v>
          </cell>
        </row>
        <row r="310">
          <cell r="N310" t="e">
            <v>#N/A</v>
          </cell>
        </row>
        <row r="311">
          <cell r="N311" t="e">
            <v>#N/A</v>
          </cell>
        </row>
        <row r="312">
          <cell r="N312" t="e">
            <v>#N/A</v>
          </cell>
        </row>
        <row r="313">
          <cell r="N313" t="e">
            <v>#N/A</v>
          </cell>
        </row>
        <row r="314">
          <cell r="N314" t="e">
            <v>#N/A</v>
          </cell>
        </row>
        <row r="315">
          <cell r="N315" t="e">
            <v>#N/A</v>
          </cell>
        </row>
        <row r="316">
          <cell r="N316" t="e">
            <v>#N/A</v>
          </cell>
        </row>
        <row r="317">
          <cell r="N317" t="e">
            <v>#N/A</v>
          </cell>
        </row>
        <row r="318">
          <cell r="N318" t="e">
            <v>#N/A</v>
          </cell>
        </row>
        <row r="319">
          <cell r="N319" t="e">
            <v>#N/A</v>
          </cell>
        </row>
        <row r="320">
          <cell r="N320" t="e">
            <v>#N/A</v>
          </cell>
        </row>
        <row r="321">
          <cell r="N321" t="e">
            <v>#N/A</v>
          </cell>
        </row>
        <row r="322">
          <cell r="N322" t="e">
            <v>#N/A</v>
          </cell>
        </row>
        <row r="323">
          <cell r="N323" t="e">
            <v>#N/A</v>
          </cell>
        </row>
        <row r="324">
          <cell r="N324" t="e">
            <v>#N/A</v>
          </cell>
        </row>
        <row r="325">
          <cell r="N325" t="e">
            <v>#N/A</v>
          </cell>
        </row>
        <row r="326">
          <cell r="N326" t="e">
            <v>#N/A</v>
          </cell>
        </row>
        <row r="327">
          <cell r="N327" t="e">
            <v>#N/A</v>
          </cell>
        </row>
        <row r="328">
          <cell r="N328" t="e">
            <v>#N/A</v>
          </cell>
        </row>
        <row r="329">
          <cell r="N329" t="e">
            <v>#N/A</v>
          </cell>
        </row>
        <row r="330">
          <cell r="N330" t="e">
            <v>#N/A</v>
          </cell>
        </row>
        <row r="331">
          <cell r="N331" t="e">
            <v>#N/A</v>
          </cell>
        </row>
        <row r="332">
          <cell r="N332" t="e">
            <v>#N/A</v>
          </cell>
        </row>
        <row r="333">
          <cell r="N333" t="e">
            <v>#N/A</v>
          </cell>
        </row>
        <row r="334">
          <cell r="N334" t="e">
            <v>#N/A</v>
          </cell>
        </row>
        <row r="335">
          <cell r="N335" t="e">
            <v>#N/A</v>
          </cell>
        </row>
        <row r="336">
          <cell r="N336" t="e">
            <v>#N/A</v>
          </cell>
        </row>
        <row r="337">
          <cell r="N337" t="e">
            <v>#N/A</v>
          </cell>
        </row>
        <row r="338">
          <cell r="N338" t="e">
            <v>#N/A</v>
          </cell>
        </row>
        <row r="339">
          <cell r="N339" t="e">
            <v>#N/A</v>
          </cell>
        </row>
        <row r="340">
          <cell r="N340" t="e">
            <v>#N/A</v>
          </cell>
        </row>
        <row r="341">
          <cell r="N341" t="e">
            <v>#N/A</v>
          </cell>
        </row>
        <row r="342">
          <cell r="N342" t="e">
            <v>#N/A</v>
          </cell>
        </row>
        <row r="343">
          <cell r="N343" t="e">
            <v>#N/A</v>
          </cell>
        </row>
        <row r="344">
          <cell r="N344" t="e">
            <v>#N/A</v>
          </cell>
        </row>
        <row r="345">
          <cell r="N345" t="e">
            <v>#N/A</v>
          </cell>
        </row>
        <row r="346">
          <cell r="N346" t="e">
            <v>#N/A</v>
          </cell>
        </row>
        <row r="347">
          <cell r="N347" t="e">
            <v>#N/A</v>
          </cell>
        </row>
        <row r="348">
          <cell r="N348" t="e">
            <v>#N/A</v>
          </cell>
        </row>
        <row r="349">
          <cell r="N349" t="e">
            <v>#N/A</v>
          </cell>
        </row>
        <row r="350">
          <cell r="N350" t="e">
            <v>#N/A</v>
          </cell>
        </row>
        <row r="351">
          <cell r="N351" t="e">
            <v>#N/A</v>
          </cell>
        </row>
        <row r="352">
          <cell r="N352" t="e">
            <v>#N/A</v>
          </cell>
        </row>
        <row r="353">
          <cell r="N353" t="e">
            <v>#N/A</v>
          </cell>
        </row>
        <row r="354">
          <cell r="N354" t="e">
            <v>#N/A</v>
          </cell>
        </row>
        <row r="355">
          <cell r="N355" t="e">
            <v>#N/A</v>
          </cell>
        </row>
        <row r="356">
          <cell r="N356" t="e">
            <v>#N/A</v>
          </cell>
        </row>
        <row r="357">
          <cell r="N357" t="e">
            <v>#N/A</v>
          </cell>
        </row>
        <row r="358">
          <cell r="N358" t="e">
            <v>#N/A</v>
          </cell>
        </row>
        <row r="359">
          <cell r="N359" t="e">
            <v>#N/A</v>
          </cell>
        </row>
        <row r="360">
          <cell r="N360" t="e">
            <v>#N/A</v>
          </cell>
        </row>
        <row r="361">
          <cell r="N361" t="e">
            <v>#N/A</v>
          </cell>
        </row>
        <row r="362">
          <cell r="N362" t="e">
            <v>#N/A</v>
          </cell>
        </row>
        <row r="363">
          <cell r="N363" t="e">
            <v>#N/A</v>
          </cell>
        </row>
      </sheetData>
      <sheetData sheetId="67">
        <row r="1">
          <cell r="A1">
            <v>2</v>
          </cell>
          <cell r="D1">
            <v>2</v>
          </cell>
        </row>
        <row r="2">
          <cell r="A2">
            <v>1</v>
          </cell>
          <cell r="D2">
            <v>1</v>
          </cell>
        </row>
        <row r="3">
          <cell r="A3">
            <v>2</v>
          </cell>
        </row>
      </sheetData>
      <sheetData sheetId="68">
        <row r="1">
          <cell r="A1">
            <v>0</v>
          </cell>
        </row>
        <row r="2">
          <cell r="A2">
            <v>1</v>
          </cell>
        </row>
        <row r="3">
          <cell r="A3">
            <v>2</v>
          </cell>
        </row>
        <row r="4">
          <cell r="A4">
            <v>3</v>
          </cell>
        </row>
        <row r="5">
          <cell r="A5">
            <v>4</v>
          </cell>
        </row>
      </sheetData>
      <sheetData sheetId="69">
        <row r="9">
          <cell r="B9">
            <v>0</v>
          </cell>
        </row>
        <row r="10">
          <cell r="B10" t="str">
            <v>--</v>
          </cell>
        </row>
        <row r="12">
          <cell r="B12">
            <v>30.4</v>
          </cell>
        </row>
        <row r="13">
          <cell r="B13">
            <v>5.3820399999999999</v>
          </cell>
        </row>
        <row r="14">
          <cell r="B14">
            <v>2000000</v>
          </cell>
        </row>
        <row r="15">
          <cell r="B15">
            <v>10764080</v>
          </cell>
        </row>
      </sheetData>
      <sheetData sheetId="70">
        <row r="2">
          <cell r="A2">
            <v>0.05</v>
          </cell>
        </row>
        <row r="6">
          <cell r="C6">
            <v>0</v>
          </cell>
          <cell r="D6">
            <v>0</v>
          </cell>
        </row>
        <row r="9">
          <cell r="A9">
            <v>2.8</v>
          </cell>
          <cell r="C9">
            <v>0</v>
          </cell>
          <cell r="D9" t="b">
            <v>0</v>
          </cell>
        </row>
        <row r="11">
          <cell r="C11">
            <v>0</v>
          </cell>
          <cell r="D11" t="b">
            <v>0</v>
          </cell>
          <cell r="E11">
            <v>0</v>
          </cell>
        </row>
        <row r="12">
          <cell r="E12">
            <v>0</v>
          </cell>
        </row>
        <row r="19">
          <cell r="I19" t="e">
            <v>#N/A</v>
          </cell>
          <cell r="J19" t="e">
            <v>#N/A</v>
          </cell>
        </row>
        <row r="22">
          <cell r="C22">
            <v>0</v>
          </cell>
          <cell r="D22">
            <v>0</v>
          </cell>
        </row>
        <row r="25">
          <cell r="A25">
            <v>3.25</v>
          </cell>
          <cell r="B25">
            <v>0</v>
          </cell>
          <cell r="C25">
            <v>201.43</v>
          </cell>
        </row>
        <row r="26">
          <cell r="A26">
            <v>7</v>
          </cell>
          <cell r="B26">
            <v>0.01</v>
          </cell>
          <cell r="C26">
            <v>271.69</v>
          </cell>
        </row>
        <row r="27">
          <cell r="A27">
            <v>11</v>
          </cell>
          <cell r="B27">
            <v>0.02</v>
          </cell>
          <cell r="C27">
            <v>374.74</v>
          </cell>
        </row>
        <row r="30">
          <cell r="C30" t="str">
            <v>Captura Incompleta</v>
          </cell>
        </row>
        <row r="34">
          <cell r="G34" t="e">
            <v>#N/A</v>
          </cell>
        </row>
        <row r="41">
          <cell r="F41">
            <v>299553.87999999989</v>
          </cell>
        </row>
        <row r="62">
          <cell r="C62" t="e">
            <v>#N/A</v>
          </cell>
        </row>
      </sheetData>
      <sheetData sheetId="71">
        <row r="8">
          <cell r="B8" t="e">
            <v>#VALUE!</v>
          </cell>
          <cell r="C8" t="e">
            <v>#VALUE!</v>
          </cell>
        </row>
        <row r="9">
          <cell r="B9" t="e">
            <v>#VALUE!</v>
          </cell>
          <cell r="C9" t="e">
            <v>#VALUE!</v>
          </cell>
        </row>
        <row r="13">
          <cell r="B13" t="str">
            <v>0%</v>
          </cell>
        </row>
        <row r="18">
          <cell r="B18" t="str">
            <v>Avalúo 0% Promoción</v>
          </cell>
        </row>
        <row r="19">
          <cell r="B19" t="str">
            <v>Comisión por Avalúo 0% Promoción</v>
          </cell>
        </row>
        <row r="25">
          <cell r="B25" t="str">
            <v>0% Promoción</v>
          </cell>
        </row>
        <row r="33">
          <cell r="B33" t="str">
            <v>Investigación I.V.A. Incluido</v>
          </cell>
        </row>
        <row r="34">
          <cell r="B34" t="str">
            <v>Comisión por Investigación I.V.A. Incluido</v>
          </cell>
        </row>
        <row r="45">
          <cell r="B45" t="str">
            <v>Comisión por Apertura</v>
          </cell>
        </row>
        <row r="46">
          <cell r="B46" t="str">
            <v>0% Promoción</v>
          </cell>
        </row>
        <row r="48">
          <cell r="B48" t="str">
            <v>Apertura 0% Promoción</v>
          </cell>
        </row>
        <row r="50">
          <cell r="B50" t="str">
            <v>Apertura 0% Promoción</v>
          </cell>
        </row>
        <row r="55">
          <cell r="B55" t="e">
            <v>#VALUE!</v>
          </cell>
        </row>
        <row r="57">
          <cell r="B57" t="str">
            <v>Comisión por Apertura 0% Promoción</v>
          </cell>
        </row>
        <row r="58">
          <cell r="B58" t="e">
            <v>#VALUE!</v>
          </cell>
        </row>
      </sheetData>
      <sheetData sheetId="72"/>
      <sheetData sheetId="7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_Consola"/>
      <sheetName val="CA_Servicios"/>
      <sheetName val="Variantes"/>
      <sheetName val="Datos Generales"/>
      <sheetName val="Datos Tasas"/>
      <sheetName val="Datos Notariales"/>
      <sheetName val="Datos Promociones"/>
      <sheetName val="PASO1"/>
      <sheetName val="PASO2"/>
      <sheetName val="PASO3"/>
      <sheetName val="PASO3a"/>
      <sheetName val="PASO5"/>
      <sheetName val="PASO6"/>
      <sheetName val="PasoSeguros"/>
      <sheetName val="PASO6 APOYO"/>
      <sheetName val="PASO6 COFINAVIT"/>
      <sheetName val="PASO6 FOVISSSTE"/>
      <sheetName val="PASO7 TRAD"/>
      <sheetName val="PasoTasas"/>
      <sheetName val="PasoTasas.Helper"/>
      <sheetName val="Cotización"/>
      <sheetName val="Tabla Cliente"/>
      <sheetName val="Tabla Notaría"/>
      <sheetName val="Oferta Vinculante"/>
      <sheetName val="Promo Activa"/>
      <sheetName val="Aclaraciones"/>
      <sheetName val="Etiquetas"/>
      <sheetName val="Crédito Banorte"/>
      <sheetName val="Tipo_Seguro"/>
      <sheetName val="Pass-Throughs"/>
      <sheetName val="NotasNumeradasOV"/>
      <sheetName val="CAT Flujo Cero"/>
      <sheetName val="CAT Apoyo Infonavit"/>
      <sheetName val="CAT Construcción"/>
      <sheetName val="CAT Pagos Crecientes"/>
      <sheetName val="CAT Tabla Tradicional"/>
      <sheetName val="Comisiones"/>
      <sheetName val="Cofinavit Ingresos Adicionales"/>
      <sheetName val="Destinos"/>
      <sheetName val="DondeCotiza"/>
      <sheetName val="Esquema Especial"/>
      <sheetName val="Fecha Pago"/>
      <sheetName val="COMISIÓN_AVALÚO"/>
      <sheetName val="Gastos Iniciales"/>
      <sheetName val="GASNOT GLUE"/>
      <sheetName val="GASNOT"/>
      <sheetName val="GASNOT.Tarifa"/>
      <sheetName val="IVA"/>
      <sheetName val="Layout"/>
      <sheetName val="Pago Creciente"/>
      <sheetName val="Pagos Anticipados"/>
      <sheetName val="Productos"/>
      <sheetName val="PROPS_MXM"/>
      <sheetName val="TASAS_FUERTE"/>
      <sheetName val="Plazos"/>
      <sheetName val="Rango de Vivienda"/>
      <sheetName val="Salida Cotización"/>
      <sheetName val="Combo_CAT_Remanente"/>
      <sheetName val="Tabla Not Apoyo Infonavit"/>
      <sheetName val="Tabla Not Pagos Crecientes"/>
      <sheetName val="Tabla Not Tradicional"/>
      <sheetName val="Tabla Apoyo Infonavit"/>
      <sheetName val="Tabla Pagos Crecientes"/>
      <sheetName val="Tabla Tradicional"/>
      <sheetName val="Tasa Inicial"/>
      <sheetName val="Tasas"/>
      <sheetName val="Tipo de Crédito"/>
      <sheetName val="Tipo de Simulación"/>
      <sheetName val="UDIS y SM"/>
      <sheetName val="Validaciones"/>
      <sheetName val="Ajustes Subrogación"/>
      <sheetName val="Promos"/>
      <sheetName val="CMS STATE"/>
    </sheetNames>
    <sheetDataSet>
      <sheetData sheetId="0" refreshError="1"/>
      <sheetData sheetId="1" refreshError="1"/>
      <sheetData sheetId="2" refreshError="1">
        <row r="2">
          <cell r="A2" t="str">
            <v>Default</v>
          </cell>
        </row>
        <row r="5">
          <cell r="B5">
            <v>0</v>
          </cell>
          <cell r="C5" t="str">
            <v>Banorte</v>
          </cell>
        </row>
        <row r="7">
          <cell r="A7" t="str">
            <v>Variante</v>
          </cell>
          <cell r="B7" t="str">
            <v>Tipo Promo</v>
          </cell>
          <cell r="C7" t="str">
            <v>Seguro</v>
          </cell>
        </row>
        <row r="8">
          <cell r="A8" t="str">
            <v>Default</v>
          </cell>
          <cell r="B8">
            <v>0</v>
          </cell>
          <cell r="C8" t="str">
            <v>Banorte</v>
          </cell>
        </row>
        <row r="9">
          <cell r="A9" t="str">
            <v>Default Transparencia</v>
          </cell>
          <cell r="B9">
            <v>0</v>
          </cell>
          <cell r="C9" t="str">
            <v>Transparencia</v>
          </cell>
        </row>
        <row r="10">
          <cell r="A10" t="str">
            <v>Promoción General</v>
          </cell>
          <cell r="B10" t="str">
            <v>General</v>
          </cell>
          <cell r="C10">
            <v>0</v>
          </cell>
        </row>
        <row r="11">
          <cell r="A11" t="str">
            <v>Promoción General Transparencia</v>
          </cell>
          <cell r="B11" t="str">
            <v>General</v>
          </cell>
          <cell r="C11" t="str">
            <v>Transparencia</v>
          </cell>
        </row>
        <row r="12">
          <cell r="A12" t="str">
            <v>Preaprobados</v>
          </cell>
          <cell r="B12" t="str">
            <v>Preaprobados</v>
          </cell>
          <cell r="C12">
            <v>0</v>
          </cell>
        </row>
        <row r="13">
          <cell r="A13" t="str">
            <v>Preaprobados Transparencia</v>
          </cell>
          <cell r="B13" t="str">
            <v>Preaprobados</v>
          </cell>
          <cell r="C13" t="str">
            <v>Transparencia</v>
          </cell>
        </row>
        <row r="14">
          <cell r="A14" t="str">
            <v>Con Subrogación</v>
          </cell>
        </row>
      </sheetData>
      <sheetData sheetId="3" refreshError="1">
        <row r="2">
          <cell r="B2" t="str">
            <v>Aguascalientes</v>
          </cell>
        </row>
        <row r="3">
          <cell r="B3" t="str">
            <v>Baja California Norte</v>
          </cell>
        </row>
        <row r="4">
          <cell r="B4" t="str">
            <v>Baja California Sur</v>
          </cell>
        </row>
        <row r="5">
          <cell r="B5" t="str">
            <v>Campeche</v>
          </cell>
        </row>
        <row r="6">
          <cell r="B6" t="str">
            <v>Coahuila</v>
          </cell>
        </row>
        <row r="7">
          <cell r="B7" t="str">
            <v>Colima</v>
          </cell>
        </row>
        <row r="8">
          <cell r="B8" t="str">
            <v>Chiapas</v>
          </cell>
        </row>
        <row r="9">
          <cell r="B9" t="str">
            <v>Chihuahua</v>
          </cell>
        </row>
        <row r="10">
          <cell r="B10" t="str">
            <v>Ciudad de México</v>
          </cell>
        </row>
        <row r="11">
          <cell r="B11" t="str">
            <v>Durango</v>
          </cell>
        </row>
        <row r="12">
          <cell r="B12" t="str">
            <v>Estado de México</v>
          </cell>
        </row>
        <row r="13">
          <cell r="B13" t="str">
            <v>Guanajuato</v>
          </cell>
        </row>
        <row r="14">
          <cell r="B14" t="str">
            <v>Guerrero</v>
          </cell>
        </row>
        <row r="15">
          <cell r="B15" t="str">
            <v>Hidalgo</v>
          </cell>
        </row>
        <row r="16">
          <cell r="B16" t="str">
            <v>Jalisco</v>
          </cell>
        </row>
        <row r="17">
          <cell r="B17" t="str">
            <v>Michoacán</v>
          </cell>
        </row>
        <row r="18">
          <cell r="B18" t="str">
            <v>Morelos</v>
          </cell>
        </row>
        <row r="19">
          <cell r="B19" t="str">
            <v>Nayarit</v>
          </cell>
        </row>
        <row r="20">
          <cell r="B20" t="str">
            <v>Nuevo León</v>
          </cell>
        </row>
        <row r="21">
          <cell r="B21" t="str">
            <v>Oaxaca</v>
          </cell>
        </row>
        <row r="22">
          <cell r="B22" t="str">
            <v>Puebla</v>
          </cell>
        </row>
        <row r="23">
          <cell r="B23" t="str">
            <v>Querétaro</v>
          </cell>
        </row>
        <row r="24">
          <cell r="B24" t="str">
            <v>Quintana Roo</v>
          </cell>
        </row>
        <row r="25">
          <cell r="B25" t="str">
            <v>San Luis Potosí</v>
          </cell>
        </row>
        <row r="26">
          <cell r="B26" t="str">
            <v>Sinaloa</v>
          </cell>
        </row>
        <row r="27">
          <cell r="B27" t="str">
            <v>Sonora</v>
          </cell>
        </row>
        <row r="28">
          <cell r="B28" t="str">
            <v>Tabasco</v>
          </cell>
        </row>
        <row r="29">
          <cell r="B29" t="str">
            <v>Tamaulipas</v>
          </cell>
        </row>
        <row r="30">
          <cell r="B30" t="str">
            <v>Tlaxcala</v>
          </cell>
        </row>
        <row r="31">
          <cell r="B31" t="str">
            <v>Veracruz</v>
          </cell>
        </row>
        <row r="32">
          <cell r="B32" t="str">
            <v>Yucatán</v>
          </cell>
        </row>
        <row r="33">
          <cell r="B33" t="str">
            <v>Zacatecas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4">
          <cell r="N4" t="str">
            <v>Banorte</v>
          </cell>
        </row>
        <row r="9">
          <cell r="G9">
            <v>2</v>
          </cell>
        </row>
        <row r="11">
          <cell r="G11">
            <v>1</v>
          </cell>
        </row>
        <row r="13">
          <cell r="G13">
            <v>1</v>
          </cell>
        </row>
        <row r="15">
          <cell r="G15">
            <v>2</v>
          </cell>
        </row>
        <row r="17">
          <cell r="G17">
            <v>1</v>
          </cell>
        </row>
        <row r="19">
          <cell r="G19">
            <v>2</v>
          </cell>
        </row>
      </sheetData>
      <sheetData sheetId="14" refreshError="1">
        <row r="5">
          <cell r="M5">
            <v>0.95</v>
          </cell>
        </row>
        <row r="9">
          <cell r="F9">
            <v>7963.2799999999988</v>
          </cell>
        </row>
        <row r="10">
          <cell r="F10">
            <v>1000000</v>
          </cell>
        </row>
        <row r="11">
          <cell r="F11">
            <v>950000</v>
          </cell>
        </row>
      </sheetData>
      <sheetData sheetId="15" refreshError="1">
        <row r="9">
          <cell r="F9">
            <v>7000001</v>
          </cell>
        </row>
        <row r="22">
          <cell r="E22">
            <v>250000</v>
          </cell>
          <cell r="G22">
            <v>0</v>
          </cell>
        </row>
        <row r="23">
          <cell r="E23">
            <v>250000</v>
          </cell>
          <cell r="G23">
            <v>0</v>
          </cell>
        </row>
        <row r="24">
          <cell r="E24">
            <v>250000</v>
          </cell>
          <cell r="G24">
            <v>0</v>
          </cell>
        </row>
        <row r="25">
          <cell r="E25">
            <v>1</v>
          </cell>
          <cell r="G25">
            <v>0</v>
          </cell>
        </row>
        <row r="26">
          <cell r="E26">
            <v>0</v>
          </cell>
          <cell r="G26">
            <v>1</v>
          </cell>
        </row>
        <row r="27">
          <cell r="E27">
            <v>406.77</v>
          </cell>
        </row>
      </sheetData>
      <sheetData sheetId="16" refreshError="1">
        <row r="9">
          <cell r="F9">
            <v>350000</v>
          </cell>
        </row>
        <row r="22">
          <cell r="E22">
            <v>7963.2799999999988</v>
          </cell>
          <cell r="G22">
            <v>0</v>
          </cell>
        </row>
        <row r="23">
          <cell r="E23">
            <v>0</v>
          </cell>
          <cell r="G23">
            <v>0</v>
          </cell>
        </row>
        <row r="24">
          <cell r="E24">
            <v>0</v>
          </cell>
          <cell r="G24">
            <v>0</v>
          </cell>
        </row>
        <row r="25">
          <cell r="E25">
            <v>0</v>
          </cell>
          <cell r="G25">
            <v>0</v>
          </cell>
        </row>
      </sheetData>
      <sheetData sheetId="17" refreshError="1">
        <row r="6">
          <cell r="O6">
            <v>0.95</v>
          </cell>
        </row>
        <row r="9">
          <cell r="F9">
            <v>350000</v>
          </cell>
          <cell r="N9">
            <v>350000</v>
          </cell>
          <cell r="O9">
            <v>1000000000000</v>
          </cell>
        </row>
        <row r="10">
          <cell r="F10">
            <v>332500</v>
          </cell>
          <cell r="N10">
            <v>75000</v>
          </cell>
          <cell r="O10">
            <v>332500</v>
          </cell>
        </row>
        <row r="11">
          <cell r="F11">
            <v>0</v>
          </cell>
        </row>
        <row r="12">
          <cell r="F12">
            <v>0</v>
          </cell>
        </row>
        <row r="35">
          <cell r="O35">
            <v>332500</v>
          </cell>
        </row>
        <row r="36">
          <cell r="O36">
            <v>350000</v>
          </cell>
        </row>
        <row r="37">
          <cell r="C37">
            <v>420454.79662020208</v>
          </cell>
          <cell r="D37">
            <v>75000.000000000044</v>
          </cell>
        </row>
        <row r="38">
          <cell r="C38">
            <v>442583.99644231802</v>
          </cell>
          <cell r="D38">
            <v>78947.368421052684</v>
          </cell>
        </row>
        <row r="39">
          <cell r="C39">
            <v>0</v>
          </cell>
          <cell r="D39">
            <v>0</v>
          </cell>
        </row>
        <row r="40">
          <cell r="C40">
            <v>0</v>
          </cell>
          <cell r="D40">
            <v>0</v>
          </cell>
        </row>
        <row r="41">
          <cell r="C41">
            <v>0</v>
          </cell>
          <cell r="D41">
            <v>0</v>
          </cell>
        </row>
        <row r="42">
          <cell r="C42">
            <v>0</v>
          </cell>
          <cell r="D42">
            <v>0</v>
          </cell>
        </row>
      </sheetData>
      <sheetData sheetId="18" refreshError="1"/>
      <sheetData sheetId="19" refreshError="1">
        <row r="5">
          <cell r="J5">
            <v>3</v>
          </cell>
          <cell r="K5">
            <v>0.1125</v>
          </cell>
        </row>
      </sheetData>
      <sheetData sheetId="20" refreshError="1">
        <row r="12">
          <cell r="D12" t="str">
            <v>Adquisición de Casa Habitación
(Hipoteca Fuerte)</v>
          </cell>
        </row>
        <row r="88">
          <cell r="G88" t="str">
            <v/>
          </cell>
        </row>
        <row r="102">
          <cell r="G102">
            <v>0</v>
          </cell>
        </row>
        <row r="122">
          <cell r="G122">
            <v>372900.05220000003</v>
          </cell>
        </row>
        <row r="152">
          <cell r="B152" t="str">
            <v>Tasa de Interés Anual (Fija) *:</v>
          </cell>
          <cell r="C152">
            <v>0</v>
          </cell>
          <cell r="D152">
            <v>0.1125</v>
          </cell>
          <cell r="E152">
            <v>0</v>
          </cell>
          <cell r="F152" t="str">
            <v>--removed 2017-065</v>
          </cell>
          <cell r="G152">
            <v>0</v>
          </cell>
          <cell r="H152" t="str">
            <v>--removed 2017-065</v>
          </cell>
          <cell r="I152">
            <v>0</v>
          </cell>
          <cell r="J152" t="str">
            <v>--removed 2017-065</v>
          </cell>
          <cell r="K152">
            <v>0</v>
          </cell>
          <cell r="L152">
            <v>0</v>
          </cell>
        </row>
        <row r="156">
          <cell r="B156" t="str">
            <v>Pago por Mil ***:</v>
          </cell>
          <cell r="C156">
            <v>0</v>
          </cell>
          <cell r="D156">
            <v>10.595476049572524</v>
          </cell>
          <cell r="E156">
            <v>0</v>
          </cell>
          <cell r="F156" t="str">
            <v>--removed 2017-065</v>
          </cell>
          <cell r="G156">
            <v>0</v>
          </cell>
          <cell r="H156" t="str">
            <v>--removed 2017-065</v>
          </cell>
          <cell r="I156">
            <v>0</v>
          </cell>
          <cell r="J156" t="str">
            <v>--removed 2017-065</v>
          </cell>
          <cell r="K156">
            <v>0</v>
          </cell>
          <cell r="L156">
            <v>0</v>
          </cell>
          <cell r="P156">
            <v>9.2466666666666661</v>
          </cell>
        </row>
        <row r="170">
          <cell r="B170" t="str">
            <v>Total Pago Mensual ****:</v>
          </cell>
          <cell r="C170">
            <v>0</v>
          </cell>
          <cell r="D170">
            <v>77084.996127757448</v>
          </cell>
          <cell r="E170">
            <v>0</v>
          </cell>
          <cell r="F170" t="str">
            <v>--removed 2017-065</v>
          </cell>
          <cell r="G170">
            <v>0</v>
          </cell>
          <cell r="H170" t="str">
            <v>--removed 2017-065</v>
          </cell>
          <cell r="I170">
            <v>0</v>
          </cell>
          <cell r="J170" t="str">
            <v>--removed 2017-065</v>
          </cell>
          <cell r="K170">
            <v>0</v>
          </cell>
        </row>
      </sheetData>
      <sheetData sheetId="21" refreshError="1">
        <row r="25">
          <cell r="Y25">
            <v>0.1332226852215681</v>
          </cell>
        </row>
        <row r="37">
          <cell r="P37">
            <v>57925.055800000002</v>
          </cell>
        </row>
        <row r="38">
          <cell r="P38">
            <v>77084.996100000004</v>
          </cell>
        </row>
        <row r="39">
          <cell r="P39">
            <v>77084.996199999994</v>
          </cell>
        </row>
        <row r="40">
          <cell r="P40">
            <v>77084.996100000004</v>
          </cell>
        </row>
        <row r="41">
          <cell r="P41">
            <v>77084.996100000004</v>
          </cell>
        </row>
        <row r="42">
          <cell r="P42">
            <v>77084.996100000004</v>
          </cell>
        </row>
        <row r="43">
          <cell r="P43">
            <v>77084.996100000004</v>
          </cell>
        </row>
        <row r="44">
          <cell r="P44">
            <v>77084.996100000004</v>
          </cell>
        </row>
        <row r="45">
          <cell r="P45">
            <v>77084.996100000004</v>
          </cell>
        </row>
        <row r="46">
          <cell r="P46">
            <v>77084.996100000004</v>
          </cell>
        </row>
        <row r="47">
          <cell r="P47">
            <v>77084.996100000004</v>
          </cell>
        </row>
        <row r="48">
          <cell r="P48">
            <v>77084.996100000004</v>
          </cell>
        </row>
        <row r="49">
          <cell r="P49">
            <v>76002.4277</v>
          </cell>
        </row>
        <row r="50">
          <cell r="P50">
            <v>76003.774699999994</v>
          </cell>
        </row>
        <row r="51">
          <cell r="P51">
            <v>76005.134600000005</v>
          </cell>
        </row>
        <row r="52">
          <cell r="P52">
            <v>76006.507400000002</v>
          </cell>
        </row>
        <row r="53">
          <cell r="P53">
            <v>76007.893299999996</v>
          </cell>
        </row>
        <row r="54">
          <cell r="P54">
            <v>76009.292300000001</v>
          </cell>
        </row>
        <row r="55">
          <cell r="P55">
            <v>76010.704599999997</v>
          </cell>
        </row>
        <row r="56">
          <cell r="P56">
            <v>76012.130300000004</v>
          </cell>
        </row>
        <row r="57">
          <cell r="P57">
            <v>76013.569499999998</v>
          </cell>
        </row>
        <row r="58">
          <cell r="P58">
            <v>76015.022500000006</v>
          </cell>
        </row>
        <row r="59">
          <cell r="P59">
            <v>76016.489100000006</v>
          </cell>
        </row>
        <row r="60">
          <cell r="P60">
            <v>76017.969800000006</v>
          </cell>
        </row>
        <row r="61">
          <cell r="P61">
            <v>74953.933000000005</v>
          </cell>
        </row>
        <row r="62">
          <cell r="P62">
            <v>74956.950899999996</v>
          </cell>
        </row>
        <row r="63">
          <cell r="P63">
            <v>74959.997499999998</v>
          </cell>
        </row>
        <row r="64">
          <cell r="P64">
            <v>74963.072899999999</v>
          </cell>
        </row>
        <row r="65">
          <cell r="P65">
            <v>74966.177599999995</v>
          </cell>
        </row>
        <row r="66">
          <cell r="P66">
            <v>74969.311700000006</v>
          </cell>
        </row>
        <row r="67">
          <cell r="P67">
            <v>74972.475699999995</v>
          </cell>
        </row>
        <row r="68">
          <cell r="P68">
            <v>74975.669699999999</v>
          </cell>
        </row>
        <row r="69">
          <cell r="P69">
            <v>74978.894100000005</v>
          </cell>
        </row>
        <row r="70">
          <cell r="P70">
            <v>74982.149000000005</v>
          </cell>
        </row>
        <row r="71">
          <cell r="P71">
            <v>74985.434899999993</v>
          </cell>
        </row>
        <row r="72">
          <cell r="P72">
            <v>74988.752099999998</v>
          </cell>
        </row>
        <row r="73">
          <cell r="P73">
            <v>73945.653000000006</v>
          </cell>
        </row>
        <row r="74">
          <cell r="P74">
            <v>73950.723700000002</v>
          </cell>
        </row>
        <row r="75">
          <cell r="P75">
            <v>73955.842600000004</v>
          </cell>
        </row>
        <row r="76">
          <cell r="P76">
            <v>73961.0101</v>
          </cell>
        </row>
        <row r="77">
          <cell r="P77">
            <v>73966.226699999999</v>
          </cell>
        </row>
        <row r="78">
          <cell r="P78">
            <v>73971.492700000003</v>
          </cell>
        </row>
        <row r="79">
          <cell r="P79">
            <v>73976.808900000004</v>
          </cell>
        </row>
        <row r="80">
          <cell r="P80">
            <v>73982.175600000002</v>
          </cell>
        </row>
        <row r="81">
          <cell r="P81">
            <v>73987.593299999993</v>
          </cell>
        </row>
        <row r="82">
          <cell r="P82">
            <v>73993.062300000005</v>
          </cell>
        </row>
        <row r="83">
          <cell r="P83">
            <v>73998.583499999993</v>
          </cell>
        </row>
        <row r="84">
          <cell r="P84">
            <v>74004.157000000007</v>
          </cell>
        </row>
        <row r="85">
          <cell r="P85">
            <v>72984.712499999994</v>
          </cell>
        </row>
        <row r="86">
          <cell r="P86">
            <v>72992.285699999993</v>
          </cell>
        </row>
        <row r="87">
          <cell r="P87">
            <v>72999.930900000007</v>
          </cell>
        </row>
        <row r="88">
          <cell r="P88">
            <v>73007.648700000005</v>
          </cell>
        </row>
        <row r="89">
          <cell r="P89">
            <v>73015.439799999993</v>
          </cell>
        </row>
        <row r="90">
          <cell r="P90">
            <v>73023.304999999993</v>
          </cell>
        </row>
        <row r="91">
          <cell r="P91">
            <v>73031.244900000005</v>
          </cell>
        </row>
        <row r="92">
          <cell r="P92">
            <v>73039.2601</v>
          </cell>
        </row>
        <row r="93">
          <cell r="P93">
            <v>73047.351500000004</v>
          </cell>
        </row>
        <row r="94">
          <cell r="P94">
            <v>73055.519899999999</v>
          </cell>
        </row>
        <row r="95">
          <cell r="P95">
            <v>73063.765799999994</v>
          </cell>
        </row>
        <row r="96">
          <cell r="P96">
            <v>73072.09</v>
          </cell>
        </row>
        <row r="97">
          <cell r="P97">
            <v>72079.367499999993</v>
          </cell>
        </row>
        <row r="98">
          <cell r="P98">
            <v>72089.9715</v>
          </cell>
        </row>
        <row r="99">
          <cell r="P99">
            <v>72100.676099999997</v>
          </cell>
        </row>
        <row r="100">
          <cell r="P100">
            <v>72111.482600000003</v>
          </cell>
        </row>
        <row r="101">
          <cell r="P101">
            <v>72122.391600000003</v>
          </cell>
        </row>
        <row r="102">
          <cell r="P102">
            <v>72133.404200000004</v>
          </cell>
        </row>
        <row r="103">
          <cell r="P103">
            <v>72144.521500000003</v>
          </cell>
        </row>
        <row r="104">
          <cell r="P104">
            <v>72155.744399999996</v>
          </cell>
        </row>
        <row r="105">
          <cell r="P105">
            <v>72167.073900000003</v>
          </cell>
        </row>
        <row r="106">
          <cell r="P106">
            <v>72178.510999999999</v>
          </cell>
        </row>
        <row r="107">
          <cell r="P107">
            <v>72190.056800000006</v>
          </cell>
        </row>
        <row r="108">
          <cell r="P108">
            <v>72201.712199999994</v>
          </cell>
        </row>
        <row r="109">
          <cell r="P109">
            <v>71239.174899999998</v>
          </cell>
        </row>
        <row r="110">
          <cell r="P110">
            <v>71253.428499999995</v>
          </cell>
        </row>
        <row r="111">
          <cell r="P111">
            <v>71267.817500000005</v>
          </cell>
        </row>
        <row r="112">
          <cell r="P112">
            <v>71282.343200000003</v>
          </cell>
        </row>
        <row r="113">
          <cell r="P113">
            <v>71297.006800000003</v>
          </cell>
        </row>
        <row r="114">
          <cell r="P114">
            <v>71311.809899999993</v>
          </cell>
        </row>
        <row r="115">
          <cell r="P115">
            <v>71326.753400000001</v>
          </cell>
        </row>
        <row r="116">
          <cell r="P116">
            <v>71341.839099999997</v>
          </cell>
        </row>
        <row r="117">
          <cell r="P117">
            <v>71357.067899999995</v>
          </cell>
        </row>
        <row r="118">
          <cell r="P118">
            <v>71372.441500000001</v>
          </cell>
        </row>
        <row r="119">
          <cell r="P119">
            <v>71387.9611</v>
          </cell>
        </row>
        <row r="120">
          <cell r="P120">
            <v>71403.628200000006</v>
          </cell>
        </row>
        <row r="121">
          <cell r="P121">
            <v>70475.185400000002</v>
          </cell>
        </row>
        <row r="122">
          <cell r="P122">
            <v>70493.8125</v>
          </cell>
        </row>
        <row r="123">
          <cell r="P123">
            <v>70512.616599999994</v>
          </cell>
        </row>
        <row r="124">
          <cell r="P124">
            <v>70531.599400000006</v>
          </cell>
        </row>
        <row r="125">
          <cell r="P125">
            <v>70550.762499999997</v>
          </cell>
        </row>
        <row r="126">
          <cell r="P126">
            <v>70570.107600000003</v>
          </cell>
        </row>
        <row r="127">
          <cell r="P127">
            <v>70589.636599999998</v>
          </cell>
        </row>
        <row r="128">
          <cell r="P128">
            <v>70609.350999999995</v>
          </cell>
        </row>
        <row r="129">
          <cell r="P129">
            <v>70629.252699999997</v>
          </cell>
        </row>
        <row r="130">
          <cell r="P130">
            <v>70649.343500000003</v>
          </cell>
        </row>
        <row r="131">
          <cell r="P131">
            <v>70669.625100000005</v>
          </cell>
        </row>
        <row r="132">
          <cell r="P132">
            <v>70690.099600000001</v>
          </cell>
        </row>
        <row r="133">
          <cell r="P133">
            <v>70710.768400000001</v>
          </cell>
        </row>
        <row r="134">
          <cell r="P134">
            <v>70731.633499999996</v>
          </cell>
        </row>
        <row r="135">
          <cell r="P135">
            <v>70752.697</v>
          </cell>
        </row>
        <row r="136">
          <cell r="P136">
            <v>70773.960399999996</v>
          </cell>
        </row>
        <row r="137">
          <cell r="P137">
            <v>70795.426000000007</v>
          </cell>
        </row>
        <row r="138">
          <cell r="P138">
            <v>70817.095400000006</v>
          </cell>
        </row>
        <row r="139">
          <cell r="P139">
            <v>70838.970799999996</v>
          </cell>
        </row>
        <row r="140">
          <cell r="P140">
            <v>70861.053799999994</v>
          </cell>
        </row>
        <row r="141">
          <cell r="P141">
            <v>70883.346799999999</v>
          </cell>
        </row>
        <row r="142">
          <cell r="P142">
            <v>70905.8514</v>
          </cell>
        </row>
        <row r="143">
          <cell r="P143">
            <v>70928.570000000007</v>
          </cell>
        </row>
        <row r="144">
          <cell r="P144">
            <v>70951.504199999996</v>
          </cell>
        </row>
        <row r="145">
          <cell r="P145">
            <v>70974.656400000007</v>
          </cell>
        </row>
        <row r="146">
          <cell r="P146">
            <v>70998.028600000005</v>
          </cell>
        </row>
        <row r="147">
          <cell r="P147">
            <v>71021.622799999997</v>
          </cell>
        </row>
        <row r="148">
          <cell r="P148">
            <v>71045.441000000006</v>
          </cell>
        </row>
        <row r="149">
          <cell r="P149">
            <v>71069.485700000005</v>
          </cell>
        </row>
        <row r="150">
          <cell r="P150">
            <v>71093.758600000001</v>
          </cell>
        </row>
        <row r="151">
          <cell r="P151">
            <v>71118.262300000002</v>
          </cell>
        </row>
        <row r="152">
          <cell r="P152">
            <v>71142.998600000006</v>
          </cell>
        </row>
        <row r="153">
          <cell r="P153">
            <v>71167.97</v>
          </cell>
        </row>
        <row r="154">
          <cell r="P154">
            <v>71193.178599999999</v>
          </cell>
        </row>
        <row r="155">
          <cell r="P155">
            <v>71218.626799999998</v>
          </cell>
        </row>
        <row r="156">
          <cell r="P156">
            <v>71244.316600000006</v>
          </cell>
        </row>
        <row r="157">
          <cell r="P157">
            <v>71270.250499999995</v>
          </cell>
        </row>
        <row r="158">
          <cell r="P158">
            <v>71296.430800000002</v>
          </cell>
        </row>
        <row r="159">
          <cell r="P159">
            <v>71322.859700000001</v>
          </cell>
        </row>
        <row r="160">
          <cell r="P160">
            <v>71349.539799999999</v>
          </cell>
        </row>
        <row r="161">
          <cell r="P161">
            <v>71376.473299999998</v>
          </cell>
        </row>
        <row r="162">
          <cell r="P162">
            <v>71403.662700000001</v>
          </cell>
        </row>
        <row r="163">
          <cell r="P163">
            <v>71431.110400000005</v>
          </cell>
        </row>
        <row r="164">
          <cell r="P164">
            <v>71458.818899999998</v>
          </cell>
        </row>
        <row r="165">
          <cell r="P165">
            <v>71486.790599999993</v>
          </cell>
        </row>
        <row r="166">
          <cell r="P166">
            <v>71515.028000000006</v>
          </cell>
        </row>
        <row r="167">
          <cell r="P167">
            <v>71543.533599999995</v>
          </cell>
        </row>
        <row r="168">
          <cell r="P168">
            <v>71572.310100000002</v>
          </cell>
        </row>
        <row r="169">
          <cell r="P169">
            <v>71601.359899999996</v>
          </cell>
        </row>
        <row r="170">
          <cell r="P170">
            <v>71630.685700000002</v>
          </cell>
        </row>
        <row r="171">
          <cell r="P171">
            <v>71660.290200000003</v>
          </cell>
        </row>
        <row r="172">
          <cell r="P172">
            <v>71690.175799999997</v>
          </cell>
        </row>
        <row r="173">
          <cell r="P173">
            <v>71720.345400000006</v>
          </cell>
        </row>
        <row r="174">
          <cell r="P174">
            <v>71750.801500000001</v>
          </cell>
        </row>
        <row r="175">
          <cell r="P175">
            <v>71781.547099999996</v>
          </cell>
        </row>
        <row r="176">
          <cell r="P176">
            <v>71812.584700000007</v>
          </cell>
        </row>
        <row r="177">
          <cell r="P177">
            <v>71843.917100000006</v>
          </cell>
        </row>
        <row r="178">
          <cell r="P178">
            <v>71875.547200000001</v>
          </cell>
        </row>
        <row r="179">
          <cell r="P179">
            <v>71907.477799999993</v>
          </cell>
        </row>
        <row r="180">
          <cell r="P180">
            <v>71939.711800000005</v>
          </cell>
        </row>
        <row r="181">
          <cell r="P181">
            <v>71972.251900000003</v>
          </cell>
        </row>
        <row r="182">
          <cell r="P182">
            <v>72005.101200000005</v>
          </cell>
        </row>
        <row r="183">
          <cell r="P183">
            <v>72038.262600000002</v>
          </cell>
        </row>
        <row r="184">
          <cell r="P184">
            <v>72071.738899999997</v>
          </cell>
        </row>
        <row r="185">
          <cell r="P185">
            <v>72105.5334</v>
          </cell>
        </row>
        <row r="186">
          <cell r="P186">
            <v>72139.648799999995</v>
          </cell>
        </row>
        <row r="187">
          <cell r="P187">
            <v>72174.088399999993</v>
          </cell>
        </row>
        <row r="188">
          <cell r="P188">
            <v>72208.855100000001</v>
          </cell>
        </row>
        <row r="189">
          <cell r="P189">
            <v>72243.952099999995</v>
          </cell>
        </row>
        <row r="190">
          <cell r="P190">
            <v>72279.382599999997</v>
          </cell>
        </row>
        <row r="191">
          <cell r="P191">
            <v>72315.149600000004</v>
          </cell>
        </row>
        <row r="192">
          <cell r="P192">
            <v>72351.256500000003</v>
          </cell>
        </row>
        <row r="193">
          <cell r="P193">
            <v>72387.706300000005</v>
          </cell>
        </row>
        <row r="194">
          <cell r="P194">
            <v>72424.502399999998</v>
          </cell>
        </row>
        <row r="195">
          <cell r="P195">
            <v>72461.648100000006</v>
          </cell>
        </row>
        <row r="196">
          <cell r="P196">
            <v>72499.146599999993</v>
          </cell>
        </row>
        <row r="197">
          <cell r="P197">
            <v>72537.001399999994</v>
          </cell>
        </row>
        <row r="198">
          <cell r="P198">
            <v>72575.215800000005</v>
          </cell>
        </row>
        <row r="199">
          <cell r="P199">
            <v>72613.7932</v>
          </cell>
        </row>
        <row r="200">
          <cell r="P200">
            <v>72652.737099999998</v>
          </cell>
        </row>
        <row r="201">
          <cell r="P201">
            <v>72692.051099999997</v>
          </cell>
        </row>
        <row r="202">
          <cell r="P202">
            <v>72731.738500000007</v>
          </cell>
        </row>
        <row r="203">
          <cell r="P203">
            <v>72771.802800000005</v>
          </cell>
        </row>
        <row r="204">
          <cell r="P204">
            <v>72812.247900000002</v>
          </cell>
        </row>
        <row r="205">
          <cell r="P205">
            <v>72853.0772</v>
          </cell>
        </row>
        <row r="206">
          <cell r="P206">
            <v>72894.294200000004</v>
          </cell>
        </row>
        <row r="207">
          <cell r="P207">
            <v>72935.902900000001</v>
          </cell>
        </row>
        <row r="208">
          <cell r="P208">
            <v>72977.906900000002</v>
          </cell>
        </row>
        <row r="209">
          <cell r="P209">
            <v>73020.309899999993</v>
          </cell>
        </row>
        <row r="210">
          <cell r="P210">
            <v>73063.115699999995</v>
          </cell>
        </row>
        <row r="211">
          <cell r="P211">
            <v>73106.328299999994</v>
          </cell>
        </row>
        <row r="212">
          <cell r="P212">
            <v>73149.951300000001</v>
          </cell>
        </row>
        <row r="213">
          <cell r="P213">
            <v>73193.988700000002</v>
          </cell>
        </row>
        <row r="214">
          <cell r="P214">
            <v>73238.444600000003</v>
          </cell>
        </row>
        <row r="215">
          <cell r="P215">
            <v>73283.3226</v>
          </cell>
        </row>
        <row r="216">
          <cell r="P216">
            <v>73328.627099999998</v>
          </cell>
        </row>
        <row r="217">
          <cell r="P217">
            <v>73374.361900000004</v>
          </cell>
        </row>
        <row r="218">
          <cell r="P218">
            <v>73420.531300000002</v>
          </cell>
        </row>
        <row r="219">
          <cell r="P219">
            <v>73467.139200000005</v>
          </cell>
        </row>
        <row r="220">
          <cell r="P220">
            <v>73514.19</v>
          </cell>
        </row>
        <row r="221">
          <cell r="P221">
            <v>73561.687600000005</v>
          </cell>
        </row>
        <row r="222">
          <cell r="P222">
            <v>73609.636599999998</v>
          </cell>
        </row>
        <row r="223">
          <cell r="P223">
            <v>73658.040999999997</v>
          </cell>
        </row>
        <row r="224">
          <cell r="P224">
            <v>73706.905400000003</v>
          </cell>
        </row>
        <row r="225">
          <cell r="P225">
            <v>73756.233900000007</v>
          </cell>
        </row>
        <row r="226">
          <cell r="P226">
            <v>73806.031000000003</v>
          </cell>
        </row>
        <row r="227">
          <cell r="P227">
            <v>73856.301200000002</v>
          </cell>
        </row>
        <row r="228">
          <cell r="P228">
            <v>73907.048800000004</v>
          </cell>
        </row>
        <row r="229">
          <cell r="P229">
            <v>73958.2788</v>
          </cell>
        </row>
        <row r="230">
          <cell r="P230">
            <v>74009.995299999995</v>
          </cell>
        </row>
        <row r="231">
          <cell r="P231">
            <v>74062.203099999999</v>
          </cell>
        </row>
        <row r="232">
          <cell r="P232">
            <v>74114.907000000007</v>
          </cell>
        </row>
        <row r="233">
          <cell r="P233">
            <v>74168.111499999999</v>
          </cell>
        </row>
        <row r="234">
          <cell r="P234">
            <v>74221.821400000001</v>
          </cell>
        </row>
        <row r="235">
          <cell r="P235">
            <v>74276.041599999997</v>
          </cell>
        </row>
        <row r="236">
          <cell r="P236">
            <v>74330.776899999997</v>
          </cell>
        </row>
        <row r="237">
          <cell r="P237">
            <v>74386.032200000001</v>
          </cell>
        </row>
        <row r="238">
          <cell r="P238">
            <v>74441.812399999995</v>
          </cell>
        </row>
        <row r="239">
          <cell r="P239">
            <v>74498.122499999998</v>
          </cell>
        </row>
        <row r="240">
          <cell r="P240">
            <v>74554.967600000004</v>
          </cell>
        </row>
        <row r="241">
          <cell r="P241">
            <v>74612.352599999998</v>
          </cell>
        </row>
        <row r="242">
          <cell r="P242">
            <v>74670.282900000006</v>
          </cell>
        </row>
        <row r="243">
          <cell r="P243">
            <v>74728.763500000001</v>
          </cell>
        </row>
        <row r="244">
          <cell r="P244">
            <v>74787.799599999998</v>
          </cell>
        </row>
        <row r="245">
          <cell r="P245">
            <v>74847.396599999993</v>
          </cell>
        </row>
        <row r="246">
          <cell r="P246">
            <v>74907.559800000003</v>
          </cell>
        </row>
        <row r="247">
          <cell r="P247">
            <v>74968.294599999994</v>
          </cell>
        </row>
        <row r="248">
          <cell r="P248">
            <v>75029.606199999995</v>
          </cell>
        </row>
        <row r="249">
          <cell r="P249">
            <v>75091.500400000004</v>
          </cell>
        </row>
        <row r="250">
          <cell r="P250">
            <v>75153.982499999998</v>
          </cell>
        </row>
        <row r="251">
          <cell r="P251">
            <v>75217.058199999999</v>
          </cell>
        </row>
        <row r="252">
          <cell r="P252">
            <v>75280.733200000002</v>
          </cell>
        </row>
        <row r="253">
          <cell r="P253">
            <v>75345.013000000006</v>
          </cell>
        </row>
        <row r="254">
          <cell r="P254">
            <v>75409.903600000005</v>
          </cell>
        </row>
        <row r="255">
          <cell r="P255">
            <v>75475.410600000003</v>
          </cell>
        </row>
        <row r="256">
          <cell r="P256">
            <v>75541.539799999999</v>
          </cell>
        </row>
        <row r="257">
          <cell r="P257">
            <v>75608.297399999996</v>
          </cell>
        </row>
        <row r="258">
          <cell r="P258">
            <v>75675.689100000003</v>
          </cell>
        </row>
        <row r="259">
          <cell r="P259">
            <v>75743.721099999995</v>
          </cell>
        </row>
        <row r="260">
          <cell r="P260">
            <v>75812.399300000005</v>
          </cell>
        </row>
        <row r="261">
          <cell r="P261">
            <v>75881.73</v>
          </cell>
        </row>
        <row r="262">
          <cell r="P262">
            <v>75951.719299999997</v>
          </cell>
        </row>
        <row r="263">
          <cell r="P263">
            <v>76022.373500000002</v>
          </cell>
        </row>
        <row r="264">
          <cell r="P264">
            <v>76093.698900000003</v>
          </cell>
        </row>
        <row r="265">
          <cell r="P265">
            <v>76165.702099999995</v>
          </cell>
        </row>
        <row r="266">
          <cell r="P266">
            <v>76238.3891</v>
          </cell>
        </row>
        <row r="267">
          <cell r="P267">
            <v>76311.766600000003</v>
          </cell>
        </row>
        <row r="268">
          <cell r="P268">
            <v>76385.841400000005</v>
          </cell>
        </row>
        <row r="269">
          <cell r="P269">
            <v>76460.6198</v>
          </cell>
        </row>
        <row r="270">
          <cell r="P270">
            <v>76536.108600000007</v>
          </cell>
        </row>
        <row r="271">
          <cell r="P271">
            <v>76612.314400000003</v>
          </cell>
        </row>
        <row r="272">
          <cell r="P272">
            <v>76689.244399999996</v>
          </cell>
        </row>
        <row r="273">
          <cell r="P273">
            <v>76766.904999999999</v>
          </cell>
        </row>
        <row r="274">
          <cell r="P274">
            <v>76845.303499999995</v>
          </cell>
        </row>
        <row r="275">
          <cell r="P275">
            <v>76924.446800000005</v>
          </cell>
        </row>
        <row r="276">
          <cell r="P276">
            <v>77004.342699999994</v>
          </cell>
        </row>
        <row r="277">
          <cell r="P277" t="str">
            <v/>
          </cell>
        </row>
        <row r="278">
          <cell r="P278" t="str">
            <v/>
          </cell>
        </row>
        <row r="279">
          <cell r="P279" t="str">
            <v/>
          </cell>
        </row>
        <row r="280">
          <cell r="P280" t="str">
            <v/>
          </cell>
        </row>
        <row r="281">
          <cell r="P281" t="str">
            <v/>
          </cell>
        </row>
        <row r="282">
          <cell r="P282" t="str">
            <v/>
          </cell>
        </row>
        <row r="283">
          <cell r="P283" t="str">
            <v/>
          </cell>
        </row>
        <row r="284">
          <cell r="P284" t="str">
            <v/>
          </cell>
        </row>
        <row r="285">
          <cell r="P285" t="str">
            <v/>
          </cell>
        </row>
        <row r="286">
          <cell r="P286" t="str">
            <v/>
          </cell>
        </row>
        <row r="287">
          <cell r="P287" t="str">
            <v/>
          </cell>
        </row>
        <row r="288">
          <cell r="P288" t="str">
            <v/>
          </cell>
        </row>
        <row r="289">
          <cell r="P289" t="str">
            <v/>
          </cell>
        </row>
        <row r="290">
          <cell r="P290" t="str">
            <v/>
          </cell>
        </row>
        <row r="291">
          <cell r="P291" t="str">
            <v/>
          </cell>
        </row>
        <row r="292">
          <cell r="P292" t="str">
            <v/>
          </cell>
        </row>
        <row r="293">
          <cell r="P293" t="str">
            <v/>
          </cell>
        </row>
        <row r="294">
          <cell r="P294" t="str">
            <v/>
          </cell>
        </row>
        <row r="295">
          <cell r="P295" t="str">
            <v/>
          </cell>
        </row>
        <row r="296">
          <cell r="P296" t="str">
            <v/>
          </cell>
        </row>
        <row r="297">
          <cell r="P297" t="str">
            <v/>
          </cell>
        </row>
        <row r="298">
          <cell r="P298" t="str">
            <v/>
          </cell>
        </row>
        <row r="299">
          <cell r="P299" t="str">
            <v/>
          </cell>
        </row>
        <row r="300">
          <cell r="P300" t="str">
            <v/>
          </cell>
        </row>
        <row r="301">
          <cell r="P301" t="str">
            <v/>
          </cell>
        </row>
        <row r="302">
          <cell r="P302" t="str">
            <v/>
          </cell>
        </row>
        <row r="303">
          <cell r="P303" t="str">
            <v/>
          </cell>
        </row>
        <row r="304">
          <cell r="P304" t="str">
            <v/>
          </cell>
        </row>
        <row r="305">
          <cell r="P305" t="str">
            <v/>
          </cell>
        </row>
        <row r="306">
          <cell r="P306" t="str">
            <v/>
          </cell>
        </row>
        <row r="307">
          <cell r="P307" t="str">
            <v/>
          </cell>
        </row>
        <row r="308">
          <cell r="P308" t="str">
            <v/>
          </cell>
        </row>
        <row r="309">
          <cell r="P309" t="str">
            <v/>
          </cell>
        </row>
        <row r="310">
          <cell r="P310" t="str">
            <v/>
          </cell>
        </row>
        <row r="311">
          <cell r="P311" t="str">
            <v/>
          </cell>
        </row>
        <row r="312">
          <cell r="P312" t="str">
            <v/>
          </cell>
        </row>
        <row r="313">
          <cell r="P313" t="str">
            <v/>
          </cell>
        </row>
        <row r="314">
          <cell r="P314" t="str">
            <v/>
          </cell>
        </row>
        <row r="315">
          <cell r="P315" t="str">
            <v/>
          </cell>
        </row>
        <row r="316">
          <cell r="P316" t="str">
            <v/>
          </cell>
        </row>
        <row r="317">
          <cell r="P317" t="str">
            <v/>
          </cell>
        </row>
        <row r="318">
          <cell r="P318" t="str">
            <v/>
          </cell>
        </row>
        <row r="319">
          <cell r="P319" t="str">
            <v/>
          </cell>
        </row>
        <row r="320">
          <cell r="P320" t="str">
            <v/>
          </cell>
        </row>
        <row r="321">
          <cell r="P321" t="str">
            <v/>
          </cell>
        </row>
        <row r="322">
          <cell r="P322" t="str">
            <v/>
          </cell>
        </row>
        <row r="323">
          <cell r="P323" t="str">
            <v/>
          </cell>
        </row>
        <row r="324">
          <cell r="P324" t="str">
            <v/>
          </cell>
        </row>
        <row r="325">
          <cell r="P325" t="str">
            <v/>
          </cell>
        </row>
        <row r="326">
          <cell r="P326" t="str">
            <v/>
          </cell>
        </row>
        <row r="327">
          <cell r="P327" t="str">
            <v/>
          </cell>
        </row>
        <row r="328">
          <cell r="P328" t="str">
            <v/>
          </cell>
        </row>
        <row r="329">
          <cell r="P329" t="str">
            <v/>
          </cell>
        </row>
        <row r="330">
          <cell r="P330" t="str">
            <v/>
          </cell>
        </row>
        <row r="331">
          <cell r="P331" t="str">
            <v/>
          </cell>
        </row>
        <row r="332">
          <cell r="P332" t="str">
            <v/>
          </cell>
        </row>
        <row r="333">
          <cell r="P333" t="str">
            <v/>
          </cell>
        </row>
        <row r="334">
          <cell r="P334" t="str">
            <v/>
          </cell>
        </row>
        <row r="335">
          <cell r="P335" t="str">
            <v/>
          </cell>
        </row>
        <row r="336">
          <cell r="P336" t="str">
            <v/>
          </cell>
        </row>
        <row r="337">
          <cell r="P337" t="str">
            <v/>
          </cell>
        </row>
        <row r="338">
          <cell r="P338" t="str">
            <v/>
          </cell>
        </row>
        <row r="339">
          <cell r="P339" t="str">
            <v/>
          </cell>
        </row>
        <row r="340">
          <cell r="P340" t="str">
            <v/>
          </cell>
        </row>
        <row r="341">
          <cell r="P341" t="str">
            <v/>
          </cell>
        </row>
        <row r="342">
          <cell r="P342" t="str">
            <v/>
          </cell>
        </row>
        <row r="343">
          <cell r="P343" t="str">
            <v/>
          </cell>
        </row>
        <row r="344">
          <cell r="P344" t="str">
            <v/>
          </cell>
        </row>
        <row r="345">
          <cell r="P345" t="str">
            <v/>
          </cell>
        </row>
        <row r="346">
          <cell r="P346" t="str">
            <v/>
          </cell>
        </row>
        <row r="347">
          <cell r="P347" t="str">
            <v/>
          </cell>
        </row>
        <row r="348">
          <cell r="P348" t="str">
            <v/>
          </cell>
        </row>
        <row r="349">
          <cell r="P349" t="str">
            <v/>
          </cell>
        </row>
        <row r="350">
          <cell r="P350" t="str">
            <v/>
          </cell>
        </row>
        <row r="351">
          <cell r="P351" t="str">
            <v/>
          </cell>
        </row>
        <row r="352">
          <cell r="P352" t="str">
            <v/>
          </cell>
        </row>
        <row r="353">
          <cell r="P353" t="str">
            <v/>
          </cell>
        </row>
        <row r="354">
          <cell r="P354" t="str">
            <v/>
          </cell>
        </row>
        <row r="355">
          <cell r="P355" t="str">
            <v/>
          </cell>
        </row>
        <row r="356">
          <cell r="P356" t="str">
            <v/>
          </cell>
        </row>
        <row r="357">
          <cell r="P357" t="str">
            <v/>
          </cell>
        </row>
        <row r="358">
          <cell r="P358" t="str">
            <v/>
          </cell>
        </row>
        <row r="359">
          <cell r="P359" t="str">
            <v/>
          </cell>
        </row>
        <row r="360">
          <cell r="P360" t="str">
            <v/>
          </cell>
        </row>
        <row r="361">
          <cell r="P361" t="str">
            <v/>
          </cell>
        </row>
        <row r="362">
          <cell r="P362" t="str">
            <v/>
          </cell>
        </row>
        <row r="363">
          <cell r="P363" t="str">
            <v/>
          </cell>
        </row>
        <row r="364">
          <cell r="P364" t="str">
            <v/>
          </cell>
        </row>
        <row r="365">
          <cell r="P365" t="str">
            <v/>
          </cell>
        </row>
        <row r="366">
          <cell r="P366" t="str">
            <v/>
          </cell>
        </row>
        <row r="367">
          <cell r="P367" t="str">
            <v/>
          </cell>
        </row>
        <row r="368">
          <cell r="P368" t="str">
            <v/>
          </cell>
        </row>
        <row r="369">
          <cell r="P369" t="str">
            <v/>
          </cell>
        </row>
        <row r="370">
          <cell r="P370" t="str">
            <v/>
          </cell>
        </row>
        <row r="371">
          <cell r="P371" t="str">
            <v/>
          </cell>
        </row>
        <row r="372">
          <cell r="P372" t="str">
            <v/>
          </cell>
        </row>
        <row r="373">
          <cell r="P373" t="str">
            <v/>
          </cell>
        </row>
        <row r="374">
          <cell r="P374" t="str">
            <v/>
          </cell>
        </row>
        <row r="375">
          <cell r="P375" t="str">
            <v/>
          </cell>
        </row>
        <row r="376">
          <cell r="P376" t="str">
            <v/>
          </cell>
        </row>
        <row r="377">
          <cell r="P377" t="str">
            <v/>
          </cell>
        </row>
        <row r="378">
          <cell r="P378" t="str">
            <v/>
          </cell>
        </row>
        <row r="379">
          <cell r="P379" t="str">
            <v/>
          </cell>
        </row>
        <row r="380">
          <cell r="P380" t="str">
            <v/>
          </cell>
        </row>
        <row r="381">
          <cell r="P381" t="str">
            <v/>
          </cell>
        </row>
        <row r="382">
          <cell r="P382" t="str">
            <v/>
          </cell>
        </row>
        <row r="383">
          <cell r="P383" t="str">
            <v/>
          </cell>
        </row>
        <row r="384">
          <cell r="P384" t="str">
            <v/>
          </cell>
        </row>
        <row r="385">
          <cell r="P385" t="str">
            <v/>
          </cell>
        </row>
        <row r="386">
          <cell r="P386" t="str">
            <v/>
          </cell>
        </row>
        <row r="387">
          <cell r="P387" t="str">
            <v/>
          </cell>
        </row>
        <row r="388">
          <cell r="P388" t="str">
            <v/>
          </cell>
        </row>
        <row r="389">
          <cell r="P389" t="str">
            <v/>
          </cell>
        </row>
        <row r="390">
          <cell r="P390" t="str">
            <v/>
          </cell>
        </row>
        <row r="391">
          <cell r="P391" t="str">
            <v/>
          </cell>
        </row>
        <row r="392">
          <cell r="P392" t="str">
            <v/>
          </cell>
        </row>
        <row r="393">
          <cell r="P393" t="str">
            <v/>
          </cell>
        </row>
        <row r="394">
          <cell r="P394" t="str">
            <v/>
          </cell>
        </row>
        <row r="395">
          <cell r="P395" t="str">
            <v/>
          </cell>
        </row>
        <row r="396">
          <cell r="P396" t="str">
            <v/>
          </cell>
        </row>
      </sheetData>
      <sheetData sheetId="22" refreshError="1"/>
      <sheetData sheetId="23" refreshError="1"/>
      <sheetData sheetId="24" refreshError="1"/>
      <sheetData sheetId="25" refreshError="1">
        <row r="6">
          <cell r="B6" t="b">
            <v>1</v>
          </cell>
        </row>
        <row r="10">
          <cell r="A10" t="str">
            <v>Nombre</v>
          </cell>
          <cell r="B10" t="str">
            <v>Aplica?</v>
          </cell>
          <cell r="E10" t="str">
            <v>Aclaración</v>
          </cell>
        </row>
        <row r="11">
          <cell r="A11" t="str">
            <v>Comportamiento Tasa</v>
          </cell>
          <cell r="B11" t="b">
            <v>1</v>
          </cell>
          <cell r="E11" t="str">
            <v>En Hipoteca Fuerte, al pagar puntualmente durante 12 meses consecutivos obtendrás descuento en tasa de 0.20% hasta llegar a la tasa de 9.85%.</v>
          </cell>
        </row>
        <row r="12">
          <cell r="A12" t="str">
            <v>Aclaración Tasa</v>
          </cell>
          <cell r="B12" t="b">
            <v>0</v>
          </cell>
          <cell r="E12" t="str">
            <v>--</v>
          </cell>
        </row>
        <row r="13">
          <cell r="A13" t="str">
            <v>Descuento en Subtasas</v>
          </cell>
          <cell r="B13" t="b">
            <v>1</v>
          </cell>
          <cell r="E13" t="str">
            <v>La Tasas Flexibles y Dinámica, al pagar puntualmente durante 12 meses consecutivos obtendrás descuento en tasa de 0.2% hasta llegar a la tasa de 9.85%.</v>
          </cell>
        </row>
        <row r="14">
          <cell r="A14" t="str">
            <v>Aceptación Avalúo</v>
          </cell>
          <cell r="B14" t="b">
            <v>0</v>
          </cell>
          <cell r="E14" t="str">
            <v>Aceptación de Avalúo aplica cuando se presenta Avalúo existente. Cuando no se presente, aplicará costo de avalúo de 0.30% más I.V.A.</v>
          </cell>
        </row>
        <row r="15">
          <cell r="A15" t="str">
            <v>Gastos Notariales</v>
          </cell>
          <cell r="B15" t="b">
            <v>1</v>
          </cell>
          <cell r="E15" t="str">
            <v>Valor estimado para Oaxaca del 4.22 % del valor avalúo aproximado. El valor definitivo será informado por el Notario a la firma de contrato.</v>
          </cell>
        </row>
        <row r="16">
          <cell r="A16" t="str">
            <v>Ajuste Pago x Mil MxM</v>
          </cell>
          <cell r="B16" t="b">
            <v>0</v>
          </cell>
          <cell r="E16" t="str">
            <v>En Hipoteca Más por Menos, con incremento anual de 2.15% para 15 años y de 2.05% para 20 años. No incluye seguros.</v>
          </cell>
        </row>
        <row r="17">
          <cell r="A17" t="str">
            <v>Primer Pago</v>
          </cell>
          <cell r="B17" t="b">
            <v>1</v>
          </cell>
          <cell r="E17" t="str">
            <v>El primer pago podrá variar por los días realmente transcurridos en el mes.</v>
          </cell>
        </row>
        <row r="18">
          <cell r="A18" t="str">
            <v>Crédito Incluye Apertura</v>
          </cell>
          <cell r="B18" t="b">
            <v>0</v>
          </cell>
          <cell r="E18" t="str">
            <v>Incluye Comisión por Apertura.</v>
          </cell>
        </row>
        <row r="19">
          <cell r="A19" t="str">
            <v>Ahorro Fuerte</v>
          </cell>
          <cell r="B19" t="b">
            <v>1</v>
          </cell>
          <cell r="E19" t="str">
            <v>El Ahorro es calculado considerando el descuento en Tasa por Pago Puntual contra la Tasa inicial asignada Fija.</v>
          </cell>
        </row>
        <row r="24">
          <cell r="A24" t="str">
            <v>Nombre</v>
          </cell>
          <cell r="B24" t="str">
            <v>Aplica?</v>
          </cell>
          <cell r="C24" t="str">
            <v>Índice</v>
          </cell>
          <cell r="D24" t="str">
            <v>Sigil</v>
          </cell>
          <cell r="E24" t="str">
            <v>Aclaración con Sigil</v>
          </cell>
          <cell r="F24" t="str">
            <v>Sección</v>
          </cell>
          <cell r="G24" t="str">
            <v>Sección.Índice</v>
          </cell>
          <cell r="H24" t="str">
            <v>Sección.Nombre</v>
          </cell>
        </row>
        <row r="25">
          <cell r="A25" t="str">
            <v>Comportamiento Tasa</v>
          </cell>
          <cell r="B25" t="b">
            <v>1</v>
          </cell>
          <cell r="C25">
            <v>1</v>
          </cell>
          <cell r="D25" t="str">
            <v xml:space="preserve"> * </v>
          </cell>
          <cell r="E25" t="str">
            <v xml:space="preserve"> * En Hipoteca Fuerte, al pagar puntualmente durante 12 meses consecutivos obtendrás descuento en tasa de 0.20% hasta llegar a la tasa de 9.85%.</v>
          </cell>
          <cell r="F25" t="str">
            <v>Cotización</v>
          </cell>
          <cell r="G25" t="str">
            <v>Cotización.1</v>
          </cell>
          <cell r="H25" t="str">
            <v>Cotización.Comportamiento Tasa</v>
          </cell>
        </row>
        <row r="26">
          <cell r="A26" t="str">
            <v>Aceptación Avalúo</v>
          </cell>
          <cell r="B26" t="b">
            <v>0</v>
          </cell>
          <cell r="C26">
            <v>0</v>
          </cell>
          <cell r="D26" t="str">
            <v/>
          </cell>
          <cell r="E26" t="str">
            <v/>
          </cell>
          <cell r="F26" t="str">
            <v>Cotización</v>
          </cell>
          <cell r="G26" t="str">
            <v>Cotización.0</v>
          </cell>
          <cell r="H26" t="str">
            <v>Cotización.Aceptación Avalúo</v>
          </cell>
        </row>
        <row r="27">
          <cell r="A27" t="str">
            <v>Gastos Notariales</v>
          </cell>
          <cell r="B27" t="b">
            <v>1</v>
          </cell>
          <cell r="C27">
            <v>2</v>
          </cell>
          <cell r="D27" t="str">
            <v xml:space="preserve"> ** </v>
          </cell>
          <cell r="E27" t="str">
            <v xml:space="preserve"> ** Valor estimado para Oaxaca del 4.22 % del valor avalúo aproximado. El valor definitivo será informado por el Notario a la firma de contrato.</v>
          </cell>
          <cell r="F27" t="str">
            <v>Cotización</v>
          </cell>
          <cell r="G27" t="str">
            <v>Cotización.2</v>
          </cell>
          <cell r="H27" t="str">
            <v>Cotización.Gastos Notariales</v>
          </cell>
        </row>
        <row r="28">
          <cell r="A28" t="str">
            <v>Ajuste Pago x Mil MxM</v>
          </cell>
          <cell r="B28" t="b">
            <v>0</v>
          </cell>
          <cell r="C28">
            <v>0</v>
          </cell>
          <cell r="D28" t="str">
            <v/>
          </cell>
          <cell r="E28" t="str">
            <v/>
          </cell>
          <cell r="F28" t="str">
            <v>Cotización</v>
          </cell>
          <cell r="G28" t="str">
            <v>Cotización.0</v>
          </cell>
          <cell r="H28" t="str">
            <v>Cotización.Ajuste Pago x Mil MxM</v>
          </cell>
        </row>
        <row r="29">
          <cell r="A29" t="str">
            <v>Primer Pago</v>
          </cell>
          <cell r="B29" t="b">
            <v>1</v>
          </cell>
          <cell r="C29">
            <v>3</v>
          </cell>
          <cell r="D29" t="str">
            <v xml:space="preserve"> *** </v>
          </cell>
          <cell r="E29" t="str">
            <v xml:space="preserve"> *** El primer pago podrá variar por los días realmente transcurridos en el mes.</v>
          </cell>
          <cell r="F29" t="str">
            <v>Cotización</v>
          </cell>
          <cell r="G29" t="str">
            <v>Cotización.3</v>
          </cell>
          <cell r="H29" t="str">
            <v>Cotización.Primer Pago</v>
          </cell>
        </row>
        <row r="30">
          <cell r="A30">
            <v>0</v>
          </cell>
          <cell r="B30">
            <v>0</v>
          </cell>
          <cell r="G30" t="str">
            <v xml:space="preserve"> </v>
          </cell>
        </row>
        <row r="31">
          <cell r="A31" t="str">
            <v>Nombre</v>
          </cell>
          <cell r="B31" t="str">
            <v>Aplica?</v>
          </cell>
          <cell r="C31" t="str">
            <v>Índice</v>
          </cell>
          <cell r="D31" t="str">
            <v>Sigil</v>
          </cell>
          <cell r="E31" t="str">
            <v>Aclaración con Sigil</v>
          </cell>
          <cell r="F31" t="str">
            <v>Sección</v>
          </cell>
          <cell r="G31" t="str">
            <v>Sección.Índice</v>
          </cell>
          <cell r="H31" t="str">
            <v>Sección.Nombre</v>
          </cell>
        </row>
        <row r="32">
          <cell r="A32" t="str">
            <v>Comportamiento Tasa</v>
          </cell>
          <cell r="B32" t="b">
            <v>1</v>
          </cell>
          <cell r="C32">
            <v>1</v>
          </cell>
          <cell r="D32" t="str">
            <v xml:space="preserve"> * </v>
          </cell>
          <cell r="E32" t="str">
            <v xml:space="preserve"> * En Hipoteca Fuerte, al pagar puntualmente durante 12 meses consecutivos obtendrás descuento en tasa de 0.20% hasta llegar a la tasa de 9.85%.</v>
          </cell>
          <cell r="F32" t="str">
            <v>Tabla Cliente</v>
          </cell>
          <cell r="G32" t="str">
            <v>Tabla Cliente.1</v>
          </cell>
          <cell r="H32" t="str">
            <v>Tabla Cliente.Comportamiento Tasa</v>
          </cell>
        </row>
        <row r="33">
          <cell r="A33" t="str">
            <v>Gastos Notariales</v>
          </cell>
          <cell r="B33" t="b">
            <v>1</v>
          </cell>
          <cell r="C33">
            <v>2</v>
          </cell>
          <cell r="D33" t="str">
            <v xml:space="preserve"> ** </v>
          </cell>
          <cell r="E33" t="str">
            <v xml:space="preserve"> ** Valor estimado para Oaxaca del 4.22 % del valor avalúo aproximado. El valor definitivo será informado por el Notario a la firma de contrato.</v>
          </cell>
          <cell r="F33" t="str">
            <v>Tabla Cliente</v>
          </cell>
          <cell r="G33" t="str">
            <v>Tabla Cliente.2</v>
          </cell>
          <cell r="H33" t="str">
            <v>Tabla Cliente.Gastos Notariales</v>
          </cell>
        </row>
        <row r="34">
          <cell r="A34" t="str">
            <v>Crédito Incluye Apertura</v>
          </cell>
          <cell r="B34" t="b">
            <v>0</v>
          </cell>
          <cell r="C34">
            <v>0</v>
          </cell>
          <cell r="D34" t="str">
            <v/>
          </cell>
          <cell r="E34" t="str">
            <v/>
          </cell>
          <cell r="F34" t="str">
            <v>Tabla Cliente</v>
          </cell>
          <cell r="G34" t="str">
            <v>Tabla Cliente.0</v>
          </cell>
          <cell r="H34" t="str">
            <v>Tabla Cliente.Crédito Incluye Apertura</v>
          </cell>
        </row>
        <row r="35">
          <cell r="A35" t="str">
            <v>Ajuste Pago x Mil MxM</v>
          </cell>
          <cell r="B35" t="b">
            <v>0</v>
          </cell>
          <cell r="C35">
            <v>0</v>
          </cell>
          <cell r="D35" t="str">
            <v/>
          </cell>
          <cell r="E35" t="str">
            <v/>
          </cell>
          <cell r="F35" t="str">
            <v>Tabla Cliente</v>
          </cell>
          <cell r="G35" t="str">
            <v>Tabla Cliente.0</v>
          </cell>
          <cell r="H35" t="str">
            <v>Tabla Cliente.Ajuste Pago x Mil MxM</v>
          </cell>
        </row>
        <row r="36">
          <cell r="A36" t="str">
            <v>Ahorro Fuerte</v>
          </cell>
          <cell r="B36" t="b">
            <v>1</v>
          </cell>
          <cell r="C36">
            <v>3</v>
          </cell>
          <cell r="D36" t="str">
            <v xml:space="preserve"> *** </v>
          </cell>
          <cell r="E36" t="str">
            <v xml:space="preserve"> *** El Ahorro es calculado considerando el descuento en Tasa por Pago Puntual contra la Tasa inicial asignada Fija.</v>
          </cell>
          <cell r="F36" t="str">
            <v>Tabla Cliente</v>
          </cell>
          <cell r="G36" t="str">
            <v>Tabla Cliente.3</v>
          </cell>
          <cell r="H36" t="str">
            <v>Tabla Cliente.Ahorro Fuerte</v>
          </cell>
        </row>
        <row r="37">
          <cell r="A37">
            <v>0</v>
          </cell>
          <cell r="B37">
            <v>0</v>
          </cell>
          <cell r="G37" t="str">
            <v xml:space="preserve"> </v>
          </cell>
        </row>
        <row r="38">
          <cell r="A38" t="str">
            <v>Nombre</v>
          </cell>
          <cell r="B38" t="str">
            <v>Aplica?</v>
          </cell>
          <cell r="C38" t="str">
            <v>Índice</v>
          </cell>
          <cell r="D38" t="str">
            <v>Sigil</v>
          </cell>
          <cell r="E38" t="str">
            <v>Aclaración con Sigil</v>
          </cell>
          <cell r="F38" t="str">
            <v>Sección</v>
          </cell>
          <cell r="G38" t="str">
            <v>Sección.Índice</v>
          </cell>
          <cell r="H38" t="str">
            <v>Sección.Nombre</v>
          </cell>
        </row>
        <row r="39">
          <cell r="A39" t="str">
            <v>Comportamiento Tasa</v>
          </cell>
          <cell r="B39" t="b">
            <v>1</v>
          </cell>
          <cell r="C39">
            <v>1</v>
          </cell>
          <cell r="D39" t="str">
            <v xml:space="preserve"> * </v>
          </cell>
          <cell r="E39" t="str">
            <v xml:space="preserve"> * En Hipoteca Fuerte, al pagar puntualmente durante 12 meses consecutivos obtendrás descuento en tasa de 0.20% hasta llegar a la tasa de 9.85%.</v>
          </cell>
          <cell r="F39" t="str">
            <v>Tabla Notaría</v>
          </cell>
          <cell r="G39" t="str">
            <v>Tabla Notaría.1</v>
          </cell>
          <cell r="H39" t="str">
            <v>Tabla Notaría.Comportamiento Tasa</v>
          </cell>
        </row>
        <row r="40">
          <cell r="A40" t="str">
            <v>Crédito Incluye Apertura</v>
          </cell>
          <cell r="B40" t="b">
            <v>0</v>
          </cell>
          <cell r="C40">
            <v>0</v>
          </cell>
          <cell r="D40" t="str">
            <v/>
          </cell>
          <cell r="E40" t="str">
            <v/>
          </cell>
          <cell r="F40" t="str">
            <v>Tabla Notaría</v>
          </cell>
          <cell r="G40" t="str">
            <v>Tabla Notaría.0</v>
          </cell>
          <cell r="H40" t="str">
            <v>Tabla Notaría.Crédito Incluye Apertura</v>
          </cell>
        </row>
        <row r="41">
          <cell r="A41" t="str">
            <v>Ajuste Pago x Mil MxM</v>
          </cell>
          <cell r="B41" t="b">
            <v>0</v>
          </cell>
          <cell r="C41">
            <v>0</v>
          </cell>
          <cell r="D41" t="str">
            <v/>
          </cell>
          <cell r="E41" t="str">
            <v/>
          </cell>
          <cell r="F41" t="str">
            <v>Tabla Notaría</v>
          </cell>
          <cell r="G41" t="str">
            <v>Tabla Notaría.0</v>
          </cell>
          <cell r="H41" t="str">
            <v>Tabla Notaría.Ajuste Pago x Mil MxM</v>
          </cell>
        </row>
        <row r="42">
          <cell r="A42">
            <v>0</v>
          </cell>
          <cell r="B42">
            <v>0</v>
          </cell>
          <cell r="G42" t="str">
            <v xml:space="preserve"> </v>
          </cell>
        </row>
        <row r="43">
          <cell r="A43" t="str">
            <v>Nombre</v>
          </cell>
          <cell r="B43" t="str">
            <v>Aplica?</v>
          </cell>
          <cell r="C43" t="str">
            <v>Índice</v>
          </cell>
          <cell r="D43" t="str">
            <v>Sigil</v>
          </cell>
          <cell r="E43" t="str">
            <v>Aclaración con Sigil</v>
          </cell>
          <cell r="F43" t="str">
            <v>Sección</v>
          </cell>
          <cell r="G43" t="str">
            <v>Sección.Índice</v>
          </cell>
          <cell r="H43" t="str">
            <v>Sección.Nombre</v>
          </cell>
        </row>
        <row r="44">
          <cell r="A44" t="str">
            <v>Comportamiento Tasa</v>
          </cell>
          <cell r="B44" t="b">
            <v>1</v>
          </cell>
          <cell r="C44">
            <v>1</v>
          </cell>
          <cell r="D44" t="str">
            <v xml:space="preserve"> * </v>
          </cell>
          <cell r="E44" t="str">
            <v xml:space="preserve"> * En Hipoteca Fuerte, al pagar puntualmente durante 12 meses consecutivos obtendrás descuento en tasa de 0.20% hasta llegar a la tasa de 9.85%.</v>
          </cell>
          <cell r="F44" t="str">
            <v>Oferta Vinculante</v>
          </cell>
          <cell r="G44" t="str">
            <v>Oferta Vinculante.1</v>
          </cell>
          <cell r="H44" t="str">
            <v>Oferta Vinculante.Comportamiento Tasa</v>
          </cell>
        </row>
        <row r="45">
          <cell r="A45">
            <v>0</v>
          </cell>
          <cell r="B45">
            <v>0</v>
          </cell>
          <cell r="G45" t="str">
            <v xml:space="preserve"> </v>
          </cell>
        </row>
        <row r="46">
          <cell r="A46" t="str">
            <v>Nombre</v>
          </cell>
          <cell r="B46" t="str">
            <v>Aplica?</v>
          </cell>
          <cell r="C46" t="str">
            <v>Índice</v>
          </cell>
          <cell r="D46" t="str">
            <v>Sigil</v>
          </cell>
          <cell r="E46" t="str">
            <v>Aclaración con Sigil</v>
          </cell>
          <cell r="F46" t="str">
            <v>Sección</v>
          </cell>
          <cell r="G46" t="str">
            <v>Sección.Índice</v>
          </cell>
          <cell r="H46" t="str">
            <v>Sección.Nombre</v>
          </cell>
        </row>
        <row r="47">
          <cell r="A47" t="str">
            <v>Aclaración Tasa</v>
          </cell>
          <cell r="B47" t="b">
            <v>0</v>
          </cell>
          <cell r="C47">
            <v>0</v>
          </cell>
          <cell r="D47">
            <v>0</v>
          </cell>
          <cell r="E47" t="str">
            <v/>
          </cell>
          <cell r="F47" t="str">
            <v>Aclaraciones sin Sigil</v>
          </cell>
          <cell r="G47" t="str">
            <v>Aclaraciones sin Sigil.0</v>
          </cell>
          <cell r="H47" t="str">
            <v>Aclaraciones sin Sigil.Aclaración Tasa</v>
          </cell>
        </row>
        <row r="48">
          <cell r="A48" t="str">
            <v>Descuento en Subtasas</v>
          </cell>
          <cell r="B48" t="b">
            <v>1</v>
          </cell>
          <cell r="C48">
            <v>1</v>
          </cell>
          <cell r="E48" t="str">
            <v>La Tasas Flexibles y Dinámica, al pagar puntualmente durante 12 meses consecutivos obtendrás descuento en tasa de 0.2% hasta llegar a la tasa de 9.85%.</v>
          </cell>
          <cell r="F48" t="str">
            <v>Aclaraciones sin Sigil</v>
          </cell>
          <cell r="G48" t="str">
            <v>Aclaraciones sin Sigil.1</v>
          </cell>
          <cell r="H48" t="str">
            <v>Aclaraciones sin Sigil.Descuento en Subtasas</v>
          </cell>
        </row>
      </sheetData>
      <sheetData sheetId="26" refreshError="1">
        <row r="4">
          <cell r="A4" t="str">
            <v>Etiqueta</v>
          </cell>
          <cell r="B4" t="str">
            <v>Contenido</v>
          </cell>
          <cell r="C4" t="str">
            <v>Sección</v>
          </cell>
          <cell r="D4" t="str">
            <v>Nombre Aclaración</v>
          </cell>
          <cell r="E4" t="str">
            <v>Llave de Búsqueda</v>
          </cell>
          <cell r="F4" t="str">
            <v>Sigil</v>
          </cell>
          <cell r="G4" t="str">
            <v>Texto Etiqueta</v>
          </cell>
          <cell r="H4" t="str">
            <v>Sección.Etiqueta</v>
          </cell>
        </row>
        <row r="5">
          <cell r="A5" t="str">
            <v>Tasa de Interés Anual (Fija)</v>
          </cell>
          <cell r="B5" t="str">
            <v>Tasa de Interés Anual (Fija)</v>
          </cell>
          <cell r="C5" t="str">
            <v>Cotización</v>
          </cell>
          <cell r="D5" t="str">
            <v>Comportamiento Tasa</v>
          </cell>
          <cell r="E5" t="str">
            <v>Cotización.Comportamiento Tasa</v>
          </cell>
          <cell r="F5" t="str">
            <v xml:space="preserve"> * </v>
          </cell>
          <cell r="G5" t="str">
            <v xml:space="preserve">Tasa de Interés Anual (Fija) * </v>
          </cell>
          <cell r="H5" t="str">
            <v>Cotización.Tasa de Interés Anual (Fija)</v>
          </cell>
        </row>
        <row r="6">
          <cell r="A6" t="str">
            <v>Gastos Notariales</v>
          </cell>
          <cell r="B6" t="str">
            <v>Gastos Notariales</v>
          </cell>
          <cell r="C6" t="str">
            <v>Cotización</v>
          </cell>
          <cell r="D6" t="str">
            <v>Gastos Notariales</v>
          </cell>
          <cell r="E6" t="str">
            <v>Cotización.Gastos Notariales</v>
          </cell>
          <cell r="F6" t="str">
            <v xml:space="preserve"> ** </v>
          </cell>
          <cell r="G6" t="str">
            <v xml:space="preserve">Gastos Notariales ** </v>
          </cell>
          <cell r="H6" t="str">
            <v>Cotización.Gastos Notariales</v>
          </cell>
        </row>
        <row r="7">
          <cell r="A7" t="str">
            <v>Pago Por Mil</v>
          </cell>
          <cell r="B7" t="str">
            <v>Pago Por Mil</v>
          </cell>
          <cell r="C7" t="str">
            <v>Cotización</v>
          </cell>
          <cell r="D7" t="str">
            <v>Ajuste Pago x Mil MxM</v>
          </cell>
          <cell r="E7" t="str">
            <v>Cotización.Ajuste Pago x Mil MxM</v>
          </cell>
          <cell r="F7" t="str">
            <v/>
          </cell>
          <cell r="G7" t="str">
            <v>Pago Por Mil</v>
          </cell>
          <cell r="H7" t="str">
            <v>Cotización.Pago Por Mil</v>
          </cell>
        </row>
        <row r="8">
          <cell r="A8" t="str">
            <v>Pago Mensual</v>
          </cell>
          <cell r="B8" t="str">
            <v>Pago Mensual</v>
          </cell>
          <cell r="C8" t="str">
            <v>Cotización</v>
          </cell>
          <cell r="D8" t="str">
            <v>Primer Pago</v>
          </cell>
          <cell r="E8" t="str">
            <v>Cotización.Primer Pago</v>
          </cell>
          <cell r="F8" t="str">
            <v xml:space="preserve"> *** </v>
          </cell>
          <cell r="G8" t="str">
            <v xml:space="preserve">Pago Mensual *** </v>
          </cell>
          <cell r="H8" t="str">
            <v>Cotización.Pago Mensual</v>
          </cell>
        </row>
        <row r="9">
          <cell r="A9" t="str">
            <v>Total Pago Mensual</v>
          </cell>
          <cell r="B9" t="str">
            <v>Total Pago Mensual</v>
          </cell>
          <cell r="C9" t="str">
            <v>Cotización</v>
          </cell>
          <cell r="D9" t="str">
            <v>Primer Pago</v>
          </cell>
          <cell r="E9" t="str">
            <v>Cotización.Primer Pago</v>
          </cell>
          <cell r="F9" t="str">
            <v xml:space="preserve"> *** </v>
          </cell>
          <cell r="G9" t="str">
            <v xml:space="preserve">Total Pago Mensual *** </v>
          </cell>
          <cell r="H9" t="str">
            <v>Cotización.Total Pago Mensual</v>
          </cell>
        </row>
        <row r="10">
          <cell r="C10">
            <v>0</v>
          </cell>
        </row>
        <row r="11">
          <cell r="C11">
            <v>0</v>
          </cell>
          <cell r="D11">
            <v>0</v>
          </cell>
        </row>
        <row r="12">
          <cell r="A12" t="str">
            <v>Etiqueta</v>
          </cell>
          <cell r="B12" t="str">
            <v>Contenido</v>
          </cell>
          <cell r="C12" t="str">
            <v>Sección</v>
          </cell>
          <cell r="D12" t="str">
            <v>Nombre Aclaración</v>
          </cell>
          <cell r="E12" t="str">
            <v>Llave de Búsqueda</v>
          </cell>
          <cell r="F12" t="str">
            <v>Sigil</v>
          </cell>
          <cell r="G12" t="str">
            <v>Texto Etiqueta</v>
          </cell>
          <cell r="H12" t="str">
            <v>Sección.Etiqueta</v>
          </cell>
        </row>
        <row r="13">
          <cell r="A13" t="str">
            <v>Tasa de Interés Anual (Fija)</v>
          </cell>
          <cell r="B13" t="str">
            <v>Tasa de Interés Anual (Fija)</v>
          </cell>
          <cell r="C13" t="str">
            <v>Tabla Cliente</v>
          </cell>
          <cell r="D13" t="str">
            <v>Comportamiento Tasa</v>
          </cell>
          <cell r="E13" t="str">
            <v>Tabla Cliente.Comportamiento Tasa</v>
          </cell>
          <cell r="F13" t="str">
            <v xml:space="preserve"> * </v>
          </cell>
          <cell r="G13" t="str">
            <v xml:space="preserve">Tasa de Interés Anual (Fija) * </v>
          </cell>
          <cell r="H13" t="str">
            <v>Tabla Cliente.Tasa de Interés Anual (Fija)</v>
          </cell>
        </row>
        <row r="14">
          <cell r="A14" t="str">
            <v>Gastos Notariales</v>
          </cell>
          <cell r="B14" t="str">
            <v>Gastos Notariales</v>
          </cell>
          <cell r="C14" t="str">
            <v>Tabla Cliente</v>
          </cell>
          <cell r="D14" t="str">
            <v>Gastos Notariales</v>
          </cell>
          <cell r="E14" t="str">
            <v>Tabla Cliente.Gastos Notariales</v>
          </cell>
          <cell r="F14" t="str">
            <v xml:space="preserve"> ** </v>
          </cell>
          <cell r="G14" t="str">
            <v xml:space="preserve">Gastos Notariales ** </v>
          </cell>
          <cell r="H14" t="str">
            <v>Tabla Cliente.Gastos Notariales</v>
          </cell>
        </row>
        <row r="15">
          <cell r="A15" t="str">
            <v>Monto Total de Crédito</v>
          </cell>
          <cell r="B15" t="str">
            <v>Monto Total de Crédito</v>
          </cell>
          <cell r="C15" t="str">
            <v>Tabla Cliente</v>
          </cell>
          <cell r="D15" t="str">
            <v>Crédito Incluye Apertura</v>
          </cell>
          <cell r="E15" t="str">
            <v>Tabla Cliente.Crédito Incluye Apertura</v>
          </cell>
          <cell r="F15" t="str">
            <v/>
          </cell>
          <cell r="G15" t="str">
            <v>Monto Total de Crédito</v>
          </cell>
          <cell r="H15" t="str">
            <v>Tabla Cliente.Monto Total de Crédito</v>
          </cell>
        </row>
        <row r="16">
          <cell r="A16" t="str">
            <v>Tu Ahorro es de</v>
          </cell>
          <cell r="B16" t="str">
            <v>Tu Ahorro es de</v>
          </cell>
          <cell r="C16" t="str">
            <v>Tabla Cliente</v>
          </cell>
          <cell r="D16" t="str">
            <v>Ahorro Fuerte</v>
          </cell>
          <cell r="E16" t="str">
            <v>Tabla Cliente.Ahorro Fuerte</v>
          </cell>
          <cell r="F16" t="str">
            <v xml:space="preserve"> *** </v>
          </cell>
          <cell r="G16" t="str">
            <v xml:space="preserve"> *** Tu Ahorro es de</v>
          </cell>
          <cell r="H16" t="str">
            <v>Tabla Cliente.Tu Ahorro es de</v>
          </cell>
        </row>
        <row r="17">
          <cell r="C17">
            <v>0</v>
          </cell>
          <cell r="D17">
            <v>0</v>
          </cell>
          <cell r="F17">
            <v>0</v>
          </cell>
        </row>
        <row r="18">
          <cell r="A18" t="str">
            <v>Etiqueta</v>
          </cell>
          <cell r="B18" t="str">
            <v>Contenido</v>
          </cell>
          <cell r="C18" t="str">
            <v>Sección</v>
          </cell>
          <cell r="D18" t="str">
            <v>Nombre Aclaración</v>
          </cell>
          <cell r="E18" t="str">
            <v>Llave de Búsqueda</v>
          </cell>
          <cell r="F18" t="str">
            <v>Sigil</v>
          </cell>
          <cell r="G18" t="str">
            <v>Texto Etiqueta</v>
          </cell>
          <cell r="H18" t="str">
            <v>Sección.Etiqueta</v>
          </cell>
        </row>
        <row r="19">
          <cell r="A19" t="str">
            <v>Tasa de Interés Anual (Fija)</v>
          </cell>
          <cell r="B19" t="str">
            <v>Tasa de Interés Anual (Fija)</v>
          </cell>
          <cell r="C19" t="str">
            <v>Tabla Notaría</v>
          </cell>
          <cell r="D19" t="str">
            <v>Comportamiento Tasa</v>
          </cell>
          <cell r="E19" t="str">
            <v>Tabla Notaría.Comportamiento Tasa</v>
          </cell>
          <cell r="F19" t="str">
            <v xml:space="preserve"> * </v>
          </cell>
          <cell r="G19" t="str">
            <v xml:space="preserve">Tasa de Interés Anual (Fija) * </v>
          </cell>
          <cell r="H19" t="str">
            <v>Tabla Notaría.Tasa de Interés Anual (Fija)</v>
          </cell>
        </row>
        <row r="20">
          <cell r="A20" t="str">
            <v>Monto Total de Crédito</v>
          </cell>
          <cell r="B20" t="str">
            <v>Monto Total de Crédito</v>
          </cell>
          <cell r="C20" t="str">
            <v>Tabla Notaría</v>
          </cell>
          <cell r="D20" t="str">
            <v>Crédito Incluye Apertura</v>
          </cell>
          <cell r="E20" t="str">
            <v>Tabla Notaría.Crédito Incluye Apertura</v>
          </cell>
          <cell r="F20" t="str">
            <v/>
          </cell>
          <cell r="G20" t="str">
            <v>Monto Total de Crédito</v>
          </cell>
          <cell r="H20" t="str">
            <v>Tabla Notaría.Monto Total de Crédito</v>
          </cell>
        </row>
        <row r="21">
          <cell r="C21">
            <v>0</v>
          </cell>
        </row>
        <row r="22">
          <cell r="C22">
            <v>0</v>
          </cell>
          <cell r="D22">
            <v>0</v>
          </cell>
        </row>
        <row r="23">
          <cell r="A23" t="str">
            <v>Etiqueta</v>
          </cell>
          <cell r="B23" t="str">
            <v>Contenido</v>
          </cell>
          <cell r="C23" t="str">
            <v>Sección</v>
          </cell>
          <cell r="D23" t="str">
            <v>Nombre Aclaración</v>
          </cell>
          <cell r="E23" t="str">
            <v>Llave de Búsqueda</v>
          </cell>
          <cell r="F23" t="str">
            <v>Sigil</v>
          </cell>
          <cell r="G23" t="str">
            <v>Texto Etiqueta</v>
          </cell>
          <cell r="H23" t="str">
            <v>Sección.Etiqueta</v>
          </cell>
        </row>
        <row r="24">
          <cell r="A24" t="str">
            <v>Tasas de interés anual</v>
          </cell>
          <cell r="B24" t="str">
            <v>Tasas de interés anual</v>
          </cell>
          <cell r="C24" t="str">
            <v>Oferta Vinculante</v>
          </cell>
          <cell r="D24" t="str">
            <v>Comportamiento Tasa</v>
          </cell>
          <cell r="E24" t="str">
            <v>Oferta Vinculante.Comportamiento Tasa</v>
          </cell>
          <cell r="F24" t="str">
            <v xml:space="preserve"> * </v>
          </cell>
          <cell r="G24" t="str">
            <v xml:space="preserve">Tasas de interés anual * </v>
          </cell>
          <cell r="H24" t="str">
            <v>Oferta Vinculante.Tasas de interés anual</v>
          </cell>
        </row>
      </sheetData>
      <sheetData sheetId="27" refreshError="1">
        <row r="2">
          <cell r="D2">
            <v>249592.23</v>
          </cell>
          <cell r="AH2" t="str">
            <v>Selección por Producto</v>
          </cell>
        </row>
        <row r="4">
          <cell r="D4">
            <v>124796.11500000001</v>
          </cell>
          <cell r="AH4">
            <v>2</v>
          </cell>
        </row>
        <row r="5">
          <cell r="AH5" t="str">
            <v>Selección</v>
          </cell>
        </row>
        <row r="9">
          <cell r="D9">
            <v>10570982.501427282</v>
          </cell>
          <cell r="E9" t="b">
            <v>0</v>
          </cell>
          <cell r="L9">
            <v>1234.4152037179392</v>
          </cell>
          <cell r="N9">
            <v>7963.2799999999988</v>
          </cell>
          <cell r="AH9">
            <v>1234.4152037179392</v>
          </cell>
        </row>
        <row r="10">
          <cell r="AH10">
            <v>2468.8304074358784</v>
          </cell>
        </row>
        <row r="11">
          <cell r="C11">
            <v>1</v>
          </cell>
          <cell r="E11">
            <v>240</v>
          </cell>
          <cell r="L11">
            <v>75000</v>
          </cell>
          <cell r="N11">
            <v>240</v>
          </cell>
        </row>
        <row r="12">
          <cell r="C12">
            <v>1.0526315789473684</v>
          </cell>
          <cell r="E12">
            <v>9.4999999999999998E-3</v>
          </cell>
          <cell r="L12">
            <v>78947.368421052641</v>
          </cell>
          <cell r="N12">
            <v>9.4999999999999998E-3</v>
          </cell>
        </row>
        <row r="13">
          <cell r="C13">
            <v>0</v>
          </cell>
          <cell r="L13">
            <v>0</v>
          </cell>
        </row>
        <row r="14">
          <cell r="C14">
            <v>0</v>
          </cell>
          <cell r="L14">
            <v>0</v>
          </cell>
        </row>
        <row r="15">
          <cell r="C15">
            <v>0</v>
          </cell>
          <cell r="L15">
            <v>0</v>
          </cell>
        </row>
        <row r="16">
          <cell r="C16">
            <v>0</v>
          </cell>
          <cell r="L16">
            <v>0</v>
          </cell>
        </row>
        <row r="31">
          <cell r="D31">
            <v>10570982.501427282</v>
          </cell>
        </row>
        <row r="45">
          <cell r="D45">
            <v>11608807.693240525</v>
          </cell>
        </row>
        <row r="46">
          <cell r="Y46">
            <v>3</v>
          </cell>
        </row>
        <row r="49">
          <cell r="C49">
            <v>7000001</v>
          </cell>
        </row>
        <row r="50">
          <cell r="D50">
            <v>0.1</v>
          </cell>
        </row>
        <row r="54">
          <cell r="C54">
            <v>250000</v>
          </cell>
          <cell r="D54">
            <v>6675001</v>
          </cell>
        </row>
        <row r="55">
          <cell r="C55">
            <v>250000</v>
          </cell>
          <cell r="D55">
            <v>6675001</v>
          </cell>
        </row>
        <row r="56">
          <cell r="C56">
            <v>0</v>
          </cell>
          <cell r="D56">
            <v>6675001</v>
          </cell>
        </row>
        <row r="57">
          <cell r="D57">
            <v>6675001</v>
          </cell>
        </row>
        <row r="59">
          <cell r="C59">
            <v>0</v>
          </cell>
        </row>
        <row r="60">
          <cell r="C60">
            <v>6650000.9499999993</v>
          </cell>
          <cell r="D60">
            <v>0</v>
          </cell>
        </row>
        <row r="61">
          <cell r="C61">
            <v>0</v>
          </cell>
          <cell r="D61">
            <v>0</v>
          </cell>
          <cell r="O61">
            <v>7000001</v>
          </cell>
        </row>
        <row r="62">
          <cell r="D62">
            <v>6500001</v>
          </cell>
          <cell r="O62">
            <v>700000.10000000009</v>
          </cell>
        </row>
        <row r="64">
          <cell r="O64">
            <v>250000</v>
          </cell>
        </row>
        <row r="65">
          <cell r="G65">
            <v>6500001</v>
          </cell>
          <cell r="O65">
            <v>7000001</v>
          </cell>
        </row>
        <row r="66">
          <cell r="O66">
            <v>75000</v>
          </cell>
        </row>
        <row r="68">
          <cell r="O68">
            <v>6650000.9499999993</v>
          </cell>
        </row>
        <row r="69">
          <cell r="C69">
            <v>10570982.501427282</v>
          </cell>
        </row>
        <row r="70">
          <cell r="C70">
            <v>6500001</v>
          </cell>
          <cell r="O70">
            <v>10570982.501427282</v>
          </cell>
        </row>
        <row r="71">
          <cell r="C71">
            <v>6650000.9499999993</v>
          </cell>
          <cell r="O71">
            <v>10570982.501427282</v>
          </cell>
        </row>
        <row r="72">
          <cell r="C72">
            <v>6750001</v>
          </cell>
        </row>
        <row r="73">
          <cell r="C73">
            <v>6750001</v>
          </cell>
          <cell r="O73">
            <v>6500001</v>
          </cell>
        </row>
        <row r="74">
          <cell r="O74">
            <v>6500001</v>
          </cell>
        </row>
        <row r="76">
          <cell r="O76">
            <v>6500001</v>
          </cell>
        </row>
        <row r="77">
          <cell r="C77">
            <v>7000001</v>
          </cell>
        </row>
        <row r="78">
          <cell r="O78">
            <v>0</v>
          </cell>
        </row>
        <row r="79">
          <cell r="C79">
            <v>0</v>
          </cell>
        </row>
        <row r="80">
          <cell r="O80">
            <v>6425001</v>
          </cell>
        </row>
        <row r="81">
          <cell r="O81">
            <v>0</v>
          </cell>
        </row>
        <row r="83">
          <cell r="O83">
            <v>0</v>
          </cell>
        </row>
        <row r="84">
          <cell r="O84">
            <v>0</v>
          </cell>
        </row>
        <row r="86">
          <cell r="O86">
            <v>6500001</v>
          </cell>
        </row>
        <row r="88">
          <cell r="O88">
            <v>6500001</v>
          </cell>
        </row>
        <row r="91">
          <cell r="O91">
            <v>0</v>
          </cell>
        </row>
        <row r="92">
          <cell r="O92" t="b">
            <v>0</v>
          </cell>
        </row>
        <row r="98">
          <cell r="O98" t="str">
            <v>Crédito Banorte 92.86%</v>
          </cell>
        </row>
        <row r="99">
          <cell r="O99" t="str">
            <v>(1) Monto de crédito a favor del cliente :</v>
          </cell>
        </row>
        <row r="101">
          <cell r="O101" t="str">
            <v>Aportación Adicional (Opcional):</v>
          </cell>
        </row>
        <row r="102">
          <cell r="O102" t="str">
            <v>(2) En caso de necesitar un menor monto de crédito Banorte, lo puedes disminuir capturando el monto deseado desde el campo "Aportación Adicional (Opcional)"</v>
          </cell>
        </row>
        <row r="104">
          <cell r="O104">
            <v>372900.05220000003</v>
          </cell>
        </row>
        <row r="105">
          <cell r="O105" t="str">
            <v>Monto a pagar por el cliente</v>
          </cell>
        </row>
      </sheetData>
      <sheetData sheetId="28" refreshError="1">
        <row r="7">
          <cell r="D7">
            <v>1</v>
          </cell>
          <cell r="E7" t="str">
            <v>Amplio</v>
          </cell>
        </row>
        <row r="8">
          <cell r="E8" t="str">
            <v>Básico</v>
          </cell>
        </row>
        <row r="9">
          <cell r="D9">
            <v>3</v>
          </cell>
          <cell r="E9" t="str">
            <v>No</v>
          </cell>
        </row>
        <row r="12">
          <cell r="E12" t="str">
            <v>Sí</v>
          </cell>
        </row>
        <row r="13">
          <cell r="E13" t="str">
            <v>No</v>
          </cell>
        </row>
        <row r="34">
          <cell r="F34" t="str">
            <v xml:space="preserve"> </v>
          </cell>
        </row>
        <row r="35">
          <cell r="F35" t="str">
            <v xml:space="preserve"> </v>
          </cell>
        </row>
        <row r="36">
          <cell r="F36" t="str">
            <v>Vida, Enfermedades Graves y Momentos de Vida.</v>
          </cell>
        </row>
        <row r="37">
          <cell r="F37" t="str">
            <v>Daños y Contenidos.</v>
          </cell>
        </row>
        <row r="39">
          <cell r="F39" t="b">
            <v>1</v>
          </cell>
        </row>
        <row r="40">
          <cell r="F40" t="b">
            <v>1</v>
          </cell>
        </row>
        <row r="42">
          <cell r="F42" t="str">
            <v>Seguro de Vida, Enfermedades Graves y Momentos de Vida.</v>
          </cell>
        </row>
        <row r="43">
          <cell r="F43" t="str">
            <v>Seguro de Daños y Contenidos.</v>
          </cell>
        </row>
      </sheetData>
      <sheetData sheetId="29" refreshError="1">
        <row r="6">
          <cell r="B6">
            <v>6500001</v>
          </cell>
        </row>
        <row r="12">
          <cell r="B12" t="str">
            <v>No</v>
          </cell>
        </row>
        <row r="13">
          <cell r="B13">
            <v>0</v>
          </cell>
        </row>
        <row r="14">
          <cell r="B14">
            <v>0</v>
          </cell>
        </row>
        <row r="15">
          <cell r="B15">
            <v>0</v>
          </cell>
        </row>
        <row r="21">
          <cell r="B21" t="str">
            <v/>
          </cell>
        </row>
        <row r="28">
          <cell r="B28" t="str">
            <v>01</v>
          </cell>
        </row>
        <row r="29">
          <cell r="B29">
            <v>1000000000000</v>
          </cell>
        </row>
      </sheetData>
      <sheetData sheetId="30" refreshError="1">
        <row r="5">
          <cell r="A5">
            <v>1</v>
          </cell>
          <cell r="B5">
            <v>2</v>
          </cell>
          <cell r="C5">
            <v>3</v>
          </cell>
          <cell r="D5">
            <v>4</v>
          </cell>
          <cell r="E5">
            <v>5</v>
          </cell>
          <cell r="F5">
            <v>6</v>
          </cell>
          <cell r="G5">
            <v>0</v>
          </cell>
          <cell r="H5">
            <v>0</v>
          </cell>
          <cell r="I5">
            <v>9</v>
          </cell>
          <cell r="J5">
            <v>0</v>
          </cell>
          <cell r="K5">
            <v>0</v>
          </cell>
          <cell r="L5">
            <v>12</v>
          </cell>
          <cell r="M5">
            <v>0</v>
          </cell>
          <cell r="N5">
            <v>0</v>
          </cell>
        </row>
        <row r="6">
          <cell r="A6" t="str">
            <v>Nota Numero</v>
          </cell>
          <cell r="B6" t="str">
            <v>Descripción</v>
          </cell>
          <cell r="C6" t="str">
            <v>Aplica</v>
          </cell>
          <cell r="D6" t="str">
            <v>Índice Asignado</v>
          </cell>
          <cell r="E6" t="str">
            <v>Nota</v>
          </cell>
          <cell r="F6" t="str">
            <v>Sigil 1</v>
          </cell>
          <cell r="G6" t="str">
            <v>S1 Si</v>
          </cell>
          <cell r="H6" t="str">
            <v>S1 No</v>
          </cell>
          <cell r="I6" t="str">
            <v>Sigil 2</v>
          </cell>
          <cell r="J6" t="str">
            <v>S2 Si</v>
          </cell>
          <cell r="K6" t="str">
            <v>S2 No</v>
          </cell>
          <cell r="L6" t="str">
            <v>Sigil 2</v>
          </cell>
          <cell r="M6" t="str">
            <v>S2 Si</v>
          </cell>
          <cell r="N6" t="str">
            <v>S2 No</v>
          </cell>
        </row>
        <row r="7">
          <cell r="A7">
            <v>1</v>
          </cell>
          <cell r="B7" t="str">
            <v>Seguro de Desempleo</v>
          </cell>
          <cell r="C7" t="b">
            <v>1</v>
          </cell>
          <cell r="D7">
            <v>1</v>
          </cell>
          <cell r="E7" t="str">
            <v>Aplica si el Solicitante cubre los requisitos de elegibilidad vigentes en la póliza de vida colectiva.</v>
          </cell>
          <cell r="F7" t="str">
            <v>Gratis durante toda la vida del crédito.(1)</v>
          </cell>
          <cell r="G7" t="str">
            <v>Gratis durante toda la vida del crédito.(1)</v>
          </cell>
          <cell r="H7" t="str">
            <v>No Aplica</v>
          </cell>
        </row>
        <row r="8">
          <cell r="A8">
            <v>2</v>
          </cell>
          <cell r="B8" t="str">
            <v>Componentes CAT</v>
          </cell>
          <cell r="C8" t="b">
            <v>1</v>
          </cell>
          <cell r="D8">
            <v>2</v>
          </cell>
          <cell r="E8" t="str">
            <v>Los valores son los referidos a cada concepto indicado en el cuerpo de la presente oferta, sin considerar I.V.A.</v>
          </cell>
          <cell r="F8" t="str">
            <v>(2)</v>
          </cell>
          <cell r="G8" t="str">
            <v>(2)</v>
          </cell>
          <cell r="H8" t="str">
            <v/>
          </cell>
        </row>
        <row r="9">
          <cell r="A9">
            <v>3</v>
          </cell>
          <cell r="B9" t="str">
            <v>Monto Devolución</v>
          </cell>
          <cell r="C9" t="b">
            <v>0</v>
          </cell>
          <cell r="D9">
            <v>0</v>
          </cell>
          <cell r="E9" t="str">
            <v>Solo aplica si el Solicitante paga puntualmente y es sobre el monto solicitado sin incluir comisión por apertura en caso de ser financiada.</v>
          </cell>
          <cell r="F9" t="str">
            <v/>
          </cell>
          <cell r="G9" t="str">
            <v>(0)</v>
          </cell>
          <cell r="H9" t="str">
            <v/>
          </cell>
        </row>
        <row r="10">
          <cell r="A10">
            <v>4</v>
          </cell>
          <cell r="B10" t="str">
            <v>Seguro Vida Amplio o Momentos</v>
          </cell>
          <cell r="C10" t="b">
            <v>1</v>
          </cell>
          <cell r="D10">
            <v>3</v>
          </cell>
          <cell r="E10" t="str">
            <v>Enfermedades Graves y Momentos de Vida solo aplica cuando participa una mujer como acreditada o coacreditada al contratarse un crédito nuevo.</v>
          </cell>
          <cell r="F10" t="str">
            <v>(3)</v>
          </cell>
          <cell r="G10" t="str">
            <v>(3)</v>
          </cell>
          <cell r="H10" t="str">
            <v/>
          </cell>
          <cell r="I10" t="str">
            <v>Vida, enfermedades graves y momentos de vida.</v>
          </cell>
          <cell r="J10" t="str">
            <v>Vida, enfermedades graves y momentos de vida.</v>
          </cell>
          <cell r="K10" t="str">
            <v>Vida.</v>
          </cell>
          <cell r="L10" t="str">
            <v>Daños, contenidos y servicio de asistencia.</v>
          </cell>
          <cell r="M10" t="str">
            <v>Daños, contenidos y servicio de asistencia.</v>
          </cell>
          <cell r="N10" t="str">
            <v>Daños y contenidos.</v>
          </cell>
        </row>
        <row r="11">
          <cell r="A11">
            <v>5</v>
          </cell>
          <cell r="B11" t="str">
            <v>Aceptación Avalúo Subrogación</v>
          </cell>
          <cell r="C11" t="b">
            <v>0</v>
          </cell>
          <cell r="D11">
            <v>0</v>
          </cell>
          <cell r="E11" t="str">
            <v>Aceptación  de Avalúo aplica cuando se presenta Avalúo existente. Cuando no se presenta, aplicará costo de avaluó de 0.30% más IVA</v>
          </cell>
          <cell r="F11" t="str">
            <v/>
          </cell>
          <cell r="G11" t="str">
            <v>(0)</v>
          </cell>
          <cell r="H11" t="str">
            <v/>
          </cell>
        </row>
        <row r="12">
          <cell r="A12">
            <v>6</v>
          </cell>
          <cell r="B12" t="str">
            <v>Gastos Notariales Especial</v>
          </cell>
          <cell r="C12" t="b">
            <v>0</v>
          </cell>
          <cell r="D12">
            <v>0</v>
          </cell>
          <cell r="E12" t="str">
            <v/>
          </cell>
          <cell r="F12" t="str">
            <v/>
          </cell>
          <cell r="G12" t="str">
            <v>(0)</v>
          </cell>
          <cell r="H12" t="str">
            <v/>
          </cell>
        </row>
      </sheetData>
      <sheetData sheetId="31" refreshError="1">
        <row r="9">
          <cell r="E9">
            <v>79646.56372413793</v>
          </cell>
        </row>
      </sheetData>
      <sheetData sheetId="32" refreshError="1">
        <row r="6">
          <cell r="Q6">
            <v>0.13458772227200955</v>
          </cell>
        </row>
      </sheetData>
      <sheetData sheetId="33" refreshError="1">
        <row r="6">
          <cell r="Q6" t="e">
            <v>#VALUE!</v>
          </cell>
          <cell r="T6" t="e">
            <v>#VALUE!</v>
          </cell>
        </row>
      </sheetData>
      <sheetData sheetId="34" refreshError="1">
        <row r="6">
          <cell r="Q6">
            <v>0.13319035935107393</v>
          </cell>
        </row>
      </sheetData>
      <sheetData sheetId="35" refreshError="1">
        <row r="6">
          <cell r="Q6">
            <v>0.1332226852215681</v>
          </cell>
        </row>
        <row r="10">
          <cell r="U10">
            <v>7120.5954000000002</v>
          </cell>
          <cell r="V10">
            <v>7120.5954000000002</v>
          </cell>
          <cell r="W10">
            <v>7120.5954000000002</v>
          </cell>
        </row>
        <row r="11">
          <cell r="U11">
            <v>7188.2411000000002</v>
          </cell>
          <cell r="V11">
            <v>7188.2411000000002</v>
          </cell>
          <cell r="W11">
            <v>7188.2411000000002</v>
          </cell>
        </row>
        <row r="12">
          <cell r="U12">
            <v>7256.5294000000004</v>
          </cell>
          <cell r="V12">
            <v>7256.5294000000004</v>
          </cell>
          <cell r="W12">
            <v>7256.5294000000004</v>
          </cell>
        </row>
        <row r="13">
          <cell r="U13">
            <v>7325.4664000000002</v>
          </cell>
          <cell r="V13">
            <v>7325.4664000000002</v>
          </cell>
          <cell r="W13">
            <v>7325.4664000000002</v>
          </cell>
        </row>
        <row r="14">
          <cell r="U14">
            <v>7395.0582999999997</v>
          </cell>
          <cell r="V14">
            <v>7395.0582999999997</v>
          </cell>
          <cell r="W14">
            <v>7395.0582999999997</v>
          </cell>
        </row>
        <row r="15">
          <cell r="U15">
            <v>7465.3113999999996</v>
          </cell>
          <cell r="V15">
            <v>7465.3113999999996</v>
          </cell>
          <cell r="W15">
            <v>7465.3113999999996</v>
          </cell>
        </row>
        <row r="16">
          <cell r="U16">
            <v>7536.2317999999996</v>
          </cell>
          <cell r="V16">
            <v>7536.2317999999996</v>
          </cell>
          <cell r="W16">
            <v>7536.2317999999996</v>
          </cell>
        </row>
        <row r="17">
          <cell r="U17">
            <v>7607.826</v>
          </cell>
          <cell r="V17">
            <v>7607.826</v>
          </cell>
          <cell r="W17">
            <v>7607.826</v>
          </cell>
        </row>
        <row r="18">
          <cell r="U18">
            <v>7680.1004000000003</v>
          </cell>
          <cell r="V18">
            <v>7680.1004000000003</v>
          </cell>
          <cell r="W18">
            <v>7680.1004000000003</v>
          </cell>
        </row>
        <row r="19">
          <cell r="U19">
            <v>7753.0613000000003</v>
          </cell>
          <cell r="V19">
            <v>7753.0613000000003</v>
          </cell>
          <cell r="W19">
            <v>7753.0613000000003</v>
          </cell>
        </row>
        <row r="20">
          <cell r="U20">
            <v>7826.7154</v>
          </cell>
          <cell r="V20">
            <v>7826.7154</v>
          </cell>
          <cell r="W20">
            <v>7826.7154</v>
          </cell>
        </row>
        <row r="21">
          <cell r="U21">
            <v>7901.0691999999999</v>
          </cell>
          <cell r="V21">
            <v>7901.0691999999999</v>
          </cell>
          <cell r="W21">
            <v>7901.0691999999999</v>
          </cell>
        </row>
        <row r="22">
          <cell r="U22">
            <v>7976.1293999999998</v>
          </cell>
          <cell r="V22">
            <v>8180.6306999999997</v>
          </cell>
          <cell r="W22">
            <v>9058.6977999999999</v>
          </cell>
        </row>
        <row r="23">
          <cell r="U23">
            <v>8051.9026000000003</v>
          </cell>
          <cell r="V23">
            <v>8257.2288000000008</v>
          </cell>
          <cell r="W23">
            <v>9133.1239999999998</v>
          </cell>
        </row>
        <row r="24">
          <cell r="U24">
            <v>8128.3957</v>
          </cell>
          <cell r="V24">
            <v>8334.5455999999995</v>
          </cell>
          <cell r="W24">
            <v>9208.2572</v>
          </cell>
        </row>
        <row r="25">
          <cell r="U25">
            <v>8205.6154000000006</v>
          </cell>
          <cell r="V25">
            <v>8412.5877</v>
          </cell>
          <cell r="W25">
            <v>9284.1041000000005</v>
          </cell>
        </row>
        <row r="26">
          <cell r="U26">
            <v>8283.5687999999991</v>
          </cell>
          <cell r="V26">
            <v>8491.3621000000003</v>
          </cell>
          <cell r="W26">
            <v>9360.6715999999997</v>
          </cell>
        </row>
        <row r="27">
          <cell r="U27">
            <v>8362.2626999999993</v>
          </cell>
          <cell r="V27">
            <v>8570.8755999999994</v>
          </cell>
          <cell r="W27">
            <v>9437.9665999999997</v>
          </cell>
        </row>
        <row r="28">
          <cell r="U28">
            <v>8441.7042000000001</v>
          </cell>
          <cell r="V28">
            <v>8651.1350999999995</v>
          </cell>
          <cell r="W28">
            <v>9515.9958000000006</v>
          </cell>
        </row>
        <row r="29">
          <cell r="U29">
            <v>8521.9004000000004</v>
          </cell>
          <cell r="V29">
            <v>8732.1476999999995</v>
          </cell>
          <cell r="W29">
            <v>9594.7662</v>
          </cell>
        </row>
        <row r="30">
          <cell r="U30">
            <v>8602.8583999999992</v>
          </cell>
          <cell r="V30">
            <v>8813.9204000000009</v>
          </cell>
          <cell r="W30">
            <v>9674.2849999999999</v>
          </cell>
        </row>
        <row r="31">
          <cell r="U31">
            <v>8684.5856000000003</v>
          </cell>
          <cell r="V31">
            <v>8896.4604999999992</v>
          </cell>
          <cell r="W31">
            <v>9754.5593000000008</v>
          </cell>
        </row>
        <row r="32">
          <cell r="U32">
            <v>8767.0890999999992</v>
          </cell>
          <cell r="V32">
            <v>8979.7749999999996</v>
          </cell>
          <cell r="W32">
            <v>9835.5961000000007</v>
          </cell>
        </row>
        <row r="33">
          <cell r="U33">
            <v>8850.3765000000003</v>
          </cell>
          <cell r="V33">
            <v>9063.8714</v>
          </cell>
          <cell r="W33">
            <v>9917.4027999999998</v>
          </cell>
        </row>
        <row r="34">
          <cell r="U34">
            <v>8934.4550999999992</v>
          </cell>
          <cell r="V34">
            <v>9367.3930999999993</v>
          </cell>
          <cell r="W34">
            <v>11065.5182</v>
          </cell>
        </row>
        <row r="35">
          <cell r="U35">
            <v>9019.3323999999993</v>
          </cell>
          <cell r="V35">
            <v>9453.8688999999995</v>
          </cell>
          <cell r="W35">
            <v>11147.3776</v>
          </cell>
        </row>
        <row r="36">
          <cell r="U36">
            <v>9105.0161000000007</v>
          </cell>
          <cell r="V36">
            <v>9541.1463999999996</v>
          </cell>
          <cell r="W36">
            <v>11230.014800000001</v>
          </cell>
        </row>
        <row r="37">
          <cell r="U37">
            <v>9191.5136999999995</v>
          </cell>
          <cell r="V37">
            <v>9629.2330000000002</v>
          </cell>
          <cell r="W37">
            <v>11313.436900000001</v>
          </cell>
        </row>
        <row r="38">
          <cell r="U38">
            <v>9278.8330999999998</v>
          </cell>
          <cell r="V38">
            <v>9718.1363000000001</v>
          </cell>
          <cell r="W38">
            <v>11397.651599999999</v>
          </cell>
        </row>
        <row r="39">
          <cell r="U39">
            <v>9366.982</v>
          </cell>
          <cell r="V39">
            <v>9807.8639000000003</v>
          </cell>
          <cell r="W39">
            <v>11482.6664</v>
          </cell>
        </row>
        <row r="40">
          <cell r="U40">
            <v>9455.9683000000005</v>
          </cell>
          <cell r="V40">
            <v>9898.4235000000008</v>
          </cell>
          <cell r="W40">
            <v>11568.4887</v>
          </cell>
        </row>
        <row r="41">
          <cell r="U41">
            <v>9545.7999999999993</v>
          </cell>
          <cell r="V41">
            <v>9989.8228999999992</v>
          </cell>
          <cell r="W41">
            <v>11655.126399999999</v>
          </cell>
        </row>
        <row r="42">
          <cell r="U42">
            <v>9636.4850999999999</v>
          </cell>
          <cell r="V42">
            <v>10082.069799999999</v>
          </cell>
          <cell r="W42">
            <v>11742.5872</v>
          </cell>
        </row>
        <row r="43">
          <cell r="U43">
            <v>9728.0316999999995</v>
          </cell>
          <cell r="V43">
            <v>10175.1723</v>
          </cell>
          <cell r="W43">
            <v>11830.8788</v>
          </cell>
        </row>
        <row r="44">
          <cell r="U44">
            <v>9820.4480000000003</v>
          </cell>
          <cell r="V44">
            <v>10269.138199999999</v>
          </cell>
          <cell r="W44">
            <v>11920.0092</v>
          </cell>
        </row>
        <row r="45">
          <cell r="U45">
            <v>9913.7422999999999</v>
          </cell>
          <cell r="V45">
            <v>10363.9756</v>
          </cell>
          <cell r="W45">
            <v>12009.9863</v>
          </cell>
        </row>
        <row r="46">
          <cell r="U46">
            <v>10007.9228</v>
          </cell>
          <cell r="V46">
            <v>10691.9092</v>
          </cell>
          <cell r="W46">
            <v>13147.2659</v>
          </cell>
        </row>
        <row r="47">
          <cell r="U47">
            <v>10102.998100000001</v>
          </cell>
          <cell r="V47">
            <v>10789.258099999999</v>
          </cell>
          <cell r="W47">
            <v>13237.270500000001</v>
          </cell>
        </row>
        <row r="48">
          <cell r="U48">
            <v>10198.9766</v>
          </cell>
          <cell r="V48">
            <v>10887.499299999999</v>
          </cell>
          <cell r="W48">
            <v>13328.1301</v>
          </cell>
        </row>
        <row r="49">
          <cell r="U49">
            <v>10295.866900000001</v>
          </cell>
          <cell r="V49">
            <v>10986.641</v>
          </cell>
          <cell r="W49">
            <v>13419.8529</v>
          </cell>
        </row>
        <row r="50">
          <cell r="U50">
            <v>10393.677600000001</v>
          </cell>
          <cell r="V50">
            <v>11086.691699999999</v>
          </cell>
          <cell r="W50">
            <v>13512.447099999999</v>
          </cell>
        </row>
        <row r="51">
          <cell r="U51">
            <v>10492.4175</v>
          </cell>
          <cell r="V51">
            <v>11187.6597</v>
          </cell>
          <cell r="W51">
            <v>13605.920899999999</v>
          </cell>
        </row>
        <row r="52">
          <cell r="U52">
            <v>10592.095499999999</v>
          </cell>
          <cell r="V52">
            <v>11289.5535</v>
          </cell>
          <cell r="W52">
            <v>13700.2827</v>
          </cell>
        </row>
        <row r="53">
          <cell r="U53">
            <v>10692.7204</v>
          </cell>
          <cell r="V53">
            <v>11392.3817</v>
          </cell>
          <cell r="W53">
            <v>13795.5409</v>
          </cell>
        </row>
        <row r="54">
          <cell r="U54">
            <v>10794.301299999999</v>
          </cell>
          <cell r="V54">
            <v>11496.152899999999</v>
          </cell>
          <cell r="W54">
            <v>13891.704100000001</v>
          </cell>
        </row>
        <row r="55">
          <cell r="U55">
            <v>10896.847100000001</v>
          </cell>
          <cell r="V55">
            <v>11600.875899999999</v>
          </cell>
          <cell r="W55">
            <v>13988.7809</v>
          </cell>
        </row>
        <row r="56">
          <cell r="U56">
            <v>11000.367200000001</v>
          </cell>
          <cell r="V56">
            <v>11706.5594</v>
          </cell>
          <cell r="W56">
            <v>14086.7798</v>
          </cell>
        </row>
        <row r="57">
          <cell r="U57">
            <v>11104.870699999999</v>
          </cell>
          <cell r="V57">
            <v>11813.2124</v>
          </cell>
          <cell r="W57">
            <v>14185.709800000001</v>
          </cell>
        </row>
        <row r="58">
          <cell r="U58">
            <v>11210.366900000001</v>
          </cell>
          <cell r="V58">
            <v>12165.810299999999</v>
          </cell>
          <cell r="W58">
            <v>15310.6505</v>
          </cell>
        </row>
        <row r="59">
          <cell r="U59">
            <v>11316.865400000001</v>
          </cell>
          <cell r="V59">
            <v>12275.102699999999</v>
          </cell>
          <cell r="W59">
            <v>15409.575800000001</v>
          </cell>
        </row>
        <row r="60">
          <cell r="U60">
            <v>11424.375599999999</v>
          </cell>
          <cell r="V60">
            <v>12385.3863</v>
          </cell>
          <cell r="W60">
            <v>15509.4408</v>
          </cell>
        </row>
        <row r="61">
          <cell r="U61">
            <v>11532.9072</v>
          </cell>
          <cell r="V61">
            <v>12496.6702</v>
          </cell>
          <cell r="W61">
            <v>15610.2546</v>
          </cell>
        </row>
        <row r="62">
          <cell r="U62">
            <v>11642.469800000001</v>
          </cell>
          <cell r="V62">
            <v>12608.9637</v>
          </cell>
          <cell r="W62">
            <v>15712.026099999999</v>
          </cell>
        </row>
        <row r="63">
          <cell r="U63">
            <v>11753.0733</v>
          </cell>
          <cell r="V63">
            <v>12722.275900000001</v>
          </cell>
          <cell r="W63">
            <v>15814.7644</v>
          </cell>
        </row>
        <row r="64">
          <cell r="U64">
            <v>11864.727500000001</v>
          </cell>
          <cell r="V64">
            <v>12836.6162</v>
          </cell>
          <cell r="W64">
            <v>15918.478800000001</v>
          </cell>
        </row>
        <row r="65">
          <cell r="U65">
            <v>11977.4424</v>
          </cell>
          <cell r="V65">
            <v>12951.994199999999</v>
          </cell>
          <cell r="W65">
            <v>16023.178400000001</v>
          </cell>
        </row>
        <row r="66">
          <cell r="U66">
            <v>12091.2281</v>
          </cell>
          <cell r="V66">
            <v>13068.4192</v>
          </cell>
          <cell r="W66">
            <v>16128.8727</v>
          </cell>
        </row>
        <row r="67">
          <cell r="U67">
            <v>12206.094800000001</v>
          </cell>
          <cell r="V67">
            <v>13185.901</v>
          </cell>
          <cell r="W67">
            <v>16235.571</v>
          </cell>
        </row>
        <row r="68">
          <cell r="U68">
            <v>12322.0527</v>
          </cell>
          <cell r="V68">
            <v>13304.449199999999</v>
          </cell>
          <cell r="W68">
            <v>16343.282999999999</v>
          </cell>
        </row>
        <row r="69">
          <cell r="U69">
            <v>12439.1122</v>
          </cell>
          <cell r="V69">
            <v>13424.073700000001</v>
          </cell>
          <cell r="W69">
            <v>16452.0183</v>
          </cell>
        </row>
        <row r="70">
          <cell r="U70">
            <v>12557.2837</v>
          </cell>
          <cell r="V70">
            <v>13801.368399999999</v>
          </cell>
          <cell r="W70">
            <v>17562.9123</v>
          </cell>
        </row>
        <row r="71">
          <cell r="U71">
            <v>12676.5779</v>
          </cell>
          <cell r="V71">
            <v>13923.7554</v>
          </cell>
          <cell r="W71">
            <v>17671.602500000001</v>
          </cell>
        </row>
        <row r="72">
          <cell r="U72">
            <v>12797.0054</v>
          </cell>
          <cell r="V72">
            <v>14047.241400000001</v>
          </cell>
          <cell r="W72">
            <v>17781.325400000002</v>
          </cell>
        </row>
        <row r="73">
          <cell r="U73">
            <v>12918.576999999999</v>
          </cell>
          <cell r="V73">
            <v>14171.8364</v>
          </cell>
          <cell r="W73">
            <v>17892.0906</v>
          </cell>
        </row>
        <row r="74">
          <cell r="U74">
            <v>13041.3035</v>
          </cell>
          <cell r="V74">
            <v>14297.550499999999</v>
          </cell>
          <cell r="W74">
            <v>18003.907999999999</v>
          </cell>
        </row>
        <row r="75">
          <cell r="U75">
            <v>13165.1958</v>
          </cell>
          <cell r="V75">
            <v>14424.3941</v>
          </cell>
          <cell r="W75">
            <v>18116.787799999998</v>
          </cell>
        </row>
        <row r="76">
          <cell r="U76">
            <v>13290.2652</v>
          </cell>
          <cell r="V76">
            <v>14552.3773</v>
          </cell>
          <cell r="W76">
            <v>18230.739799999999</v>
          </cell>
        </row>
        <row r="77">
          <cell r="U77">
            <v>13416.5227</v>
          </cell>
          <cell r="V77">
            <v>14681.5106</v>
          </cell>
          <cell r="W77">
            <v>18345.7745</v>
          </cell>
        </row>
        <row r="78">
          <cell r="U78">
            <v>13543.9797</v>
          </cell>
          <cell r="V78">
            <v>14811.804400000001</v>
          </cell>
          <cell r="W78">
            <v>18461.901900000001</v>
          </cell>
        </row>
        <row r="79">
          <cell r="U79">
            <v>13672.647499999999</v>
          </cell>
          <cell r="V79">
            <v>14943.2695</v>
          </cell>
          <cell r="W79">
            <v>18579.132600000001</v>
          </cell>
        </row>
        <row r="80">
          <cell r="U80">
            <v>13802.5376</v>
          </cell>
          <cell r="V80">
            <v>15075.9164</v>
          </cell>
          <cell r="W80">
            <v>18697.476900000001</v>
          </cell>
        </row>
        <row r="81">
          <cell r="U81">
            <v>13933.661700000001</v>
          </cell>
          <cell r="V81">
            <v>15209.755999999999</v>
          </cell>
          <cell r="W81">
            <v>18816.945599999999</v>
          </cell>
        </row>
        <row r="82">
          <cell r="U82">
            <v>14066.031499999999</v>
          </cell>
          <cell r="V82">
            <v>15611.540199999999</v>
          </cell>
          <cell r="W82">
            <v>19911.852699999999</v>
          </cell>
        </row>
        <row r="83">
          <cell r="U83">
            <v>14199.658799999999</v>
          </cell>
          <cell r="V83">
            <v>15748.2595</v>
          </cell>
          <cell r="W83">
            <v>20031.2264</v>
          </cell>
        </row>
        <row r="84">
          <cell r="U84">
            <v>14334.5556</v>
          </cell>
          <cell r="V84">
            <v>15886.1952</v>
          </cell>
          <cell r="W84">
            <v>20151.734199999999</v>
          </cell>
        </row>
        <row r="85">
          <cell r="U85">
            <v>14470.733899999999</v>
          </cell>
          <cell r="V85">
            <v>16025.358399999999</v>
          </cell>
          <cell r="W85">
            <v>20273.3868</v>
          </cell>
        </row>
        <row r="86">
          <cell r="U86">
            <v>14608.2058</v>
          </cell>
          <cell r="V86">
            <v>16165.760200000001</v>
          </cell>
          <cell r="W86">
            <v>20396.195100000001</v>
          </cell>
        </row>
        <row r="87">
          <cell r="U87">
            <v>14746.9838</v>
          </cell>
          <cell r="V87">
            <v>16307.4118</v>
          </cell>
          <cell r="W87">
            <v>20520.169999999998</v>
          </cell>
        </row>
        <row r="88">
          <cell r="U88">
            <v>14887.080099999999</v>
          </cell>
          <cell r="V88">
            <v>16450.324700000001</v>
          </cell>
          <cell r="W88">
            <v>20645.322800000002</v>
          </cell>
        </row>
        <row r="89">
          <cell r="U89">
            <v>15028.5074</v>
          </cell>
          <cell r="V89">
            <v>16594.510300000002</v>
          </cell>
          <cell r="W89">
            <v>20771.664499999999</v>
          </cell>
        </row>
        <row r="90">
          <cell r="U90">
            <v>15171.278200000001</v>
          </cell>
          <cell r="V90">
            <v>16739.980100000001</v>
          </cell>
          <cell r="W90">
            <v>20899.206399999999</v>
          </cell>
        </row>
        <row r="91">
          <cell r="U91">
            <v>15315.4054</v>
          </cell>
          <cell r="V91">
            <v>16886.745699999999</v>
          </cell>
          <cell r="W91">
            <v>21027.96</v>
          </cell>
        </row>
        <row r="92">
          <cell r="U92">
            <v>15460.9017</v>
          </cell>
          <cell r="V92">
            <v>17034.819</v>
          </cell>
          <cell r="W92">
            <v>21157.936699999998</v>
          </cell>
        </row>
        <row r="93">
          <cell r="U93">
            <v>15607.7803</v>
          </cell>
          <cell r="V93">
            <v>17184.211899999998</v>
          </cell>
          <cell r="W93">
            <v>21289.1482</v>
          </cell>
        </row>
        <row r="94">
          <cell r="U94">
            <v>15756.0542</v>
          </cell>
          <cell r="V94">
            <v>17610.018400000001</v>
          </cell>
          <cell r="W94">
            <v>22365.8649</v>
          </cell>
        </row>
        <row r="95">
          <cell r="U95">
            <v>15905.736699999999</v>
          </cell>
          <cell r="V95">
            <v>17762.401300000001</v>
          </cell>
          <cell r="W95">
            <v>22496.920300000002</v>
          </cell>
        </row>
        <row r="96">
          <cell r="U96">
            <v>16056.841200000001</v>
          </cell>
          <cell r="V96">
            <v>17916.128400000001</v>
          </cell>
          <cell r="W96">
            <v>22629.220700000002</v>
          </cell>
        </row>
        <row r="97">
          <cell r="U97">
            <v>16209.3812</v>
          </cell>
          <cell r="V97">
            <v>18071.212100000001</v>
          </cell>
          <cell r="W97">
            <v>22762.777900000001</v>
          </cell>
        </row>
        <row r="98">
          <cell r="U98">
            <v>16363.3703</v>
          </cell>
          <cell r="V98">
            <v>18227.6646</v>
          </cell>
          <cell r="W98">
            <v>22897.603999999999</v>
          </cell>
        </row>
        <row r="99">
          <cell r="U99">
            <v>16518.8223</v>
          </cell>
          <cell r="V99">
            <v>18385.498100000001</v>
          </cell>
          <cell r="W99">
            <v>23033.710800000001</v>
          </cell>
        </row>
        <row r="100">
          <cell r="U100">
            <v>16675.751199999999</v>
          </cell>
          <cell r="V100">
            <v>18544.725200000001</v>
          </cell>
          <cell r="W100">
            <v>23171.110700000001</v>
          </cell>
        </row>
        <row r="101">
          <cell r="U101">
            <v>16834.1708</v>
          </cell>
          <cell r="V101">
            <v>18705.3586</v>
          </cell>
          <cell r="W101">
            <v>23309.815900000001</v>
          </cell>
        </row>
        <row r="102">
          <cell r="U102">
            <v>16994.095399999998</v>
          </cell>
          <cell r="V102">
            <v>18867.410800000001</v>
          </cell>
          <cell r="W102">
            <v>23449.838800000001</v>
          </cell>
        </row>
        <row r="103">
          <cell r="U103">
            <v>17155.5393</v>
          </cell>
          <cell r="V103">
            <v>19030.894700000001</v>
          </cell>
          <cell r="W103">
            <v>23591.191900000002</v>
          </cell>
        </row>
        <row r="104">
          <cell r="U104">
            <v>17318.516899999999</v>
          </cell>
          <cell r="V104">
            <v>19195.823400000001</v>
          </cell>
          <cell r="W104">
            <v>23733.887900000002</v>
          </cell>
        </row>
        <row r="105">
          <cell r="U105">
            <v>17483.0429</v>
          </cell>
          <cell r="V105">
            <v>19362.209800000001</v>
          </cell>
          <cell r="W105">
            <v>23877.9395</v>
          </cell>
        </row>
        <row r="106">
          <cell r="U106">
            <v>17649.131799999999</v>
          </cell>
          <cell r="V106">
            <v>19530.0671</v>
          </cell>
          <cell r="W106">
            <v>24023.359499999999</v>
          </cell>
        </row>
        <row r="107">
          <cell r="U107">
            <v>17816.798500000001</v>
          </cell>
          <cell r="V107">
            <v>19699.4087</v>
          </cell>
          <cell r="W107">
            <v>24170.161100000001</v>
          </cell>
        </row>
        <row r="108">
          <cell r="U108">
            <v>17986.058099999998</v>
          </cell>
          <cell r="V108">
            <v>19870.247899999998</v>
          </cell>
          <cell r="W108">
            <v>24318.3573</v>
          </cell>
        </row>
        <row r="109">
          <cell r="U109">
            <v>18156.925599999999</v>
          </cell>
          <cell r="V109">
            <v>20042.598399999999</v>
          </cell>
          <cell r="W109">
            <v>24467.961299999999</v>
          </cell>
        </row>
        <row r="110">
          <cell r="U110">
            <v>18329.416399999998</v>
          </cell>
          <cell r="V110">
            <v>20216.4738</v>
          </cell>
          <cell r="W110">
            <v>24618.9866</v>
          </cell>
        </row>
        <row r="111">
          <cell r="U111">
            <v>18503.545900000001</v>
          </cell>
          <cell r="V111">
            <v>20391.887999999999</v>
          </cell>
          <cell r="W111">
            <v>24771.446599999999</v>
          </cell>
        </row>
        <row r="112">
          <cell r="U112">
            <v>18679.329600000001</v>
          </cell>
          <cell r="V112">
            <v>20568.854899999998</v>
          </cell>
          <cell r="W112">
            <v>24925.355</v>
          </cell>
        </row>
        <row r="113">
          <cell r="U113">
            <v>18856.783200000002</v>
          </cell>
          <cell r="V113">
            <v>20747.388500000001</v>
          </cell>
          <cell r="W113">
            <v>25080.7255</v>
          </cell>
        </row>
        <row r="114">
          <cell r="U114">
            <v>19035.922699999999</v>
          </cell>
          <cell r="V114">
            <v>20927.503100000002</v>
          </cell>
          <cell r="W114">
            <v>25237.572</v>
          </cell>
        </row>
        <row r="115">
          <cell r="U115">
            <v>19216.763900000002</v>
          </cell>
          <cell r="V115">
            <v>21109.213</v>
          </cell>
          <cell r="W115">
            <v>25395.908599999999</v>
          </cell>
        </row>
        <row r="116">
          <cell r="U116">
            <v>19399.323199999999</v>
          </cell>
          <cell r="V116">
            <v>21292.532599999999</v>
          </cell>
          <cell r="W116">
            <v>25555.749299999999</v>
          </cell>
        </row>
        <row r="117">
          <cell r="U117">
            <v>19583.616699999999</v>
          </cell>
          <cell r="V117">
            <v>21477.476600000002</v>
          </cell>
          <cell r="W117">
            <v>25717.1086</v>
          </cell>
        </row>
        <row r="118">
          <cell r="U118">
            <v>19769.661100000001</v>
          </cell>
          <cell r="V118">
            <v>21664.059600000001</v>
          </cell>
          <cell r="W118">
            <v>25880.000800000002</v>
          </cell>
        </row>
        <row r="119">
          <cell r="U119">
            <v>19957.472900000001</v>
          </cell>
          <cell r="V119">
            <v>21852.296699999999</v>
          </cell>
          <cell r="W119">
            <v>26044.440399999999</v>
          </cell>
        </row>
        <row r="120">
          <cell r="U120">
            <v>20147.068899999998</v>
          </cell>
          <cell r="V120">
            <v>22042.202700000002</v>
          </cell>
          <cell r="W120">
            <v>26210.442299999999</v>
          </cell>
        </row>
        <row r="121">
          <cell r="U121">
            <v>20338.466</v>
          </cell>
          <cell r="V121">
            <v>22233.792799999999</v>
          </cell>
          <cell r="W121">
            <v>26378.021100000002</v>
          </cell>
        </row>
        <row r="122">
          <cell r="U122">
            <v>20531.681499999999</v>
          </cell>
          <cell r="V122">
            <v>22427.082299999998</v>
          </cell>
          <cell r="W122">
            <v>26547.191900000002</v>
          </cell>
        </row>
        <row r="123">
          <cell r="U123">
            <v>20726.732400000001</v>
          </cell>
          <cell r="V123">
            <v>22622.0867</v>
          </cell>
          <cell r="W123">
            <v>26717.9699</v>
          </cell>
        </row>
        <row r="124">
          <cell r="U124">
            <v>20923.636399999999</v>
          </cell>
          <cell r="V124">
            <v>22818.821499999998</v>
          </cell>
          <cell r="W124">
            <v>26890.370299999999</v>
          </cell>
        </row>
        <row r="125">
          <cell r="U125">
            <v>21122.410899999999</v>
          </cell>
          <cell r="V125">
            <v>23017.302500000002</v>
          </cell>
          <cell r="W125">
            <v>27064.4084</v>
          </cell>
        </row>
        <row r="126">
          <cell r="U126">
            <v>21323.073799999998</v>
          </cell>
          <cell r="V126">
            <v>23217.545399999999</v>
          </cell>
          <cell r="W126">
            <v>27240.099900000001</v>
          </cell>
        </row>
        <row r="127">
          <cell r="U127">
            <v>21525.643</v>
          </cell>
          <cell r="V127">
            <v>23419.5664</v>
          </cell>
          <cell r="W127">
            <v>27417.460500000001</v>
          </cell>
        </row>
        <row r="128">
          <cell r="U128">
            <v>21730.136699999999</v>
          </cell>
          <cell r="V128">
            <v>23623.381600000001</v>
          </cell>
          <cell r="W128">
            <v>27596.506000000001</v>
          </cell>
        </row>
        <row r="129">
          <cell r="U129">
            <v>21936.573</v>
          </cell>
          <cell r="V129">
            <v>23829.0072</v>
          </cell>
          <cell r="W129">
            <v>27777.252499999999</v>
          </cell>
        </row>
        <row r="130">
          <cell r="U130">
            <v>22144.970399999998</v>
          </cell>
          <cell r="V130">
            <v>24036.459900000002</v>
          </cell>
          <cell r="W130">
            <v>27959.716</v>
          </cell>
        </row>
        <row r="131">
          <cell r="U131">
            <v>22355.347600000001</v>
          </cell>
          <cell r="V131">
            <v>24245.756099999999</v>
          </cell>
          <cell r="W131">
            <v>28143.913</v>
          </cell>
        </row>
        <row r="132">
          <cell r="U132">
            <v>22567.723399999999</v>
          </cell>
          <cell r="V132">
            <v>24456.912700000001</v>
          </cell>
          <cell r="W132">
            <v>28329.859799999998</v>
          </cell>
        </row>
        <row r="133">
          <cell r="U133">
            <v>22782.1168</v>
          </cell>
          <cell r="V133">
            <v>24669.946599999999</v>
          </cell>
          <cell r="W133">
            <v>28517.573100000001</v>
          </cell>
        </row>
        <row r="134">
          <cell r="U134">
            <v>22998.546900000001</v>
          </cell>
          <cell r="V134">
            <v>24884.874800000001</v>
          </cell>
          <cell r="W134">
            <v>28707.0697</v>
          </cell>
        </row>
        <row r="135">
          <cell r="U135">
            <v>23217.033100000001</v>
          </cell>
          <cell r="V135">
            <v>25101.7147</v>
          </cell>
          <cell r="W135">
            <v>28898.3665</v>
          </cell>
        </row>
        <row r="136">
          <cell r="U136">
            <v>23437.5949</v>
          </cell>
          <cell r="V136">
            <v>25320.4836</v>
          </cell>
          <cell r="W136">
            <v>29091.480599999999</v>
          </cell>
        </row>
        <row r="137">
          <cell r="U137">
            <v>23660.252100000002</v>
          </cell>
          <cell r="V137">
            <v>25541.199100000002</v>
          </cell>
          <cell r="W137">
            <v>29286.4293</v>
          </cell>
        </row>
        <row r="138">
          <cell r="U138">
            <v>23885.0245</v>
          </cell>
          <cell r="V138">
            <v>25763.879000000001</v>
          </cell>
          <cell r="W138">
            <v>29483.23</v>
          </cell>
        </row>
        <row r="139">
          <cell r="U139">
            <v>24111.932199999999</v>
          </cell>
          <cell r="V139">
            <v>25988.541000000001</v>
          </cell>
          <cell r="W139">
            <v>29681.900300000001</v>
          </cell>
        </row>
        <row r="140">
          <cell r="U140">
            <v>24340.995500000001</v>
          </cell>
          <cell r="V140">
            <v>26215.203399999999</v>
          </cell>
          <cell r="W140">
            <v>29882.457999999999</v>
          </cell>
        </row>
        <row r="141">
          <cell r="U141">
            <v>24572.235000000001</v>
          </cell>
          <cell r="V141">
            <v>26443.884300000002</v>
          </cell>
          <cell r="W141">
            <v>30084.920999999998</v>
          </cell>
        </row>
        <row r="142">
          <cell r="U142">
            <v>24805.671200000001</v>
          </cell>
          <cell r="V142">
            <v>26674.602200000001</v>
          </cell>
          <cell r="W142">
            <v>30289.307400000002</v>
          </cell>
        </row>
        <row r="143">
          <cell r="U143">
            <v>25041.325099999998</v>
          </cell>
          <cell r="V143">
            <v>26907.375499999998</v>
          </cell>
          <cell r="W143">
            <v>30495.6355</v>
          </cell>
        </row>
        <row r="144">
          <cell r="U144">
            <v>25279.217700000001</v>
          </cell>
          <cell r="V144">
            <v>27142.223099999999</v>
          </cell>
          <cell r="W144">
            <v>30703.923699999999</v>
          </cell>
        </row>
        <row r="145">
          <cell r="U145">
            <v>25519.370299999999</v>
          </cell>
          <cell r="V145">
            <v>27379.1639</v>
          </cell>
          <cell r="W145">
            <v>30914.190600000002</v>
          </cell>
        </row>
        <row r="146">
          <cell r="U146">
            <v>25761.8043</v>
          </cell>
          <cell r="V146">
            <v>27618.217000000001</v>
          </cell>
          <cell r="W146">
            <v>31126.455000000002</v>
          </cell>
        </row>
        <row r="147">
          <cell r="U147">
            <v>26006.541399999998</v>
          </cell>
          <cell r="V147">
            <v>27859.401600000001</v>
          </cell>
          <cell r="W147">
            <v>31340.736000000001</v>
          </cell>
        </row>
        <row r="148">
          <cell r="U148">
            <v>26253.603599999999</v>
          </cell>
          <cell r="V148">
            <v>28102.7372</v>
          </cell>
          <cell r="W148">
            <v>31557.052599999999</v>
          </cell>
        </row>
        <row r="149">
          <cell r="U149">
            <v>26503.0128</v>
          </cell>
          <cell r="V149">
            <v>28348.2435</v>
          </cell>
          <cell r="W149">
            <v>31775.424299999999</v>
          </cell>
        </row>
        <row r="150">
          <cell r="U150">
            <v>26754.791399999998</v>
          </cell>
          <cell r="V150">
            <v>28595.940299999998</v>
          </cell>
          <cell r="W150">
            <v>31995.8704</v>
          </cell>
        </row>
        <row r="151">
          <cell r="U151">
            <v>27008.961899999998</v>
          </cell>
          <cell r="V151">
            <v>28845.8475</v>
          </cell>
          <cell r="W151">
            <v>32218.410800000001</v>
          </cell>
        </row>
        <row r="152">
          <cell r="U152">
            <v>27265.5471</v>
          </cell>
          <cell r="V152">
            <v>29097.985400000001</v>
          </cell>
          <cell r="W152">
            <v>32443.065399999999</v>
          </cell>
        </row>
        <row r="153">
          <cell r="U153">
            <v>27524.569800000001</v>
          </cell>
          <cell r="V153">
            <v>29352.374400000001</v>
          </cell>
          <cell r="W153">
            <v>32669.8541</v>
          </cell>
        </row>
        <row r="154">
          <cell r="U154">
            <v>27786.053199999998</v>
          </cell>
          <cell r="V154">
            <v>29609.035</v>
          </cell>
          <cell r="W154">
            <v>32898.797400000003</v>
          </cell>
        </row>
        <row r="155">
          <cell r="U155">
            <v>28050.020700000001</v>
          </cell>
          <cell r="V155">
            <v>29867.988000000001</v>
          </cell>
          <cell r="W155">
            <v>33129.9156</v>
          </cell>
        </row>
        <row r="156">
          <cell r="U156">
            <v>28316.495900000002</v>
          </cell>
          <cell r="V156">
            <v>30129.254400000002</v>
          </cell>
          <cell r="W156">
            <v>33363.229500000001</v>
          </cell>
        </row>
        <row r="157">
          <cell r="U157">
            <v>28585.5026</v>
          </cell>
          <cell r="V157">
            <v>30392.855299999999</v>
          </cell>
          <cell r="W157">
            <v>33598.7598</v>
          </cell>
        </row>
        <row r="158">
          <cell r="U158">
            <v>28857.064900000001</v>
          </cell>
          <cell r="V158">
            <v>30658.812000000002</v>
          </cell>
          <cell r="W158">
            <v>33836.527600000001</v>
          </cell>
        </row>
        <row r="159">
          <cell r="U159">
            <v>29131.206999999999</v>
          </cell>
          <cell r="V159">
            <v>30927.146199999999</v>
          </cell>
          <cell r="W159">
            <v>34076.554300000003</v>
          </cell>
        </row>
        <row r="160">
          <cell r="U160">
            <v>29407.9535</v>
          </cell>
          <cell r="V160">
            <v>31197.879499999999</v>
          </cell>
          <cell r="W160">
            <v>34318.861199999999</v>
          </cell>
        </row>
        <row r="161">
          <cell r="U161">
            <v>29687.329000000002</v>
          </cell>
          <cell r="V161">
            <v>31471.034</v>
          </cell>
          <cell r="W161">
            <v>34563.47</v>
          </cell>
        </row>
        <row r="162">
          <cell r="U162">
            <v>29969.3586</v>
          </cell>
          <cell r="V162">
            <v>31746.631700000002</v>
          </cell>
          <cell r="W162">
            <v>34810.402600000001</v>
          </cell>
        </row>
        <row r="163">
          <cell r="U163">
            <v>30254.067599999998</v>
          </cell>
          <cell r="V163">
            <v>32024.695100000001</v>
          </cell>
          <cell r="W163">
            <v>35059.681100000002</v>
          </cell>
        </row>
        <row r="164">
          <cell r="U164">
            <v>30541.481199999998</v>
          </cell>
          <cell r="V164">
            <v>32305.246800000001</v>
          </cell>
          <cell r="W164">
            <v>35311.327700000002</v>
          </cell>
        </row>
        <row r="165">
          <cell r="U165">
            <v>30831.6253</v>
          </cell>
          <cell r="V165">
            <v>32588.309399999998</v>
          </cell>
          <cell r="W165">
            <v>35565.364999999998</v>
          </cell>
        </row>
        <row r="166">
          <cell r="U166">
            <v>31124.525699999998</v>
          </cell>
          <cell r="V166">
            <v>32873.9061</v>
          </cell>
          <cell r="W166">
            <v>35821.815600000002</v>
          </cell>
        </row>
        <row r="167">
          <cell r="U167">
            <v>31420.208699999999</v>
          </cell>
          <cell r="V167">
            <v>33162.060100000002</v>
          </cell>
          <cell r="W167">
            <v>36080.702400000002</v>
          </cell>
        </row>
        <row r="168">
          <cell r="U168">
            <v>31718.700700000001</v>
          </cell>
          <cell r="V168">
            <v>33452.794699999999</v>
          </cell>
          <cell r="W168">
            <v>36342.048799999997</v>
          </cell>
        </row>
        <row r="169">
          <cell r="U169">
            <v>32020.028300000002</v>
          </cell>
          <cell r="V169">
            <v>33746.133699999998</v>
          </cell>
          <cell r="W169">
            <v>36605.877899999999</v>
          </cell>
        </row>
        <row r="170">
          <cell r="U170">
            <v>32324.2186</v>
          </cell>
          <cell r="V170">
            <v>34042.100899999998</v>
          </cell>
          <cell r="W170">
            <v>36872.213300000003</v>
          </cell>
        </row>
        <row r="171">
          <cell r="U171">
            <v>32631.298699999999</v>
          </cell>
          <cell r="V171">
            <v>34340.720399999998</v>
          </cell>
          <cell r="W171">
            <v>37141.078999999998</v>
          </cell>
        </row>
        <row r="172">
          <cell r="U172">
            <v>32941.296000000002</v>
          </cell>
          <cell r="V172">
            <v>34642.016600000003</v>
          </cell>
          <cell r="W172">
            <v>37412.498899999999</v>
          </cell>
        </row>
        <row r="173">
          <cell r="U173">
            <v>33254.238299999997</v>
          </cell>
          <cell r="V173">
            <v>34946.013899999998</v>
          </cell>
          <cell r="W173">
            <v>37686.497300000003</v>
          </cell>
        </row>
        <row r="174">
          <cell r="U174">
            <v>33570.153599999998</v>
          </cell>
          <cell r="V174">
            <v>35252.737200000003</v>
          </cell>
          <cell r="W174">
            <v>37963.098599999998</v>
          </cell>
        </row>
        <row r="175">
          <cell r="U175">
            <v>33889.070099999997</v>
          </cell>
          <cell r="V175">
            <v>35562.211499999998</v>
          </cell>
          <cell r="W175">
            <v>38242.327700000002</v>
          </cell>
        </row>
        <row r="176">
          <cell r="U176">
            <v>34211.016199999998</v>
          </cell>
          <cell r="V176">
            <v>35874.462099999997</v>
          </cell>
          <cell r="W176">
            <v>38524.209499999997</v>
          </cell>
        </row>
        <row r="177">
          <cell r="U177">
            <v>34536.020900000003</v>
          </cell>
          <cell r="V177">
            <v>36189.5144</v>
          </cell>
          <cell r="W177">
            <v>38808.769099999998</v>
          </cell>
        </row>
        <row r="178">
          <cell r="U178">
            <v>34864.113100000002</v>
          </cell>
          <cell r="V178">
            <v>36507.394099999998</v>
          </cell>
          <cell r="W178">
            <v>39096.032099999997</v>
          </cell>
        </row>
        <row r="179">
          <cell r="U179">
            <v>35195.322099999998</v>
          </cell>
          <cell r="V179">
            <v>36828.1273</v>
          </cell>
          <cell r="W179">
            <v>39386.023999999998</v>
          </cell>
        </row>
        <row r="180">
          <cell r="U180">
            <v>35529.6777</v>
          </cell>
          <cell r="V180">
            <v>37151.740100000003</v>
          </cell>
          <cell r="W180">
            <v>39678.770900000003</v>
          </cell>
        </row>
        <row r="181">
          <cell r="U181">
            <v>35867.209600000002</v>
          </cell>
          <cell r="V181">
            <v>37478.258900000001</v>
          </cell>
          <cell r="W181">
            <v>39974.298799999997</v>
          </cell>
        </row>
        <row r="182">
          <cell r="U182">
            <v>36207.948100000001</v>
          </cell>
          <cell r="V182">
            <v>37807.710599999999</v>
          </cell>
          <cell r="W182">
            <v>40272.634299999998</v>
          </cell>
        </row>
        <row r="183">
          <cell r="U183">
            <v>36551.923600000002</v>
          </cell>
          <cell r="V183">
            <v>38140.122000000003</v>
          </cell>
          <cell r="W183">
            <v>40573.803999999996</v>
          </cell>
        </row>
        <row r="184">
          <cell r="U184">
            <v>36899.166899999997</v>
          </cell>
          <cell r="V184">
            <v>38475.520299999996</v>
          </cell>
          <cell r="W184">
            <v>40877.834799999997</v>
          </cell>
        </row>
        <row r="185">
          <cell r="U185">
            <v>37249.709000000003</v>
          </cell>
          <cell r="V185">
            <v>38813.932999999997</v>
          </cell>
          <cell r="W185">
            <v>41184.753799999999</v>
          </cell>
        </row>
        <row r="186">
          <cell r="U186">
            <v>37603.581200000001</v>
          </cell>
          <cell r="V186">
            <v>39155.387900000002</v>
          </cell>
          <cell r="W186">
            <v>41494.588600000003</v>
          </cell>
        </row>
        <row r="187">
          <cell r="U187">
            <v>37960.815300000002</v>
          </cell>
          <cell r="V187">
            <v>39499.912900000003</v>
          </cell>
          <cell r="W187">
            <v>41807.366900000001</v>
          </cell>
        </row>
        <row r="188">
          <cell r="U188">
            <v>38321.442999999999</v>
          </cell>
          <cell r="V188">
            <v>39847.536200000002</v>
          </cell>
          <cell r="W188">
            <v>42123.116499999996</v>
          </cell>
        </row>
        <row r="189">
          <cell r="U189">
            <v>38685.496700000003</v>
          </cell>
          <cell r="V189">
            <v>40198.2863</v>
          </cell>
          <cell r="W189">
            <v>42441.865700000002</v>
          </cell>
        </row>
        <row r="190">
          <cell r="U190">
            <v>39053.008900000001</v>
          </cell>
          <cell r="V190">
            <v>40552.1921</v>
          </cell>
          <cell r="W190">
            <v>42763.643100000001</v>
          </cell>
        </row>
        <row r="191">
          <cell r="U191">
            <v>39424.012499999997</v>
          </cell>
          <cell r="V191">
            <v>40909.282599999999</v>
          </cell>
          <cell r="W191">
            <v>43088.477299999999</v>
          </cell>
        </row>
        <row r="192">
          <cell r="U192">
            <v>39798.5406</v>
          </cell>
          <cell r="V192">
            <v>41269.587</v>
          </cell>
          <cell r="W192">
            <v>43416.397499999999</v>
          </cell>
        </row>
        <row r="193">
          <cell r="U193">
            <v>40176.626799999998</v>
          </cell>
          <cell r="V193">
            <v>41633.135000000002</v>
          </cell>
          <cell r="W193">
            <v>43747.4329</v>
          </cell>
        </row>
        <row r="194">
          <cell r="U194">
            <v>40558.304700000001</v>
          </cell>
          <cell r="V194">
            <v>41999.956400000003</v>
          </cell>
          <cell r="W194">
            <v>44081.6132</v>
          </cell>
        </row>
        <row r="195">
          <cell r="U195">
            <v>40943.6086</v>
          </cell>
          <cell r="V195">
            <v>42370.0815</v>
          </cell>
          <cell r="W195">
            <v>44418.968200000003</v>
          </cell>
        </row>
        <row r="196">
          <cell r="U196">
            <v>41332.572899999999</v>
          </cell>
          <cell r="V196">
            <v>42743.540500000003</v>
          </cell>
          <cell r="W196">
            <v>44759.527999999998</v>
          </cell>
        </row>
        <row r="197">
          <cell r="U197">
            <v>41725.232400000001</v>
          </cell>
          <cell r="V197">
            <v>43120.364300000001</v>
          </cell>
          <cell r="W197">
            <v>45103.323199999999</v>
          </cell>
        </row>
        <row r="198">
          <cell r="U198">
            <v>42121.622100000001</v>
          </cell>
          <cell r="V198">
            <v>43500.583899999998</v>
          </cell>
          <cell r="W198">
            <v>45450.384400000003</v>
          </cell>
        </row>
        <row r="199">
          <cell r="U199">
            <v>42521.777499999997</v>
          </cell>
          <cell r="V199">
            <v>43884.230499999998</v>
          </cell>
          <cell r="W199">
            <v>45800.742700000003</v>
          </cell>
        </row>
        <row r="200">
          <cell r="U200">
            <v>42925.734400000001</v>
          </cell>
          <cell r="V200">
            <v>44271.335700000003</v>
          </cell>
          <cell r="W200">
            <v>46154.429400000001</v>
          </cell>
        </row>
        <row r="201">
          <cell r="U201">
            <v>43333.5288</v>
          </cell>
          <cell r="V201">
            <v>44661.931499999999</v>
          </cell>
          <cell r="W201">
            <v>46511.4761</v>
          </cell>
        </row>
        <row r="202">
          <cell r="U202">
            <v>43745.197399999997</v>
          </cell>
          <cell r="V202">
            <v>45056.05</v>
          </cell>
          <cell r="W202">
            <v>46871.914700000001</v>
          </cell>
        </row>
        <row r="203">
          <cell r="U203">
            <v>44160.776700000002</v>
          </cell>
          <cell r="V203">
            <v>45453.723599999998</v>
          </cell>
          <cell r="W203">
            <v>47235.777600000001</v>
          </cell>
        </row>
        <row r="204">
          <cell r="U204">
            <v>44580.304100000001</v>
          </cell>
          <cell r="V204">
            <v>45854.9853</v>
          </cell>
          <cell r="W204">
            <v>47603.097099999999</v>
          </cell>
        </row>
        <row r="205">
          <cell r="U205">
            <v>45003.817000000003</v>
          </cell>
          <cell r="V205">
            <v>46259.8681</v>
          </cell>
          <cell r="W205">
            <v>47973.906199999998</v>
          </cell>
        </row>
        <row r="206">
          <cell r="U206">
            <v>45431.353300000002</v>
          </cell>
          <cell r="V206">
            <v>46668.405400000003</v>
          </cell>
          <cell r="W206">
            <v>48348.2379</v>
          </cell>
        </row>
        <row r="207">
          <cell r="U207">
            <v>45862.951099999998</v>
          </cell>
          <cell r="V207">
            <v>47080.631000000001</v>
          </cell>
          <cell r="W207">
            <v>48726.125800000002</v>
          </cell>
        </row>
        <row r="208">
          <cell r="U208">
            <v>46298.649100000002</v>
          </cell>
          <cell r="V208">
            <v>47496.5789</v>
          </cell>
          <cell r="W208">
            <v>49107.603600000002</v>
          </cell>
        </row>
        <row r="209">
          <cell r="U209">
            <v>46738.486299999997</v>
          </cell>
          <cell r="V209">
            <v>47916.2834</v>
          </cell>
          <cell r="W209">
            <v>49492.705499999996</v>
          </cell>
        </row>
        <row r="210">
          <cell r="U210">
            <v>47182.501900000003</v>
          </cell>
          <cell r="V210">
            <v>48339.779300000002</v>
          </cell>
          <cell r="W210">
            <v>49881.465900000003</v>
          </cell>
        </row>
        <row r="211">
          <cell r="U211">
            <v>47630.735699999997</v>
          </cell>
          <cell r="V211">
            <v>48767.101600000002</v>
          </cell>
          <cell r="W211">
            <v>50273.919399999999</v>
          </cell>
        </row>
        <row r="212">
          <cell r="U212">
            <v>48083.227700000003</v>
          </cell>
          <cell r="V212">
            <v>49198.285600000003</v>
          </cell>
          <cell r="W212">
            <v>50670.101300000002</v>
          </cell>
        </row>
        <row r="213">
          <cell r="U213">
            <v>48540.018400000001</v>
          </cell>
          <cell r="V213">
            <v>49633.366900000001</v>
          </cell>
          <cell r="W213">
            <v>51070.046900000001</v>
          </cell>
        </row>
        <row r="214">
          <cell r="U214">
            <v>49001.148500000003</v>
          </cell>
          <cell r="V214">
            <v>50072.381699999998</v>
          </cell>
          <cell r="W214">
            <v>51473.792000000001</v>
          </cell>
        </row>
        <row r="215">
          <cell r="U215">
            <v>49466.659399999997</v>
          </cell>
          <cell r="V215">
            <v>50515.366300000002</v>
          </cell>
          <cell r="W215">
            <v>51881.3727</v>
          </cell>
        </row>
        <row r="216">
          <cell r="U216">
            <v>49936.592700000001</v>
          </cell>
          <cell r="V216">
            <v>50962.357300000003</v>
          </cell>
          <cell r="W216">
            <v>52292.825299999997</v>
          </cell>
        </row>
        <row r="217">
          <cell r="U217">
            <v>50410.990299999998</v>
          </cell>
          <cell r="V217">
            <v>51413.391799999998</v>
          </cell>
          <cell r="W217">
            <v>52708.186800000003</v>
          </cell>
        </row>
        <row r="218">
          <cell r="U218">
            <v>50889.894699999997</v>
          </cell>
          <cell r="V218">
            <v>51868.5072</v>
          </cell>
          <cell r="W218">
            <v>53127.494200000001</v>
          </cell>
        </row>
        <row r="219">
          <cell r="U219">
            <v>51373.348700000002</v>
          </cell>
          <cell r="V219">
            <v>52327.741199999997</v>
          </cell>
          <cell r="W219">
            <v>53550.785100000001</v>
          </cell>
        </row>
        <row r="220">
          <cell r="U220">
            <v>51861.395600000003</v>
          </cell>
          <cell r="V220">
            <v>52791.1319</v>
          </cell>
          <cell r="W220">
            <v>53978.097199999997</v>
          </cell>
        </row>
        <row r="221">
          <cell r="U221">
            <v>52354.078800000003</v>
          </cell>
          <cell r="V221">
            <v>53258.717900000003</v>
          </cell>
          <cell r="W221">
            <v>54409.468699999998</v>
          </cell>
        </row>
        <row r="222">
          <cell r="U222">
            <v>52851.442600000002</v>
          </cell>
          <cell r="V222">
            <v>53730.537799999998</v>
          </cell>
          <cell r="W222">
            <v>54844.938300000002</v>
          </cell>
        </row>
        <row r="223">
          <cell r="U223">
            <v>53353.531300000002</v>
          </cell>
          <cell r="V223">
            <v>54206.630799999999</v>
          </cell>
          <cell r="W223">
            <v>55284.544900000001</v>
          </cell>
        </row>
        <row r="224">
          <cell r="U224">
            <v>53860.389799999997</v>
          </cell>
          <cell r="V224">
            <v>54687.036699999997</v>
          </cell>
          <cell r="W224">
            <v>55728.327700000002</v>
          </cell>
        </row>
        <row r="225">
          <cell r="U225">
            <v>54372.063499999997</v>
          </cell>
          <cell r="V225">
            <v>55171.795100000003</v>
          </cell>
          <cell r="W225">
            <v>56176.326399999998</v>
          </cell>
        </row>
        <row r="226">
          <cell r="U226">
            <v>54888.598100000003</v>
          </cell>
          <cell r="V226">
            <v>55660.946499999998</v>
          </cell>
          <cell r="W226">
            <v>56628.581200000001</v>
          </cell>
        </row>
        <row r="227">
          <cell r="U227">
            <v>55410.039799999999</v>
          </cell>
          <cell r="V227">
            <v>56154.531600000002</v>
          </cell>
          <cell r="W227">
            <v>57085.132299999997</v>
          </cell>
        </row>
        <row r="228">
          <cell r="U228">
            <v>55936.4352</v>
          </cell>
          <cell r="V228">
            <v>56652.5913</v>
          </cell>
          <cell r="W228">
            <v>57546.020700000001</v>
          </cell>
        </row>
        <row r="229">
          <cell r="U229">
            <v>56467.831299999998</v>
          </cell>
          <cell r="V229">
            <v>57155.167099999999</v>
          </cell>
          <cell r="W229">
            <v>58011.287600000003</v>
          </cell>
        </row>
        <row r="230">
          <cell r="U230">
            <v>57004.275699999998</v>
          </cell>
          <cell r="V230">
            <v>57662.300999999999</v>
          </cell>
          <cell r="W230">
            <v>58480.974499999997</v>
          </cell>
        </row>
        <row r="231">
          <cell r="U231">
            <v>57545.816299999999</v>
          </cell>
          <cell r="V231">
            <v>58174.035000000003</v>
          </cell>
          <cell r="W231">
            <v>58955.123399999997</v>
          </cell>
        </row>
        <row r="232">
          <cell r="U232">
            <v>58092.501600000003</v>
          </cell>
          <cell r="V232">
            <v>58690.411899999999</v>
          </cell>
          <cell r="W232">
            <v>59433.776700000002</v>
          </cell>
        </row>
        <row r="233">
          <cell r="U233">
            <v>58644.380400000002</v>
          </cell>
          <cell r="V233">
            <v>59211.474699999999</v>
          </cell>
          <cell r="W233">
            <v>59916.977200000001</v>
          </cell>
        </row>
        <row r="234">
          <cell r="U234">
            <v>59201.502</v>
          </cell>
          <cell r="V234">
            <v>59737.266799999998</v>
          </cell>
          <cell r="W234">
            <v>60404.768100000001</v>
          </cell>
        </row>
        <row r="235">
          <cell r="U235">
            <v>59763.9162</v>
          </cell>
          <cell r="V235">
            <v>60267.832000000002</v>
          </cell>
          <cell r="W235">
            <v>60897.192999999999</v>
          </cell>
        </row>
        <row r="236">
          <cell r="U236">
            <v>60331.6734</v>
          </cell>
          <cell r="V236">
            <v>60803.214699999997</v>
          </cell>
          <cell r="W236">
            <v>61394.296000000002</v>
          </cell>
        </row>
        <row r="237">
          <cell r="U237">
            <v>60904.8243</v>
          </cell>
          <cell r="V237">
            <v>61343.459499999997</v>
          </cell>
          <cell r="W237">
            <v>61896.121500000001</v>
          </cell>
        </row>
        <row r="238">
          <cell r="U238">
            <v>61483.4202</v>
          </cell>
          <cell r="V238">
            <v>61888.611499999999</v>
          </cell>
          <cell r="W238">
            <v>62402.7143</v>
          </cell>
        </row>
        <row r="239">
          <cell r="U239">
            <v>62067.512699999999</v>
          </cell>
          <cell r="V239">
            <v>62438.716200000003</v>
          </cell>
          <cell r="W239">
            <v>62914.119700000003</v>
          </cell>
        </row>
        <row r="240">
          <cell r="U240">
            <v>62657.154000000002</v>
          </cell>
          <cell r="V240">
            <v>62993.819600000003</v>
          </cell>
          <cell r="W240">
            <v>63430.383500000004</v>
          </cell>
        </row>
        <row r="241">
          <cell r="U241">
            <v>63252.396999999997</v>
          </cell>
          <cell r="V241">
            <v>63553.968099999998</v>
          </cell>
          <cell r="W241">
            <v>63951.551800000001</v>
          </cell>
        </row>
        <row r="242">
          <cell r="U242">
            <v>63853.294800000003</v>
          </cell>
          <cell r="V242">
            <v>64119.208400000003</v>
          </cell>
          <cell r="W242">
            <v>64477.6711</v>
          </cell>
        </row>
        <row r="243">
          <cell r="U243">
            <v>64459.901100000003</v>
          </cell>
          <cell r="V243">
            <v>64689.588000000003</v>
          </cell>
          <cell r="W243">
            <v>65008.788699999997</v>
          </cell>
        </row>
        <row r="244">
          <cell r="U244">
            <v>65072.270100000002</v>
          </cell>
          <cell r="V244">
            <v>65265.154399999999</v>
          </cell>
          <cell r="W244">
            <v>65544.951799999995</v>
          </cell>
        </row>
        <row r="245">
          <cell r="U245">
            <v>65690.456699999995</v>
          </cell>
          <cell r="V245">
            <v>65845.955900000001</v>
          </cell>
          <cell r="W245">
            <v>66086.208499999993</v>
          </cell>
        </row>
        <row r="246">
          <cell r="U246">
            <v>66314.516000000003</v>
          </cell>
          <cell r="V246">
            <v>66432.040999999997</v>
          </cell>
          <cell r="W246">
            <v>66632.607099999994</v>
          </cell>
        </row>
        <row r="247">
          <cell r="U247">
            <v>66944.503899999996</v>
          </cell>
          <cell r="V247">
            <v>67023.458899999998</v>
          </cell>
          <cell r="W247">
            <v>67184.196500000005</v>
          </cell>
        </row>
        <row r="248">
          <cell r="U248">
            <v>67580.476699999999</v>
          </cell>
          <cell r="V248">
            <v>67620.2592</v>
          </cell>
          <cell r="W248">
            <v>67741.025999999998</v>
          </cell>
        </row>
        <row r="249">
          <cell r="U249">
            <v>68222.491999999998</v>
          </cell>
          <cell r="V249">
            <v>68222.491999999998</v>
          </cell>
          <cell r="W249">
            <v>68222.491999999998</v>
          </cell>
        </row>
        <row r="250">
          <cell r="U250">
            <v>0</v>
          </cell>
          <cell r="V250">
            <v>0</v>
          </cell>
          <cell r="W250">
            <v>0</v>
          </cell>
        </row>
        <row r="251">
          <cell r="U251">
            <v>0</v>
          </cell>
          <cell r="V251">
            <v>0</v>
          </cell>
          <cell r="W251">
            <v>0</v>
          </cell>
        </row>
        <row r="252">
          <cell r="U252">
            <v>0</v>
          </cell>
          <cell r="V252">
            <v>0</v>
          </cell>
          <cell r="W252">
            <v>0</v>
          </cell>
        </row>
        <row r="253">
          <cell r="U253">
            <v>0</v>
          </cell>
          <cell r="V253">
            <v>0</v>
          </cell>
          <cell r="W253">
            <v>0</v>
          </cell>
        </row>
        <row r="254">
          <cell r="U254">
            <v>0</v>
          </cell>
          <cell r="V254">
            <v>0</v>
          </cell>
          <cell r="W254">
            <v>0</v>
          </cell>
        </row>
        <row r="255">
          <cell r="U255">
            <v>0</v>
          </cell>
          <cell r="V255">
            <v>0</v>
          </cell>
          <cell r="W255">
            <v>0</v>
          </cell>
        </row>
        <row r="256">
          <cell r="U256">
            <v>0</v>
          </cell>
          <cell r="V256">
            <v>0</v>
          </cell>
          <cell r="W256">
            <v>0</v>
          </cell>
        </row>
        <row r="257">
          <cell r="U257">
            <v>0</v>
          </cell>
          <cell r="V257">
            <v>0</v>
          </cell>
          <cell r="W257">
            <v>0</v>
          </cell>
        </row>
        <row r="258">
          <cell r="U258">
            <v>0</v>
          </cell>
          <cell r="V258">
            <v>0</v>
          </cell>
          <cell r="W258">
            <v>0</v>
          </cell>
        </row>
        <row r="259">
          <cell r="U259">
            <v>0</v>
          </cell>
          <cell r="V259">
            <v>0</v>
          </cell>
          <cell r="W259">
            <v>0</v>
          </cell>
        </row>
        <row r="260">
          <cell r="U260">
            <v>0</v>
          </cell>
          <cell r="V260">
            <v>0</v>
          </cell>
          <cell r="W260">
            <v>0</v>
          </cell>
        </row>
        <row r="261">
          <cell r="U261">
            <v>0</v>
          </cell>
          <cell r="V261">
            <v>0</v>
          </cell>
          <cell r="W261">
            <v>0</v>
          </cell>
        </row>
        <row r="262">
          <cell r="U262">
            <v>0</v>
          </cell>
          <cell r="V262">
            <v>0</v>
          </cell>
          <cell r="W262">
            <v>0</v>
          </cell>
        </row>
        <row r="263">
          <cell r="U263">
            <v>0</v>
          </cell>
          <cell r="V263">
            <v>0</v>
          </cell>
          <cell r="W263">
            <v>0</v>
          </cell>
        </row>
        <row r="264">
          <cell r="U264">
            <v>0</v>
          </cell>
          <cell r="V264">
            <v>0</v>
          </cell>
          <cell r="W264">
            <v>0</v>
          </cell>
        </row>
        <row r="265">
          <cell r="U265">
            <v>0</v>
          </cell>
          <cell r="V265">
            <v>0</v>
          </cell>
          <cell r="W265">
            <v>0</v>
          </cell>
        </row>
        <row r="266">
          <cell r="U266">
            <v>0</v>
          </cell>
          <cell r="V266">
            <v>0</v>
          </cell>
          <cell r="W266">
            <v>0</v>
          </cell>
        </row>
        <row r="267">
          <cell r="U267">
            <v>0</v>
          </cell>
          <cell r="V267">
            <v>0</v>
          </cell>
          <cell r="W267">
            <v>0</v>
          </cell>
        </row>
        <row r="268">
          <cell r="U268">
            <v>0</v>
          </cell>
          <cell r="V268">
            <v>0</v>
          </cell>
          <cell r="W268">
            <v>0</v>
          </cell>
        </row>
        <row r="269">
          <cell r="U269">
            <v>0</v>
          </cell>
          <cell r="V269">
            <v>0</v>
          </cell>
          <cell r="W269">
            <v>0</v>
          </cell>
        </row>
        <row r="270">
          <cell r="U270">
            <v>0</v>
          </cell>
          <cell r="V270">
            <v>0</v>
          </cell>
          <cell r="W270">
            <v>0</v>
          </cell>
        </row>
        <row r="271">
          <cell r="U271">
            <v>0</v>
          </cell>
          <cell r="V271">
            <v>0</v>
          </cell>
          <cell r="W271">
            <v>0</v>
          </cell>
        </row>
        <row r="272">
          <cell r="U272">
            <v>0</v>
          </cell>
          <cell r="V272">
            <v>0</v>
          </cell>
          <cell r="W272">
            <v>0</v>
          </cell>
        </row>
        <row r="273">
          <cell r="U273">
            <v>0</v>
          </cell>
          <cell r="V273">
            <v>0</v>
          </cell>
          <cell r="W273">
            <v>0</v>
          </cell>
        </row>
        <row r="274">
          <cell r="U274">
            <v>0</v>
          </cell>
          <cell r="V274">
            <v>0</v>
          </cell>
          <cell r="W274">
            <v>0</v>
          </cell>
        </row>
        <row r="275">
          <cell r="U275">
            <v>0</v>
          </cell>
          <cell r="V275">
            <v>0</v>
          </cell>
          <cell r="W275">
            <v>0</v>
          </cell>
        </row>
        <row r="276">
          <cell r="U276">
            <v>0</v>
          </cell>
          <cell r="V276">
            <v>0</v>
          </cell>
          <cell r="W276">
            <v>0</v>
          </cell>
        </row>
        <row r="277">
          <cell r="U277">
            <v>0</v>
          </cell>
          <cell r="V277">
            <v>0</v>
          </cell>
          <cell r="W277">
            <v>0</v>
          </cell>
        </row>
        <row r="278">
          <cell r="U278">
            <v>0</v>
          </cell>
          <cell r="V278">
            <v>0</v>
          </cell>
          <cell r="W278">
            <v>0</v>
          </cell>
        </row>
        <row r="279">
          <cell r="U279">
            <v>0</v>
          </cell>
          <cell r="V279">
            <v>0</v>
          </cell>
          <cell r="W279">
            <v>0</v>
          </cell>
        </row>
        <row r="280">
          <cell r="U280">
            <v>0</v>
          </cell>
          <cell r="V280">
            <v>0</v>
          </cell>
          <cell r="W280">
            <v>0</v>
          </cell>
        </row>
        <row r="281">
          <cell r="U281">
            <v>0</v>
          </cell>
          <cell r="V281">
            <v>0</v>
          </cell>
          <cell r="W281">
            <v>0</v>
          </cell>
        </row>
        <row r="282">
          <cell r="U282">
            <v>0</v>
          </cell>
          <cell r="V282">
            <v>0</v>
          </cell>
          <cell r="W282">
            <v>0</v>
          </cell>
        </row>
        <row r="283">
          <cell r="U283">
            <v>0</v>
          </cell>
          <cell r="V283">
            <v>0</v>
          </cell>
          <cell r="W283">
            <v>0</v>
          </cell>
        </row>
        <row r="284">
          <cell r="U284">
            <v>0</v>
          </cell>
          <cell r="V284">
            <v>0</v>
          </cell>
          <cell r="W284">
            <v>0</v>
          </cell>
        </row>
        <row r="285">
          <cell r="U285">
            <v>0</v>
          </cell>
          <cell r="V285">
            <v>0</v>
          </cell>
          <cell r="W285">
            <v>0</v>
          </cell>
        </row>
        <row r="286">
          <cell r="U286">
            <v>0</v>
          </cell>
          <cell r="V286">
            <v>0</v>
          </cell>
          <cell r="W286">
            <v>0</v>
          </cell>
        </row>
        <row r="287">
          <cell r="U287">
            <v>0</v>
          </cell>
          <cell r="V287">
            <v>0</v>
          </cell>
          <cell r="W287">
            <v>0</v>
          </cell>
        </row>
        <row r="288">
          <cell r="U288">
            <v>0</v>
          </cell>
          <cell r="V288">
            <v>0</v>
          </cell>
          <cell r="W288">
            <v>0</v>
          </cell>
        </row>
        <row r="289">
          <cell r="U289">
            <v>0</v>
          </cell>
          <cell r="V289">
            <v>0</v>
          </cell>
          <cell r="W289">
            <v>0</v>
          </cell>
        </row>
        <row r="290">
          <cell r="U290">
            <v>0</v>
          </cell>
          <cell r="V290">
            <v>0</v>
          </cell>
          <cell r="W290">
            <v>0</v>
          </cell>
        </row>
        <row r="291">
          <cell r="U291">
            <v>0</v>
          </cell>
          <cell r="V291">
            <v>0</v>
          </cell>
          <cell r="W291">
            <v>0</v>
          </cell>
        </row>
        <row r="292">
          <cell r="U292">
            <v>0</v>
          </cell>
          <cell r="V292">
            <v>0</v>
          </cell>
          <cell r="W292">
            <v>0</v>
          </cell>
        </row>
        <row r="293">
          <cell r="U293">
            <v>0</v>
          </cell>
          <cell r="V293">
            <v>0</v>
          </cell>
          <cell r="W293">
            <v>0</v>
          </cell>
        </row>
        <row r="294">
          <cell r="U294">
            <v>0</v>
          </cell>
          <cell r="V294">
            <v>0</v>
          </cell>
          <cell r="W294">
            <v>0</v>
          </cell>
        </row>
        <row r="295">
          <cell r="U295">
            <v>0</v>
          </cell>
          <cell r="V295">
            <v>0</v>
          </cell>
          <cell r="W295">
            <v>0</v>
          </cell>
        </row>
        <row r="296">
          <cell r="U296">
            <v>0</v>
          </cell>
          <cell r="V296">
            <v>0</v>
          </cell>
          <cell r="W296">
            <v>0</v>
          </cell>
        </row>
        <row r="297">
          <cell r="U297">
            <v>0</v>
          </cell>
          <cell r="V297">
            <v>0</v>
          </cell>
          <cell r="W297">
            <v>0</v>
          </cell>
        </row>
        <row r="298">
          <cell r="U298">
            <v>0</v>
          </cell>
          <cell r="V298">
            <v>0</v>
          </cell>
          <cell r="W298">
            <v>0</v>
          </cell>
        </row>
        <row r="299">
          <cell r="U299">
            <v>0</v>
          </cell>
          <cell r="V299">
            <v>0</v>
          </cell>
          <cell r="W299">
            <v>0</v>
          </cell>
        </row>
        <row r="300">
          <cell r="U300">
            <v>0</v>
          </cell>
          <cell r="V300">
            <v>0</v>
          </cell>
          <cell r="W300">
            <v>0</v>
          </cell>
        </row>
        <row r="301">
          <cell r="U301">
            <v>0</v>
          </cell>
          <cell r="V301">
            <v>0</v>
          </cell>
          <cell r="W301">
            <v>0</v>
          </cell>
        </row>
        <row r="302">
          <cell r="U302">
            <v>0</v>
          </cell>
          <cell r="V302">
            <v>0</v>
          </cell>
          <cell r="W302">
            <v>0</v>
          </cell>
        </row>
        <row r="303">
          <cell r="U303">
            <v>0</v>
          </cell>
          <cell r="V303">
            <v>0</v>
          </cell>
          <cell r="W303">
            <v>0</v>
          </cell>
        </row>
        <row r="304">
          <cell r="U304">
            <v>0</v>
          </cell>
          <cell r="V304">
            <v>0</v>
          </cell>
          <cell r="W304">
            <v>0</v>
          </cell>
        </row>
        <row r="305">
          <cell r="U305">
            <v>0</v>
          </cell>
          <cell r="V305">
            <v>0</v>
          </cell>
          <cell r="W305">
            <v>0</v>
          </cell>
        </row>
        <row r="306">
          <cell r="U306">
            <v>0</v>
          </cell>
          <cell r="V306">
            <v>0</v>
          </cell>
          <cell r="W306">
            <v>0</v>
          </cell>
        </row>
        <row r="307">
          <cell r="U307">
            <v>0</v>
          </cell>
          <cell r="V307">
            <v>0</v>
          </cell>
          <cell r="W307">
            <v>0</v>
          </cell>
        </row>
        <row r="308">
          <cell r="U308">
            <v>0</v>
          </cell>
          <cell r="V308">
            <v>0</v>
          </cell>
          <cell r="W308">
            <v>0</v>
          </cell>
        </row>
        <row r="309">
          <cell r="U309">
            <v>0</v>
          </cell>
          <cell r="V309">
            <v>0</v>
          </cell>
          <cell r="W309">
            <v>0</v>
          </cell>
        </row>
        <row r="310">
          <cell r="U310">
            <v>0</v>
          </cell>
          <cell r="V310">
            <v>0</v>
          </cell>
          <cell r="W310">
            <v>0</v>
          </cell>
        </row>
        <row r="311">
          <cell r="U311">
            <v>0</v>
          </cell>
          <cell r="V311">
            <v>0</v>
          </cell>
          <cell r="W311">
            <v>0</v>
          </cell>
        </row>
        <row r="312">
          <cell r="U312">
            <v>0</v>
          </cell>
          <cell r="V312">
            <v>0</v>
          </cell>
          <cell r="W312">
            <v>0</v>
          </cell>
        </row>
        <row r="313">
          <cell r="U313">
            <v>0</v>
          </cell>
          <cell r="V313">
            <v>0</v>
          </cell>
          <cell r="W313">
            <v>0</v>
          </cell>
        </row>
        <row r="314">
          <cell r="U314">
            <v>0</v>
          </cell>
          <cell r="V314">
            <v>0</v>
          </cell>
          <cell r="W314">
            <v>0</v>
          </cell>
        </row>
        <row r="315">
          <cell r="U315">
            <v>0</v>
          </cell>
          <cell r="V315">
            <v>0</v>
          </cell>
          <cell r="W315">
            <v>0</v>
          </cell>
        </row>
        <row r="316">
          <cell r="U316">
            <v>0</v>
          </cell>
          <cell r="V316">
            <v>0</v>
          </cell>
          <cell r="W316">
            <v>0</v>
          </cell>
        </row>
        <row r="317">
          <cell r="U317">
            <v>0</v>
          </cell>
          <cell r="V317">
            <v>0</v>
          </cell>
          <cell r="W317">
            <v>0</v>
          </cell>
        </row>
        <row r="318">
          <cell r="U318">
            <v>0</v>
          </cell>
          <cell r="V318">
            <v>0</v>
          </cell>
          <cell r="W318">
            <v>0</v>
          </cell>
        </row>
        <row r="319">
          <cell r="U319">
            <v>0</v>
          </cell>
          <cell r="V319">
            <v>0</v>
          </cell>
          <cell r="W319">
            <v>0</v>
          </cell>
        </row>
        <row r="320">
          <cell r="U320">
            <v>0</v>
          </cell>
          <cell r="V320">
            <v>0</v>
          </cell>
          <cell r="W320">
            <v>0</v>
          </cell>
        </row>
        <row r="321">
          <cell r="U321">
            <v>0</v>
          </cell>
          <cell r="V321">
            <v>0</v>
          </cell>
          <cell r="W321">
            <v>0</v>
          </cell>
        </row>
        <row r="322">
          <cell r="U322">
            <v>0</v>
          </cell>
          <cell r="V322">
            <v>0</v>
          </cell>
          <cell r="W322">
            <v>0</v>
          </cell>
        </row>
        <row r="323">
          <cell r="U323">
            <v>0</v>
          </cell>
          <cell r="V323">
            <v>0</v>
          </cell>
          <cell r="W323">
            <v>0</v>
          </cell>
        </row>
        <row r="324">
          <cell r="U324">
            <v>0</v>
          </cell>
          <cell r="V324">
            <v>0</v>
          </cell>
          <cell r="W324">
            <v>0</v>
          </cell>
        </row>
        <row r="325">
          <cell r="U325">
            <v>0</v>
          </cell>
          <cell r="V325">
            <v>0</v>
          </cell>
          <cell r="W325">
            <v>0</v>
          </cell>
        </row>
        <row r="326">
          <cell r="U326">
            <v>0</v>
          </cell>
          <cell r="V326">
            <v>0</v>
          </cell>
          <cell r="W326">
            <v>0</v>
          </cell>
        </row>
        <row r="327">
          <cell r="U327">
            <v>0</v>
          </cell>
          <cell r="V327">
            <v>0</v>
          </cell>
          <cell r="W327">
            <v>0</v>
          </cell>
        </row>
        <row r="328">
          <cell r="U328">
            <v>0</v>
          </cell>
          <cell r="V328">
            <v>0</v>
          </cell>
          <cell r="W328">
            <v>0</v>
          </cell>
        </row>
        <row r="329">
          <cell r="U329">
            <v>0</v>
          </cell>
          <cell r="V329">
            <v>0</v>
          </cell>
          <cell r="W329">
            <v>0</v>
          </cell>
        </row>
        <row r="330">
          <cell r="U330">
            <v>0</v>
          </cell>
          <cell r="V330">
            <v>0</v>
          </cell>
          <cell r="W330">
            <v>0</v>
          </cell>
        </row>
        <row r="331">
          <cell r="U331">
            <v>0</v>
          </cell>
          <cell r="V331">
            <v>0</v>
          </cell>
          <cell r="W331">
            <v>0</v>
          </cell>
        </row>
        <row r="332">
          <cell r="U332">
            <v>0</v>
          </cell>
          <cell r="V332">
            <v>0</v>
          </cell>
          <cell r="W332">
            <v>0</v>
          </cell>
        </row>
        <row r="333">
          <cell r="U333">
            <v>0</v>
          </cell>
          <cell r="V333">
            <v>0</v>
          </cell>
          <cell r="W333">
            <v>0</v>
          </cell>
        </row>
        <row r="334">
          <cell r="U334">
            <v>0</v>
          </cell>
          <cell r="V334">
            <v>0</v>
          </cell>
          <cell r="W334">
            <v>0</v>
          </cell>
        </row>
        <row r="335">
          <cell r="U335">
            <v>0</v>
          </cell>
          <cell r="V335">
            <v>0</v>
          </cell>
          <cell r="W335">
            <v>0</v>
          </cell>
        </row>
        <row r="336">
          <cell r="U336">
            <v>0</v>
          </cell>
          <cell r="V336">
            <v>0</v>
          </cell>
          <cell r="W336">
            <v>0</v>
          </cell>
        </row>
        <row r="337">
          <cell r="U337">
            <v>0</v>
          </cell>
          <cell r="V337">
            <v>0</v>
          </cell>
          <cell r="W337">
            <v>0</v>
          </cell>
        </row>
        <row r="338">
          <cell r="U338">
            <v>0</v>
          </cell>
          <cell r="V338">
            <v>0</v>
          </cell>
          <cell r="W338">
            <v>0</v>
          </cell>
        </row>
        <row r="339">
          <cell r="U339">
            <v>0</v>
          </cell>
          <cell r="V339">
            <v>0</v>
          </cell>
          <cell r="W339">
            <v>0</v>
          </cell>
        </row>
        <row r="340">
          <cell r="U340">
            <v>0</v>
          </cell>
          <cell r="V340">
            <v>0</v>
          </cell>
          <cell r="W340">
            <v>0</v>
          </cell>
        </row>
        <row r="341">
          <cell r="U341">
            <v>0</v>
          </cell>
          <cell r="V341">
            <v>0</v>
          </cell>
          <cell r="W341">
            <v>0</v>
          </cell>
        </row>
        <row r="342">
          <cell r="U342">
            <v>0</v>
          </cell>
          <cell r="V342">
            <v>0</v>
          </cell>
          <cell r="W342">
            <v>0</v>
          </cell>
        </row>
        <row r="343">
          <cell r="U343">
            <v>0</v>
          </cell>
          <cell r="V343">
            <v>0</v>
          </cell>
          <cell r="W343">
            <v>0</v>
          </cell>
        </row>
        <row r="344">
          <cell r="U344">
            <v>0</v>
          </cell>
          <cell r="V344">
            <v>0</v>
          </cell>
          <cell r="W344">
            <v>0</v>
          </cell>
        </row>
        <row r="345">
          <cell r="U345">
            <v>0</v>
          </cell>
          <cell r="V345">
            <v>0</v>
          </cell>
          <cell r="W345">
            <v>0</v>
          </cell>
        </row>
        <row r="346">
          <cell r="U346">
            <v>0</v>
          </cell>
          <cell r="V346">
            <v>0</v>
          </cell>
          <cell r="W346">
            <v>0</v>
          </cell>
        </row>
        <row r="347">
          <cell r="U347">
            <v>0</v>
          </cell>
          <cell r="V347">
            <v>0</v>
          </cell>
          <cell r="W347">
            <v>0</v>
          </cell>
        </row>
        <row r="348">
          <cell r="U348">
            <v>0</v>
          </cell>
          <cell r="V348">
            <v>0</v>
          </cell>
          <cell r="W348">
            <v>0</v>
          </cell>
        </row>
        <row r="349">
          <cell r="U349">
            <v>0</v>
          </cell>
          <cell r="V349">
            <v>0</v>
          </cell>
          <cell r="W349">
            <v>0</v>
          </cell>
        </row>
        <row r="350">
          <cell r="U350">
            <v>0</v>
          </cell>
          <cell r="V350">
            <v>0</v>
          </cell>
          <cell r="W350">
            <v>0</v>
          </cell>
        </row>
        <row r="351">
          <cell r="U351">
            <v>0</v>
          </cell>
          <cell r="V351">
            <v>0</v>
          </cell>
          <cell r="W351">
            <v>0</v>
          </cell>
        </row>
        <row r="352">
          <cell r="U352">
            <v>0</v>
          </cell>
          <cell r="V352">
            <v>0</v>
          </cell>
          <cell r="W352">
            <v>0</v>
          </cell>
        </row>
        <row r="353">
          <cell r="U353">
            <v>0</v>
          </cell>
          <cell r="V353">
            <v>0</v>
          </cell>
          <cell r="W353">
            <v>0</v>
          </cell>
        </row>
        <row r="354">
          <cell r="U354">
            <v>0</v>
          </cell>
          <cell r="V354">
            <v>0</v>
          </cell>
          <cell r="W354">
            <v>0</v>
          </cell>
        </row>
        <row r="355">
          <cell r="U355">
            <v>0</v>
          </cell>
          <cell r="V355">
            <v>0</v>
          </cell>
          <cell r="W355">
            <v>0</v>
          </cell>
        </row>
        <row r="356">
          <cell r="U356">
            <v>0</v>
          </cell>
          <cell r="V356">
            <v>0</v>
          </cell>
          <cell r="W356">
            <v>0</v>
          </cell>
        </row>
        <row r="357">
          <cell r="U357">
            <v>0</v>
          </cell>
          <cell r="V357">
            <v>0</v>
          </cell>
          <cell r="W357">
            <v>0</v>
          </cell>
        </row>
        <row r="358">
          <cell r="U358">
            <v>0</v>
          </cell>
          <cell r="V358">
            <v>0</v>
          </cell>
          <cell r="W358">
            <v>0</v>
          </cell>
        </row>
        <row r="359">
          <cell r="U359">
            <v>0</v>
          </cell>
          <cell r="V359">
            <v>0</v>
          </cell>
          <cell r="W359">
            <v>0</v>
          </cell>
        </row>
        <row r="360">
          <cell r="U360">
            <v>0</v>
          </cell>
          <cell r="V360">
            <v>0</v>
          </cell>
          <cell r="W360">
            <v>0</v>
          </cell>
        </row>
        <row r="361">
          <cell r="U361">
            <v>0</v>
          </cell>
          <cell r="V361">
            <v>0</v>
          </cell>
          <cell r="W361">
            <v>0</v>
          </cell>
        </row>
        <row r="362">
          <cell r="U362">
            <v>0</v>
          </cell>
          <cell r="V362">
            <v>0</v>
          </cell>
          <cell r="W362">
            <v>0</v>
          </cell>
        </row>
        <row r="363">
          <cell r="U363">
            <v>0</v>
          </cell>
          <cell r="V363">
            <v>0</v>
          </cell>
          <cell r="W363">
            <v>0</v>
          </cell>
        </row>
        <row r="364">
          <cell r="U364">
            <v>0</v>
          </cell>
          <cell r="V364">
            <v>0</v>
          </cell>
          <cell r="W364">
            <v>0</v>
          </cell>
        </row>
        <row r="365">
          <cell r="U365">
            <v>0</v>
          </cell>
          <cell r="V365">
            <v>0</v>
          </cell>
          <cell r="W365">
            <v>0</v>
          </cell>
        </row>
        <row r="366">
          <cell r="U366">
            <v>0</v>
          </cell>
          <cell r="V366">
            <v>0</v>
          </cell>
          <cell r="W366">
            <v>0</v>
          </cell>
        </row>
        <row r="367">
          <cell r="U367">
            <v>0</v>
          </cell>
          <cell r="V367">
            <v>0</v>
          </cell>
          <cell r="W367">
            <v>0</v>
          </cell>
        </row>
        <row r="368">
          <cell r="U368">
            <v>0</v>
          </cell>
          <cell r="V368">
            <v>0</v>
          </cell>
          <cell r="W368">
            <v>0</v>
          </cell>
        </row>
        <row r="369">
          <cell r="U369">
            <v>0</v>
          </cell>
          <cell r="V369">
            <v>0</v>
          </cell>
          <cell r="W369">
            <v>0</v>
          </cell>
        </row>
      </sheetData>
      <sheetData sheetId="36" refreshError="1">
        <row r="1">
          <cell r="B1">
            <v>2</v>
          </cell>
        </row>
        <row r="2">
          <cell r="A2">
            <v>1</v>
          </cell>
        </row>
        <row r="3">
          <cell r="A3">
            <v>2</v>
          </cell>
        </row>
      </sheetData>
      <sheetData sheetId="37" refreshError="1">
        <row r="1">
          <cell r="B1" t="str">
            <v>N.A.</v>
          </cell>
        </row>
      </sheetData>
      <sheetData sheetId="38" refreshError="1">
        <row r="4">
          <cell r="A4">
            <v>1</v>
          </cell>
          <cell r="B4" t="str">
            <v>Adquisición de Casa Habitación</v>
          </cell>
          <cell r="C4" t="str">
            <v>01</v>
          </cell>
          <cell r="D4" t="b">
            <v>1</v>
          </cell>
          <cell r="E4" t="b">
            <v>0</v>
          </cell>
          <cell r="F4" t="b">
            <v>1</v>
          </cell>
          <cell r="G4">
            <v>0</v>
          </cell>
          <cell r="H4" t="str">
            <v/>
          </cell>
          <cell r="I4" t="b">
            <v>0</v>
          </cell>
          <cell r="J4" t="b">
            <v>1</v>
          </cell>
          <cell r="K4">
            <v>1</v>
          </cell>
          <cell r="L4" t="b">
            <v>0</v>
          </cell>
          <cell r="M4" t="b">
            <v>1</v>
          </cell>
          <cell r="N4" t="b">
            <v>0</v>
          </cell>
          <cell r="O4" t="b">
            <v>0</v>
          </cell>
          <cell r="P4" t="b">
            <v>0</v>
          </cell>
        </row>
        <row r="5">
          <cell r="A5" t="str">
            <v>Id</v>
          </cell>
          <cell r="B5" t="str">
            <v>Descripción</v>
          </cell>
          <cell r="C5" t="str">
            <v>Código Destino</v>
          </cell>
          <cell r="D5" t="str">
            <v>Programas Especiales</v>
          </cell>
          <cell r="E5" t="str">
            <v>Ignora Rangos de Vivienda</v>
          </cell>
          <cell r="F5" t="str">
            <v>Aplican Productos?</v>
          </cell>
          <cell r="G5" t="str">
            <v>Tasa Interés</v>
          </cell>
          <cell r="H5" t="str">
            <v>Índice Ajustado</v>
          </cell>
          <cell r="I5" t="str">
            <v>Soporta Ministraciones?</v>
          </cell>
          <cell r="J5" t="str">
            <v>Devolución Efectivo</v>
          </cell>
          <cell r="K5" t="str">
            <v>Id Cobro Gastos Notariales</v>
          </cell>
          <cell r="L5" t="str">
            <v>Importa Destino Anterior?</v>
          </cell>
          <cell r="M5" t="str">
            <v>Aplica Daños?</v>
          </cell>
          <cell r="N5" t="str">
            <v>Financía Gastos Iniciales?</v>
          </cell>
          <cell r="O5" t="str">
            <v>Gravamen se cancela por separado?</v>
          </cell>
          <cell r="P5" t="str">
            <v>Requiere Vigilancia</v>
          </cell>
          <cell r="Q5" t="str">
            <v>Comparativo en Cotización?</v>
          </cell>
        </row>
        <row r="6">
          <cell r="A6">
            <v>0</v>
          </cell>
          <cell r="B6" t="str">
            <v>Sin Selección</v>
          </cell>
          <cell r="C6" t="str">
            <v>00</v>
          </cell>
          <cell r="D6" t="b">
            <v>0</v>
          </cell>
          <cell r="E6" t="b">
            <v>0</v>
          </cell>
          <cell r="F6" t="b">
            <v>0</v>
          </cell>
          <cell r="G6">
            <v>0</v>
          </cell>
          <cell r="H6" t="str">
            <v/>
          </cell>
          <cell r="I6" t="b">
            <v>0</v>
          </cell>
          <cell r="J6" t="b">
            <v>0</v>
          </cell>
          <cell r="K6">
            <v>0</v>
          </cell>
          <cell r="L6" t="b">
            <v>0</v>
          </cell>
          <cell r="M6" t="b">
            <v>1</v>
          </cell>
          <cell r="N6" t="b">
            <v>0</v>
          </cell>
          <cell r="O6" t="b">
            <v>0</v>
          </cell>
          <cell r="P6" t="b">
            <v>0</v>
          </cell>
          <cell r="Q6" t="b">
            <v>0</v>
          </cell>
        </row>
        <row r="7">
          <cell r="A7">
            <v>1</v>
          </cell>
          <cell r="B7" t="str">
            <v>Adquisición de Casa Habitación</v>
          </cell>
          <cell r="C7" t="str">
            <v>01</v>
          </cell>
          <cell r="D7" t="b">
            <v>1</v>
          </cell>
          <cell r="E7" t="b">
            <v>0</v>
          </cell>
          <cell r="F7" t="b">
            <v>1</v>
          </cell>
          <cell r="G7">
            <v>0</v>
          </cell>
          <cell r="H7" t="str">
            <v/>
          </cell>
          <cell r="I7" t="b">
            <v>0</v>
          </cell>
          <cell r="J7" t="b">
            <v>1</v>
          </cell>
          <cell r="K7">
            <v>1</v>
          </cell>
          <cell r="L7" t="b">
            <v>0</v>
          </cell>
          <cell r="M7" t="b">
            <v>1</v>
          </cell>
          <cell r="N7" t="b">
            <v>0</v>
          </cell>
          <cell r="O7" t="b">
            <v>0</v>
          </cell>
          <cell r="P7" t="b">
            <v>0</v>
          </cell>
          <cell r="Q7" t="b">
            <v>0</v>
          </cell>
        </row>
        <row r="8">
          <cell r="A8">
            <v>2</v>
          </cell>
          <cell r="B8" t="str">
            <v>Mejora de Hipoteca</v>
          </cell>
          <cell r="C8" t="str">
            <v>02</v>
          </cell>
          <cell r="D8" t="b">
            <v>1</v>
          </cell>
          <cell r="E8" t="b">
            <v>0</v>
          </cell>
          <cell r="F8" t="b">
            <v>1</v>
          </cell>
          <cell r="G8">
            <v>0</v>
          </cell>
          <cell r="H8" t="str">
            <v/>
          </cell>
          <cell r="I8" t="b">
            <v>0</v>
          </cell>
          <cell r="J8" t="b">
            <v>0</v>
          </cell>
          <cell r="K8">
            <v>3</v>
          </cell>
          <cell r="L8" t="b">
            <v>1</v>
          </cell>
          <cell r="M8" t="b">
            <v>1</v>
          </cell>
          <cell r="N8" t="b">
            <v>1</v>
          </cell>
          <cell r="O8" t="b">
            <v>1</v>
          </cell>
          <cell r="P8" t="b">
            <v>0</v>
          </cell>
          <cell r="Q8" t="b">
            <v>0</v>
          </cell>
        </row>
        <row r="9">
          <cell r="A9">
            <v>10</v>
          </cell>
          <cell r="B9" t="str">
            <v>Mejora de Hipoteca con Remodelación</v>
          </cell>
          <cell r="C9">
            <v>10</v>
          </cell>
          <cell r="D9" t="b">
            <v>0</v>
          </cell>
          <cell r="E9" t="b">
            <v>0</v>
          </cell>
          <cell r="F9" t="b">
            <v>1</v>
          </cell>
          <cell r="G9">
            <v>0</v>
          </cell>
          <cell r="H9">
            <v>0</v>
          </cell>
          <cell r="I9" t="b">
            <v>0</v>
          </cell>
          <cell r="J9" t="b">
            <v>0</v>
          </cell>
          <cell r="K9">
            <v>3</v>
          </cell>
          <cell r="L9" t="b">
            <v>0</v>
          </cell>
          <cell r="M9" t="b">
            <v>1</v>
          </cell>
          <cell r="N9" t="b">
            <v>1</v>
          </cell>
          <cell r="O9" t="b">
            <v>1</v>
          </cell>
          <cell r="P9" t="b">
            <v>0</v>
          </cell>
          <cell r="Q9" t="b">
            <v>0</v>
          </cell>
        </row>
        <row r="10">
          <cell r="A10">
            <v>3</v>
          </cell>
          <cell r="B10" t="str">
            <v>Construcción de Vivienda</v>
          </cell>
          <cell r="C10" t="str">
            <v>03</v>
          </cell>
          <cell r="D10" t="b">
            <v>1</v>
          </cell>
          <cell r="E10" t="b">
            <v>0</v>
          </cell>
          <cell r="F10" t="b">
            <v>1</v>
          </cell>
          <cell r="G10">
            <v>0</v>
          </cell>
          <cell r="H10" t="str">
            <v/>
          </cell>
          <cell r="I10" t="b">
            <v>1</v>
          </cell>
          <cell r="J10" t="b">
            <v>0</v>
          </cell>
          <cell r="K10">
            <v>2</v>
          </cell>
          <cell r="L10" t="b">
            <v>0</v>
          </cell>
          <cell r="M10" t="b">
            <v>1</v>
          </cell>
          <cell r="N10" t="b">
            <v>0</v>
          </cell>
          <cell r="O10" t="b">
            <v>0</v>
          </cell>
          <cell r="P10" t="b">
            <v>0</v>
          </cell>
          <cell r="Q10" t="b">
            <v>0</v>
          </cell>
        </row>
        <row r="11">
          <cell r="A11">
            <v>4</v>
          </cell>
          <cell r="B11" t="str">
            <v>Remodelación</v>
          </cell>
          <cell r="C11" t="str">
            <v>04</v>
          </cell>
          <cell r="D11" t="b">
            <v>0</v>
          </cell>
          <cell r="E11" t="b">
            <v>0</v>
          </cell>
          <cell r="F11" t="b">
            <v>1</v>
          </cell>
          <cell r="G11">
            <v>0</v>
          </cell>
          <cell r="H11" t="str">
            <v/>
          </cell>
          <cell r="I11" t="b">
            <v>0</v>
          </cell>
          <cell r="J11" t="b">
            <v>0</v>
          </cell>
          <cell r="K11">
            <v>2</v>
          </cell>
          <cell r="L11" t="b">
            <v>0</v>
          </cell>
          <cell r="M11" t="b">
            <v>1</v>
          </cell>
          <cell r="N11" t="b">
            <v>0</v>
          </cell>
          <cell r="O11" t="b">
            <v>0</v>
          </cell>
          <cell r="P11" t="b">
            <v>0</v>
          </cell>
          <cell r="Q11" t="b">
            <v>0</v>
          </cell>
        </row>
        <row r="12">
          <cell r="A12">
            <v>5</v>
          </cell>
          <cell r="B12" t="str">
            <v>Liquidez</v>
          </cell>
          <cell r="C12" t="str">
            <v>05</v>
          </cell>
          <cell r="D12" t="b">
            <v>0</v>
          </cell>
          <cell r="E12" t="b">
            <v>1</v>
          </cell>
          <cell r="F12" t="b">
            <v>0</v>
          </cell>
          <cell r="G12">
            <v>0.157</v>
          </cell>
          <cell r="H12" t="str">
            <v/>
          </cell>
          <cell r="I12" t="b">
            <v>0</v>
          </cell>
          <cell r="J12" t="b">
            <v>0</v>
          </cell>
          <cell r="K12">
            <v>2</v>
          </cell>
          <cell r="L12" t="b">
            <v>0</v>
          </cell>
          <cell r="M12" t="b">
            <v>1</v>
          </cell>
          <cell r="N12" t="b">
            <v>0</v>
          </cell>
          <cell r="O12" t="b">
            <v>0</v>
          </cell>
          <cell r="P12" t="b">
            <v>0</v>
          </cell>
          <cell r="Q12" t="b">
            <v>0</v>
          </cell>
        </row>
        <row r="13">
          <cell r="A13">
            <v>6</v>
          </cell>
          <cell r="B13" t="str">
            <v>Adquisición de Terreno Urbanizado</v>
          </cell>
          <cell r="C13" t="str">
            <v>06</v>
          </cell>
          <cell r="D13" t="b">
            <v>0</v>
          </cell>
          <cell r="E13" t="b">
            <v>1</v>
          </cell>
          <cell r="F13" t="b">
            <v>0</v>
          </cell>
          <cell r="G13">
            <v>0.155</v>
          </cell>
          <cell r="H13" t="str">
            <v/>
          </cell>
          <cell r="I13" t="b">
            <v>0</v>
          </cell>
          <cell r="J13" t="b">
            <v>0</v>
          </cell>
          <cell r="K13">
            <v>1</v>
          </cell>
          <cell r="L13" t="b">
            <v>0</v>
          </cell>
          <cell r="M13" t="b">
            <v>0</v>
          </cell>
          <cell r="N13" t="b">
            <v>0</v>
          </cell>
          <cell r="O13" t="b">
            <v>0</v>
          </cell>
          <cell r="P13" t="b">
            <v>0</v>
          </cell>
          <cell r="Q13" t="b">
            <v>0</v>
          </cell>
        </row>
        <row r="14">
          <cell r="A14">
            <v>7</v>
          </cell>
          <cell r="B14" t="str">
            <v>Subrogación</v>
          </cell>
          <cell r="C14" t="str">
            <v>07</v>
          </cell>
          <cell r="D14" t="b">
            <v>0</v>
          </cell>
          <cell r="E14" t="b">
            <v>1</v>
          </cell>
          <cell r="F14" t="b">
            <v>0</v>
          </cell>
          <cell r="G14">
            <v>9.9900000000000003E-2</v>
          </cell>
          <cell r="H14" t="str">
            <v/>
          </cell>
          <cell r="I14" t="b">
            <v>0</v>
          </cell>
          <cell r="J14" t="b">
            <v>0</v>
          </cell>
          <cell r="K14">
            <v>0</v>
          </cell>
          <cell r="L14" t="b">
            <v>0</v>
          </cell>
          <cell r="M14" t="b">
            <v>1</v>
          </cell>
          <cell r="N14" t="b">
            <v>1</v>
          </cell>
          <cell r="O14" t="b">
            <v>0</v>
          </cell>
          <cell r="P14" t="b">
            <v>0</v>
          </cell>
          <cell r="Q14" t="b">
            <v>0</v>
          </cell>
        </row>
        <row r="15">
          <cell r="A15">
            <v>8</v>
          </cell>
          <cell r="B15" t="str">
            <v>Compra Venta con Terminación de Obra</v>
          </cell>
          <cell r="C15" t="str">
            <v>08</v>
          </cell>
          <cell r="D15" t="b">
            <v>1</v>
          </cell>
          <cell r="E15" t="b">
            <v>0</v>
          </cell>
          <cell r="F15" t="b">
            <v>1</v>
          </cell>
          <cell r="G15">
            <v>0</v>
          </cell>
          <cell r="H15">
            <v>1</v>
          </cell>
          <cell r="I15" t="b">
            <v>1</v>
          </cell>
          <cell r="J15" t="b">
            <v>1</v>
          </cell>
          <cell r="K15">
            <v>1</v>
          </cell>
          <cell r="L15" t="b">
            <v>0</v>
          </cell>
          <cell r="M15" t="b">
            <v>1</v>
          </cell>
          <cell r="N15" t="b">
            <v>0</v>
          </cell>
          <cell r="O15" t="b">
            <v>0</v>
          </cell>
          <cell r="P15" t="b">
            <v>1</v>
          </cell>
          <cell r="Q15" t="b">
            <v>0</v>
          </cell>
        </row>
        <row r="16">
          <cell r="A16">
            <v>9</v>
          </cell>
          <cell r="B16" t="str">
            <v>Adquisición de Terreno más Construcción de Vivienda</v>
          </cell>
          <cell r="C16" t="str">
            <v>09</v>
          </cell>
          <cell r="D16" t="b">
            <v>1</v>
          </cell>
          <cell r="E16" t="b">
            <v>1</v>
          </cell>
          <cell r="F16" t="b">
            <v>1</v>
          </cell>
          <cell r="G16">
            <v>0</v>
          </cell>
          <cell r="H16">
            <v>3</v>
          </cell>
          <cell r="I16" t="b">
            <v>1</v>
          </cell>
          <cell r="J16" t="b">
            <v>0</v>
          </cell>
          <cell r="K16">
            <v>1</v>
          </cell>
          <cell r="L16" t="b">
            <v>0</v>
          </cell>
          <cell r="M16" t="b">
            <v>1</v>
          </cell>
          <cell r="N16" t="b">
            <v>0</v>
          </cell>
          <cell r="O16" t="b">
            <v>0</v>
          </cell>
          <cell r="P16" t="b">
            <v>1</v>
          </cell>
          <cell r="Q16" t="b">
            <v>0</v>
          </cell>
        </row>
        <row r="18">
          <cell r="L18">
            <v>1</v>
          </cell>
        </row>
        <row r="21">
          <cell r="C21" t="str">
            <v/>
          </cell>
        </row>
        <row r="22">
          <cell r="C22" t="str">
            <v/>
          </cell>
        </row>
        <row r="28">
          <cell r="L28" t="b">
            <v>1</v>
          </cell>
        </row>
      </sheetData>
      <sheetData sheetId="39" refreshError="1">
        <row r="3">
          <cell r="B3">
            <v>2</v>
          </cell>
          <cell r="C3" t="str">
            <v>INFONAVIT</v>
          </cell>
          <cell r="D3" t="str">
            <v>01</v>
          </cell>
          <cell r="F3">
            <v>80.599999999999994</v>
          </cell>
          <cell r="G3" t="str">
            <v>UMA</v>
          </cell>
        </row>
        <row r="4">
          <cell r="B4">
            <v>2</v>
          </cell>
        </row>
        <row r="7">
          <cell r="B7">
            <v>1</v>
          </cell>
        </row>
        <row r="8">
          <cell r="B8">
            <v>2</v>
          </cell>
        </row>
        <row r="9">
          <cell r="B9">
            <v>3</v>
          </cell>
        </row>
        <row r="13">
          <cell r="K13">
            <v>98.8</v>
          </cell>
        </row>
        <row r="14">
          <cell r="K14">
            <v>200</v>
          </cell>
        </row>
        <row r="15">
          <cell r="K15">
            <v>25</v>
          </cell>
        </row>
        <row r="16">
          <cell r="K16">
            <v>180</v>
          </cell>
        </row>
        <row r="17">
          <cell r="K17">
            <v>180</v>
          </cell>
        </row>
        <row r="18">
          <cell r="K18">
            <v>171</v>
          </cell>
        </row>
        <row r="19">
          <cell r="K19">
            <v>171</v>
          </cell>
        </row>
        <row r="20">
          <cell r="K20">
            <v>120.054299</v>
          </cell>
        </row>
      </sheetData>
      <sheetData sheetId="40" refreshError="1">
        <row r="1">
          <cell r="B1">
            <v>2</v>
          </cell>
        </row>
        <row r="2">
          <cell r="B2">
            <v>1</v>
          </cell>
        </row>
        <row r="3">
          <cell r="B3">
            <v>2</v>
          </cell>
        </row>
        <row r="4">
          <cell r="B4">
            <v>3</v>
          </cell>
        </row>
        <row r="5">
          <cell r="B5">
            <v>4</v>
          </cell>
        </row>
        <row r="6">
          <cell r="B6">
            <v>5</v>
          </cell>
        </row>
        <row r="7">
          <cell r="C7" t="str">
            <v>Cofinavit</v>
          </cell>
          <cell r="D7" t="str">
            <v>02</v>
          </cell>
        </row>
      </sheetData>
      <sheetData sheetId="41" refreshError="1">
        <row r="1">
          <cell r="J1">
            <v>0</v>
          </cell>
          <cell r="K1" t="str">
            <v>Se usan en todas las tablas. *DEBEN* de empezar en la fila 4.</v>
          </cell>
          <cell r="L1">
            <v>0</v>
          </cell>
        </row>
        <row r="2">
          <cell r="B2">
            <v>43416</v>
          </cell>
        </row>
        <row r="3">
          <cell r="J3">
            <v>0</v>
          </cell>
          <cell r="K3">
            <v>43416</v>
          </cell>
          <cell r="L3" t="str">
            <v>Duración Intereses</v>
          </cell>
        </row>
        <row r="4">
          <cell r="J4">
            <v>1</v>
          </cell>
          <cell r="K4">
            <v>43437</v>
          </cell>
          <cell r="L4">
            <v>22</v>
          </cell>
        </row>
        <row r="5">
          <cell r="B5">
            <v>2018</v>
          </cell>
          <cell r="J5">
            <v>2</v>
          </cell>
          <cell r="K5">
            <v>43468</v>
          </cell>
          <cell r="L5">
            <v>30.4</v>
          </cell>
        </row>
        <row r="6">
          <cell r="B6">
            <v>3</v>
          </cell>
          <cell r="D6" t="str">
            <v>NO</v>
          </cell>
          <cell r="J6">
            <v>3</v>
          </cell>
          <cell r="K6">
            <v>43499</v>
          </cell>
          <cell r="L6">
            <v>30.4</v>
          </cell>
        </row>
        <row r="7">
          <cell r="B7">
            <v>12</v>
          </cell>
          <cell r="J7">
            <v>4</v>
          </cell>
          <cell r="K7">
            <v>43527</v>
          </cell>
          <cell r="L7">
            <v>30.4</v>
          </cell>
        </row>
        <row r="8">
          <cell r="J8">
            <v>5</v>
          </cell>
          <cell r="K8">
            <v>43558</v>
          </cell>
          <cell r="L8">
            <v>30.4</v>
          </cell>
        </row>
        <row r="9">
          <cell r="J9">
            <v>6</v>
          </cell>
          <cell r="K9">
            <v>43588</v>
          </cell>
          <cell r="L9">
            <v>30.4</v>
          </cell>
        </row>
        <row r="10">
          <cell r="B10">
            <v>12</v>
          </cell>
          <cell r="C10">
            <v>11</v>
          </cell>
          <cell r="D10">
            <v>2018</v>
          </cell>
          <cell r="J10">
            <v>7</v>
          </cell>
          <cell r="K10">
            <v>43619</v>
          </cell>
          <cell r="L10">
            <v>30.4</v>
          </cell>
        </row>
        <row r="11">
          <cell r="G11">
            <v>30</v>
          </cell>
          <cell r="J11">
            <v>8</v>
          </cell>
          <cell r="K11">
            <v>43649</v>
          </cell>
          <cell r="L11">
            <v>30.4</v>
          </cell>
        </row>
        <row r="12">
          <cell r="J12">
            <v>9</v>
          </cell>
          <cell r="K12">
            <v>43680</v>
          </cell>
          <cell r="L12">
            <v>30.4</v>
          </cell>
        </row>
        <row r="13">
          <cell r="J13">
            <v>10</v>
          </cell>
          <cell r="K13">
            <v>43711</v>
          </cell>
          <cell r="L13">
            <v>30.4</v>
          </cell>
        </row>
        <row r="14">
          <cell r="J14">
            <v>11</v>
          </cell>
          <cell r="K14">
            <v>43741</v>
          </cell>
          <cell r="L14">
            <v>30.4</v>
          </cell>
        </row>
        <row r="15">
          <cell r="J15">
            <v>12</v>
          </cell>
          <cell r="K15">
            <v>43772</v>
          </cell>
          <cell r="L15">
            <v>30.4</v>
          </cell>
        </row>
        <row r="16">
          <cell r="J16">
            <v>13</v>
          </cell>
          <cell r="K16">
            <v>43802</v>
          </cell>
          <cell r="L16">
            <v>30.4</v>
          </cell>
        </row>
        <row r="17">
          <cell r="J17">
            <v>14</v>
          </cell>
          <cell r="K17">
            <v>43833</v>
          </cell>
          <cell r="L17">
            <v>30.4</v>
          </cell>
        </row>
        <row r="18">
          <cell r="J18">
            <v>15</v>
          </cell>
          <cell r="K18">
            <v>43864</v>
          </cell>
          <cell r="L18">
            <v>30.4</v>
          </cell>
        </row>
        <row r="19">
          <cell r="J19">
            <v>16</v>
          </cell>
          <cell r="K19">
            <v>43893</v>
          </cell>
          <cell r="L19">
            <v>30.4</v>
          </cell>
        </row>
        <row r="20">
          <cell r="J20">
            <v>17</v>
          </cell>
          <cell r="K20">
            <v>43924</v>
          </cell>
          <cell r="L20">
            <v>30.4</v>
          </cell>
        </row>
        <row r="21">
          <cell r="J21">
            <v>18</v>
          </cell>
          <cell r="K21">
            <v>43954</v>
          </cell>
          <cell r="L21">
            <v>30.4</v>
          </cell>
        </row>
        <row r="22">
          <cell r="J22">
            <v>19</v>
          </cell>
          <cell r="K22">
            <v>43985</v>
          </cell>
          <cell r="L22">
            <v>30.4</v>
          </cell>
        </row>
        <row r="23">
          <cell r="J23">
            <v>20</v>
          </cell>
          <cell r="K23">
            <v>44015</v>
          </cell>
          <cell r="L23">
            <v>30.4</v>
          </cell>
        </row>
        <row r="24">
          <cell r="J24">
            <v>21</v>
          </cell>
          <cell r="K24">
            <v>44046</v>
          </cell>
          <cell r="L24">
            <v>30.4</v>
          </cell>
        </row>
        <row r="25">
          <cell r="J25">
            <v>22</v>
          </cell>
          <cell r="K25">
            <v>44077</v>
          </cell>
          <cell r="L25">
            <v>30.4</v>
          </cell>
        </row>
        <row r="26">
          <cell r="J26">
            <v>23</v>
          </cell>
          <cell r="K26">
            <v>44107</v>
          </cell>
          <cell r="L26">
            <v>30.4</v>
          </cell>
        </row>
        <row r="27">
          <cell r="J27">
            <v>24</v>
          </cell>
          <cell r="K27">
            <v>44138</v>
          </cell>
          <cell r="L27">
            <v>30.4</v>
          </cell>
        </row>
        <row r="28">
          <cell r="J28">
            <v>25</v>
          </cell>
          <cell r="K28">
            <v>44168</v>
          </cell>
          <cell r="L28">
            <v>30.4</v>
          </cell>
        </row>
        <row r="29">
          <cell r="J29">
            <v>26</v>
          </cell>
          <cell r="K29">
            <v>44199</v>
          </cell>
          <cell r="L29">
            <v>30.4</v>
          </cell>
        </row>
        <row r="30">
          <cell r="J30">
            <v>27</v>
          </cell>
          <cell r="K30">
            <v>44230</v>
          </cell>
          <cell r="L30">
            <v>30.4</v>
          </cell>
        </row>
        <row r="31">
          <cell r="J31">
            <v>28</v>
          </cell>
          <cell r="K31">
            <v>44258</v>
          </cell>
          <cell r="L31">
            <v>30.4</v>
          </cell>
        </row>
        <row r="32">
          <cell r="J32">
            <v>29</v>
          </cell>
          <cell r="K32">
            <v>44289</v>
          </cell>
          <cell r="L32">
            <v>30.4</v>
          </cell>
        </row>
        <row r="33">
          <cell r="J33">
            <v>30</v>
          </cell>
          <cell r="K33">
            <v>44319</v>
          </cell>
          <cell r="L33">
            <v>30.4</v>
          </cell>
        </row>
        <row r="34">
          <cell r="J34">
            <v>31</v>
          </cell>
          <cell r="K34">
            <v>44350</v>
          </cell>
          <cell r="L34">
            <v>30.4</v>
          </cell>
        </row>
        <row r="35">
          <cell r="J35">
            <v>32</v>
          </cell>
          <cell r="K35">
            <v>44380</v>
          </cell>
          <cell r="L35">
            <v>30.4</v>
          </cell>
        </row>
        <row r="36">
          <cell r="J36">
            <v>33</v>
          </cell>
          <cell r="K36">
            <v>44411</v>
          </cell>
          <cell r="L36">
            <v>30.4</v>
          </cell>
        </row>
        <row r="37">
          <cell r="J37">
            <v>34</v>
          </cell>
          <cell r="K37">
            <v>44442</v>
          </cell>
          <cell r="L37">
            <v>30.4</v>
          </cell>
        </row>
        <row r="38">
          <cell r="J38">
            <v>35</v>
          </cell>
          <cell r="K38">
            <v>44472</v>
          </cell>
          <cell r="L38">
            <v>30.4</v>
          </cell>
        </row>
        <row r="39">
          <cell r="J39">
            <v>36</v>
          </cell>
          <cell r="K39">
            <v>44503</v>
          </cell>
          <cell r="L39">
            <v>30.4</v>
          </cell>
        </row>
        <row r="40">
          <cell r="J40">
            <v>37</v>
          </cell>
          <cell r="K40">
            <v>44533</v>
          </cell>
          <cell r="L40">
            <v>30.4</v>
          </cell>
        </row>
        <row r="41">
          <cell r="J41">
            <v>38</v>
          </cell>
          <cell r="K41">
            <v>44564</v>
          </cell>
          <cell r="L41">
            <v>30.4</v>
          </cell>
        </row>
        <row r="42">
          <cell r="J42">
            <v>39</v>
          </cell>
          <cell r="K42">
            <v>44595</v>
          </cell>
          <cell r="L42">
            <v>30.4</v>
          </cell>
        </row>
        <row r="43">
          <cell r="J43">
            <v>40</v>
          </cell>
          <cell r="K43">
            <v>44623</v>
          </cell>
          <cell r="L43">
            <v>30.4</v>
          </cell>
        </row>
        <row r="44">
          <cell r="J44">
            <v>41</v>
          </cell>
          <cell r="K44">
            <v>44654</v>
          </cell>
          <cell r="L44">
            <v>30.4</v>
          </cell>
        </row>
        <row r="45">
          <cell r="J45">
            <v>42</v>
          </cell>
          <cell r="K45">
            <v>44684</v>
          </cell>
          <cell r="L45">
            <v>30.4</v>
          </cell>
        </row>
        <row r="46">
          <cell r="J46">
            <v>43</v>
          </cell>
          <cell r="K46">
            <v>44715</v>
          </cell>
          <cell r="L46">
            <v>30.4</v>
          </cell>
        </row>
        <row r="47">
          <cell r="J47">
            <v>44</v>
          </cell>
          <cell r="K47">
            <v>44745</v>
          </cell>
          <cell r="L47">
            <v>30.4</v>
          </cell>
        </row>
        <row r="48">
          <cell r="J48">
            <v>45</v>
          </cell>
          <cell r="K48">
            <v>44776</v>
          </cell>
          <cell r="L48">
            <v>30.4</v>
          </cell>
        </row>
        <row r="49">
          <cell r="J49">
            <v>46</v>
          </cell>
          <cell r="K49">
            <v>44807</v>
          </cell>
          <cell r="L49">
            <v>30.4</v>
          </cell>
        </row>
        <row r="50">
          <cell r="J50">
            <v>47</v>
          </cell>
          <cell r="K50">
            <v>44837</v>
          </cell>
          <cell r="L50">
            <v>30.4</v>
          </cell>
        </row>
        <row r="51">
          <cell r="J51">
            <v>48</v>
          </cell>
          <cell r="K51">
            <v>44868</v>
          </cell>
          <cell r="L51">
            <v>30.4</v>
          </cell>
        </row>
        <row r="52">
          <cell r="J52">
            <v>49</v>
          </cell>
          <cell r="K52">
            <v>44898</v>
          </cell>
          <cell r="L52">
            <v>30.4</v>
          </cell>
        </row>
        <row r="53">
          <cell r="J53">
            <v>50</v>
          </cell>
          <cell r="K53">
            <v>44929</v>
          </cell>
          <cell r="L53">
            <v>30.4</v>
          </cell>
        </row>
        <row r="54">
          <cell r="J54">
            <v>51</v>
          </cell>
          <cell r="K54">
            <v>44960</v>
          </cell>
          <cell r="L54">
            <v>30.4</v>
          </cell>
        </row>
        <row r="55">
          <cell r="J55">
            <v>52</v>
          </cell>
          <cell r="K55">
            <v>44988</v>
          </cell>
          <cell r="L55">
            <v>30.4</v>
          </cell>
        </row>
        <row r="56">
          <cell r="J56">
            <v>53</v>
          </cell>
          <cell r="K56">
            <v>45019</v>
          </cell>
          <cell r="L56">
            <v>30.4</v>
          </cell>
        </row>
        <row r="57">
          <cell r="J57">
            <v>54</v>
          </cell>
          <cell r="K57">
            <v>45049</v>
          </cell>
          <cell r="L57">
            <v>30.4</v>
          </cell>
        </row>
        <row r="58">
          <cell r="J58">
            <v>55</v>
          </cell>
          <cell r="K58">
            <v>45080</v>
          </cell>
          <cell r="L58">
            <v>30.4</v>
          </cell>
        </row>
        <row r="59">
          <cell r="J59">
            <v>56</v>
          </cell>
          <cell r="K59">
            <v>45110</v>
          </cell>
          <cell r="L59">
            <v>30.4</v>
          </cell>
        </row>
        <row r="60">
          <cell r="J60">
            <v>57</v>
          </cell>
          <cell r="K60">
            <v>45141</v>
          </cell>
          <cell r="L60">
            <v>30.4</v>
          </cell>
        </row>
        <row r="61">
          <cell r="J61">
            <v>58</v>
          </cell>
          <cell r="K61">
            <v>45172</v>
          </cell>
          <cell r="L61">
            <v>30.4</v>
          </cell>
        </row>
        <row r="62">
          <cell r="J62">
            <v>59</v>
          </cell>
          <cell r="K62">
            <v>45202</v>
          </cell>
          <cell r="L62">
            <v>30.4</v>
          </cell>
        </row>
        <row r="63">
          <cell r="J63">
            <v>60</v>
          </cell>
          <cell r="K63">
            <v>45233</v>
          </cell>
          <cell r="L63">
            <v>30.4</v>
          </cell>
        </row>
        <row r="64">
          <cell r="J64">
            <v>61</v>
          </cell>
          <cell r="K64">
            <v>45263</v>
          </cell>
          <cell r="L64">
            <v>30.4</v>
          </cell>
        </row>
        <row r="65">
          <cell r="J65">
            <v>62</v>
          </cell>
          <cell r="K65">
            <v>45294</v>
          </cell>
          <cell r="L65">
            <v>30.4</v>
          </cell>
        </row>
        <row r="66">
          <cell r="J66">
            <v>63</v>
          </cell>
          <cell r="K66">
            <v>45325</v>
          </cell>
          <cell r="L66">
            <v>30.4</v>
          </cell>
        </row>
        <row r="67">
          <cell r="J67">
            <v>64</v>
          </cell>
          <cell r="K67">
            <v>45354</v>
          </cell>
          <cell r="L67">
            <v>30.4</v>
          </cell>
        </row>
        <row r="68">
          <cell r="J68">
            <v>65</v>
          </cell>
          <cell r="K68">
            <v>45385</v>
          </cell>
          <cell r="L68">
            <v>30.4</v>
          </cell>
        </row>
        <row r="69">
          <cell r="J69">
            <v>66</v>
          </cell>
          <cell r="K69">
            <v>45415</v>
          </cell>
          <cell r="L69">
            <v>30.4</v>
          </cell>
        </row>
        <row r="70">
          <cell r="J70">
            <v>67</v>
          </cell>
          <cell r="K70">
            <v>45446</v>
          </cell>
          <cell r="L70">
            <v>30.4</v>
          </cell>
        </row>
        <row r="71">
          <cell r="J71">
            <v>68</v>
          </cell>
          <cell r="K71">
            <v>45476</v>
          </cell>
          <cell r="L71">
            <v>30.4</v>
          </cell>
        </row>
        <row r="72">
          <cell r="J72">
            <v>69</v>
          </cell>
          <cell r="K72">
            <v>45507</v>
          </cell>
          <cell r="L72">
            <v>30.4</v>
          </cell>
        </row>
        <row r="73">
          <cell r="J73">
            <v>70</v>
          </cell>
          <cell r="K73">
            <v>45538</v>
          </cell>
          <cell r="L73">
            <v>30.4</v>
          </cell>
        </row>
        <row r="74">
          <cell r="J74">
            <v>71</v>
          </cell>
          <cell r="K74">
            <v>45568</v>
          </cell>
          <cell r="L74">
            <v>30.4</v>
          </cell>
        </row>
        <row r="75">
          <cell r="J75">
            <v>72</v>
          </cell>
          <cell r="K75">
            <v>45599</v>
          </cell>
          <cell r="L75">
            <v>30.4</v>
          </cell>
        </row>
        <row r="76">
          <cell r="J76">
            <v>73</v>
          </cell>
          <cell r="K76">
            <v>45629</v>
          </cell>
          <cell r="L76">
            <v>30.4</v>
          </cell>
        </row>
        <row r="77">
          <cell r="J77">
            <v>74</v>
          </cell>
          <cell r="K77">
            <v>45660</v>
          </cell>
          <cell r="L77">
            <v>30.4</v>
          </cell>
        </row>
        <row r="78">
          <cell r="J78">
            <v>75</v>
          </cell>
          <cell r="K78">
            <v>45691</v>
          </cell>
          <cell r="L78">
            <v>30.4</v>
          </cell>
        </row>
        <row r="79">
          <cell r="J79">
            <v>76</v>
          </cell>
          <cell r="K79">
            <v>45719</v>
          </cell>
          <cell r="L79">
            <v>30.4</v>
          </cell>
        </row>
        <row r="80">
          <cell r="J80">
            <v>77</v>
          </cell>
          <cell r="K80">
            <v>45750</v>
          </cell>
          <cell r="L80">
            <v>30.4</v>
          </cell>
        </row>
        <row r="81">
          <cell r="J81">
            <v>78</v>
          </cell>
          <cell r="K81">
            <v>45780</v>
          </cell>
          <cell r="L81">
            <v>30.4</v>
          </cell>
        </row>
        <row r="82">
          <cell r="J82">
            <v>79</v>
          </cell>
          <cell r="K82">
            <v>45811</v>
          </cell>
          <cell r="L82">
            <v>30.4</v>
          </cell>
        </row>
        <row r="83">
          <cell r="J83">
            <v>80</v>
          </cell>
          <cell r="K83">
            <v>45841</v>
          </cell>
          <cell r="L83">
            <v>30.4</v>
          </cell>
        </row>
        <row r="84">
          <cell r="J84">
            <v>81</v>
          </cell>
          <cell r="K84">
            <v>45872</v>
          </cell>
          <cell r="L84">
            <v>30.4</v>
          </cell>
        </row>
        <row r="85">
          <cell r="J85">
            <v>82</v>
          </cell>
          <cell r="K85">
            <v>45903</v>
          </cell>
          <cell r="L85">
            <v>30.4</v>
          </cell>
        </row>
        <row r="86">
          <cell r="J86">
            <v>83</v>
          </cell>
          <cell r="K86">
            <v>45933</v>
          </cell>
          <cell r="L86">
            <v>30.4</v>
          </cell>
        </row>
        <row r="87">
          <cell r="J87">
            <v>84</v>
          </cell>
          <cell r="K87">
            <v>45964</v>
          </cell>
          <cell r="L87">
            <v>30.4</v>
          </cell>
        </row>
        <row r="88">
          <cell r="J88">
            <v>85</v>
          </cell>
          <cell r="K88">
            <v>45994</v>
          </cell>
          <cell r="L88">
            <v>30.4</v>
          </cell>
        </row>
        <row r="89">
          <cell r="J89">
            <v>86</v>
          </cell>
          <cell r="K89">
            <v>46025</v>
          </cell>
          <cell r="L89">
            <v>30.4</v>
          </cell>
        </row>
        <row r="90">
          <cell r="J90">
            <v>87</v>
          </cell>
          <cell r="K90">
            <v>46056</v>
          </cell>
          <cell r="L90">
            <v>30.4</v>
          </cell>
        </row>
        <row r="91">
          <cell r="J91">
            <v>88</v>
          </cell>
          <cell r="K91">
            <v>46084</v>
          </cell>
          <cell r="L91">
            <v>30.4</v>
          </cell>
        </row>
        <row r="92">
          <cell r="J92">
            <v>89</v>
          </cell>
          <cell r="K92">
            <v>46115</v>
          </cell>
          <cell r="L92">
            <v>30.4</v>
          </cell>
        </row>
        <row r="93">
          <cell r="J93">
            <v>90</v>
          </cell>
          <cell r="K93">
            <v>46145</v>
          </cell>
          <cell r="L93">
            <v>30.4</v>
          </cell>
        </row>
        <row r="94">
          <cell r="J94">
            <v>91</v>
          </cell>
          <cell r="K94">
            <v>46176</v>
          </cell>
          <cell r="L94">
            <v>30.4</v>
          </cell>
        </row>
        <row r="95">
          <cell r="J95">
            <v>92</v>
          </cell>
          <cell r="K95">
            <v>46206</v>
          </cell>
          <cell r="L95">
            <v>30.4</v>
          </cell>
        </row>
        <row r="96">
          <cell r="J96">
            <v>93</v>
          </cell>
          <cell r="K96">
            <v>46237</v>
          </cell>
          <cell r="L96">
            <v>30.4</v>
          </cell>
        </row>
        <row r="97">
          <cell r="J97">
            <v>94</v>
          </cell>
          <cell r="K97">
            <v>46268</v>
          </cell>
          <cell r="L97">
            <v>30.4</v>
          </cell>
        </row>
        <row r="98">
          <cell r="J98">
            <v>95</v>
          </cell>
          <cell r="K98">
            <v>46298</v>
          </cell>
          <cell r="L98">
            <v>30.4</v>
          </cell>
        </row>
        <row r="99">
          <cell r="J99">
            <v>96</v>
          </cell>
          <cell r="K99">
            <v>46329</v>
          </cell>
          <cell r="L99">
            <v>30.4</v>
          </cell>
        </row>
        <row r="100">
          <cell r="J100">
            <v>97</v>
          </cell>
          <cell r="K100">
            <v>46359</v>
          </cell>
          <cell r="L100">
            <v>30.4</v>
          </cell>
        </row>
        <row r="101">
          <cell r="J101">
            <v>98</v>
          </cell>
          <cell r="K101">
            <v>46390</v>
          </cell>
          <cell r="L101">
            <v>30.4</v>
          </cell>
        </row>
        <row r="102">
          <cell r="J102">
            <v>99</v>
          </cell>
          <cell r="K102">
            <v>46421</v>
          </cell>
          <cell r="L102">
            <v>30.4</v>
          </cell>
        </row>
        <row r="103">
          <cell r="J103">
            <v>100</v>
          </cell>
          <cell r="K103">
            <v>46449</v>
          </cell>
          <cell r="L103">
            <v>30.4</v>
          </cell>
        </row>
        <row r="104">
          <cell r="J104">
            <v>101</v>
          </cell>
          <cell r="K104">
            <v>46480</v>
          </cell>
          <cell r="L104">
            <v>30.4</v>
          </cell>
        </row>
        <row r="105">
          <cell r="J105">
            <v>102</v>
          </cell>
          <cell r="K105">
            <v>46510</v>
          </cell>
          <cell r="L105">
            <v>30.4</v>
          </cell>
        </row>
        <row r="106">
          <cell r="J106">
            <v>103</v>
          </cell>
          <cell r="K106">
            <v>46541</v>
          </cell>
          <cell r="L106">
            <v>30.4</v>
          </cell>
        </row>
        <row r="107">
          <cell r="J107">
            <v>104</v>
          </cell>
          <cell r="K107">
            <v>46571</v>
          </cell>
          <cell r="L107">
            <v>30.4</v>
          </cell>
        </row>
        <row r="108">
          <cell r="J108">
            <v>105</v>
          </cell>
          <cell r="K108">
            <v>46602</v>
          </cell>
          <cell r="L108">
            <v>30.4</v>
          </cell>
        </row>
        <row r="109">
          <cell r="J109">
            <v>106</v>
          </cell>
          <cell r="K109">
            <v>46633</v>
          </cell>
          <cell r="L109">
            <v>30.4</v>
          </cell>
        </row>
        <row r="110">
          <cell r="J110">
            <v>107</v>
          </cell>
          <cell r="K110">
            <v>46663</v>
          </cell>
          <cell r="L110">
            <v>30.4</v>
          </cell>
        </row>
        <row r="111">
          <cell r="J111">
            <v>108</v>
          </cell>
          <cell r="K111">
            <v>46694</v>
          </cell>
          <cell r="L111">
            <v>30.4</v>
          </cell>
        </row>
        <row r="112">
          <cell r="J112">
            <v>109</v>
          </cell>
          <cell r="K112">
            <v>46724</v>
          </cell>
          <cell r="L112">
            <v>30.4</v>
          </cell>
        </row>
        <row r="113">
          <cell r="J113">
            <v>110</v>
          </cell>
          <cell r="K113">
            <v>46755</v>
          </cell>
          <cell r="L113">
            <v>30.4</v>
          </cell>
        </row>
        <row r="114">
          <cell r="J114">
            <v>111</v>
          </cell>
          <cell r="K114">
            <v>46786</v>
          </cell>
          <cell r="L114">
            <v>30.4</v>
          </cell>
        </row>
        <row r="115">
          <cell r="J115">
            <v>112</v>
          </cell>
          <cell r="K115">
            <v>46815</v>
          </cell>
          <cell r="L115">
            <v>30.4</v>
          </cell>
        </row>
        <row r="116">
          <cell r="J116">
            <v>113</v>
          </cell>
          <cell r="K116">
            <v>46846</v>
          </cell>
          <cell r="L116">
            <v>30.4</v>
          </cell>
        </row>
        <row r="117">
          <cell r="J117">
            <v>114</v>
          </cell>
          <cell r="K117">
            <v>46876</v>
          </cell>
          <cell r="L117">
            <v>30.4</v>
          </cell>
        </row>
        <row r="118">
          <cell r="J118">
            <v>115</v>
          </cell>
          <cell r="K118">
            <v>46907</v>
          </cell>
          <cell r="L118">
            <v>30.4</v>
          </cell>
        </row>
        <row r="119">
          <cell r="J119">
            <v>116</v>
          </cell>
          <cell r="K119">
            <v>46937</v>
          </cell>
          <cell r="L119">
            <v>30.4</v>
          </cell>
        </row>
        <row r="120">
          <cell r="J120">
            <v>117</v>
          </cell>
          <cell r="K120">
            <v>46968</v>
          </cell>
          <cell r="L120">
            <v>30.4</v>
          </cell>
        </row>
        <row r="121">
          <cell r="J121">
            <v>118</v>
          </cell>
          <cell r="K121">
            <v>46999</v>
          </cell>
          <cell r="L121">
            <v>30.4</v>
          </cell>
        </row>
        <row r="122">
          <cell r="J122">
            <v>119</v>
          </cell>
          <cell r="K122">
            <v>47029</v>
          </cell>
          <cell r="L122">
            <v>30.4</v>
          </cell>
        </row>
        <row r="123">
          <cell r="J123">
            <v>120</v>
          </cell>
          <cell r="K123">
            <v>47060</v>
          </cell>
          <cell r="L123">
            <v>30.4</v>
          </cell>
        </row>
        <row r="124">
          <cell r="J124">
            <v>121</v>
          </cell>
          <cell r="K124">
            <v>47090</v>
          </cell>
          <cell r="L124">
            <v>30.4</v>
          </cell>
        </row>
        <row r="125">
          <cell r="J125">
            <v>122</v>
          </cell>
          <cell r="K125">
            <v>47121</v>
          </cell>
          <cell r="L125">
            <v>30.4</v>
          </cell>
        </row>
        <row r="126">
          <cell r="J126">
            <v>123</v>
          </cell>
          <cell r="K126">
            <v>47152</v>
          </cell>
          <cell r="L126">
            <v>30.4</v>
          </cell>
        </row>
        <row r="127">
          <cell r="J127">
            <v>124</v>
          </cell>
          <cell r="K127">
            <v>47180</v>
          </cell>
          <cell r="L127">
            <v>30.4</v>
          </cell>
        </row>
        <row r="128">
          <cell r="J128">
            <v>125</v>
          </cell>
          <cell r="K128">
            <v>47211</v>
          </cell>
          <cell r="L128">
            <v>30.4</v>
          </cell>
        </row>
        <row r="129">
          <cell r="J129">
            <v>126</v>
          </cell>
          <cell r="K129">
            <v>47241</v>
          </cell>
          <cell r="L129">
            <v>30.4</v>
          </cell>
        </row>
        <row r="130">
          <cell r="J130">
            <v>127</v>
          </cell>
          <cell r="K130">
            <v>47272</v>
          </cell>
          <cell r="L130">
            <v>30.4</v>
          </cell>
        </row>
        <row r="131">
          <cell r="J131">
            <v>128</v>
          </cell>
          <cell r="K131">
            <v>47302</v>
          </cell>
          <cell r="L131">
            <v>30.4</v>
          </cell>
        </row>
        <row r="132">
          <cell r="J132">
            <v>129</v>
          </cell>
          <cell r="K132">
            <v>47333</v>
          </cell>
          <cell r="L132">
            <v>30.4</v>
          </cell>
        </row>
        <row r="133">
          <cell r="J133">
            <v>130</v>
          </cell>
          <cell r="K133">
            <v>47364</v>
          </cell>
          <cell r="L133">
            <v>30.4</v>
          </cell>
        </row>
        <row r="134">
          <cell r="J134">
            <v>131</v>
          </cell>
          <cell r="K134">
            <v>47394</v>
          </cell>
          <cell r="L134">
            <v>30.4</v>
          </cell>
        </row>
        <row r="135">
          <cell r="J135">
            <v>132</v>
          </cell>
          <cell r="K135">
            <v>47425</v>
          </cell>
          <cell r="L135">
            <v>30.4</v>
          </cell>
        </row>
        <row r="136">
          <cell r="J136">
            <v>133</v>
          </cell>
          <cell r="K136">
            <v>47455</v>
          </cell>
          <cell r="L136">
            <v>30.4</v>
          </cell>
        </row>
        <row r="137">
          <cell r="J137">
            <v>134</v>
          </cell>
          <cell r="K137">
            <v>47486</v>
          </cell>
          <cell r="L137">
            <v>30.4</v>
          </cell>
        </row>
        <row r="138">
          <cell r="J138">
            <v>135</v>
          </cell>
          <cell r="K138">
            <v>47517</v>
          </cell>
          <cell r="L138">
            <v>30.4</v>
          </cell>
        </row>
        <row r="139">
          <cell r="J139">
            <v>136</v>
          </cell>
          <cell r="K139">
            <v>47545</v>
          </cell>
          <cell r="L139">
            <v>30.4</v>
          </cell>
        </row>
        <row r="140">
          <cell r="J140">
            <v>137</v>
          </cell>
          <cell r="K140">
            <v>47576</v>
          </cell>
          <cell r="L140">
            <v>30.4</v>
          </cell>
        </row>
        <row r="141">
          <cell r="J141">
            <v>138</v>
          </cell>
          <cell r="K141">
            <v>47606</v>
          </cell>
          <cell r="L141">
            <v>30.4</v>
          </cell>
        </row>
        <row r="142">
          <cell r="J142">
            <v>139</v>
          </cell>
          <cell r="K142">
            <v>47637</v>
          </cell>
          <cell r="L142">
            <v>30.4</v>
          </cell>
        </row>
        <row r="143">
          <cell r="J143">
            <v>140</v>
          </cell>
          <cell r="K143">
            <v>47667</v>
          </cell>
          <cell r="L143">
            <v>30.4</v>
          </cell>
        </row>
        <row r="144">
          <cell r="J144">
            <v>141</v>
          </cell>
          <cell r="K144">
            <v>47698</v>
          </cell>
          <cell r="L144">
            <v>30.4</v>
          </cell>
        </row>
        <row r="145">
          <cell r="J145">
            <v>142</v>
          </cell>
          <cell r="K145">
            <v>47729</v>
          </cell>
          <cell r="L145">
            <v>30.4</v>
          </cell>
        </row>
        <row r="146">
          <cell r="J146">
            <v>143</v>
          </cell>
          <cell r="K146">
            <v>47759</v>
          </cell>
          <cell r="L146">
            <v>30.4</v>
          </cell>
        </row>
        <row r="147">
          <cell r="J147">
            <v>144</v>
          </cell>
          <cell r="K147">
            <v>47790</v>
          </cell>
          <cell r="L147">
            <v>30.4</v>
          </cell>
        </row>
        <row r="148">
          <cell r="J148">
            <v>145</v>
          </cell>
          <cell r="K148">
            <v>47820</v>
          </cell>
          <cell r="L148">
            <v>30.4</v>
          </cell>
        </row>
        <row r="149">
          <cell r="J149">
            <v>146</v>
          </cell>
          <cell r="K149">
            <v>47851</v>
          </cell>
          <cell r="L149">
            <v>30.4</v>
          </cell>
        </row>
        <row r="150">
          <cell r="J150">
            <v>147</v>
          </cell>
          <cell r="K150">
            <v>47882</v>
          </cell>
          <cell r="L150">
            <v>30.4</v>
          </cell>
        </row>
        <row r="151">
          <cell r="J151">
            <v>148</v>
          </cell>
          <cell r="K151">
            <v>47910</v>
          </cell>
          <cell r="L151">
            <v>30.4</v>
          </cell>
        </row>
        <row r="152">
          <cell r="J152">
            <v>149</v>
          </cell>
          <cell r="K152">
            <v>47941</v>
          </cell>
          <cell r="L152">
            <v>30.4</v>
          </cell>
        </row>
        <row r="153">
          <cell r="J153">
            <v>150</v>
          </cell>
          <cell r="K153">
            <v>47971</v>
          </cell>
          <cell r="L153">
            <v>30.4</v>
          </cell>
        </row>
        <row r="154">
          <cell r="J154">
            <v>151</v>
          </cell>
          <cell r="K154">
            <v>48002</v>
          </cell>
          <cell r="L154">
            <v>30.4</v>
          </cell>
        </row>
        <row r="155">
          <cell r="J155">
            <v>152</v>
          </cell>
          <cell r="K155">
            <v>48032</v>
          </cell>
          <cell r="L155">
            <v>30.4</v>
          </cell>
        </row>
        <row r="156">
          <cell r="J156">
            <v>153</v>
          </cell>
          <cell r="K156">
            <v>48063</v>
          </cell>
          <cell r="L156">
            <v>30.4</v>
          </cell>
        </row>
        <row r="157">
          <cell r="J157">
            <v>154</v>
          </cell>
          <cell r="K157">
            <v>48094</v>
          </cell>
          <cell r="L157">
            <v>30.4</v>
          </cell>
        </row>
        <row r="158">
          <cell r="J158">
            <v>155</v>
          </cell>
          <cell r="K158">
            <v>48124</v>
          </cell>
          <cell r="L158">
            <v>30.4</v>
          </cell>
        </row>
        <row r="159">
          <cell r="J159">
            <v>156</v>
          </cell>
          <cell r="K159">
            <v>48155</v>
          </cell>
          <cell r="L159">
            <v>30.4</v>
          </cell>
        </row>
        <row r="160">
          <cell r="J160">
            <v>157</v>
          </cell>
          <cell r="K160">
            <v>48185</v>
          </cell>
          <cell r="L160">
            <v>30.4</v>
          </cell>
        </row>
        <row r="161">
          <cell r="J161">
            <v>158</v>
          </cell>
          <cell r="K161">
            <v>48216</v>
          </cell>
          <cell r="L161">
            <v>30.4</v>
          </cell>
        </row>
        <row r="162">
          <cell r="J162">
            <v>159</v>
          </cell>
          <cell r="K162">
            <v>48247</v>
          </cell>
          <cell r="L162">
            <v>30.4</v>
          </cell>
        </row>
        <row r="163">
          <cell r="J163">
            <v>160</v>
          </cell>
          <cell r="K163">
            <v>48276</v>
          </cell>
          <cell r="L163">
            <v>30.4</v>
          </cell>
        </row>
        <row r="164">
          <cell r="J164">
            <v>161</v>
          </cell>
          <cell r="K164">
            <v>48307</v>
          </cell>
          <cell r="L164">
            <v>30.4</v>
          </cell>
        </row>
        <row r="165">
          <cell r="J165">
            <v>162</v>
          </cell>
          <cell r="K165">
            <v>48337</v>
          </cell>
          <cell r="L165">
            <v>30.4</v>
          </cell>
        </row>
        <row r="166">
          <cell r="J166">
            <v>163</v>
          </cell>
          <cell r="K166">
            <v>48368</v>
          </cell>
          <cell r="L166">
            <v>30.4</v>
          </cell>
        </row>
        <row r="167">
          <cell r="J167">
            <v>164</v>
          </cell>
          <cell r="K167">
            <v>48398</v>
          </cell>
          <cell r="L167">
            <v>30.4</v>
          </cell>
        </row>
        <row r="168">
          <cell r="J168">
            <v>165</v>
          </cell>
          <cell r="K168">
            <v>48429</v>
          </cell>
          <cell r="L168">
            <v>30.4</v>
          </cell>
        </row>
        <row r="169">
          <cell r="J169">
            <v>166</v>
          </cell>
          <cell r="K169">
            <v>48460</v>
          </cell>
          <cell r="L169">
            <v>30.4</v>
          </cell>
        </row>
        <row r="170">
          <cell r="J170">
            <v>167</v>
          </cell>
          <cell r="K170">
            <v>48490</v>
          </cell>
          <cell r="L170">
            <v>30.4</v>
          </cell>
        </row>
        <row r="171">
          <cell r="J171">
            <v>168</v>
          </cell>
          <cell r="K171">
            <v>48521</v>
          </cell>
          <cell r="L171">
            <v>30.4</v>
          </cell>
        </row>
        <row r="172">
          <cell r="J172">
            <v>169</v>
          </cell>
          <cell r="K172">
            <v>48551</v>
          </cell>
          <cell r="L172">
            <v>30.4</v>
          </cell>
        </row>
        <row r="173">
          <cell r="J173">
            <v>170</v>
          </cell>
          <cell r="K173">
            <v>48582</v>
          </cell>
          <cell r="L173">
            <v>30.4</v>
          </cell>
        </row>
        <row r="174">
          <cell r="J174">
            <v>171</v>
          </cell>
          <cell r="K174">
            <v>48613</v>
          </cell>
          <cell r="L174">
            <v>30.4</v>
          </cell>
        </row>
        <row r="175">
          <cell r="J175">
            <v>172</v>
          </cell>
          <cell r="K175">
            <v>48641</v>
          </cell>
          <cell r="L175">
            <v>30.4</v>
          </cell>
        </row>
        <row r="176">
          <cell r="J176">
            <v>173</v>
          </cell>
          <cell r="K176">
            <v>48672</v>
          </cell>
          <cell r="L176">
            <v>30.4</v>
          </cell>
        </row>
        <row r="177">
          <cell r="J177">
            <v>174</v>
          </cell>
          <cell r="K177">
            <v>48702</v>
          </cell>
          <cell r="L177">
            <v>30.4</v>
          </cell>
        </row>
        <row r="178">
          <cell r="J178">
            <v>175</v>
          </cell>
          <cell r="K178">
            <v>48733</v>
          </cell>
          <cell r="L178">
            <v>30.4</v>
          </cell>
        </row>
        <row r="179">
          <cell r="J179">
            <v>176</v>
          </cell>
          <cell r="K179">
            <v>48763</v>
          </cell>
          <cell r="L179">
            <v>30.4</v>
          </cell>
        </row>
        <row r="180">
          <cell r="J180">
            <v>177</v>
          </cell>
          <cell r="K180">
            <v>48794</v>
          </cell>
          <cell r="L180">
            <v>30.4</v>
          </cell>
        </row>
        <row r="181">
          <cell r="J181">
            <v>178</v>
          </cell>
          <cell r="K181">
            <v>48825</v>
          </cell>
          <cell r="L181">
            <v>30.4</v>
          </cell>
        </row>
        <row r="182">
          <cell r="J182">
            <v>179</v>
          </cell>
          <cell r="K182">
            <v>48855</v>
          </cell>
          <cell r="L182">
            <v>30.4</v>
          </cell>
        </row>
        <row r="183">
          <cell r="J183">
            <v>180</v>
          </cell>
          <cell r="K183">
            <v>48886</v>
          </cell>
          <cell r="L183">
            <v>30.4</v>
          </cell>
        </row>
        <row r="184">
          <cell r="J184">
            <v>181</v>
          </cell>
          <cell r="K184">
            <v>48916</v>
          </cell>
          <cell r="L184">
            <v>30.4</v>
          </cell>
        </row>
        <row r="185">
          <cell r="J185">
            <v>182</v>
          </cell>
          <cell r="K185">
            <v>48947</v>
          </cell>
          <cell r="L185">
            <v>30.4</v>
          </cell>
        </row>
        <row r="186">
          <cell r="J186">
            <v>183</v>
          </cell>
          <cell r="K186">
            <v>48978</v>
          </cell>
          <cell r="L186">
            <v>30.4</v>
          </cell>
        </row>
        <row r="187">
          <cell r="J187">
            <v>184</v>
          </cell>
          <cell r="K187">
            <v>49006</v>
          </cell>
          <cell r="L187">
            <v>30.4</v>
          </cell>
        </row>
        <row r="188">
          <cell r="J188">
            <v>185</v>
          </cell>
          <cell r="K188">
            <v>49037</v>
          </cell>
          <cell r="L188">
            <v>30.4</v>
          </cell>
        </row>
        <row r="189">
          <cell r="J189">
            <v>186</v>
          </cell>
          <cell r="K189">
            <v>49067</v>
          </cell>
          <cell r="L189">
            <v>30.4</v>
          </cell>
        </row>
        <row r="190">
          <cell r="J190">
            <v>187</v>
          </cell>
          <cell r="K190">
            <v>49098</v>
          </cell>
          <cell r="L190">
            <v>30.4</v>
          </cell>
        </row>
        <row r="191">
          <cell r="J191">
            <v>188</v>
          </cell>
          <cell r="K191">
            <v>49128</v>
          </cell>
          <cell r="L191">
            <v>30.4</v>
          </cell>
        </row>
        <row r="192">
          <cell r="J192">
            <v>189</v>
          </cell>
          <cell r="K192">
            <v>49159</v>
          </cell>
          <cell r="L192">
            <v>30.4</v>
          </cell>
        </row>
        <row r="193">
          <cell r="J193">
            <v>190</v>
          </cell>
          <cell r="K193">
            <v>49190</v>
          </cell>
          <cell r="L193">
            <v>30.4</v>
          </cell>
        </row>
        <row r="194">
          <cell r="J194">
            <v>191</v>
          </cell>
          <cell r="K194">
            <v>49220</v>
          </cell>
          <cell r="L194">
            <v>30.4</v>
          </cell>
        </row>
        <row r="195">
          <cell r="J195">
            <v>192</v>
          </cell>
          <cell r="K195">
            <v>49251</v>
          </cell>
          <cell r="L195">
            <v>30.4</v>
          </cell>
        </row>
        <row r="196">
          <cell r="J196">
            <v>193</v>
          </cell>
          <cell r="K196">
            <v>49281</v>
          </cell>
          <cell r="L196">
            <v>30.4</v>
          </cell>
        </row>
        <row r="197">
          <cell r="J197">
            <v>194</v>
          </cell>
          <cell r="K197">
            <v>49312</v>
          </cell>
          <cell r="L197">
            <v>30.4</v>
          </cell>
        </row>
        <row r="198">
          <cell r="J198">
            <v>195</v>
          </cell>
          <cell r="K198">
            <v>49343</v>
          </cell>
          <cell r="L198">
            <v>30.4</v>
          </cell>
        </row>
        <row r="199">
          <cell r="J199">
            <v>196</v>
          </cell>
          <cell r="K199">
            <v>49371</v>
          </cell>
          <cell r="L199">
            <v>30.4</v>
          </cell>
        </row>
        <row r="200">
          <cell r="J200">
            <v>197</v>
          </cell>
          <cell r="K200">
            <v>49402</v>
          </cell>
          <cell r="L200">
            <v>30.4</v>
          </cell>
        </row>
        <row r="201">
          <cell r="J201">
            <v>198</v>
          </cell>
          <cell r="K201">
            <v>49432</v>
          </cell>
          <cell r="L201">
            <v>30.4</v>
          </cell>
        </row>
        <row r="202">
          <cell r="J202">
            <v>199</v>
          </cell>
          <cell r="K202">
            <v>49463</v>
          </cell>
          <cell r="L202">
            <v>30.4</v>
          </cell>
        </row>
        <row r="203">
          <cell r="J203">
            <v>200</v>
          </cell>
          <cell r="K203">
            <v>49493</v>
          </cell>
          <cell r="L203">
            <v>30.4</v>
          </cell>
        </row>
        <row r="204">
          <cell r="J204">
            <v>201</v>
          </cell>
          <cell r="K204">
            <v>49524</v>
          </cell>
          <cell r="L204">
            <v>30.4</v>
          </cell>
        </row>
        <row r="205">
          <cell r="J205">
            <v>202</v>
          </cell>
          <cell r="K205">
            <v>49555</v>
          </cell>
          <cell r="L205">
            <v>30.4</v>
          </cell>
        </row>
        <row r="206">
          <cell r="J206">
            <v>203</v>
          </cell>
          <cell r="K206">
            <v>49585</v>
          </cell>
          <cell r="L206">
            <v>30.4</v>
          </cell>
        </row>
        <row r="207">
          <cell r="J207">
            <v>204</v>
          </cell>
          <cell r="K207">
            <v>49616</v>
          </cell>
          <cell r="L207">
            <v>30.4</v>
          </cell>
        </row>
        <row r="208">
          <cell r="J208">
            <v>205</v>
          </cell>
          <cell r="K208">
            <v>49646</v>
          </cell>
          <cell r="L208">
            <v>30.4</v>
          </cell>
        </row>
        <row r="209">
          <cell r="J209">
            <v>206</v>
          </cell>
          <cell r="K209">
            <v>49677</v>
          </cell>
          <cell r="L209">
            <v>30.4</v>
          </cell>
        </row>
        <row r="210">
          <cell r="J210">
            <v>207</v>
          </cell>
          <cell r="K210">
            <v>49708</v>
          </cell>
          <cell r="L210">
            <v>30.4</v>
          </cell>
        </row>
        <row r="211">
          <cell r="J211">
            <v>208</v>
          </cell>
          <cell r="K211">
            <v>49737</v>
          </cell>
          <cell r="L211">
            <v>30.4</v>
          </cell>
        </row>
        <row r="212">
          <cell r="J212">
            <v>209</v>
          </cell>
          <cell r="K212">
            <v>49768</v>
          </cell>
          <cell r="L212">
            <v>30.4</v>
          </cell>
        </row>
        <row r="213">
          <cell r="J213">
            <v>210</v>
          </cell>
          <cell r="K213">
            <v>49798</v>
          </cell>
          <cell r="L213">
            <v>30.4</v>
          </cell>
        </row>
        <row r="214">
          <cell r="J214">
            <v>211</v>
          </cell>
          <cell r="K214">
            <v>49829</v>
          </cell>
          <cell r="L214">
            <v>30.4</v>
          </cell>
        </row>
        <row r="215">
          <cell r="J215">
            <v>212</v>
          </cell>
          <cell r="K215">
            <v>49859</v>
          </cell>
          <cell r="L215">
            <v>30.4</v>
          </cell>
        </row>
        <row r="216">
          <cell r="J216">
            <v>213</v>
          </cell>
          <cell r="K216">
            <v>49890</v>
          </cell>
          <cell r="L216">
            <v>30.4</v>
          </cell>
        </row>
        <row r="217">
          <cell r="J217">
            <v>214</v>
          </cell>
          <cell r="K217">
            <v>49921</v>
          </cell>
          <cell r="L217">
            <v>30.4</v>
          </cell>
        </row>
        <row r="218">
          <cell r="J218">
            <v>215</v>
          </cell>
          <cell r="K218">
            <v>49951</v>
          </cell>
          <cell r="L218">
            <v>30.4</v>
          </cell>
        </row>
        <row r="219">
          <cell r="J219">
            <v>216</v>
          </cell>
          <cell r="K219">
            <v>49982</v>
          </cell>
          <cell r="L219">
            <v>30.4</v>
          </cell>
        </row>
        <row r="220">
          <cell r="J220">
            <v>217</v>
          </cell>
          <cell r="K220">
            <v>50012</v>
          </cell>
          <cell r="L220">
            <v>30.4</v>
          </cell>
        </row>
        <row r="221">
          <cell r="J221">
            <v>218</v>
          </cell>
          <cell r="K221">
            <v>50043</v>
          </cell>
          <cell r="L221">
            <v>30.4</v>
          </cell>
        </row>
        <row r="222">
          <cell r="J222">
            <v>219</v>
          </cell>
          <cell r="K222">
            <v>50074</v>
          </cell>
          <cell r="L222">
            <v>30.4</v>
          </cell>
        </row>
        <row r="223">
          <cell r="J223">
            <v>220</v>
          </cell>
          <cell r="K223">
            <v>50102</v>
          </cell>
          <cell r="L223">
            <v>30.4</v>
          </cell>
        </row>
        <row r="224">
          <cell r="J224">
            <v>221</v>
          </cell>
          <cell r="K224">
            <v>50133</v>
          </cell>
          <cell r="L224">
            <v>30.4</v>
          </cell>
        </row>
        <row r="225">
          <cell r="J225">
            <v>222</v>
          </cell>
          <cell r="K225">
            <v>50163</v>
          </cell>
          <cell r="L225">
            <v>30.4</v>
          </cell>
        </row>
        <row r="226">
          <cell r="J226">
            <v>223</v>
          </cell>
          <cell r="K226">
            <v>50194</v>
          </cell>
          <cell r="L226">
            <v>30.4</v>
          </cell>
        </row>
        <row r="227">
          <cell r="J227">
            <v>224</v>
          </cell>
          <cell r="K227">
            <v>50224</v>
          </cell>
          <cell r="L227">
            <v>30.4</v>
          </cell>
        </row>
        <row r="228">
          <cell r="J228">
            <v>225</v>
          </cell>
          <cell r="K228">
            <v>50255</v>
          </cell>
          <cell r="L228">
            <v>30.4</v>
          </cell>
        </row>
        <row r="229">
          <cell r="J229">
            <v>226</v>
          </cell>
          <cell r="K229">
            <v>50286</v>
          </cell>
          <cell r="L229">
            <v>30.4</v>
          </cell>
        </row>
        <row r="230">
          <cell r="J230">
            <v>227</v>
          </cell>
          <cell r="K230">
            <v>50316</v>
          </cell>
          <cell r="L230">
            <v>30.4</v>
          </cell>
        </row>
        <row r="231">
          <cell r="J231">
            <v>228</v>
          </cell>
          <cell r="K231">
            <v>50347</v>
          </cell>
          <cell r="L231">
            <v>30.4</v>
          </cell>
        </row>
        <row r="232">
          <cell r="J232">
            <v>229</v>
          </cell>
          <cell r="K232">
            <v>50377</v>
          </cell>
          <cell r="L232">
            <v>30.4</v>
          </cell>
        </row>
        <row r="233">
          <cell r="J233">
            <v>230</v>
          </cell>
          <cell r="K233">
            <v>50408</v>
          </cell>
          <cell r="L233">
            <v>30.4</v>
          </cell>
        </row>
        <row r="234">
          <cell r="J234">
            <v>231</v>
          </cell>
          <cell r="K234">
            <v>50439</v>
          </cell>
          <cell r="L234">
            <v>30.4</v>
          </cell>
        </row>
        <row r="235">
          <cell r="J235">
            <v>232</v>
          </cell>
          <cell r="K235">
            <v>50467</v>
          </cell>
          <cell r="L235">
            <v>30.4</v>
          </cell>
        </row>
        <row r="236">
          <cell r="J236">
            <v>233</v>
          </cell>
          <cell r="K236">
            <v>50498</v>
          </cell>
          <cell r="L236">
            <v>30.4</v>
          </cell>
        </row>
        <row r="237">
          <cell r="J237">
            <v>234</v>
          </cell>
          <cell r="K237">
            <v>50528</v>
          </cell>
          <cell r="L237">
            <v>30.4</v>
          </cell>
        </row>
        <row r="238">
          <cell r="J238">
            <v>235</v>
          </cell>
          <cell r="K238">
            <v>50559</v>
          </cell>
          <cell r="L238">
            <v>30.4</v>
          </cell>
        </row>
        <row r="239">
          <cell r="J239">
            <v>236</v>
          </cell>
          <cell r="K239">
            <v>50589</v>
          </cell>
          <cell r="L239">
            <v>30.4</v>
          </cell>
        </row>
        <row r="240">
          <cell r="J240">
            <v>237</v>
          </cell>
          <cell r="K240">
            <v>50620</v>
          </cell>
          <cell r="L240">
            <v>30.4</v>
          </cell>
        </row>
        <row r="241">
          <cell r="J241">
            <v>238</v>
          </cell>
          <cell r="K241">
            <v>50651</v>
          </cell>
          <cell r="L241">
            <v>30.4</v>
          </cell>
        </row>
        <row r="242">
          <cell r="J242">
            <v>239</v>
          </cell>
          <cell r="K242">
            <v>50681</v>
          </cell>
          <cell r="L242">
            <v>30.4</v>
          </cell>
        </row>
        <row r="243">
          <cell r="J243">
            <v>240</v>
          </cell>
          <cell r="K243">
            <v>50712</v>
          </cell>
          <cell r="L243">
            <v>30.4</v>
          </cell>
        </row>
        <row r="244">
          <cell r="J244">
            <v>241</v>
          </cell>
          <cell r="K244" t="str">
            <v/>
          </cell>
          <cell r="L244" t="str">
            <v/>
          </cell>
        </row>
        <row r="245">
          <cell r="J245">
            <v>242</v>
          </cell>
          <cell r="K245" t="str">
            <v/>
          </cell>
          <cell r="L245" t="str">
            <v/>
          </cell>
        </row>
        <row r="246">
          <cell r="J246">
            <v>243</v>
          </cell>
          <cell r="K246" t="str">
            <v/>
          </cell>
          <cell r="L246" t="str">
            <v/>
          </cell>
        </row>
        <row r="247">
          <cell r="J247">
            <v>244</v>
          </cell>
          <cell r="K247" t="str">
            <v/>
          </cell>
          <cell r="L247" t="str">
            <v/>
          </cell>
        </row>
        <row r="248">
          <cell r="J248">
            <v>245</v>
          </cell>
          <cell r="K248" t="str">
            <v/>
          </cell>
          <cell r="L248" t="str">
            <v/>
          </cell>
        </row>
        <row r="249">
          <cell r="J249">
            <v>246</v>
          </cell>
          <cell r="K249" t="str">
            <v/>
          </cell>
          <cell r="L249" t="str">
            <v/>
          </cell>
        </row>
        <row r="250">
          <cell r="J250">
            <v>247</v>
          </cell>
          <cell r="K250" t="str">
            <v/>
          </cell>
          <cell r="L250" t="str">
            <v/>
          </cell>
        </row>
        <row r="251">
          <cell r="J251">
            <v>248</v>
          </cell>
          <cell r="K251" t="str">
            <v/>
          </cell>
          <cell r="L251" t="str">
            <v/>
          </cell>
        </row>
        <row r="252">
          <cell r="J252">
            <v>249</v>
          </cell>
          <cell r="K252" t="str">
            <v/>
          </cell>
          <cell r="L252" t="str">
            <v/>
          </cell>
        </row>
        <row r="253">
          <cell r="J253">
            <v>250</v>
          </cell>
          <cell r="K253" t="str">
            <v/>
          </cell>
          <cell r="L253" t="str">
            <v/>
          </cell>
        </row>
        <row r="254">
          <cell r="J254">
            <v>251</v>
          </cell>
          <cell r="K254" t="str">
            <v/>
          </cell>
          <cell r="L254" t="str">
            <v/>
          </cell>
        </row>
        <row r="255">
          <cell r="J255">
            <v>252</v>
          </cell>
          <cell r="K255" t="str">
            <v/>
          </cell>
          <cell r="L255" t="str">
            <v/>
          </cell>
        </row>
        <row r="256">
          <cell r="J256">
            <v>253</v>
          </cell>
          <cell r="K256" t="str">
            <v/>
          </cell>
          <cell r="L256" t="str">
            <v/>
          </cell>
        </row>
        <row r="257">
          <cell r="J257">
            <v>254</v>
          </cell>
          <cell r="K257" t="str">
            <v/>
          </cell>
          <cell r="L257" t="str">
            <v/>
          </cell>
        </row>
        <row r="258">
          <cell r="J258">
            <v>255</v>
          </cell>
          <cell r="K258" t="str">
            <v/>
          </cell>
          <cell r="L258" t="str">
            <v/>
          </cell>
        </row>
        <row r="259">
          <cell r="J259">
            <v>256</v>
          </cell>
          <cell r="K259" t="str">
            <v/>
          </cell>
          <cell r="L259" t="str">
            <v/>
          </cell>
        </row>
        <row r="260">
          <cell r="J260">
            <v>257</v>
          </cell>
          <cell r="K260" t="str">
            <v/>
          </cell>
          <cell r="L260" t="str">
            <v/>
          </cell>
        </row>
        <row r="261">
          <cell r="J261">
            <v>258</v>
          </cell>
          <cell r="K261" t="str">
            <v/>
          </cell>
          <cell r="L261" t="str">
            <v/>
          </cell>
        </row>
        <row r="262">
          <cell r="J262">
            <v>259</v>
          </cell>
          <cell r="K262" t="str">
            <v/>
          </cell>
          <cell r="L262" t="str">
            <v/>
          </cell>
        </row>
        <row r="263">
          <cell r="J263">
            <v>260</v>
          </cell>
          <cell r="K263" t="str">
            <v/>
          </cell>
          <cell r="L263" t="str">
            <v/>
          </cell>
        </row>
        <row r="264">
          <cell r="J264">
            <v>261</v>
          </cell>
          <cell r="K264" t="str">
            <v/>
          </cell>
          <cell r="L264" t="str">
            <v/>
          </cell>
        </row>
        <row r="265">
          <cell r="J265">
            <v>262</v>
          </cell>
          <cell r="K265" t="str">
            <v/>
          </cell>
          <cell r="L265" t="str">
            <v/>
          </cell>
        </row>
        <row r="266">
          <cell r="J266">
            <v>263</v>
          </cell>
          <cell r="K266" t="str">
            <v/>
          </cell>
          <cell r="L266" t="str">
            <v/>
          </cell>
        </row>
        <row r="267">
          <cell r="J267">
            <v>264</v>
          </cell>
          <cell r="K267" t="str">
            <v/>
          </cell>
          <cell r="L267" t="str">
            <v/>
          </cell>
        </row>
        <row r="268">
          <cell r="J268">
            <v>265</v>
          </cell>
          <cell r="K268" t="str">
            <v/>
          </cell>
          <cell r="L268" t="str">
            <v/>
          </cell>
        </row>
        <row r="269">
          <cell r="J269">
            <v>266</v>
          </cell>
          <cell r="K269" t="str">
            <v/>
          </cell>
          <cell r="L269" t="str">
            <v/>
          </cell>
        </row>
        <row r="270">
          <cell r="J270">
            <v>267</v>
          </cell>
          <cell r="K270" t="str">
            <v/>
          </cell>
          <cell r="L270" t="str">
            <v/>
          </cell>
        </row>
        <row r="271">
          <cell r="J271">
            <v>268</v>
          </cell>
          <cell r="K271" t="str">
            <v/>
          </cell>
          <cell r="L271" t="str">
            <v/>
          </cell>
        </row>
        <row r="272">
          <cell r="J272">
            <v>269</v>
          </cell>
          <cell r="K272" t="str">
            <v/>
          </cell>
          <cell r="L272" t="str">
            <v/>
          </cell>
        </row>
        <row r="273">
          <cell r="J273">
            <v>270</v>
          </cell>
          <cell r="K273" t="str">
            <v/>
          </cell>
          <cell r="L273" t="str">
            <v/>
          </cell>
        </row>
        <row r="274">
          <cell r="J274">
            <v>271</v>
          </cell>
          <cell r="K274" t="str">
            <v/>
          </cell>
          <cell r="L274" t="str">
            <v/>
          </cell>
        </row>
        <row r="275">
          <cell r="J275">
            <v>272</v>
          </cell>
          <cell r="K275" t="str">
            <v/>
          </cell>
          <cell r="L275" t="str">
            <v/>
          </cell>
        </row>
        <row r="276">
          <cell r="J276">
            <v>273</v>
          </cell>
          <cell r="K276" t="str">
            <v/>
          </cell>
          <cell r="L276" t="str">
            <v/>
          </cell>
        </row>
        <row r="277">
          <cell r="J277">
            <v>274</v>
          </cell>
          <cell r="K277" t="str">
            <v/>
          </cell>
          <cell r="L277" t="str">
            <v/>
          </cell>
        </row>
        <row r="278">
          <cell r="J278">
            <v>275</v>
          </cell>
          <cell r="K278" t="str">
            <v/>
          </cell>
          <cell r="L278" t="str">
            <v/>
          </cell>
        </row>
        <row r="279">
          <cell r="J279">
            <v>276</v>
          </cell>
          <cell r="K279" t="str">
            <v/>
          </cell>
          <cell r="L279" t="str">
            <v/>
          </cell>
        </row>
        <row r="280">
          <cell r="J280">
            <v>277</v>
          </cell>
          <cell r="K280" t="str">
            <v/>
          </cell>
          <cell r="L280" t="str">
            <v/>
          </cell>
        </row>
        <row r="281">
          <cell r="J281">
            <v>278</v>
          </cell>
          <cell r="K281" t="str">
            <v/>
          </cell>
          <cell r="L281" t="str">
            <v/>
          </cell>
        </row>
        <row r="282">
          <cell r="J282">
            <v>279</v>
          </cell>
          <cell r="K282" t="str">
            <v/>
          </cell>
          <cell r="L282" t="str">
            <v/>
          </cell>
        </row>
        <row r="283">
          <cell r="J283">
            <v>280</v>
          </cell>
          <cell r="K283" t="str">
            <v/>
          </cell>
          <cell r="L283" t="str">
            <v/>
          </cell>
        </row>
        <row r="284">
          <cell r="J284">
            <v>281</v>
          </cell>
          <cell r="K284" t="str">
            <v/>
          </cell>
          <cell r="L284" t="str">
            <v/>
          </cell>
        </row>
        <row r="285">
          <cell r="J285">
            <v>282</v>
          </cell>
          <cell r="K285" t="str">
            <v/>
          </cell>
          <cell r="L285" t="str">
            <v/>
          </cell>
        </row>
        <row r="286">
          <cell r="J286">
            <v>283</v>
          </cell>
          <cell r="K286" t="str">
            <v/>
          </cell>
          <cell r="L286" t="str">
            <v/>
          </cell>
        </row>
        <row r="287">
          <cell r="J287">
            <v>284</v>
          </cell>
          <cell r="K287" t="str">
            <v/>
          </cell>
          <cell r="L287" t="str">
            <v/>
          </cell>
        </row>
        <row r="288">
          <cell r="J288">
            <v>285</v>
          </cell>
          <cell r="K288" t="str">
            <v/>
          </cell>
          <cell r="L288" t="str">
            <v/>
          </cell>
        </row>
        <row r="289">
          <cell r="J289">
            <v>286</v>
          </cell>
          <cell r="K289" t="str">
            <v/>
          </cell>
          <cell r="L289" t="str">
            <v/>
          </cell>
        </row>
        <row r="290">
          <cell r="J290">
            <v>287</v>
          </cell>
          <cell r="K290" t="str">
            <v/>
          </cell>
          <cell r="L290" t="str">
            <v/>
          </cell>
        </row>
        <row r="291">
          <cell r="J291">
            <v>288</v>
          </cell>
          <cell r="K291" t="str">
            <v/>
          </cell>
          <cell r="L291" t="str">
            <v/>
          </cell>
        </row>
        <row r="292">
          <cell r="J292">
            <v>289</v>
          </cell>
          <cell r="K292" t="str">
            <v/>
          </cell>
          <cell r="L292" t="str">
            <v/>
          </cell>
        </row>
        <row r="293">
          <cell r="J293">
            <v>290</v>
          </cell>
          <cell r="K293" t="str">
            <v/>
          </cell>
          <cell r="L293" t="str">
            <v/>
          </cell>
        </row>
        <row r="294">
          <cell r="J294">
            <v>291</v>
          </cell>
          <cell r="K294" t="str">
            <v/>
          </cell>
          <cell r="L294" t="str">
            <v/>
          </cell>
        </row>
        <row r="295">
          <cell r="J295">
            <v>292</v>
          </cell>
          <cell r="K295" t="str">
            <v/>
          </cell>
          <cell r="L295" t="str">
            <v/>
          </cell>
        </row>
        <row r="296">
          <cell r="J296">
            <v>293</v>
          </cell>
          <cell r="K296" t="str">
            <v/>
          </cell>
          <cell r="L296" t="str">
            <v/>
          </cell>
        </row>
        <row r="297">
          <cell r="J297">
            <v>294</v>
          </cell>
          <cell r="K297" t="str">
            <v/>
          </cell>
          <cell r="L297" t="str">
            <v/>
          </cell>
        </row>
        <row r="298">
          <cell r="J298">
            <v>295</v>
          </cell>
          <cell r="K298" t="str">
            <v/>
          </cell>
          <cell r="L298" t="str">
            <v/>
          </cell>
        </row>
        <row r="299">
          <cell r="J299">
            <v>296</v>
          </cell>
          <cell r="K299" t="str">
            <v/>
          </cell>
          <cell r="L299" t="str">
            <v/>
          </cell>
        </row>
        <row r="300">
          <cell r="J300">
            <v>297</v>
          </cell>
          <cell r="K300" t="str">
            <v/>
          </cell>
          <cell r="L300" t="str">
            <v/>
          </cell>
        </row>
        <row r="301">
          <cell r="J301">
            <v>298</v>
          </cell>
          <cell r="K301" t="str">
            <v/>
          </cell>
          <cell r="L301" t="str">
            <v/>
          </cell>
        </row>
        <row r="302">
          <cell r="J302">
            <v>299</v>
          </cell>
          <cell r="K302" t="str">
            <v/>
          </cell>
          <cell r="L302" t="str">
            <v/>
          </cell>
        </row>
        <row r="303">
          <cell r="J303">
            <v>300</v>
          </cell>
          <cell r="K303" t="str">
            <v/>
          </cell>
          <cell r="L303" t="str">
            <v/>
          </cell>
        </row>
        <row r="304">
          <cell r="J304">
            <v>301</v>
          </cell>
          <cell r="K304" t="str">
            <v/>
          </cell>
          <cell r="L304" t="str">
            <v/>
          </cell>
        </row>
        <row r="305">
          <cell r="J305">
            <v>302</v>
          </cell>
          <cell r="K305" t="str">
            <v/>
          </cell>
          <cell r="L305" t="str">
            <v/>
          </cell>
        </row>
        <row r="306">
          <cell r="J306">
            <v>303</v>
          </cell>
          <cell r="K306" t="str">
            <v/>
          </cell>
          <cell r="L306" t="str">
            <v/>
          </cell>
        </row>
        <row r="307">
          <cell r="J307">
            <v>304</v>
          </cell>
          <cell r="K307" t="str">
            <v/>
          </cell>
          <cell r="L307" t="str">
            <v/>
          </cell>
        </row>
        <row r="308">
          <cell r="J308">
            <v>305</v>
          </cell>
          <cell r="K308" t="str">
            <v/>
          </cell>
          <cell r="L308" t="str">
            <v/>
          </cell>
        </row>
        <row r="309">
          <cell r="J309">
            <v>306</v>
          </cell>
          <cell r="K309" t="str">
            <v/>
          </cell>
          <cell r="L309" t="str">
            <v/>
          </cell>
        </row>
        <row r="310">
          <cell r="J310">
            <v>307</v>
          </cell>
          <cell r="K310" t="str">
            <v/>
          </cell>
          <cell r="L310" t="str">
            <v/>
          </cell>
        </row>
        <row r="311">
          <cell r="J311">
            <v>308</v>
          </cell>
          <cell r="K311" t="str">
            <v/>
          </cell>
          <cell r="L311" t="str">
            <v/>
          </cell>
        </row>
        <row r="312">
          <cell r="J312">
            <v>309</v>
          </cell>
          <cell r="K312" t="str">
            <v/>
          </cell>
          <cell r="L312" t="str">
            <v/>
          </cell>
        </row>
        <row r="313">
          <cell r="J313">
            <v>310</v>
          </cell>
          <cell r="K313" t="str">
            <v/>
          </cell>
          <cell r="L313" t="str">
            <v/>
          </cell>
        </row>
        <row r="314">
          <cell r="J314">
            <v>311</v>
          </cell>
          <cell r="K314" t="str">
            <v/>
          </cell>
          <cell r="L314" t="str">
            <v/>
          </cell>
        </row>
        <row r="315">
          <cell r="J315">
            <v>312</v>
          </cell>
          <cell r="K315" t="str">
            <v/>
          </cell>
          <cell r="L315" t="str">
            <v/>
          </cell>
        </row>
        <row r="316">
          <cell r="J316">
            <v>313</v>
          </cell>
          <cell r="K316" t="str">
            <v/>
          </cell>
          <cell r="L316" t="str">
            <v/>
          </cell>
        </row>
        <row r="317">
          <cell r="J317">
            <v>314</v>
          </cell>
          <cell r="K317" t="str">
            <v/>
          </cell>
          <cell r="L317" t="str">
            <v/>
          </cell>
        </row>
        <row r="318">
          <cell r="J318">
            <v>315</v>
          </cell>
          <cell r="K318" t="str">
            <v/>
          </cell>
          <cell r="L318" t="str">
            <v/>
          </cell>
        </row>
        <row r="319">
          <cell r="J319">
            <v>316</v>
          </cell>
          <cell r="K319" t="str">
            <v/>
          </cell>
          <cell r="L319" t="str">
            <v/>
          </cell>
        </row>
        <row r="320">
          <cell r="J320">
            <v>317</v>
          </cell>
          <cell r="K320" t="str">
            <v/>
          </cell>
          <cell r="L320" t="str">
            <v/>
          </cell>
        </row>
        <row r="321">
          <cell r="J321">
            <v>318</v>
          </cell>
          <cell r="K321" t="str">
            <v/>
          </cell>
          <cell r="L321" t="str">
            <v/>
          </cell>
        </row>
        <row r="322">
          <cell r="J322">
            <v>319</v>
          </cell>
          <cell r="K322" t="str">
            <v/>
          </cell>
          <cell r="L322" t="str">
            <v/>
          </cell>
        </row>
        <row r="323">
          <cell r="J323">
            <v>320</v>
          </cell>
          <cell r="K323" t="str">
            <v/>
          </cell>
          <cell r="L323" t="str">
            <v/>
          </cell>
        </row>
        <row r="324">
          <cell r="J324">
            <v>321</v>
          </cell>
          <cell r="K324" t="str">
            <v/>
          </cell>
          <cell r="L324" t="str">
            <v/>
          </cell>
        </row>
        <row r="325">
          <cell r="J325">
            <v>322</v>
          </cell>
          <cell r="K325" t="str">
            <v/>
          </cell>
          <cell r="L325" t="str">
            <v/>
          </cell>
        </row>
        <row r="326">
          <cell r="J326">
            <v>323</v>
          </cell>
          <cell r="K326" t="str">
            <v/>
          </cell>
          <cell r="L326" t="str">
            <v/>
          </cell>
        </row>
        <row r="327">
          <cell r="J327">
            <v>324</v>
          </cell>
          <cell r="K327" t="str">
            <v/>
          </cell>
          <cell r="L327" t="str">
            <v/>
          </cell>
        </row>
        <row r="328">
          <cell r="J328">
            <v>325</v>
          </cell>
          <cell r="K328" t="str">
            <v/>
          </cell>
          <cell r="L328" t="str">
            <v/>
          </cell>
        </row>
        <row r="329">
          <cell r="J329">
            <v>326</v>
          </cell>
          <cell r="K329" t="str">
            <v/>
          </cell>
          <cell r="L329" t="str">
            <v/>
          </cell>
        </row>
        <row r="330">
          <cell r="J330">
            <v>327</v>
          </cell>
          <cell r="K330" t="str">
            <v/>
          </cell>
          <cell r="L330" t="str">
            <v/>
          </cell>
        </row>
        <row r="331">
          <cell r="J331">
            <v>328</v>
          </cell>
          <cell r="K331" t="str">
            <v/>
          </cell>
          <cell r="L331" t="str">
            <v/>
          </cell>
        </row>
        <row r="332">
          <cell r="J332">
            <v>329</v>
          </cell>
          <cell r="K332" t="str">
            <v/>
          </cell>
          <cell r="L332" t="str">
            <v/>
          </cell>
        </row>
        <row r="333">
          <cell r="J333">
            <v>330</v>
          </cell>
          <cell r="K333" t="str">
            <v/>
          </cell>
          <cell r="L333" t="str">
            <v/>
          </cell>
        </row>
        <row r="334">
          <cell r="J334">
            <v>331</v>
          </cell>
          <cell r="K334" t="str">
            <v/>
          </cell>
          <cell r="L334" t="str">
            <v/>
          </cell>
        </row>
        <row r="335">
          <cell r="J335">
            <v>332</v>
          </cell>
          <cell r="K335" t="str">
            <v/>
          </cell>
          <cell r="L335" t="str">
            <v/>
          </cell>
        </row>
        <row r="336">
          <cell r="J336">
            <v>333</v>
          </cell>
          <cell r="K336" t="str">
            <v/>
          </cell>
          <cell r="L336" t="str">
            <v/>
          </cell>
        </row>
        <row r="337">
          <cell r="J337">
            <v>334</v>
          </cell>
          <cell r="K337" t="str">
            <v/>
          </cell>
          <cell r="L337" t="str">
            <v/>
          </cell>
        </row>
        <row r="338">
          <cell r="J338">
            <v>335</v>
          </cell>
          <cell r="K338" t="str">
            <v/>
          </cell>
          <cell r="L338" t="str">
            <v/>
          </cell>
        </row>
        <row r="339">
          <cell r="J339">
            <v>336</v>
          </cell>
          <cell r="K339" t="str">
            <v/>
          </cell>
          <cell r="L339" t="str">
            <v/>
          </cell>
        </row>
        <row r="340">
          <cell r="J340">
            <v>337</v>
          </cell>
          <cell r="K340" t="str">
            <v/>
          </cell>
          <cell r="L340" t="str">
            <v/>
          </cell>
        </row>
        <row r="341">
          <cell r="J341">
            <v>338</v>
          </cell>
          <cell r="K341" t="str">
            <v/>
          </cell>
          <cell r="L341" t="str">
            <v/>
          </cell>
        </row>
        <row r="342">
          <cell r="J342">
            <v>339</v>
          </cell>
          <cell r="K342" t="str">
            <v/>
          </cell>
          <cell r="L342" t="str">
            <v/>
          </cell>
        </row>
        <row r="343">
          <cell r="J343">
            <v>340</v>
          </cell>
          <cell r="K343" t="str">
            <v/>
          </cell>
          <cell r="L343" t="str">
            <v/>
          </cell>
        </row>
        <row r="344">
          <cell r="J344">
            <v>341</v>
          </cell>
          <cell r="K344" t="str">
            <v/>
          </cell>
          <cell r="L344" t="str">
            <v/>
          </cell>
        </row>
        <row r="345">
          <cell r="J345">
            <v>342</v>
          </cell>
          <cell r="K345" t="str">
            <v/>
          </cell>
          <cell r="L345" t="str">
            <v/>
          </cell>
        </row>
        <row r="346">
          <cell r="J346">
            <v>343</v>
          </cell>
          <cell r="K346" t="str">
            <v/>
          </cell>
          <cell r="L346" t="str">
            <v/>
          </cell>
        </row>
        <row r="347">
          <cell r="J347">
            <v>344</v>
          </cell>
          <cell r="K347" t="str">
            <v/>
          </cell>
          <cell r="L347" t="str">
            <v/>
          </cell>
        </row>
        <row r="348">
          <cell r="J348">
            <v>345</v>
          </cell>
          <cell r="K348" t="str">
            <v/>
          </cell>
          <cell r="L348" t="str">
            <v/>
          </cell>
        </row>
        <row r="349">
          <cell r="J349">
            <v>346</v>
          </cell>
          <cell r="K349" t="str">
            <v/>
          </cell>
          <cell r="L349" t="str">
            <v/>
          </cell>
        </row>
        <row r="350">
          <cell r="J350">
            <v>347</v>
          </cell>
          <cell r="K350" t="str">
            <v/>
          </cell>
          <cell r="L350" t="str">
            <v/>
          </cell>
        </row>
        <row r="351">
          <cell r="J351">
            <v>348</v>
          </cell>
          <cell r="K351" t="str">
            <v/>
          </cell>
          <cell r="L351" t="str">
            <v/>
          </cell>
        </row>
        <row r="352">
          <cell r="J352">
            <v>349</v>
          </cell>
          <cell r="K352" t="str">
            <v/>
          </cell>
          <cell r="L352" t="str">
            <v/>
          </cell>
        </row>
        <row r="353">
          <cell r="J353">
            <v>350</v>
          </cell>
          <cell r="K353" t="str">
            <v/>
          </cell>
          <cell r="L353" t="str">
            <v/>
          </cell>
        </row>
        <row r="354">
          <cell r="J354">
            <v>351</v>
          </cell>
          <cell r="K354" t="str">
            <v/>
          </cell>
          <cell r="L354" t="str">
            <v/>
          </cell>
        </row>
        <row r="355">
          <cell r="J355">
            <v>352</v>
          </cell>
          <cell r="K355" t="str">
            <v/>
          </cell>
          <cell r="L355" t="str">
            <v/>
          </cell>
        </row>
        <row r="356">
          <cell r="J356">
            <v>353</v>
          </cell>
          <cell r="K356" t="str">
            <v/>
          </cell>
          <cell r="L356" t="str">
            <v/>
          </cell>
        </row>
        <row r="357">
          <cell r="J357">
            <v>354</v>
          </cell>
          <cell r="K357" t="str">
            <v/>
          </cell>
          <cell r="L357" t="str">
            <v/>
          </cell>
        </row>
        <row r="358">
          <cell r="J358">
            <v>355</v>
          </cell>
          <cell r="K358" t="str">
            <v/>
          </cell>
          <cell r="L358" t="str">
            <v/>
          </cell>
        </row>
        <row r="359">
          <cell r="J359">
            <v>356</v>
          </cell>
          <cell r="K359" t="str">
            <v/>
          </cell>
          <cell r="L359" t="str">
            <v/>
          </cell>
        </row>
        <row r="360">
          <cell r="J360">
            <v>357</v>
          </cell>
          <cell r="K360" t="str">
            <v/>
          </cell>
          <cell r="L360" t="str">
            <v/>
          </cell>
        </row>
        <row r="361">
          <cell r="J361">
            <v>358</v>
          </cell>
          <cell r="K361" t="str">
            <v/>
          </cell>
          <cell r="L361" t="str">
            <v/>
          </cell>
        </row>
        <row r="362">
          <cell r="J362">
            <v>359</v>
          </cell>
          <cell r="K362" t="str">
            <v/>
          </cell>
          <cell r="L362" t="str">
            <v/>
          </cell>
        </row>
        <row r="363">
          <cell r="J363">
            <v>360</v>
          </cell>
          <cell r="K363" t="str">
            <v/>
          </cell>
          <cell r="L363" t="str">
            <v/>
          </cell>
        </row>
      </sheetData>
      <sheetData sheetId="42" refreshError="1">
        <row r="4">
          <cell r="I4" t="str">
            <v>0.20 %</v>
          </cell>
        </row>
      </sheetData>
      <sheetData sheetId="43" refreshError="1">
        <row r="8">
          <cell r="A8">
            <v>1</v>
          </cell>
          <cell r="B8">
            <v>2</v>
          </cell>
        </row>
        <row r="18">
          <cell r="G18">
            <v>0</v>
          </cell>
          <cell r="H18">
            <v>-295400.04220000003</v>
          </cell>
        </row>
        <row r="19">
          <cell r="B19">
            <v>14000.002</v>
          </cell>
          <cell r="D19">
            <v>16240.00232</v>
          </cell>
          <cell r="G19">
            <v>0</v>
          </cell>
          <cell r="H19">
            <v>-16240.00232</v>
          </cell>
        </row>
        <row r="20">
          <cell r="B20">
            <v>646.55172413793105</v>
          </cell>
          <cell r="G20">
            <v>0</v>
          </cell>
          <cell r="H20">
            <v>-750</v>
          </cell>
        </row>
        <row r="21">
          <cell r="B21">
            <v>65000.01</v>
          </cell>
          <cell r="D21">
            <v>65000.01</v>
          </cell>
          <cell r="G21">
            <v>0</v>
          </cell>
        </row>
        <row r="22">
          <cell r="G22">
            <v>0</v>
          </cell>
        </row>
      </sheetData>
      <sheetData sheetId="44" refreshError="1">
        <row r="6">
          <cell r="B6">
            <v>20</v>
          </cell>
        </row>
        <row r="14">
          <cell r="B14">
            <v>295400.04220000003</v>
          </cell>
        </row>
        <row r="15">
          <cell r="B15">
            <v>4.2200000000000001E-2</v>
          </cell>
        </row>
        <row r="16">
          <cell r="B16" t="str">
            <v>Oaxaca</v>
          </cell>
        </row>
        <row r="17">
          <cell r="B17" t="str">
            <v>* Los gastos notariales pueden variar dependiendo de la ubicación geográfica y del valor de la vivienda. El valor definitivo será informado por el Notario a la firma del contrato.</v>
          </cell>
        </row>
        <row r="18">
          <cell r="B18" t="str">
            <v>Valor estimado para Oaxaca del 4.22 % del valor avalúo aproximado. El valor definitivo será informado por el Notario a la firma de contrato.</v>
          </cell>
        </row>
        <row r="19">
          <cell r="B19" t="str">
            <v>Gastos Notariales</v>
          </cell>
        </row>
        <row r="20">
          <cell r="B20" t="str">
            <v>Gastos, derechos y honorarios notariales</v>
          </cell>
        </row>
        <row r="21">
          <cell r="B21" t="b">
            <v>0</v>
          </cell>
        </row>
        <row r="22">
          <cell r="B22" t="str">
            <v/>
          </cell>
        </row>
      </sheetData>
      <sheetData sheetId="45" refreshError="1"/>
      <sheetData sheetId="46" refreshError="1"/>
      <sheetData sheetId="47" refreshError="1">
        <row r="4">
          <cell r="A4">
            <v>1</v>
          </cell>
        </row>
        <row r="5">
          <cell r="A5">
            <v>1</v>
          </cell>
        </row>
        <row r="6">
          <cell r="A6">
            <v>2</v>
          </cell>
        </row>
        <row r="9">
          <cell r="B9" t="str">
            <v>No Frontera</v>
          </cell>
        </row>
        <row r="10">
          <cell r="B10">
            <v>0.12</v>
          </cell>
        </row>
        <row r="11">
          <cell r="B11">
            <v>0.16</v>
          </cell>
        </row>
        <row r="17">
          <cell r="B17">
            <v>6</v>
          </cell>
          <cell r="E17">
            <v>2</v>
          </cell>
        </row>
        <row r="18">
          <cell r="B18">
            <v>5</v>
          </cell>
          <cell r="E18">
            <v>7</v>
          </cell>
        </row>
        <row r="20">
          <cell r="B20" t="b">
            <v>0</v>
          </cell>
          <cell r="E20" t="b">
            <v>0</v>
          </cell>
        </row>
        <row r="23">
          <cell r="D23">
            <v>1</v>
          </cell>
          <cell r="E23">
            <v>2</v>
          </cell>
        </row>
        <row r="24">
          <cell r="F24">
            <v>1</v>
          </cell>
        </row>
        <row r="25">
          <cell r="F25">
            <v>2</v>
          </cell>
        </row>
        <row r="27">
          <cell r="E27" t="b">
            <v>0</v>
          </cell>
        </row>
        <row r="28">
          <cell r="B28" t="b">
            <v>0</v>
          </cell>
          <cell r="E28" t="b">
            <v>0</v>
          </cell>
        </row>
        <row r="30">
          <cell r="B30" t="b">
            <v>0</v>
          </cell>
        </row>
        <row r="32">
          <cell r="B32">
            <v>1</v>
          </cell>
        </row>
      </sheetData>
      <sheetData sheetId="48" refreshError="1"/>
      <sheetData sheetId="49" refreshError="1">
        <row r="1">
          <cell r="A1">
            <v>10</v>
          </cell>
          <cell r="B1">
            <v>10</v>
          </cell>
          <cell r="C1">
            <v>10.3</v>
          </cell>
          <cell r="D1">
            <v>9.1</v>
          </cell>
        </row>
        <row r="2">
          <cell r="A2">
            <v>8.8000000000000007</v>
          </cell>
          <cell r="B2">
            <v>8.8000000000000007</v>
          </cell>
          <cell r="C2">
            <v>9.33</v>
          </cell>
          <cell r="D2">
            <v>7.85</v>
          </cell>
        </row>
        <row r="3">
          <cell r="A3">
            <v>11.14</v>
          </cell>
        </row>
        <row r="4">
          <cell r="A4">
            <v>11.14</v>
          </cell>
        </row>
        <row r="5">
          <cell r="A5">
            <v>9.9400000000000013</v>
          </cell>
        </row>
        <row r="6">
          <cell r="A6">
            <v>9.9400000000000013</v>
          </cell>
        </row>
        <row r="7">
          <cell r="A7">
            <v>2.01E-2</v>
          </cell>
          <cell r="B7">
            <v>2.01E-2</v>
          </cell>
          <cell r="C7">
            <v>2.0299999999999999E-2</v>
          </cell>
          <cell r="D7">
            <v>2.7799999999999998E-2</v>
          </cell>
        </row>
        <row r="8">
          <cell r="A8">
            <v>2.0299999999999999E-2</v>
          </cell>
          <cell r="B8">
            <v>2.0299999999999999E-2</v>
          </cell>
          <cell r="C8">
            <v>1.72E-2</v>
          </cell>
          <cell r="D8">
            <v>2.8400000000000002E-2</v>
          </cell>
        </row>
        <row r="9">
          <cell r="A9">
            <v>9.9400000000000013</v>
          </cell>
        </row>
        <row r="10">
          <cell r="B10">
            <v>35</v>
          </cell>
          <cell r="C10">
            <v>35</v>
          </cell>
          <cell r="D10">
            <v>35</v>
          </cell>
        </row>
      </sheetData>
      <sheetData sheetId="50" refreshError="1">
        <row r="1">
          <cell r="A1">
            <v>1</v>
          </cell>
          <cell r="B1" t="str">
            <v>Reduce Plazo y Pago</v>
          </cell>
          <cell r="C1">
            <v>1</v>
          </cell>
        </row>
        <row r="2">
          <cell r="E2">
            <v>1</v>
          </cell>
        </row>
        <row r="4">
          <cell r="E4">
            <v>3</v>
          </cell>
        </row>
        <row r="7">
          <cell r="B7" t="str">
            <v>Reduce Plazo</v>
          </cell>
          <cell r="C7" t="str">
            <v>Reduce Plazo</v>
          </cell>
          <cell r="D7" t="str">
            <v>Reduce Plazo y Pago</v>
          </cell>
          <cell r="E7" t="str">
            <v>Reduce Plazo</v>
          </cell>
        </row>
        <row r="8">
          <cell r="B8" t="e">
            <v>#REF!</v>
          </cell>
          <cell r="C8" t="e">
            <v>#REF!</v>
          </cell>
          <cell r="D8" t="str">
            <v>Reduce Pago</v>
          </cell>
          <cell r="E8" t="e">
            <v>#REF!</v>
          </cell>
        </row>
        <row r="9">
          <cell r="B9" t="e">
            <v>#REF!</v>
          </cell>
          <cell r="C9" t="e">
            <v>#REF!</v>
          </cell>
          <cell r="D9" t="str">
            <v>Reduce Plazo</v>
          </cell>
          <cell r="E9" t="e">
            <v>#REF!</v>
          </cell>
        </row>
        <row r="12">
          <cell r="B12" t="str">
            <v>Reduce Plazo y Pago</v>
          </cell>
        </row>
        <row r="13">
          <cell r="B13" t="str">
            <v>Reduce Pago</v>
          </cell>
        </row>
        <row r="14">
          <cell r="B14" t="str">
            <v>Reduce Plazo</v>
          </cell>
        </row>
        <row r="17">
          <cell r="B17" t="str">
            <v>Reduce Plazo y Pago</v>
          </cell>
          <cell r="C17" t="str">
            <v>Reduce Plazo y Pago</v>
          </cell>
          <cell r="D17" t="str">
            <v>Reduce Plazo y Pago</v>
          </cell>
          <cell r="E17" t="str">
            <v>Reduce Plazo y Pago</v>
          </cell>
          <cell r="F17" t="str">
            <v>Reduce Plazo y Pago</v>
          </cell>
          <cell r="G17" t="str">
            <v>Reduce Plazo y Pago</v>
          </cell>
          <cell r="H17" t="str">
            <v>Reduce Plazo y Pago</v>
          </cell>
        </row>
        <row r="18">
          <cell r="B18" t="str">
            <v>Reduce Pago</v>
          </cell>
          <cell r="C18" t="str">
            <v>Reduce Pago</v>
          </cell>
          <cell r="D18" t="str">
            <v>Reduce Pago</v>
          </cell>
          <cell r="E18" t="str">
            <v>Reduce Pago</v>
          </cell>
          <cell r="F18" t="str">
            <v>Reduce Pago</v>
          </cell>
          <cell r="G18" t="str">
            <v>Reduce Pago</v>
          </cell>
          <cell r="H18" t="str">
            <v>Reduce Pago</v>
          </cell>
        </row>
        <row r="19">
          <cell r="B19" t="str">
            <v>Reduce Plazo</v>
          </cell>
          <cell r="C19" t="str">
            <v>Reduce Plazo</v>
          </cell>
          <cell r="D19" t="str">
            <v>Reduce Plazo</v>
          </cell>
          <cell r="E19" t="str">
            <v>Reduce Plazo</v>
          </cell>
          <cell r="F19" t="str">
            <v>Reduce Plazo</v>
          </cell>
          <cell r="G19" t="str">
            <v>Reduce Plazo</v>
          </cell>
          <cell r="H19" t="str">
            <v>Reduce Plazo</v>
          </cell>
        </row>
        <row r="22">
          <cell r="B22" t="str">
            <v>Reduce Plazo y Pago</v>
          </cell>
          <cell r="C22" t="str">
            <v>Reduce Plazo y Pago</v>
          </cell>
          <cell r="D22" t="str">
            <v>Reduce Plazo y Pago</v>
          </cell>
          <cell r="E22" t="str">
            <v>Reduce Plazo y Pago</v>
          </cell>
          <cell r="F22" t="str">
            <v>Reduce Plazo y Pago</v>
          </cell>
          <cell r="G22" t="str">
            <v>Reduce Plazo y Pago</v>
          </cell>
          <cell r="H22" t="str">
            <v>Reduce Plazo y Pago</v>
          </cell>
        </row>
        <row r="23">
          <cell r="B23" t="str">
            <v>Reduce Pago</v>
          </cell>
          <cell r="C23" t="str">
            <v>Reduce Pago</v>
          </cell>
          <cell r="D23" t="str">
            <v>Reduce Pago</v>
          </cell>
          <cell r="E23" t="str">
            <v>Reduce Pago</v>
          </cell>
          <cell r="F23" t="str">
            <v>Reduce Pago</v>
          </cell>
          <cell r="G23" t="str">
            <v>Reduce Pago</v>
          </cell>
          <cell r="H23" t="str">
            <v>Reduce Pago</v>
          </cell>
        </row>
        <row r="24">
          <cell r="B24" t="str">
            <v>Reduce Plazo</v>
          </cell>
          <cell r="C24" t="str">
            <v>Reduce Plazo</v>
          </cell>
          <cell r="D24" t="str">
            <v>Reduce Plazo</v>
          </cell>
          <cell r="E24" t="str">
            <v>Reduce Plazo</v>
          </cell>
          <cell r="F24" t="str">
            <v>Reduce Plazo</v>
          </cell>
          <cell r="G24" t="str">
            <v>Reduce Plazo</v>
          </cell>
          <cell r="H24" t="str">
            <v>Reduce Plazo</v>
          </cell>
        </row>
        <row r="27">
          <cell r="B27" t="str">
            <v>Reduce Plazo y Pago</v>
          </cell>
          <cell r="C27" t="str">
            <v>Reduce Plazo y Pago</v>
          </cell>
          <cell r="D27" t="str">
            <v>Reduce Plazo y Pago</v>
          </cell>
          <cell r="E27" t="str">
            <v>Reduce Plazo y Pago</v>
          </cell>
          <cell r="F27" t="str">
            <v>Reduce Plazo y Pago</v>
          </cell>
          <cell r="G27" t="str">
            <v>Reduce Plazo y Pago</v>
          </cell>
          <cell r="H27" t="str">
            <v>Reduce Plazo y Pago</v>
          </cell>
        </row>
        <row r="28">
          <cell r="B28" t="str">
            <v>Reduce Pago</v>
          </cell>
          <cell r="C28" t="str">
            <v>Reduce Pago</v>
          </cell>
          <cell r="D28" t="str">
            <v>Reduce Pago</v>
          </cell>
          <cell r="E28" t="str">
            <v>Reduce Pago</v>
          </cell>
          <cell r="F28" t="str">
            <v>Reduce Plazo</v>
          </cell>
          <cell r="G28" t="str">
            <v>Reduce Pago</v>
          </cell>
          <cell r="H28" t="str">
            <v>Reduce Pago</v>
          </cell>
        </row>
        <row r="29">
          <cell r="B29" t="str">
            <v>Reduce Plazo</v>
          </cell>
          <cell r="C29" t="str">
            <v>Reduce Plazo</v>
          </cell>
          <cell r="D29" t="str">
            <v>Reduce Plazo</v>
          </cell>
          <cell r="E29" t="str">
            <v>Reduce Plazo</v>
          </cell>
          <cell r="G29" t="str">
            <v>Reduce Plazo</v>
          </cell>
          <cell r="H29" t="str">
            <v>Reduce Plazo</v>
          </cell>
        </row>
        <row r="32">
          <cell r="B32" t="str">
            <v>Reduce Plazo</v>
          </cell>
          <cell r="C32" t="str">
            <v>Reduce Plazo</v>
          </cell>
          <cell r="D32" t="str">
            <v>Reduce Plazo</v>
          </cell>
          <cell r="E32" t="str">
            <v>Reduce Plazo</v>
          </cell>
        </row>
        <row r="34">
          <cell r="D34">
            <v>1</v>
          </cell>
        </row>
      </sheetData>
      <sheetData sheetId="51" refreshError="1">
        <row r="4">
          <cell r="A4">
            <v>1</v>
          </cell>
          <cell r="B4">
            <v>1</v>
          </cell>
          <cell r="C4" t="str">
            <v>Hipoteca Fuerte</v>
          </cell>
          <cell r="D4" t="str">
            <v>A</v>
          </cell>
          <cell r="E4">
            <v>0</v>
          </cell>
          <cell r="F4">
            <v>0</v>
          </cell>
          <cell r="G4" t="b">
            <v>1</v>
          </cell>
          <cell r="H4">
            <v>9.8500000000000004E-2</v>
          </cell>
        </row>
        <row r="5">
          <cell r="B5" t="str">
            <v>Id</v>
          </cell>
          <cell r="C5" t="str">
            <v>Descripción</v>
          </cell>
          <cell r="D5" t="str">
            <v>Código</v>
          </cell>
          <cell r="E5" t="str">
            <v>Pagos Crecientes?</v>
          </cell>
          <cell r="F5" t="str">
            <v>Tasa Interés</v>
          </cell>
          <cell r="G5" t="str">
            <v>Multitasa?</v>
          </cell>
          <cell r="H5" t="str">
            <v>Tasa Final</v>
          </cell>
        </row>
        <row r="6">
          <cell r="B6">
            <v>0</v>
          </cell>
          <cell r="C6" t="str">
            <v>Sin Selección</v>
          </cell>
          <cell r="D6" t="str">
            <v>00</v>
          </cell>
          <cell r="E6">
            <v>0</v>
          </cell>
          <cell r="F6">
            <v>0</v>
          </cell>
          <cell r="G6">
            <v>0</v>
          </cell>
          <cell r="H6">
            <v>0</v>
          </cell>
        </row>
        <row r="7">
          <cell r="B7">
            <v>1</v>
          </cell>
          <cell r="C7" t="str">
            <v>Hipoteca Fuerte</v>
          </cell>
          <cell r="D7" t="str">
            <v>A</v>
          </cell>
          <cell r="E7">
            <v>0</v>
          </cell>
          <cell r="F7">
            <v>0</v>
          </cell>
          <cell r="G7" t="b">
            <v>1</v>
          </cell>
          <cell r="H7">
            <v>9.8500000000000004E-2</v>
          </cell>
        </row>
        <row r="8">
          <cell r="B8">
            <v>5</v>
          </cell>
          <cell r="C8" t="str">
            <v>Hipoteca Más por Menos</v>
          </cell>
          <cell r="D8" t="str">
            <v>E</v>
          </cell>
          <cell r="E8" t="b">
            <v>1</v>
          </cell>
          <cell r="F8">
            <v>0.1125</v>
          </cell>
          <cell r="G8">
            <v>0</v>
          </cell>
          <cell r="H8">
            <v>0</v>
          </cell>
        </row>
        <row r="10">
          <cell r="B10">
            <v>2</v>
          </cell>
        </row>
        <row r="11">
          <cell r="B11">
            <v>3</v>
          </cell>
        </row>
        <row r="12">
          <cell r="B12">
            <v>4</v>
          </cell>
        </row>
        <row r="13">
          <cell r="B13">
            <v>6</v>
          </cell>
        </row>
      </sheetData>
      <sheetData sheetId="52" refreshError="1"/>
      <sheetData sheetId="53" refreshError="1"/>
      <sheetData sheetId="54" refreshError="1">
        <row r="5">
          <cell r="L5">
            <v>16</v>
          </cell>
        </row>
        <row r="9">
          <cell r="G9">
            <v>60</v>
          </cell>
          <cell r="J9">
            <v>16</v>
          </cell>
        </row>
        <row r="10">
          <cell r="G10">
            <v>72</v>
          </cell>
          <cell r="J10">
            <v>240</v>
          </cell>
        </row>
        <row r="11">
          <cell r="G11">
            <v>84</v>
          </cell>
        </row>
        <row r="12">
          <cell r="G12">
            <v>96</v>
          </cell>
        </row>
        <row r="13">
          <cell r="G13">
            <v>108</v>
          </cell>
          <cell r="J13">
            <v>240</v>
          </cell>
        </row>
        <row r="14">
          <cell r="G14">
            <v>120</v>
          </cell>
        </row>
        <row r="15">
          <cell r="G15">
            <v>132</v>
          </cell>
        </row>
        <row r="16">
          <cell r="G16">
            <v>144</v>
          </cell>
          <cell r="J16">
            <v>240</v>
          </cell>
        </row>
        <row r="17">
          <cell r="G17">
            <v>156</v>
          </cell>
          <cell r="J17">
            <v>20</v>
          </cell>
        </row>
        <row r="18">
          <cell r="G18">
            <v>168</v>
          </cell>
        </row>
        <row r="19">
          <cell r="G19">
            <v>180</v>
          </cell>
          <cell r="J19">
            <v>0</v>
          </cell>
        </row>
        <row r="20">
          <cell r="G20">
            <v>192</v>
          </cell>
          <cell r="J20" t="str">
            <v/>
          </cell>
        </row>
        <row r="21">
          <cell r="G21">
            <v>204</v>
          </cell>
          <cell r="J21" t="str">
            <v>20</v>
          </cell>
        </row>
        <row r="22">
          <cell r="G22">
            <v>216</v>
          </cell>
        </row>
        <row r="23">
          <cell r="G23">
            <v>228</v>
          </cell>
          <cell r="J23" t="str">
            <v>20 años ( 240 meses )</v>
          </cell>
        </row>
        <row r="24">
          <cell r="G24">
            <v>240</v>
          </cell>
        </row>
      </sheetData>
      <sheetData sheetId="55" refreshError="1">
        <row r="3">
          <cell r="B3">
            <v>1000000</v>
          </cell>
        </row>
        <row r="4">
          <cell r="B4">
            <v>7000000</v>
          </cell>
        </row>
        <row r="5">
          <cell r="B5">
            <v>0.93</v>
          </cell>
        </row>
      </sheetData>
      <sheetData sheetId="56" refreshError="1">
        <row r="3">
          <cell r="D3">
            <v>6500001</v>
          </cell>
          <cell r="E3">
            <v>0.92857143877550874</v>
          </cell>
          <cell r="F3" t="str">
            <v>* Sólo para Hipoteca Más por Menos: La tasa de interés es de 11.25% del mes 1 al 37, de 11.50% del mes 38 al 73, de 11.75% del mes 74 en adelante.</v>
          </cell>
          <cell r="O3" t="str">
            <v/>
          </cell>
        </row>
        <row r="4">
          <cell r="D4">
            <v>500000</v>
          </cell>
          <cell r="E4">
            <v>7.142856122449126E-2</v>
          </cell>
        </row>
        <row r="7">
          <cell r="D7">
            <v>372900.05220000003</v>
          </cell>
        </row>
        <row r="8">
          <cell r="D8">
            <v>6500001</v>
          </cell>
        </row>
      </sheetData>
      <sheetData sheetId="57" refreshError="1"/>
      <sheetData sheetId="58" refreshError="1"/>
      <sheetData sheetId="59" refreshError="1"/>
      <sheetData sheetId="60" refreshError="1"/>
      <sheetData sheetId="61" refreshError="1"/>
      <sheetData sheetId="62" refreshError="1"/>
      <sheetData sheetId="63" refreshError="1">
        <row r="4">
          <cell r="S4">
            <v>7120.5954000000002</v>
          </cell>
          <cell r="T4">
            <v>7120.5954000000002</v>
          </cell>
          <cell r="U4">
            <v>7120.5954000000002</v>
          </cell>
        </row>
        <row r="5">
          <cell r="S5">
            <v>7188.2411000000002</v>
          </cell>
          <cell r="T5">
            <v>7188.2411000000002</v>
          </cell>
          <cell r="U5">
            <v>7188.2411000000002</v>
          </cell>
        </row>
        <row r="6">
          <cell r="S6">
            <v>7256.5294000000004</v>
          </cell>
          <cell r="T6">
            <v>7256.5293000000001</v>
          </cell>
          <cell r="U6">
            <v>7256.5294000000004</v>
          </cell>
        </row>
        <row r="7">
          <cell r="S7">
            <v>7325.4664000000002</v>
          </cell>
          <cell r="T7">
            <v>7325.4664000000002</v>
          </cell>
          <cell r="U7">
            <v>7325.4664000000002</v>
          </cell>
        </row>
        <row r="8">
          <cell r="S8">
            <v>7395.0582999999997</v>
          </cell>
          <cell r="T8">
            <v>7395.0582999999997</v>
          </cell>
          <cell r="U8">
            <v>7395.0582999999997</v>
          </cell>
        </row>
        <row r="9">
          <cell r="S9">
            <v>7465.3113999999996</v>
          </cell>
          <cell r="T9">
            <v>7465.3113999999996</v>
          </cell>
          <cell r="U9">
            <v>7465.3113999999996</v>
          </cell>
        </row>
        <row r="10">
          <cell r="S10">
            <v>7536.2317999999996</v>
          </cell>
          <cell r="T10">
            <v>7536.2317999999996</v>
          </cell>
          <cell r="U10">
            <v>7536.2317999999996</v>
          </cell>
        </row>
        <row r="11">
          <cell r="S11">
            <v>7607.826</v>
          </cell>
          <cell r="T11">
            <v>7607.826</v>
          </cell>
          <cell r="U11">
            <v>7607.826</v>
          </cell>
        </row>
        <row r="12">
          <cell r="S12">
            <v>7680.1004000000003</v>
          </cell>
          <cell r="T12">
            <v>7680.1004000000003</v>
          </cell>
          <cell r="U12">
            <v>7680.1004000000003</v>
          </cell>
        </row>
        <row r="13">
          <cell r="S13">
            <v>7753.0613000000003</v>
          </cell>
          <cell r="T13">
            <v>7753.0613000000003</v>
          </cell>
          <cell r="U13">
            <v>7753.0613000000003</v>
          </cell>
        </row>
        <row r="14">
          <cell r="S14">
            <v>7826.7154</v>
          </cell>
          <cell r="T14">
            <v>7826.7154</v>
          </cell>
          <cell r="U14">
            <v>7826.7154</v>
          </cell>
        </row>
        <row r="15">
          <cell r="S15">
            <v>7901.0691999999999</v>
          </cell>
          <cell r="T15">
            <v>7901.0691999999999</v>
          </cell>
          <cell r="U15">
            <v>7901.0691999999999</v>
          </cell>
        </row>
        <row r="16">
          <cell r="S16">
            <v>7976.1293999999998</v>
          </cell>
          <cell r="T16">
            <v>8180.6306999999997</v>
          </cell>
          <cell r="U16">
            <v>7976.1293999999998</v>
          </cell>
        </row>
        <row r="17">
          <cell r="S17">
            <v>8051.9026000000003</v>
          </cell>
          <cell r="T17">
            <v>8257.2289000000001</v>
          </cell>
          <cell r="U17">
            <v>8051.9026000000003</v>
          </cell>
        </row>
        <row r="18">
          <cell r="S18">
            <v>8128.3957</v>
          </cell>
          <cell r="T18">
            <v>8334.5455999999995</v>
          </cell>
          <cell r="U18">
            <v>8128.3957</v>
          </cell>
        </row>
        <row r="19">
          <cell r="S19">
            <v>8205.6154000000006</v>
          </cell>
          <cell r="T19">
            <v>8412.5877</v>
          </cell>
          <cell r="U19">
            <v>8205.6154000000006</v>
          </cell>
        </row>
        <row r="20">
          <cell r="S20">
            <v>8283.5687999999991</v>
          </cell>
          <cell r="T20">
            <v>8491.3621000000003</v>
          </cell>
          <cell r="U20">
            <v>8283.5687999999991</v>
          </cell>
        </row>
        <row r="21">
          <cell r="S21">
            <v>8362.2626999999993</v>
          </cell>
          <cell r="T21">
            <v>8570.8755000000001</v>
          </cell>
          <cell r="U21">
            <v>8362.2626999999993</v>
          </cell>
        </row>
        <row r="22">
          <cell r="S22">
            <v>8441.7042000000001</v>
          </cell>
          <cell r="T22">
            <v>8651.1350000000002</v>
          </cell>
          <cell r="U22">
            <v>8441.7042000000001</v>
          </cell>
        </row>
        <row r="23">
          <cell r="S23">
            <v>8521.9004000000004</v>
          </cell>
          <cell r="T23">
            <v>8732.1476000000002</v>
          </cell>
          <cell r="U23">
            <v>8521.9004000000004</v>
          </cell>
        </row>
        <row r="24">
          <cell r="S24">
            <v>8602.8583999999992</v>
          </cell>
          <cell r="T24">
            <v>8813.9204000000009</v>
          </cell>
          <cell r="U24">
            <v>8602.8583999999992</v>
          </cell>
        </row>
        <row r="25">
          <cell r="S25">
            <v>8684.5856000000003</v>
          </cell>
          <cell r="T25">
            <v>8896.4603999999999</v>
          </cell>
          <cell r="U25">
            <v>8684.5856000000003</v>
          </cell>
        </row>
        <row r="26">
          <cell r="S26">
            <v>8767.0890999999992</v>
          </cell>
          <cell r="T26">
            <v>8979.7751000000007</v>
          </cell>
          <cell r="U26">
            <v>8767.0890999999992</v>
          </cell>
        </row>
        <row r="27">
          <cell r="S27">
            <v>8850.3765000000003</v>
          </cell>
          <cell r="T27">
            <v>9063.8714999999993</v>
          </cell>
          <cell r="U27">
            <v>8850.3765000000003</v>
          </cell>
        </row>
        <row r="28">
          <cell r="S28">
            <v>8934.4550999999992</v>
          </cell>
          <cell r="T28">
            <v>9367.3930999999993</v>
          </cell>
          <cell r="U28">
            <v>8934.4550999999992</v>
          </cell>
        </row>
        <row r="29">
          <cell r="S29">
            <v>9019.3323999999993</v>
          </cell>
          <cell r="T29">
            <v>9453.8688999999995</v>
          </cell>
          <cell r="U29">
            <v>9019.3323999999993</v>
          </cell>
        </row>
        <row r="30">
          <cell r="S30">
            <v>9105.0161000000007</v>
          </cell>
          <cell r="T30">
            <v>9541.1463000000003</v>
          </cell>
          <cell r="U30">
            <v>9105.0161000000007</v>
          </cell>
        </row>
        <row r="31">
          <cell r="S31">
            <v>9191.5136999999995</v>
          </cell>
          <cell r="T31">
            <v>9629.2329000000009</v>
          </cell>
          <cell r="U31">
            <v>9191.5136999999995</v>
          </cell>
        </row>
        <row r="32">
          <cell r="S32">
            <v>9278.8330999999998</v>
          </cell>
          <cell r="T32">
            <v>9718.1363000000001</v>
          </cell>
          <cell r="U32">
            <v>9278.8330999999998</v>
          </cell>
        </row>
        <row r="33">
          <cell r="S33">
            <v>9366.982</v>
          </cell>
          <cell r="T33">
            <v>9807.8639000000003</v>
          </cell>
          <cell r="U33">
            <v>9366.982</v>
          </cell>
        </row>
        <row r="34">
          <cell r="S34">
            <v>9455.9683000000005</v>
          </cell>
          <cell r="T34">
            <v>9898.4235000000008</v>
          </cell>
          <cell r="U34">
            <v>9455.9683000000005</v>
          </cell>
        </row>
        <row r="35">
          <cell r="S35">
            <v>9545.7999999999993</v>
          </cell>
          <cell r="T35">
            <v>9989.8228999999992</v>
          </cell>
          <cell r="U35">
            <v>9545.7999999999993</v>
          </cell>
        </row>
        <row r="36">
          <cell r="S36">
            <v>9636.4850999999999</v>
          </cell>
          <cell r="T36">
            <v>10082.069799999999</v>
          </cell>
          <cell r="U36">
            <v>9636.4850999999999</v>
          </cell>
        </row>
        <row r="37">
          <cell r="S37">
            <v>9728.0316999999995</v>
          </cell>
          <cell r="T37">
            <v>10175.1723</v>
          </cell>
          <cell r="U37">
            <v>9728.0316999999995</v>
          </cell>
        </row>
        <row r="38">
          <cell r="S38">
            <v>9820.4480000000003</v>
          </cell>
          <cell r="T38">
            <v>10269.138199999999</v>
          </cell>
          <cell r="U38">
            <v>9820.4480000000003</v>
          </cell>
        </row>
        <row r="39">
          <cell r="S39">
            <v>9913.7422999999999</v>
          </cell>
          <cell r="T39">
            <v>10363.9756</v>
          </cell>
          <cell r="U39">
            <v>9913.7422999999999</v>
          </cell>
        </row>
        <row r="40">
          <cell r="S40">
            <v>10007.9228</v>
          </cell>
          <cell r="T40">
            <v>10691.9092</v>
          </cell>
          <cell r="U40">
            <v>10007.9228</v>
          </cell>
        </row>
        <row r="41">
          <cell r="S41">
            <v>10102.998100000001</v>
          </cell>
          <cell r="T41">
            <v>10789.258099999999</v>
          </cell>
          <cell r="U41">
            <v>10102.998100000001</v>
          </cell>
        </row>
        <row r="42">
          <cell r="S42">
            <v>10198.9766</v>
          </cell>
          <cell r="T42">
            <v>10887.499299999999</v>
          </cell>
          <cell r="U42">
            <v>10198.9766</v>
          </cell>
        </row>
        <row r="43">
          <cell r="S43">
            <v>10295.866900000001</v>
          </cell>
          <cell r="T43">
            <v>10986.641</v>
          </cell>
          <cell r="U43">
            <v>10295.866900000001</v>
          </cell>
        </row>
        <row r="44">
          <cell r="S44">
            <v>10393.677600000001</v>
          </cell>
          <cell r="T44">
            <v>11086.691699999999</v>
          </cell>
          <cell r="U44">
            <v>10393.677600000001</v>
          </cell>
        </row>
        <row r="45">
          <cell r="S45">
            <v>10492.4175</v>
          </cell>
          <cell r="T45">
            <v>11187.659799999999</v>
          </cell>
          <cell r="U45">
            <v>10492.4175</v>
          </cell>
        </row>
        <row r="46">
          <cell r="S46">
            <v>10592.095499999999</v>
          </cell>
          <cell r="T46">
            <v>11289.553599999999</v>
          </cell>
          <cell r="U46">
            <v>10592.095499999999</v>
          </cell>
        </row>
        <row r="47">
          <cell r="S47">
            <v>10692.7204</v>
          </cell>
          <cell r="T47">
            <v>11392.3817</v>
          </cell>
          <cell r="U47">
            <v>10692.7204</v>
          </cell>
        </row>
        <row r="48">
          <cell r="S48">
            <v>10794.301299999999</v>
          </cell>
          <cell r="T48">
            <v>11496.152899999999</v>
          </cell>
          <cell r="U48">
            <v>10794.301299999999</v>
          </cell>
        </row>
        <row r="49">
          <cell r="S49">
            <v>10896.847100000001</v>
          </cell>
          <cell r="T49">
            <v>11600.875899999999</v>
          </cell>
          <cell r="U49">
            <v>10896.847100000001</v>
          </cell>
        </row>
        <row r="50">
          <cell r="S50">
            <v>11000.367200000001</v>
          </cell>
          <cell r="T50">
            <v>11706.5594</v>
          </cell>
          <cell r="U50">
            <v>11000.367200000001</v>
          </cell>
        </row>
        <row r="51">
          <cell r="S51">
            <v>11104.870699999999</v>
          </cell>
          <cell r="T51">
            <v>11813.2124</v>
          </cell>
          <cell r="U51">
            <v>11104.870699999999</v>
          </cell>
        </row>
        <row r="52">
          <cell r="S52">
            <v>11210.366900000001</v>
          </cell>
          <cell r="T52">
            <v>12165.810299999999</v>
          </cell>
          <cell r="U52">
            <v>11210.366900000001</v>
          </cell>
        </row>
        <row r="53">
          <cell r="S53">
            <v>11316.865400000001</v>
          </cell>
          <cell r="T53">
            <v>12275.102699999999</v>
          </cell>
          <cell r="U53">
            <v>11316.865400000001</v>
          </cell>
        </row>
        <row r="54">
          <cell r="S54">
            <v>11424.375599999999</v>
          </cell>
          <cell r="T54">
            <v>12385.3863</v>
          </cell>
          <cell r="U54">
            <v>11424.375599999999</v>
          </cell>
        </row>
        <row r="55">
          <cell r="S55">
            <v>11532.9072</v>
          </cell>
          <cell r="T55">
            <v>12496.6703</v>
          </cell>
          <cell r="U55">
            <v>11532.9072</v>
          </cell>
        </row>
        <row r="56">
          <cell r="S56">
            <v>11642.469800000001</v>
          </cell>
          <cell r="T56">
            <v>12608.9637</v>
          </cell>
          <cell r="U56">
            <v>11642.469800000001</v>
          </cell>
        </row>
        <row r="57">
          <cell r="S57">
            <v>11753.0733</v>
          </cell>
          <cell r="T57">
            <v>12722.275900000001</v>
          </cell>
          <cell r="U57">
            <v>11753.0733</v>
          </cell>
        </row>
        <row r="58">
          <cell r="S58">
            <v>11864.727500000001</v>
          </cell>
          <cell r="T58">
            <v>12836.6162</v>
          </cell>
          <cell r="U58">
            <v>11864.727500000001</v>
          </cell>
        </row>
        <row r="59">
          <cell r="S59">
            <v>11977.4424</v>
          </cell>
          <cell r="T59">
            <v>12951.994199999999</v>
          </cell>
          <cell r="U59">
            <v>11977.4424</v>
          </cell>
        </row>
        <row r="60">
          <cell r="S60">
            <v>12091.2281</v>
          </cell>
          <cell r="T60">
            <v>13068.4193</v>
          </cell>
          <cell r="U60">
            <v>12091.2281</v>
          </cell>
        </row>
        <row r="61">
          <cell r="S61">
            <v>12206.094800000001</v>
          </cell>
          <cell r="T61">
            <v>13185.901</v>
          </cell>
          <cell r="U61">
            <v>12206.094800000001</v>
          </cell>
        </row>
        <row r="62">
          <cell r="S62">
            <v>12322.0527</v>
          </cell>
          <cell r="T62">
            <v>13304.449199999999</v>
          </cell>
          <cell r="U62">
            <v>12322.0527</v>
          </cell>
        </row>
        <row r="63">
          <cell r="S63">
            <v>12439.1122</v>
          </cell>
          <cell r="T63">
            <v>13424.073700000001</v>
          </cell>
          <cell r="U63">
            <v>12439.1122</v>
          </cell>
        </row>
        <row r="64">
          <cell r="S64">
            <v>12557.2837</v>
          </cell>
          <cell r="T64">
            <v>13801.368399999999</v>
          </cell>
          <cell r="U64">
            <v>12557.2837</v>
          </cell>
        </row>
        <row r="65">
          <cell r="S65">
            <v>12676.5779</v>
          </cell>
          <cell r="T65">
            <v>13923.755300000001</v>
          </cell>
          <cell r="U65">
            <v>12676.5779</v>
          </cell>
        </row>
        <row r="66">
          <cell r="S66">
            <v>12797.0054</v>
          </cell>
          <cell r="T66">
            <v>14047.241400000001</v>
          </cell>
          <cell r="U66">
            <v>12797.0054</v>
          </cell>
        </row>
        <row r="67">
          <cell r="S67">
            <v>12918.576999999999</v>
          </cell>
          <cell r="T67">
            <v>14171.836300000001</v>
          </cell>
          <cell r="U67">
            <v>12918.576999999999</v>
          </cell>
        </row>
        <row r="68">
          <cell r="S68">
            <v>13041.3035</v>
          </cell>
          <cell r="T68">
            <v>14297.550499999999</v>
          </cell>
          <cell r="U68">
            <v>13041.303400000001</v>
          </cell>
        </row>
        <row r="69">
          <cell r="S69">
            <v>13165.1958</v>
          </cell>
          <cell r="T69">
            <v>14424.394</v>
          </cell>
          <cell r="U69">
            <v>13165.1958</v>
          </cell>
        </row>
        <row r="70">
          <cell r="S70">
            <v>13290.2652</v>
          </cell>
          <cell r="T70">
            <v>14552.3773</v>
          </cell>
          <cell r="U70">
            <v>13290.2652</v>
          </cell>
        </row>
        <row r="71">
          <cell r="S71">
            <v>13416.5227</v>
          </cell>
          <cell r="T71">
            <v>14681.5105</v>
          </cell>
          <cell r="U71">
            <v>13416.5227</v>
          </cell>
        </row>
        <row r="72">
          <cell r="S72">
            <v>13543.9797</v>
          </cell>
          <cell r="T72">
            <v>14811.804400000001</v>
          </cell>
          <cell r="U72">
            <v>13543.9797</v>
          </cell>
        </row>
        <row r="73">
          <cell r="S73">
            <v>13672.647499999999</v>
          </cell>
          <cell r="T73">
            <v>14943.2695</v>
          </cell>
          <cell r="U73">
            <v>13672.647499999999</v>
          </cell>
        </row>
        <row r="74">
          <cell r="S74">
            <v>13802.5376</v>
          </cell>
          <cell r="T74">
            <v>15075.9164</v>
          </cell>
          <cell r="U74">
            <v>13802.5376</v>
          </cell>
        </row>
        <row r="75">
          <cell r="S75">
            <v>13933.661700000001</v>
          </cell>
          <cell r="T75">
            <v>15209.756100000001</v>
          </cell>
          <cell r="U75">
            <v>13933.661700000001</v>
          </cell>
        </row>
        <row r="76">
          <cell r="S76">
            <v>14066.031499999999</v>
          </cell>
          <cell r="T76">
            <v>15611.540199999999</v>
          </cell>
          <cell r="U76">
            <v>14066.031499999999</v>
          </cell>
        </row>
        <row r="77">
          <cell r="S77">
            <v>14199.658799999999</v>
          </cell>
          <cell r="T77">
            <v>15748.2595</v>
          </cell>
          <cell r="U77">
            <v>14199.658799999999</v>
          </cell>
        </row>
        <row r="78">
          <cell r="S78">
            <v>14334.5556</v>
          </cell>
          <cell r="T78">
            <v>15886.1952</v>
          </cell>
          <cell r="U78">
            <v>14334.5556</v>
          </cell>
        </row>
        <row r="79">
          <cell r="S79">
            <v>14470.733899999999</v>
          </cell>
          <cell r="T79">
            <v>16025.358399999999</v>
          </cell>
          <cell r="U79">
            <v>14470.733899999999</v>
          </cell>
        </row>
        <row r="80">
          <cell r="S80">
            <v>14608.2058</v>
          </cell>
          <cell r="T80">
            <v>16165.760200000001</v>
          </cell>
          <cell r="U80">
            <v>14608.2058</v>
          </cell>
        </row>
        <row r="81">
          <cell r="S81">
            <v>14746.9838</v>
          </cell>
          <cell r="T81">
            <v>16307.4118</v>
          </cell>
          <cell r="U81">
            <v>14746.9838</v>
          </cell>
        </row>
        <row r="82">
          <cell r="S82">
            <v>14887.080099999999</v>
          </cell>
          <cell r="T82">
            <v>16450.324799999999</v>
          </cell>
          <cell r="U82">
            <v>14887.080099999999</v>
          </cell>
        </row>
        <row r="83">
          <cell r="S83">
            <v>15028.5074</v>
          </cell>
          <cell r="T83">
            <v>16594.510200000001</v>
          </cell>
          <cell r="U83">
            <v>15028.5074</v>
          </cell>
        </row>
        <row r="84">
          <cell r="S84">
            <v>15171.278200000001</v>
          </cell>
          <cell r="T84">
            <v>16739.980100000001</v>
          </cell>
          <cell r="U84">
            <v>15171.278200000001</v>
          </cell>
        </row>
        <row r="85">
          <cell r="S85">
            <v>15315.4054</v>
          </cell>
          <cell r="T85">
            <v>16886.745800000001</v>
          </cell>
          <cell r="U85">
            <v>15315.4054</v>
          </cell>
        </row>
        <row r="86">
          <cell r="S86">
            <v>15460.9017</v>
          </cell>
          <cell r="T86">
            <v>17034.819</v>
          </cell>
          <cell r="U86">
            <v>15460.9017</v>
          </cell>
        </row>
        <row r="87">
          <cell r="S87">
            <v>15607.7803</v>
          </cell>
          <cell r="T87">
            <v>17184.211899999998</v>
          </cell>
          <cell r="U87">
            <v>15607.7803</v>
          </cell>
        </row>
        <row r="88">
          <cell r="S88">
            <v>15756.0542</v>
          </cell>
          <cell r="T88">
            <v>17610.018400000001</v>
          </cell>
          <cell r="U88">
            <v>15756.0542</v>
          </cell>
        </row>
        <row r="89">
          <cell r="S89">
            <v>15905.736699999999</v>
          </cell>
          <cell r="T89">
            <v>17762.401300000001</v>
          </cell>
          <cell r="U89">
            <v>15905.736699999999</v>
          </cell>
        </row>
        <row r="90">
          <cell r="S90">
            <v>16056.841200000001</v>
          </cell>
          <cell r="T90">
            <v>17916.128499999999</v>
          </cell>
          <cell r="U90">
            <v>16056.841200000001</v>
          </cell>
        </row>
        <row r="91">
          <cell r="S91">
            <v>16209.3812</v>
          </cell>
          <cell r="T91">
            <v>18071.212100000001</v>
          </cell>
          <cell r="U91">
            <v>16209.3812</v>
          </cell>
        </row>
        <row r="92">
          <cell r="S92">
            <v>16363.3703</v>
          </cell>
          <cell r="T92">
            <v>18227.664499999999</v>
          </cell>
          <cell r="U92">
            <v>16363.3703</v>
          </cell>
        </row>
        <row r="93">
          <cell r="S93">
            <v>16518.8223</v>
          </cell>
          <cell r="T93">
            <v>18385.498100000001</v>
          </cell>
          <cell r="U93">
            <v>16518.8223</v>
          </cell>
        </row>
        <row r="94">
          <cell r="S94">
            <v>16675.751199999999</v>
          </cell>
          <cell r="T94">
            <v>18544.725200000001</v>
          </cell>
          <cell r="U94">
            <v>16675.751100000001</v>
          </cell>
        </row>
        <row r="95">
          <cell r="S95">
            <v>16834.1708</v>
          </cell>
          <cell r="T95">
            <v>18705.3586</v>
          </cell>
          <cell r="U95">
            <v>16834.1708</v>
          </cell>
        </row>
        <row r="96">
          <cell r="S96">
            <v>16994.095399999998</v>
          </cell>
          <cell r="T96">
            <v>18867.410800000001</v>
          </cell>
          <cell r="U96">
            <v>16994.095399999998</v>
          </cell>
        </row>
        <row r="97">
          <cell r="S97">
            <v>17155.5393</v>
          </cell>
          <cell r="T97">
            <v>19030.894700000001</v>
          </cell>
          <cell r="U97">
            <v>17155.5393</v>
          </cell>
        </row>
        <row r="98">
          <cell r="S98">
            <v>17318.516899999999</v>
          </cell>
          <cell r="T98">
            <v>19195.823400000001</v>
          </cell>
          <cell r="U98">
            <v>17318.516899999999</v>
          </cell>
        </row>
        <row r="99">
          <cell r="S99">
            <v>17483.0429</v>
          </cell>
          <cell r="T99">
            <v>19362.209699999999</v>
          </cell>
          <cell r="U99">
            <v>17483.042799999999</v>
          </cell>
        </row>
        <row r="100">
          <cell r="S100">
            <v>17649.131799999999</v>
          </cell>
          <cell r="T100">
            <v>19530.0671</v>
          </cell>
          <cell r="U100">
            <v>17649.131799999999</v>
          </cell>
        </row>
        <row r="101">
          <cell r="S101">
            <v>17816.798500000001</v>
          </cell>
          <cell r="T101">
            <v>19699.4087</v>
          </cell>
          <cell r="U101">
            <v>17816.798500000001</v>
          </cell>
        </row>
        <row r="102">
          <cell r="S102">
            <v>17986.058099999998</v>
          </cell>
          <cell r="T102">
            <v>19870.247899999998</v>
          </cell>
          <cell r="U102">
            <v>17986.058099999998</v>
          </cell>
        </row>
        <row r="103">
          <cell r="S103">
            <v>18156.925599999999</v>
          </cell>
          <cell r="T103">
            <v>20042.598399999999</v>
          </cell>
          <cell r="U103">
            <v>18156.925599999999</v>
          </cell>
        </row>
        <row r="104">
          <cell r="S104">
            <v>18329.416399999998</v>
          </cell>
          <cell r="T104">
            <v>20216.4738</v>
          </cell>
          <cell r="U104">
            <v>18329.416399999998</v>
          </cell>
        </row>
        <row r="105">
          <cell r="S105">
            <v>18503.545900000001</v>
          </cell>
          <cell r="T105">
            <v>20391.8881</v>
          </cell>
          <cell r="U105">
            <v>18503.545900000001</v>
          </cell>
        </row>
        <row r="106">
          <cell r="S106">
            <v>18679.329600000001</v>
          </cell>
          <cell r="T106">
            <v>20568.854899999998</v>
          </cell>
          <cell r="U106">
            <v>18679.329600000001</v>
          </cell>
        </row>
        <row r="107">
          <cell r="S107">
            <v>18856.783200000002</v>
          </cell>
          <cell r="T107">
            <v>20747.388599999998</v>
          </cell>
          <cell r="U107">
            <v>18856.783200000002</v>
          </cell>
        </row>
        <row r="108">
          <cell r="S108">
            <v>19035.922699999999</v>
          </cell>
          <cell r="T108">
            <v>20927.503100000002</v>
          </cell>
          <cell r="U108">
            <v>19035.922699999999</v>
          </cell>
        </row>
        <row r="109">
          <cell r="S109">
            <v>19216.763900000002</v>
          </cell>
          <cell r="T109">
            <v>21109.213</v>
          </cell>
          <cell r="U109">
            <v>19216.763900000002</v>
          </cell>
        </row>
        <row r="110">
          <cell r="S110">
            <v>19399.323199999999</v>
          </cell>
          <cell r="T110">
            <v>21292.532599999999</v>
          </cell>
          <cell r="U110">
            <v>19399.323199999999</v>
          </cell>
        </row>
        <row r="111">
          <cell r="S111">
            <v>19583.616699999999</v>
          </cell>
          <cell r="T111">
            <v>21477.476600000002</v>
          </cell>
          <cell r="U111">
            <v>19583.616699999999</v>
          </cell>
        </row>
        <row r="112">
          <cell r="S112">
            <v>19769.661100000001</v>
          </cell>
          <cell r="T112">
            <v>21664.059700000002</v>
          </cell>
          <cell r="U112">
            <v>19769.661100000001</v>
          </cell>
        </row>
        <row r="113">
          <cell r="S113">
            <v>19957.472900000001</v>
          </cell>
          <cell r="T113">
            <v>21852.296600000001</v>
          </cell>
          <cell r="U113">
            <v>19957.472900000001</v>
          </cell>
        </row>
        <row r="114">
          <cell r="S114">
            <v>20147.068899999998</v>
          </cell>
          <cell r="T114">
            <v>22042.202600000001</v>
          </cell>
          <cell r="U114">
            <v>20147.068899999998</v>
          </cell>
        </row>
        <row r="115">
          <cell r="S115">
            <v>20338.466</v>
          </cell>
          <cell r="T115">
            <v>22233.792799999999</v>
          </cell>
          <cell r="U115">
            <v>20338.466</v>
          </cell>
        </row>
        <row r="116">
          <cell r="S116">
            <v>20531.681499999999</v>
          </cell>
          <cell r="T116">
            <v>22427.082299999998</v>
          </cell>
          <cell r="U116">
            <v>20531.681499999999</v>
          </cell>
        </row>
        <row r="117">
          <cell r="S117">
            <v>20726.732400000001</v>
          </cell>
          <cell r="T117">
            <v>22622.0867</v>
          </cell>
          <cell r="U117">
            <v>20726.732400000001</v>
          </cell>
        </row>
        <row r="118">
          <cell r="S118">
            <v>20923.636399999999</v>
          </cell>
          <cell r="T118">
            <v>22818.821499999998</v>
          </cell>
          <cell r="U118">
            <v>20923.636399999999</v>
          </cell>
        </row>
        <row r="119">
          <cell r="S119">
            <v>21122.410899999999</v>
          </cell>
          <cell r="T119">
            <v>23017.302500000002</v>
          </cell>
          <cell r="U119">
            <v>21122.410899999999</v>
          </cell>
        </row>
        <row r="120">
          <cell r="S120">
            <v>21323.073799999998</v>
          </cell>
          <cell r="T120">
            <v>23217.545399999999</v>
          </cell>
          <cell r="U120">
            <v>21323.073799999998</v>
          </cell>
        </row>
        <row r="121">
          <cell r="S121">
            <v>21525.643</v>
          </cell>
          <cell r="T121">
            <v>23419.5664</v>
          </cell>
          <cell r="U121">
            <v>21525.643</v>
          </cell>
        </row>
        <row r="122">
          <cell r="S122">
            <v>21730.136699999999</v>
          </cell>
          <cell r="T122">
            <v>23623.3815</v>
          </cell>
          <cell r="U122">
            <v>21730.136600000002</v>
          </cell>
        </row>
        <row r="123">
          <cell r="S123">
            <v>21936.573</v>
          </cell>
          <cell r="T123">
            <v>23829.007300000001</v>
          </cell>
          <cell r="U123">
            <v>21936.572899999999</v>
          </cell>
        </row>
        <row r="124">
          <cell r="S124">
            <v>22144.970399999998</v>
          </cell>
          <cell r="T124">
            <v>24036.459900000002</v>
          </cell>
          <cell r="U124">
            <v>22144.970399999998</v>
          </cell>
        </row>
        <row r="125">
          <cell r="S125">
            <v>22355.347600000001</v>
          </cell>
          <cell r="T125">
            <v>24245.756099999999</v>
          </cell>
          <cell r="U125">
            <v>22355.347600000001</v>
          </cell>
        </row>
        <row r="126">
          <cell r="S126">
            <v>22567.723399999999</v>
          </cell>
          <cell r="T126">
            <v>24456.912700000001</v>
          </cell>
          <cell r="U126">
            <v>22567.723399999999</v>
          </cell>
        </row>
        <row r="127">
          <cell r="S127">
            <v>22782.1168</v>
          </cell>
          <cell r="T127">
            <v>24669.946599999999</v>
          </cell>
          <cell r="U127">
            <v>22782.1168</v>
          </cell>
        </row>
        <row r="128">
          <cell r="S128">
            <v>22998.546900000001</v>
          </cell>
          <cell r="T128">
            <v>24884.874899999999</v>
          </cell>
          <cell r="U128">
            <v>22998.546900000001</v>
          </cell>
        </row>
        <row r="129">
          <cell r="S129">
            <v>23217.033100000001</v>
          </cell>
          <cell r="T129">
            <v>25101.7147</v>
          </cell>
          <cell r="U129">
            <v>23217.033100000001</v>
          </cell>
        </row>
        <row r="130">
          <cell r="S130">
            <v>23437.5949</v>
          </cell>
          <cell r="T130">
            <v>25320.4836</v>
          </cell>
          <cell r="U130">
            <v>23437.5949</v>
          </cell>
        </row>
        <row r="131">
          <cell r="S131">
            <v>23660.252100000002</v>
          </cell>
          <cell r="T131">
            <v>25541.199100000002</v>
          </cell>
          <cell r="U131">
            <v>23660.252100000002</v>
          </cell>
        </row>
        <row r="132">
          <cell r="S132">
            <v>23885.0245</v>
          </cell>
          <cell r="T132">
            <v>25763.879000000001</v>
          </cell>
          <cell r="U132">
            <v>23885.0245</v>
          </cell>
        </row>
        <row r="133">
          <cell r="S133">
            <v>24111.932199999999</v>
          </cell>
          <cell r="T133">
            <v>25988.541000000001</v>
          </cell>
          <cell r="U133">
            <v>24111.932199999999</v>
          </cell>
        </row>
        <row r="134">
          <cell r="S134">
            <v>24340.995500000001</v>
          </cell>
          <cell r="T134">
            <v>26215.203399999999</v>
          </cell>
          <cell r="U134">
            <v>24340.995500000001</v>
          </cell>
        </row>
        <row r="135">
          <cell r="S135">
            <v>24572.235000000001</v>
          </cell>
          <cell r="T135">
            <v>26443.884300000002</v>
          </cell>
          <cell r="U135">
            <v>24572.235000000001</v>
          </cell>
        </row>
        <row r="136">
          <cell r="S136">
            <v>24805.671200000001</v>
          </cell>
          <cell r="T136">
            <v>26674.602200000001</v>
          </cell>
          <cell r="U136">
            <v>24805.671200000001</v>
          </cell>
        </row>
        <row r="137">
          <cell r="S137">
            <v>25041.325099999998</v>
          </cell>
          <cell r="T137">
            <v>26907.375499999998</v>
          </cell>
          <cell r="U137">
            <v>25041.325099999998</v>
          </cell>
        </row>
        <row r="138">
          <cell r="S138">
            <v>25279.217700000001</v>
          </cell>
          <cell r="T138">
            <v>27142.223099999999</v>
          </cell>
          <cell r="U138">
            <v>25279.217700000001</v>
          </cell>
        </row>
        <row r="139">
          <cell r="S139">
            <v>25519.370299999999</v>
          </cell>
          <cell r="T139">
            <v>27379.1639</v>
          </cell>
          <cell r="U139">
            <v>25519.370299999999</v>
          </cell>
        </row>
        <row r="140">
          <cell r="S140">
            <v>25761.8043</v>
          </cell>
          <cell r="T140">
            <v>27618.217000000001</v>
          </cell>
          <cell r="U140">
            <v>25761.8043</v>
          </cell>
        </row>
        <row r="141">
          <cell r="S141">
            <v>26006.541399999998</v>
          </cell>
          <cell r="T141">
            <v>27859.401600000001</v>
          </cell>
          <cell r="U141">
            <v>26006.541399999998</v>
          </cell>
        </row>
        <row r="142">
          <cell r="S142">
            <v>26253.603599999999</v>
          </cell>
          <cell r="T142">
            <v>28102.7372</v>
          </cell>
          <cell r="U142">
            <v>26253.603599999999</v>
          </cell>
        </row>
        <row r="143">
          <cell r="S143">
            <v>26503.0128</v>
          </cell>
          <cell r="T143">
            <v>28348.2435</v>
          </cell>
          <cell r="U143">
            <v>26503.0128</v>
          </cell>
        </row>
        <row r="144">
          <cell r="S144">
            <v>26754.791399999998</v>
          </cell>
          <cell r="T144">
            <v>28595.940200000001</v>
          </cell>
          <cell r="U144">
            <v>26754.791399999998</v>
          </cell>
        </row>
        <row r="145">
          <cell r="S145">
            <v>27008.961899999998</v>
          </cell>
          <cell r="T145">
            <v>28845.8475</v>
          </cell>
          <cell r="U145">
            <v>27008.961899999998</v>
          </cell>
        </row>
        <row r="146">
          <cell r="S146">
            <v>27265.5471</v>
          </cell>
          <cell r="T146">
            <v>29097.985499999999</v>
          </cell>
          <cell r="U146">
            <v>27265.5471</v>
          </cell>
        </row>
        <row r="147">
          <cell r="S147">
            <v>27524.569800000001</v>
          </cell>
          <cell r="T147">
            <v>29352.374400000001</v>
          </cell>
          <cell r="U147">
            <v>27524.569800000001</v>
          </cell>
        </row>
        <row r="148">
          <cell r="S148">
            <v>27786.053199999998</v>
          </cell>
          <cell r="T148">
            <v>29609.035</v>
          </cell>
          <cell r="U148">
            <v>27786.053199999998</v>
          </cell>
        </row>
        <row r="149">
          <cell r="S149">
            <v>28050.020700000001</v>
          </cell>
          <cell r="T149">
            <v>29867.988000000001</v>
          </cell>
          <cell r="U149">
            <v>28050.020700000001</v>
          </cell>
        </row>
        <row r="150">
          <cell r="S150">
            <v>28316.495900000002</v>
          </cell>
          <cell r="T150">
            <v>30129.254300000001</v>
          </cell>
          <cell r="U150">
            <v>28316.495900000002</v>
          </cell>
        </row>
        <row r="151">
          <cell r="S151">
            <v>28585.5026</v>
          </cell>
          <cell r="T151">
            <v>30392.855299999999</v>
          </cell>
          <cell r="U151">
            <v>28585.5026</v>
          </cell>
        </row>
        <row r="152">
          <cell r="S152">
            <v>28857.064900000001</v>
          </cell>
          <cell r="T152">
            <v>30658.812000000002</v>
          </cell>
          <cell r="U152">
            <v>28857.064900000001</v>
          </cell>
        </row>
        <row r="153">
          <cell r="S153">
            <v>29131.206999999999</v>
          </cell>
          <cell r="T153">
            <v>30927.146199999999</v>
          </cell>
          <cell r="U153">
            <v>29131.206999999999</v>
          </cell>
        </row>
        <row r="154">
          <cell r="S154">
            <v>29407.9535</v>
          </cell>
          <cell r="T154">
            <v>31197.879499999999</v>
          </cell>
          <cell r="U154">
            <v>29407.9535</v>
          </cell>
        </row>
        <row r="155">
          <cell r="S155">
            <v>29687.329000000002</v>
          </cell>
          <cell r="T155">
            <v>31471.034</v>
          </cell>
          <cell r="U155">
            <v>29687.329000000002</v>
          </cell>
        </row>
        <row r="156">
          <cell r="S156">
            <v>29969.3586</v>
          </cell>
          <cell r="T156">
            <v>31746.631700000002</v>
          </cell>
          <cell r="U156">
            <v>29969.3586</v>
          </cell>
        </row>
        <row r="157">
          <cell r="S157">
            <v>30254.067599999998</v>
          </cell>
          <cell r="T157">
            <v>32024.695100000001</v>
          </cell>
          <cell r="U157">
            <v>30254.067500000001</v>
          </cell>
        </row>
        <row r="158">
          <cell r="S158">
            <v>30541.481199999998</v>
          </cell>
          <cell r="T158">
            <v>32305.246800000001</v>
          </cell>
          <cell r="U158">
            <v>30541.481199999998</v>
          </cell>
        </row>
        <row r="159">
          <cell r="S159">
            <v>30831.6253</v>
          </cell>
          <cell r="T159">
            <v>32588.309399999998</v>
          </cell>
          <cell r="U159">
            <v>30831.6253</v>
          </cell>
        </row>
        <row r="160">
          <cell r="S160">
            <v>31124.525699999998</v>
          </cell>
          <cell r="T160">
            <v>32873.9061</v>
          </cell>
          <cell r="U160">
            <v>31124.525699999998</v>
          </cell>
        </row>
        <row r="161">
          <cell r="S161">
            <v>31420.208699999999</v>
          </cell>
          <cell r="T161">
            <v>33162.060100000002</v>
          </cell>
          <cell r="U161">
            <v>31420.208699999999</v>
          </cell>
        </row>
        <row r="162">
          <cell r="S162">
            <v>31718.700700000001</v>
          </cell>
          <cell r="T162">
            <v>33452.794699999999</v>
          </cell>
          <cell r="U162">
            <v>31718.700700000001</v>
          </cell>
        </row>
        <row r="163">
          <cell r="S163">
            <v>32020.028300000002</v>
          </cell>
          <cell r="T163">
            <v>33746.133699999998</v>
          </cell>
          <cell r="U163">
            <v>32020.028300000002</v>
          </cell>
        </row>
        <row r="164">
          <cell r="S164">
            <v>32324.2186</v>
          </cell>
          <cell r="T164">
            <v>34042.100899999998</v>
          </cell>
          <cell r="U164">
            <v>32324.2186</v>
          </cell>
        </row>
        <row r="165">
          <cell r="S165">
            <v>32631.298699999999</v>
          </cell>
          <cell r="T165">
            <v>34340.720399999998</v>
          </cell>
          <cell r="U165">
            <v>32631.298699999999</v>
          </cell>
        </row>
        <row r="166">
          <cell r="S166">
            <v>32941.296000000002</v>
          </cell>
          <cell r="T166">
            <v>34642.016600000003</v>
          </cell>
          <cell r="U166">
            <v>32941.296000000002</v>
          </cell>
        </row>
        <row r="167">
          <cell r="S167">
            <v>33254.238299999997</v>
          </cell>
          <cell r="T167">
            <v>34946.013899999998</v>
          </cell>
          <cell r="U167">
            <v>33254.238299999997</v>
          </cell>
        </row>
        <row r="168">
          <cell r="S168">
            <v>33570.153599999998</v>
          </cell>
          <cell r="T168">
            <v>35252.737200000003</v>
          </cell>
          <cell r="U168">
            <v>33570.153599999998</v>
          </cell>
        </row>
        <row r="169">
          <cell r="S169">
            <v>33889.070099999997</v>
          </cell>
          <cell r="T169">
            <v>35562.211499999998</v>
          </cell>
          <cell r="U169">
            <v>33889.070099999997</v>
          </cell>
        </row>
        <row r="170">
          <cell r="S170">
            <v>34211.016199999998</v>
          </cell>
          <cell r="T170">
            <v>35874.462099999997</v>
          </cell>
          <cell r="U170">
            <v>34211.016199999998</v>
          </cell>
        </row>
        <row r="171">
          <cell r="S171">
            <v>34536.020900000003</v>
          </cell>
          <cell r="T171">
            <v>36189.5144</v>
          </cell>
          <cell r="U171">
            <v>34536.020900000003</v>
          </cell>
        </row>
        <row r="172">
          <cell r="S172">
            <v>34864.113100000002</v>
          </cell>
          <cell r="T172">
            <v>36507.394099999998</v>
          </cell>
          <cell r="U172">
            <v>34864.113100000002</v>
          </cell>
        </row>
        <row r="173">
          <cell r="S173">
            <v>35195.322099999998</v>
          </cell>
          <cell r="T173">
            <v>36828.1273</v>
          </cell>
          <cell r="U173">
            <v>35195.322099999998</v>
          </cell>
        </row>
        <row r="174">
          <cell r="S174">
            <v>35529.6777</v>
          </cell>
          <cell r="T174">
            <v>37151.740100000003</v>
          </cell>
          <cell r="U174">
            <v>35529.6777</v>
          </cell>
        </row>
        <row r="175">
          <cell r="S175">
            <v>35867.209600000002</v>
          </cell>
          <cell r="T175">
            <v>37478.258900000001</v>
          </cell>
          <cell r="U175">
            <v>35867.209600000002</v>
          </cell>
        </row>
        <row r="176">
          <cell r="S176">
            <v>36207.948100000001</v>
          </cell>
          <cell r="T176">
            <v>37807.710599999999</v>
          </cell>
          <cell r="U176">
            <v>36207.948100000001</v>
          </cell>
        </row>
        <row r="177">
          <cell r="S177">
            <v>36551.923600000002</v>
          </cell>
          <cell r="T177">
            <v>38140.122000000003</v>
          </cell>
          <cell r="U177">
            <v>36551.923600000002</v>
          </cell>
        </row>
        <row r="178">
          <cell r="S178">
            <v>36899.166899999997</v>
          </cell>
          <cell r="T178">
            <v>38475.520299999996</v>
          </cell>
          <cell r="U178">
            <v>36899.166899999997</v>
          </cell>
        </row>
        <row r="179">
          <cell r="S179">
            <v>37249.709000000003</v>
          </cell>
          <cell r="T179">
            <v>38813.932999999997</v>
          </cell>
          <cell r="U179">
            <v>37249.709000000003</v>
          </cell>
        </row>
        <row r="180">
          <cell r="S180">
            <v>37603.581200000001</v>
          </cell>
          <cell r="T180">
            <v>39155.387900000002</v>
          </cell>
          <cell r="U180">
            <v>37603.581200000001</v>
          </cell>
        </row>
        <row r="181">
          <cell r="S181">
            <v>37960.815300000002</v>
          </cell>
          <cell r="T181">
            <v>39499.912799999998</v>
          </cell>
          <cell r="U181">
            <v>37960.815300000002</v>
          </cell>
        </row>
        <row r="182">
          <cell r="S182">
            <v>38321.442999999999</v>
          </cell>
          <cell r="T182">
            <v>39847.536200000002</v>
          </cell>
          <cell r="U182">
            <v>38321.442999999999</v>
          </cell>
        </row>
        <row r="183">
          <cell r="S183">
            <v>38685.496700000003</v>
          </cell>
          <cell r="T183">
            <v>40198.2863</v>
          </cell>
          <cell r="U183">
            <v>38685.496700000003</v>
          </cell>
        </row>
        <row r="184">
          <cell r="S184">
            <v>39053.008900000001</v>
          </cell>
          <cell r="T184">
            <v>40552.1921</v>
          </cell>
          <cell r="U184">
            <v>39053.008900000001</v>
          </cell>
        </row>
        <row r="185">
          <cell r="S185">
            <v>39424.012499999997</v>
          </cell>
          <cell r="T185">
            <v>40909.282500000001</v>
          </cell>
          <cell r="U185">
            <v>39424.012499999997</v>
          </cell>
        </row>
        <row r="186">
          <cell r="S186">
            <v>39798.5406</v>
          </cell>
          <cell r="T186">
            <v>41269.587</v>
          </cell>
          <cell r="U186">
            <v>39798.5406</v>
          </cell>
        </row>
        <row r="187">
          <cell r="S187">
            <v>40176.626799999998</v>
          </cell>
          <cell r="T187">
            <v>41633.135000000002</v>
          </cell>
          <cell r="U187">
            <v>40176.626799999998</v>
          </cell>
        </row>
        <row r="188">
          <cell r="S188">
            <v>40558.304700000001</v>
          </cell>
          <cell r="T188">
            <v>41999.9565</v>
          </cell>
          <cell r="U188">
            <v>40558.304700000001</v>
          </cell>
        </row>
        <row r="189">
          <cell r="S189">
            <v>40943.6086</v>
          </cell>
          <cell r="T189">
            <v>42370.081400000003</v>
          </cell>
          <cell r="U189">
            <v>40943.6086</v>
          </cell>
        </row>
        <row r="190">
          <cell r="S190">
            <v>41332.572899999999</v>
          </cell>
          <cell r="T190">
            <v>42743.5406</v>
          </cell>
          <cell r="U190">
            <v>41332.572899999999</v>
          </cell>
        </row>
        <row r="191">
          <cell r="S191">
            <v>41725.232400000001</v>
          </cell>
          <cell r="T191">
            <v>43120.364300000001</v>
          </cell>
          <cell r="U191">
            <v>41725.232300000003</v>
          </cell>
        </row>
        <row r="192">
          <cell r="S192">
            <v>42121.622100000001</v>
          </cell>
          <cell r="T192">
            <v>43500.5838</v>
          </cell>
          <cell r="U192">
            <v>42121.622100000001</v>
          </cell>
        </row>
        <row r="193">
          <cell r="S193">
            <v>42521.777499999997</v>
          </cell>
          <cell r="T193">
            <v>43884.2304</v>
          </cell>
          <cell r="U193">
            <v>42521.777499999997</v>
          </cell>
        </row>
        <row r="194">
          <cell r="S194">
            <v>42925.734400000001</v>
          </cell>
          <cell r="T194">
            <v>44271.335700000003</v>
          </cell>
          <cell r="U194">
            <v>42925.734299999996</v>
          </cell>
        </row>
        <row r="195">
          <cell r="S195">
            <v>43333.5288</v>
          </cell>
          <cell r="T195">
            <v>44661.931499999999</v>
          </cell>
          <cell r="U195">
            <v>43333.5288</v>
          </cell>
        </row>
        <row r="196">
          <cell r="S196">
            <v>43745.197399999997</v>
          </cell>
          <cell r="T196">
            <v>45056.049899999998</v>
          </cell>
          <cell r="U196">
            <v>43745.1973</v>
          </cell>
        </row>
        <row r="197">
          <cell r="S197">
            <v>44160.776700000002</v>
          </cell>
          <cell r="T197">
            <v>45453.723599999998</v>
          </cell>
          <cell r="U197">
            <v>44160.776700000002</v>
          </cell>
        </row>
        <row r="198">
          <cell r="S198">
            <v>44580.304100000001</v>
          </cell>
          <cell r="T198">
            <v>45854.985399999998</v>
          </cell>
          <cell r="U198">
            <v>44580.304100000001</v>
          </cell>
        </row>
        <row r="199">
          <cell r="S199">
            <v>45003.817000000003</v>
          </cell>
          <cell r="T199">
            <v>46259.8681</v>
          </cell>
          <cell r="U199">
            <v>45003.817000000003</v>
          </cell>
        </row>
        <row r="200">
          <cell r="S200">
            <v>45431.353300000002</v>
          </cell>
          <cell r="T200">
            <v>46668.405500000001</v>
          </cell>
          <cell r="U200">
            <v>45431.353300000002</v>
          </cell>
        </row>
        <row r="201">
          <cell r="S201">
            <v>45862.951099999998</v>
          </cell>
          <cell r="T201">
            <v>47080.631000000001</v>
          </cell>
          <cell r="U201">
            <v>45862.951099999998</v>
          </cell>
        </row>
        <row r="202">
          <cell r="S202">
            <v>46298.649100000002</v>
          </cell>
          <cell r="T202">
            <v>47496.5789</v>
          </cell>
          <cell r="U202">
            <v>46298.649100000002</v>
          </cell>
        </row>
        <row r="203">
          <cell r="S203">
            <v>46738.486299999997</v>
          </cell>
          <cell r="T203">
            <v>47916.2834</v>
          </cell>
          <cell r="U203">
            <v>46738.486299999997</v>
          </cell>
        </row>
        <row r="204">
          <cell r="S204">
            <v>47182.501900000003</v>
          </cell>
          <cell r="T204">
            <v>48339.779300000002</v>
          </cell>
          <cell r="U204">
            <v>47182.501900000003</v>
          </cell>
        </row>
        <row r="205">
          <cell r="S205">
            <v>47630.735699999997</v>
          </cell>
          <cell r="T205">
            <v>48767.101600000002</v>
          </cell>
          <cell r="U205">
            <v>47630.735699999997</v>
          </cell>
        </row>
        <row r="206">
          <cell r="S206">
            <v>48083.227700000003</v>
          </cell>
          <cell r="T206">
            <v>49198.285600000003</v>
          </cell>
          <cell r="U206">
            <v>48083.227700000003</v>
          </cell>
        </row>
        <row r="207">
          <cell r="S207">
            <v>48540.018400000001</v>
          </cell>
          <cell r="T207">
            <v>49633.366900000001</v>
          </cell>
          <cell r="U207">
            <v>48540.018400000001</v>
          </cell>
        </row>
        <row r="208">
          <cell r="S208">
            <v>49001.148500000003</v>
          </cell>
          <cell r="T208">
            <v>50072.381699999998</v>
          </cell>
          <cell r="U208">
            <v>49001.148500000003</v>
          </cell>
        </row>
        <row r="209">
          <cell r="S209">
            <v>49466.659399999997</v>
          </cell>
          <cell r="T209">
            <v>50515.366199999997</v>
          </cell>
          <cell r="U209">
            <v>49466.659399999997</v>
          </cell>
        </row>
        <row r="210">
          <cell r="S210">
            <v>49936.592700000001</v>
          </cell>
          <cell r="T210">
            <v>50962.357300000003</v>
          </cell>
          <cell r="U210">
            <v>49936.592700000001</v>
          </cell>
        </row>
        <row r="211">
          <cell r="S211">
            <v>50410.990299999998</v>
          </cell>
          <cell r="T211">
            <v>51413.391799999998</v>
          </cell>
          <cell r="U211">
            <v>50410.990299999998</v>
          </cell>
        </row>
        <row r="212">
          <cell r="S212">
            <v>50889.894699999997</v>
          </cell>
          <cell r="T212">
            <v>51868.5072</v>
          </cell>
          <cell r="U212">
            <v>50889.894699999997</v>
          </cell>
        </row>
        <row r="213">
          <cell r="S213">
            <v>51373.348700000002</v>
          </cell>
          <cell r="T213">
            <v>52327.741099999999</v>
          </cell>
          <cell r="U213">
            <v>51373.348700000002</v>
          </cell>
        </row>
        <row r="214">
          <cell r="S214">
            <v>51861.395600000003</v>
          </cell>
          <cell r="T214">
            <v>52791.1319</v>
          </cell>
          <cell r="U214">
            <v>51861.395600000003</v>
          </cell>
        </row>
        <row r="215">
          <cell r="S215">
            <v>52354.078800000003</v>
          </cell>
          <cell r="T215">
            <v>53258.717799999999</v>
          </cell>
          <cell r="U215">
            <v>52354.078800000003</v>
          </cell>
        </row>
        <row r="216">
          <cell r="S216">
            <v>52851.442600000002</v>
          </cell>
          <cell r="T216">
            <v>53730.537799999998</v>
          </cell>
          <cell r="U216">
            <v>52851.442600000002</v>
          </cell>
        </row>
        <row r="217">
          <cell r="S217">
            <v>53353.531300000002</v>
          </cell>
          <cell r="T217">
            <v>54206.630899999996</v>
          </cell>
          <cell r="U217">
            <v>53353.531300000002</v>
          </cell>
        </row>
        <row r="218">
          <cell r="S218">
            <v>53860.389799999997</v>
          </cell>
          <cell r="T218">
            <v>54687.036699999997</v>
          </cell>
          <cell r="U218">
            <v>53860.389799999997</v>
          </cell>
        </row>
        <row r="219">
          <cell r="S219">
            <v>54372.063499999997</v>
          </cell>
          <cell r="T219">
            <v>55171.795100000003</v>
          </cell>
          <cell r="U219">
            <v>54372.063499999997</v>
          </cell>
        </row>
        <row r="220">
          <cell r="S220">
            <v>54888.598100000003</v>
          </cell>
          <cell r="T220">
            <v>55660.946600000003</v>
          </cell>
          <cell r="U220">
            <v>54888.598100000003</v>
          </cell>
        </row>
        <row r="221">
          <cell r="S221">
            <v>55410.039799999999</v>
          </cell>
          <cell r="T221">
            <v>56154.531499999997</v>
          </cell>
          <cell r="U221">
            <v>55410.039799999999</v>
          </cell>
        </row>
        <row r="222">
          <cell r="S222">
            <v>55936.4352</v>
          </cell>
          <cell r="T222">
            <v>56652.5913</v>
          </cell>
          <cell r="U222">
            <v>55936.4352</v>
          </cell>
        </row>
        <row r="223">
          <cell r="S223">
            <v>56467.831299999998</v>
          </cell>
          <cell r="T223">
            <v>57155.167200000004</v>
          </cell>
          <cell r="U223">
            <v>56467.831299999998</v>
          </cell>
        </row>
        <row r="224">
          <cell r="S224">
            <v>57004.275699999998</v>
          </cell>
          <cell r="T224">
            <v>57662.300900000002</v>
          </cell>
          <cell r="U224">
            <v>57004.275699999998</v>
          </cell>
        </row>
        <row r="225">
          <cell r="S225">
            <v>57545.816299999999</v>
          </cell>
          <cell r="T225">
            <v>58174.035000000003</v>
          </cell>
          <cell r="U225">
            <v>57545.816299999999</v>
          </cell>
        </row>
        <row r="226">
          <cell r="S226">
            <v>58092.501600000003</v>
          </cell>
          <cell r="T226">
            <v>58690.411899999999</v>
          </cell>
          <cell r="U226">
            <v>58092.501600000003</v>
          </cell>
        </row>
        <row r="227">
          <cell r="S227">
            <v>58644.380400000002</v>
          </cell>
          <cell r="T227">
            <v>59211.474699999999</v>
          </cell>
          <cell r="U227">
            <v>58644.380299999997</v>
          </cell>
        </row>
        <row r="228">
          <cell r="S228">
            <v>59201.502</v>
          </cell>
          <cell r="T228">
            <v>59737.266799999998</v>
          </cell>
          <cell r="U228">
            <v>59201.502</v>
          </cell>
        </row>
        <row r="229">
          <cell r="S229">
            <v>59763.9162</v>
          </cell>
          <cell r="T229">
            <v>60267.832000000002</v>
          </cell>
          <cell r="U229">
            <v>59763.9162</v>
          </cell>
        </row>
        <row r="230">
          <cell r="S230">
            <v>60331.6734</v>
          </cell>
          <cell r="T230">
            <v>60803.214699999997</v>
          </cell>
          <cell r="U230">
            <v>60331.6734</v>
          </cell>
        </row>
        <row r="231">
          <cell r="S231">
            <v>60904.8243</v>
          </cell>
          <cell r="T231">
            <v>61343.459499999997</v>
          </cell>
          <cell r="U231">
            <v>60904.8243</v>
          </cell>
        </row>
        <row r="232">
          <cell r="S232">
            <v>61483.4202</v>
          </cell>
          <cell r="T232">
            <v>61888.611400000002</v>
          </cell>
          <cell r="U232">
            <v>61483.4202</v>
          </cell>
        </row>
        <row r="233">
          <cell r="S233">
            <v>62067.512699999999</v>
          </cell>
          <cell r="T233">
            <v>62438.716200000003</v>
          </cell>
          <cell r="U233">
            <v>62067.512699999999</v>
          </cell>
        </row>
        <row r="234">
          <cell r="S234">
            <v>62657.154000000002</v>
          </cell>
          <cell r="T234">
            <v>62993.819600000003</v>
          </cell>
          <cell r="U234">
            <v>62657.154000000002</v>
          </cell>
        </row>
        <row r="235">
          <cell r="S235">
            <v>63252.396999999997</v>
          </cell>
          <cell r="T235">
            <v>63553.968000000001</v>
          </cell>
          <cell r="U235">
            <v>63252.396999999997</v>
          </cell>
        </row>
        <row r="236">
          <cell r="S236">
            <v>63853.294800000003</v>
          </cell>
          <cell r="T236">
            <v>64119.208400000003</v>
          </cell>
          <cell r="U236">
            <v>63853.294800000003</v>
          </cell>
        </row>
        <row r="237">
          <cell r="S237">
            <v>64459.901100000003</v>
          </cell>
          <cell r="T237">
            <v>64689.587899999999</v>
          </cell>
          <cell r="U237">
            <v>64459.901100000003</v>
          </cell>
        </row>
        <row r="238">
          <cell r="S238">
            <v>65072.270100000002</v>
          </cell>
          <cell r="T238">
            <v>65265.154399999999</v>
          </cell>
          <cell r="U238">
            <v>65072.270100000002</v>
          </cell>
        </row>
        <row r="239">
          <cell r="S239">
            <v>65690.456699999995</v>
          </cell>
          <cell r="T239">
            <v>65845.955799999996</v>
          </cell>
          <cell r="U239">
            <v>65690.456699999995</v>
          </cell>
        </row>
        <row r="240">
          <cell r="S240">
            <v>66314.516000000003</v>
          </cell>
          <cell r="T240">
            <v>66432.041100000002</v>
          </cell>
          <cell r="U240">
            <v>66314.516000000003</v>
          </cell>
        </row>
        <row r="241">
          <cell r="S241">
            <v>66944.503899999996</v>
          </cell>
          <cell r="T241">
            <v>67023.459000000003</v>
          </cell>
          <cell r="U241">
            <v>66944.503899999996</v>
          </cell>
        </row>
        <row r="242">
          <cell r="S242">
            <v>67580.476699999999</v>
          </cell>
          <cell r="T242">
            <v>67620.2592</v>
          </cell>
          <cell r="U242">
            <v>67580.476699999999</v>
          </cell>
        </row>
        <row r="243">
          <cell r="S243">
            <v>68222.491999999998</v>
          </cell>
          <cell r="T243">
            <v>68222.491999999998</v>
          </cell>
          <cell r="U243">
            <v>68222.491999999998</v>
          </cell>
        </row>
        <row r="244">
          <cell r="S244">
            <v>0</v>
          </cell>
          <cell r="T244">
            <v>0</v>
          </cell>
          <cell r="U244">
            <v>0</v>
          </cell>
        </row>
        <row r="245">
          <cell r="S245">
            <v>0</v>
          </cell>
          <cell r="T245">
            <v>0</v>
          </cell>
          <cell r="U245">
            <v>0</v>
          </cell>
        </row>
        <row r="246">
          <cell r="S246">
            <v>0</v>
          </cell>
          <cell r="T246">
            <v>0</v>
          </cell>
          <cell r="U246">
            <v>0</v>
          </cell>
        </row>
        <row r="247">
          <cell r="S247">
            <v>0</v>
          </cell>
          <cell r="T247">
            <v>0</v>
          </cell>
          <cell r="U247">
            <v>0</v>
          </cell>
        </row>
        <row r="248">
          <cell r="S248">
            <v>0</v>
          </cell>
          <cell r="T248">
            <v>0</v>
          </cell>
          <cell r="U248">
            <v>0</v>
          </cell>
        </row>
        <row r="249">
          <cell r="S249">
            <v>0</v>
          </cell>
          <cell r="T249">
            <v>0</v>
          </cell>
          <cell r="U249">
            <v>0</v>
          </cell>
        </row>
        <row r="250">
          <cell r="S250">
            <v>0</v>
          </cell>
          <cell r="T250">
            <v>0</v>
          </cell>
          <cell r="U250">
            <v>0</v>
          </cell>
        </row>
        <row r="251">
          <cell r="S251">
            <v>0</v>
          </cell>
          <cell r="T251">
            <v>0</v>
          </cell>
          <cell r="U251">
            <v>0</v>
          </cell>
        </row>
        <row r="252">
          <cell r="S252">
            <v>0</v>
          </cell>
          <cell r="T252">
            <v>0</v>
          </cell>
          <cell r="U252">
            <v>0</v>
          </cell>
        </row>
        <row r="253">
          <cell r="S253">
            <v>0</v>
          </cell>
          <cell r="T253">
            <v>0</v>
          </cell>
          <cell r="U253">
            <v>0</v>
          </cell>
        </row>
        <row r="254">
          <cell r="S254">
            <v>0</v>
          </cell>
          <cell r="T254">
            <v>0</v>
          </cell>
          <cell r="U254">
            <v>0</v>
          </cell>
        </row>
        <row r="255">
          <cell r="S255">
            <v>0</v>
          </cell>
          <cell r="T255">
            <v>0</v>
          </cell>
          <cell r="U255">
            <v>0</v>
          </cell>
        </row>
        <row r="256">
          <cell r="S256">
            <v>0</v>
          </cell>
          <cell r="T256">
            <v>0</v>
          </cell>
          <cell r="U256">
            <v>0</v>
          </cell>
        </row>
        <row r="257">
          <cell r="S257">
            <v>0</v>
          </cell>
          <cell r="T257">
            <v>0</v>
          </cell>
          <cell r="U257">
            <v>0</v>
          </cell>
        </row>
        <row r="258">
          <cell r="S258">
            <v>0</v>
          </cell>
          <cell r="T258">
            <v>0</v>
          </cell>
          <cell r="U258">
            <v>0</v>
          </cell>
        </row>
        <row r="259">
          <cell r="S259">
            <v>0</v>
          </cell>
          <cell r="T259">
            <v>0</v>
          </cell>
          <cell r="U259">
            <v>0</v>
          </cell>
        </row>
        <row r="260">
          <cell r="S260">
            <v>0</v>
          </cell>
          <cell r="T260">
            <v>0</v>
          </cell>
          <cell r="U260">
            <v>0</v>
          </cell>
        </row>
        <row r="261">
          <cell r="S261">
            <v>0</v>
          </cell>
          <cell r="T261">
            <v>0</v>
          </cell>
          <cell r="U261">
            <v>0</v>
          </cell>
        </row>
        <row r="262">
          <cell r="S262">
            <v>0</v>
          </cell>
          <cell r="T262">
            <v>0</v>
          </cell>
          <cell r="U262">
            <v>0</v>
          </cell>
        </row>
        <row r="263">
          <cell r="S263">
            <v>0</v>
          </cell>
          <cell r="T263">
            <v>0</v>
          </cell>
          <cell r="U263">
            <v>0</v>
          </cell>
        </row>
        <row r="264">
          <cell r="S264">
            <v>0</v>
          </cell>
          <cell r="T264">
            <v>0</v>
          </cell>
          <cell r="U264">
            <v>0</v>
          </cell>
        </row>
        <row r="265">
          <cell r="S265">
            <v>0</v>
          </cell>
          <cell r="T265">
            <v>0</v>
          </cell>
          <cell r="U265">
            <v>0</v>
          </cell>
        </row>
        <row r="266">
          <cell r="S266">
            <v>0</v>
          </cell>
          <cell r="T266">
            <v>0</v>
          </cell>
          <cell r="U266">
            <v>0</v>
          </cell>
        </row>
        <row r="267">
          <cell r="S267">
            <v>0</v>
          </cell>
          <cell r="T267">
            <v>0</v>
          </cell>
          <cell r="U267">
            <v>0</v>
          </cell>
        </row>
        <row r="268">
          <cell r="S268">
            <v>0</v>
          </cell>
          <cell r="T268">
            <v>0</v>
          </cell>
          <cell r="U268">
            <v>0</v>
          </cell>
        </row>
        <row r="269">
          <cell r="S269">
            <v>0</v>
          </cell>
          <cell r="T269">
            <v>0</v>
          </cell>
          <cell r="U269">
            <v>0</v>
          </cell>
        </row>
        <row r="270">
          <cell r="S270">
            <v>0</v>
          </cell>
          <cell r="T270">
            <v>0</v>
          </cell>
          <cell r="U270">
            <v>0</v>
          </cell>
        </row>
        <row r="271">
          <cell r="S271">
            <v>0</v>
          </cell>
          <cell r="T271">
            <v>0</v>
          </cell>
          <cell r="U271">
            <v>0</v>
          </cell>
        </row>
        <row r="272">
          <cell r="S272">
            <v>0</v>
          </cell>
          <cell r="T272">
            <v>0</v>
          </cell>
          <cell r="U272">
            <v>0</v>
          </cell>
        </row>
        <row r="273">
          <cell r="S273">
            <v>0</v>
          </cell>
          <cell r="T273">
            <v>0</v>
          </cell>
          <cell r="U273">
            <v>0</v>
          </cell>
        </row>
        <row r="274">
          <cell r="S274">
            <v>0</v>
          </cell>
          <cell r="T274">
            <v>0</v>
          </cell>
          <cell r="U274">
            <v>0</v>
          </cell>
        </row>
        <row r="275">
          <cell r="S275">
            <v>0</v>
          </cell>
          <cell r="T275">
            <v>0</v>
          </cell>
          <cell r="U275">
            <v>0</v>
          </cell>
        </row>
        <row r="276">
          <cell r="S276">
            <v>0</v>
          </cell>
          <cell r="T276">
            <v>0</v>
          </cell>
          <cell r="U276">
            <v>0</v>
          </cell>
        </row>
        <row r="277">
          <cell r="S277">
            <v>0</v>
          </cell>
          <cell r="T277">
            <v>0</v>
          </cell>
          <cell r="U277">
            <v>0</v>
          </cell>
        </row>
        <row r="278">
          <cell r="S278">
            <v>0</v>
          </cell>
          <cell r="T278">
            <v>0</v>
          </cell>
          <cell r="U278">
            <v>0</v>
          </cell>
        </row>
        <row r="279">
          <cell r="S279">
            <v>0</v>
          </cell>
          <cell r="T279">
            <v>0</v>
          </cell>
          <cell r="U279">
            <v>0</v>
          </cell>
        </row>
        <row r="280">
          <cell r="S280">
            <v>0</v>
          </cell>
          <cell r="T280">
            <v>0</v>
          </cell>
          <cell r="U280">
            <v>0</v>
          </cell>
        </row>
        <row r="281">
          <cell r="S281">
            <v>0</v>
          </cell>
          <cell r="T281">
            <v>0</v>
          </cell>
          <cell r="U281">
            <v>0</v>
          </cell>
        </row>
        <row r="282">
          <cell r="S282">
            <v>0</v>
          </cell>
          <cell r="T282">
            <v>0</v>
          </cell>
          <cell r="U282">
            <v>0</v>
          </cell>
        </row>
        <row r="283">
          <cell r="S283">
            <v>0</v>
          </cell>
          <cell r="T283">
            <v>0</v>
          </cell>
          <cell r="U283">
            <v>0</v>
          </cell>
        </row>
        <row r="284">
          <cell r="S284">
            <v>0</v>
          </cell>
          <cell r="T284">
            <v>0</v>
          </cell>
          <cell r="U284">
            <v>0</v>
          </cell>
        </row>
        <row r="285">
          <cell r="S285">
            <v>0</v>
          </cell>
          <cell r="T285">
            <v>0</v>
          </cell>
          <cell r="U285">
            <v>0</v>
          </cell>
        </row>
        <row r="286">
          <cell r="S286">
            <v>0</v>
          </cell>
          <cell r="T286">
            <v>0</v>
          </cell>
          <cell r="U286">
            <v>0</v>
          </cell>
        </row>
        <row r="287">
          <cell r="S287">
            <v>0</v>
          </cell>
          <cell r="T287">
            <v>0</v>
          </cell>
          <cell r="U287">
            <v>0</v>
          </cell>
        </row>
        <row r="288">
          <cell r="S288">
            <v>0</v>
          </cell>
          <cell r="T288">
            <v>0</v>
          </cell>
          <cell r="U288">
            <v>0</v>
          </cell>
        </row>
        <row r="289">
          <cell r="S289">
            <v>0</v>
          </cell>
          <cell r="T289">
            <v>0</v>
          </cell>
          <cell r="U289">
            <v>0</v>
          </cell>
        </row>
        <row r="290">
          <cell r="S290">
            <v>0</v>
          </cell>
          <cell r="T290">
            <v>0</v>
          </cell>
          <cell r="U290">
            <v>0</v>
          </cell>
        </row>
        <row r="291">
          <cell r="S291">
            <v>0</v>
          </cell>
          <cell r="T291">
            <v>0</v>
          </cell>
          <cell r="U291">
            <v>0</v>
          </cell>
        </row>
        <row r="292">
          <cell r="S292">
            <v>0</v>
          </cell>
          <cell r="T292">
            <v>0</v>
          </cell>
          <cell r="U292">
            <v>0</v>
          </cell>
        </row>
        <row r="293">
          <cell r="S293">
            <v>0</v>
          </cell>
          <cell r="T293">
            <v>0</v>
          </cell>
          <cell r="U293">
            <v>0</v>
          </cell>
        </row>
        <row r="294">
          <cell r="S294">
            <v>0</v>
          </cell>
          <cell r="T294">
            <v>0</v>
          </cell>
          <cell r="U294">
            <v>0</v>
          </cell>
        </row>
        <row r="295">
          <cell r="S295">
            <v>0</v>
          </cell>
          <cell r="T295">
            <v>0</v>
          </cell>
          <cell r="U295">
            <v>0</v>
          </cell>
        </row>
        <row r="296">
          <cell r="S296">
            <v>0</v>
          </cell>
          <cell r="T296">
            <v>0</v>
          </cell>
          <cell r="U296">
            <v>0</v>
          </cell>
        </row>
        <row r="297">
          <cell r="S297">
            <v>0</v>
          </cell>
          <cell r="T297">
            <v>0</v>
          </cell>
          <cell r="U297">
            <v>0</v>
          </cell>
        </row>
        <row r="298">
          <cell r="S298">
            <v>0</v>
          </cell>
          <cell r="T298">
            <v>0</v>
          </cell>
          <cell r="U298">
            <v>0</v>
          </cell>
        </row>
        <row r="299">
          <cell r="S299">
            <v>0</v>
          </cell>
          <cell r="T299">
            <v>0</v>
          </cell>
          <cell r="U299">
            <v>0</v>
          </cell>
        </row>
        <row r="300">
          <cell r="S300">
            <v>0</v>
          </cell>
          <cell r="T300">
            <v>0</v>
          </cell>
          <cell r="U300">
            <v>0</v>
          </cell>
        </row>
        <row r="301">
          <cell r="S301">
            <v>0</v>
          </cell>
          <cell r="T301">
            <v>0</v>
          </cell>
          <cell r="U301">
            <v>0</v>
          </cell>
        </row>
        <row r="302">
          <cell r="S302">
            <v>0</v>
          </cell>
          <cell r="T302">
            <v>0</v>
          </cell>
          <cell r="U302">
            <v>0</v>
          </cell>
        </row>
        <row r="303">
          <cell r="S303">
            <v>0</v>
          </cell>
          <cell r="T303">
            <v>0</v>
          </cell>
          <cell r="U303">
            <v>0</v>
          </cell>
        </row>
        <row r="304">
          <cell r="S304">
            <v>0</v>
          </cell>
          <cell r="T304">
            <v>0</v>
          </cell>
          <cell r="U304">
            <v>0</v>
          </cell>
        </row>
        <row r="305">
          <cell r="S305">
            <v>0</v>
          </cell>
          <cell r="T305">
            <v>0</v>
          </cell>
          <cell r="U305">
            <v>0</v>
          </cell>
        </row>
        <row r="306">
          <cell r="S306">
            <v>0</v>
          </cell>
          <cell r="T306">
            <v>0</v>
          </cell>
          <cell r="U306">
            <v>0</v>
          </cell>
        </row>
        <row r="307">
          <cell r="S307">
            <v>0</v>
          </cell>
          <cell r="T307">
            <v>0</v>
          </cell>
          <cell r="U307">
            <v>0</v>
          </cell>
        </row>
        <row r="308">
          <cell r="S308">
            <v>0</v>
          </cell>
          <cell r="T308">
            <v>0</v>
          </cell>
          <cell r="U308">
            <v>0</v>
          </cell>
        </row>
        <row r="309">
          <cell r="S309">
            <v>0</v>
          </cell>
          <cell r="T309">
            <v>0</v>
          </cell>
          <cell r="U309">
            <v>0</v>
          </cell>
        </row>
        <row r="310">
          <cell r="S310">
            <v>0</v>
          </cell>
          <cell r="T310">
            <v>0</v>
          </cell>
          <cell r="U310">
            <v>0</v>
          </cell>
        </row>
        <row r="311">
          <cell r="S311">
            <v>0</v>
          </cell>
          <cell r="T311">
            <v>0</v>
          </cell>
          <cell r="U311">
            <v>0</v>
          </cell>
        </row>
        <row r="312">
          <cell r="S312">
            <v>0</v>
          </cell>
          <cell r="T312">
            <v>0</v>
          </cell>
          <cell r="U312">
            <v>0</v>
          </cell>
        </row>
        <row r="313">
          <cell r="S313">
            <v>0</v>
          </cell>
          <cell r="T313">
            <v>0</v>
          </cell>
          <cell r="U313">
            <v>0</v>
          </cell>
        </row>
        <row r="314">
          <cell r="S314">
            <v>0</v>
          </cell>
          <cell r="T314">
            <v>0</v>
          </cell>
          <cell r="U314">
            <v>0</v>
          </cell>
        </row>
        <row r="315">
          <cell r="S315">
            <v>0</v>
          </cell>
          <cell r="T315">
            <v>0</v>
          </cell>
          <cell r="U315">
            <v>0</v>
          </cell>
        </row>
        <row r="316">
          <cell r="S316">
            <v>0</v>
          </cell>
          <cell r="T316">
            <v>0</v>
          </cell>
          <cell r="U316">
            <v>0</v>
          </cell>
        </row>
        <row r="317">
          <cell r="S317">
            <v>0</v>
          </cell>
          <cell r="T317">
            <v>0</v>
          </cell>
          <cell r="U317">
            <v>0</v>
          </cell>
        </row>
        <row r="318">
          <cell r="S318">
            <v>0</v>
          </cell>
          <cell r="T318">
            <v>0</v>
          </cell>
          <cell r="U318">
            <v>0</v>
          </cell>
        </row>
        <row r="319">
          <cell r="S319">
            <v>0</v>
          </cell>
          <cell r="T319">
            <v>0</v>
          </cell>
          <cell r="U319">
            <v>0</v>
          </cell>
        </row>
        <row r="320">
          <cell r="S320">
            <v>0</v>
          </cell>
          <cell r="T320">
            <v>0</v>
          </cell>
          <cell r="U320">
            <v>0</v>
          </cell>
        </row>
        <row r="321">
          <cell r="S321">
            <v>0</v>
          </cell>
          <cell r="T321">
            <v>0</v>
          </cell>
          <cell r="U321">
            <v>0</v>
          </cell>
        </row>
        <row r="322">
          <cell r="S322">
            <v>0</v>
          </cell>
          <cell r="T322">
            <v>0</v>
          </cell>
          <cell r="U322">
            <v>0</v>
          </cell>
        </row>
        <row r="323">
          <cell r="S323">
            <v>0</v>
          </cell>
          <cell r="T323">
            <v>0</v>
          </cell>
          <cell r="U323">
            <v>0</v>
          </cell>
        </row>
        <row r="324">
          <cell r="S324">
            <v>0</v>
          </cell>
          <cell r="T324">
            <v>0</v>
          </cell>
          <cell r="U324">
            <v>0</v>
          </cell>
        </row>
        <row r="325">
          <cell r="S325">
            <v>0</v>
          </cell>
          <cell r="T325">
            <v>0</v>
          </cell>
          <cell r="U325">
            <v>0</v>
          </cell>
        </row>
        <row r="326">
          <cell r="S326">
            <v>0</v>
          </cell>
          <cell r="T326">
            <v>0</v>
          </cell>
          <cell r="U326">
            <v>0</v>
          </cell>
        </row>
        <row r="327">
          <cell r="S327">
            <v>0</v>
          </cell>
          <cell r="T327">
            <v>0</v>
          </cell>
          <cell r="U327">
            <v>0</v>
          </cell>
        </row>
        <row r="328">
          <cell r="S328">
            <v>0</v>
          </cell>
          <cell r="T328">
            <v>0</v>
          </cell>
          <cell r="U328">
            <v>0</v>
          </cell>
        </row>
        <row r="329">
          <cell r="S329">
            <v>0</v>
          </cell>
          <cell r="T329">
            <v>0</v>
          </cell>
          <cell r="U329">
            <v>0</v>
          </cell>
        </row>
        <row r="330">
          <cell r="S330">
            <v>0</v>
          </cell>
          <cell r="T330">
            <v>0</v>
          </cell>
          <cell r="U330">
            <v>0</v>
          </cell>
        </row>
        <row r="331">
          <cell r="S331">
            <v>0</v>
          </cell>
          <cell r="T331">
            <v>0</v>
          </cell>
          <cell r="U331">
            <v>0</v>
          </cell>
        </row>
        <row r="332">
          <cell r="S332">
            <v>0</v>
          </cell>
          <cell r="T332">
            <v>0</v>
          </cell>
          <cell r="U332">
            <v>0</v>
          </cell>
        </row>
        <row r="333">
          <cell r="S333">
            <v>0</v>
          </cell>
          <cell r="T333">
            <v>0</v>
          </cell>
          <cell r="U333">
            <v>0</v>
          </cell>
        </row>
        <row r="334">
          <cell r="S334">
            <v>0</v>
          </cell>
          <cell r="T334">
            <v>0</v>
          </cell>
          <cell r="U334">
            <v>0</v>
          </cell>
        </row>
        <row r="335">
          <cell r="S335">
            <v>0</v>
          </cell>
          <cell r="T335">
            <v>0</v>
          </cell>
          <cell r="U335">
            <v>0</v>
          </cell>
        </row>
        <row r="336">
          <cell r="S336">
            <v>0</v>
          </cell>
          <cell r="T336">
            <v>0</v>
          </cell>
          <cell r="U336">
            <v>0</v>
          </cell>
        </row>
        <row r="337">
          <cell r="S337">
            <v>0</v>
          </cell>
          <cell r="T337">
            <v>0</v>
          </cell>
          <cell r="U337">
            <v>0</v>
          </cell>
        </row>
        <row r="338">
          <cell r="S338">
            <v>0</v>
          </cell>
          <cell r="T338">
            <v>0</v>
          </cell>
          <cell r="U338">
            <v>0</v>
          </cell>
        </row>
        <row r="339">
          <cell r="S339">
            <v>0</v>
          </cell>
          <cell r="T339">
            <v>0</v>
          </cell>
          <cell r="U339">
            <v>0</v>
          </cell>
        </row>
        <row r="340">
          <cell r="S340">
            <v>0</v>
          </cell>
          <cell r="T340">
            <v>0</v>
          </cell>
          <cell r="U340">
            <v>0</v>
          </cell>
        </row>
        <row r="341">
          <cell r="S341">
            <v>0</v>
          </cell>
          <cell r="T341">
            <v>0</v>
          </cell>
          <cell r="U341">
            <v>0</v>
          </cell>
        </row>
        <row r="342">
          <cell r="S342">
            <v>0</v>
          </cell>
          <cell r="T342">
            <v>0</v>
          </cell>
          <cell r="U342">
            <v>0</v>
          </cell>
        </row>
        <row r="343">
          <cell r="S343">
            <v>0</v>
          </cell>
          <cell r="T343">
            <v>0</v>
          </cell>
          <cell r="U343">
            <v>0</v>
          </cell>
        </row>
        <row r="344">
          <cell r="S344">
            <v>0</v>
          </cell>
          <cell r="T344">
            <v>0</v>
          </cell>
          <cell r="U344">
            <v>0</v>
          </cell>
        </row>
        <row r="345">
          <cell r="S345">
            <v>0</v>
          </cell>
          <cell r="T345">
            <v>0</v>
          </cell>
          <cell r="U345">
            <v>0</v>
          </cell>
        </row>
        <row r="346">
          <cell r="S346">
            <v>0</v>
          </cell>
          <cell r="T346">
            <v>0</v>
          </cell>
          <cell r="U346">
            <v>0</v>
          </cell>
        </row>
        <row r="347">
          <cell r="S347">
            <v>0</v>
          </cell>
          <cell r="T347">
            <v>0</v>
          </cell>
          <cell r="U347">
            <v>0</v>
          </cell>
        </row>
        <row r="348">
          <cell r="S348">
            <v>0</v>
          </cell>
          <cell r="T348">
            <v>0</v>
          </cell>
          <cell r="U348">
            <v>0</v>
          </cell>
        </row>
        <row r="349">
          <cell r="S349">
            <v>0</v>
          </cell>
          <cell r="T349">
            <v>0</v>
          </cell>
          <cell r="U349">
            <v>0</v>
          </cell>
        </row>
        <row r="350">
          <cell r="S350">
            <v>0</v>
          </cell>
          <cell r="T350">
            <v>0</v>
          </cell>
          <cell r="U350">
            <v>0</v>
          </cell>
        </row>
        <row r="351">
          <cell r="S351">
            <v>0</v>
          </cell>
          <cell r="T351">
            <v>0</v>
          </cell>
          <cell r="U351">
            <v>0</v>
          </cell>
        </row>
        <row r="352">
          <cell r="S352">
            <v>0</v>
          </cell>
          <cell r="T352">
            <v>0</v>
          </cell>
          <cell r="U352">
            <v>0</v>
          </cell>
        </row>
        <row r="353">
          <cell r="S353">
            <v>0</v>
          </cell>
          <cell r="T353">
            <v>0</v>
          </cell>
          <cell r="U353">
            <v>0</v>
          </cell>
        </row>
        <row r="354">
          <cell r="S354">
            <v>0</v>
          </cell>
          <cell r="T354">
            <v>0</v>
          </cell>
          <cell r="U354">
            <v>0</v>
          </cell>
        </row>
        <row r="355">
          <cell r="S355">
            <v>0</v>
          </cell>
          <cell r="T355">
            <v>0</v>
          </cell>
          <cell r="U355">
            <v>0</v>
          </cell>
        </row>
        <row r="356">
          <cell r="S356">
            <v>0</v>
          </cell>
          <cell r="T356">
            <v>0</v>
          </cell>
          <cell r="U356">
            <v>0</v>
          </cell>
        </row>
        <row r="357">
          <cell r="S357">
            <v>0</v>
          </cell>
          <cell r="T357">
            <v>0</v>
          </cell>
          <cell r="U357">
            <v>0</v>
          </cell>
        </row>
        <row r="358">
          <cell r="S358">
            <v>0</v>
          </cell>
          <cell r="T358">
            <v>0</v>
          </cell>
          <cell r="U358">
            <v>0</v>
          </cell>
        </row>
        <row r="359">
          <cell r="S359">
            <v>0</v>
          </cell>
          <cell r="T359">
            <v>0</v>
          </cell>
          <cell r="U359">
            <v>0</v>
          </cell>
        </row>
        <row r="360">
          <cell r="S360">
            <v>0</v>
          </cell>
          <cell r="T360">
            <v>0</v>
          </cell>
          <cell r="U360">
            <v>0</v>
          </cell>
        </row>
        <row r="361">
          <cell r="S361">
            <v>0</v>
          </cell>
          <cell r="T361">
            <v>0</v>
          </cell>
          <cell r="U361">
            <v>0</v>
          </cell>
        </row>
        <row r="362">
          <cell r="S362">
            <v>0</v>
          </cell>
          <cell r="T362">
            <v>0</v>
          </cell>
          <cell r="U362">
            <v>0</v>
          </cell>
        </row>
        <row r="363">
          <cell r="S363">
            <v>0</v>
          </cell>
          <cell r="T363">
            <v>0</v>
          </cell>
          <cell r="U363">
            <v>0</v>
          </cell>
        </row>
      </sheetData>
      <sheetData sheetId="64" refreshError="1"/>
      <sheetData sheetId="65" refreshError="1">
        <row r="4">
          <cell r="N4">
            <v>0.1125</v>
          </cell>
        </row>
        <row r="5">
          <cell r="N5">
            <v>0.1125</v>
          </cell>
        </row>
        <row r="6">
          <cell r="N6">
            <v>0.1125</v>
          </cell>
        </row>
        <row r="7">
          <cell r="N7">
            <v>0.1125</v>
          </cell>
        </row>
        <row r="8">
          <cell r="H8" t="str">
            <v>[Removed - 201612.E]</v>
          </cell>
          <cell r="I8" t="str">
            <v>[Removed - 201612.E]</v>
          </cell>
          <cell r="N8">
            <v>0.1125</v>
          </cell>
        </row>
        <row r="9">
          <cell r="N9">
            <v>0.1125</v>
          </cell>
        </row>
        <row r="10">
          <cell r="N10">
            <v>0.1125</v>
          </cell>
        </row>
        <row r="11">
          <cell r="N11">
            <v>0.1125</v>
          </cell>
        </row>
        <row r="12">
          <cell r="N12">
            <v>0.1125</v>
          </cell>
        </row>
        <row r="13">
          <cell r="N13">
            <v>0.1125</v>
          </cell>
        </row>
        <row r="14">
          <cell r="N14">
            <v>0.1125</v>
          </cell>
        </row>
        <row r="15">
          <cell r="N15">
            <v>0.1125</v>
          </cell>
        </row>
        <row r="16">
          <cell r="N16">
            <v>0.1105</v>
          </cell>
        </row>
        <row r="17">
          <cell r="N17">
            <v>0.1105</v>
          </cell>
        </row>
        <row r="18">
          <cell r="N18">
            <v>0.1105</v>
          </cell>
        </row>
        <row r="19">
          <cell r="N19">
            <v>0.1105</v>
          </cell>
        </row>
        <row r="20">
          <cell r="N20">
            <v>0.1105</v>
          </cell>
        </row>
        <row r="21">
          <cell r="N21">
            <v>0.1105</v>
          </cell>
        </row>
        <row r="22">
          <cell r="N22">
            <v>0.1105</v>
          </cell>
        </row>
        <row r="23">
          <cell r="N23">
            <v>0.1105</v>
          </cell>
        </row>
        <row r="24">
          <cell r="N24">
            <v>0.1105</v>
          </cell>
        </row>
        <row r="25">
          <cell r="A25" t="str">
            <v>de 11.25% del mes 1 al 37, de 11.50% del mes 38 al 73, de 11.75% del mes 74 en adelante</v>
          </cell>
          <cell r="N25">
            <v>0.1105</v>
          </cell>
        </row>
        <row r="26">
          <cell r="N26">
            <v>0.1105</v>
          </cell>
        </row>
        <row r="27">
          <cell r="N27">
            <v>0.1105</v>
          </cell>
        </row>
        <row r="28">
          <cell r="N28">
            <v>0.1085</v>
          </cell>
        </row>
        <row r="29">
          <cell r="N29">
            <v>0.1085</v>
          </cell>
        </row>
        <row r="30">
          <cell r="N30">
            <v>0.1085</v>
          </cell>
        </row>
        <row r="31">
          <cell r="N31">
            <v>0.1085</v>
          </cell>
        </row>
        <row r="32">
          <cell r="N32">
            <v>0.1085</v>
          </cell>
        </row>
        <row r="33">
          <cell r="N33">
            <v>0.1085</v>
          </cell>
        </row>
        <row r="34">
          <cell r="N34">
            <v>0.1085</v>
          </cell>
        </row>
        <row r="35">
          <cell r="N35">
            <v>0.1085</v>
          </cell>
        </row>
        <row r="36">
          <cell r="N36">
            <v>0.1085</v>
          </cell>
        </row>
        <row r="37">
          <cell r="N37">
            <v>0.1085</v>
          </cell>
        </row>
        <row r="38">
          <cell r="N38">
            <v>0.1085</v>
          </cell>
        </row>
        <row r="39">
          <cell r="N39">
            <v>0.1085</v>
          </cell>
        </row>
        <row r="40">
          <cell r="N40">
            <v>0.1065</v>
          </cell>
        </row>
        <row r="41">
          <cell r="N41">
            <v>0.1065</v>
          </cell>
        </row>
        <row r="42">
          <cell r="N42">
            <v>0.1065</v>
          </cell>
        </row>
        <row r="43">
          <cell r="N43">
            <v>0.1065</v>
          </cell>
        </row>
        <row r="44">
          <cell r="N44">
            <v>0.1065</v>
          </cell>
        </row>
        <row r="45">
          <cell r="N45">
            <v>0.1065</v>
          </cell>
        </row>
        <row r="46">
          <cell r="N46">
            <v>0.1065</v>
          </cell>
        </row>
        <row r="47">
          <cell r="N47">
            <v>0.1065</v>
          </cell>
        </row>
        <row r="48">
          <cell r="N48">
            <v>0.1065</v>
          </cell>
        </row>
        <row r="49">
          <cell r="N49">
            <v>0.1065</v>
          </cell>
        </row>
        <row r="50">
          <cell r="N50">
            <v>0.1065</v>
          </cell>
        </row>
        <row r="51">
          <cell r="N51">
            <v>0.1065</v>
          </cell>
        </row>
        <row r="52">
          <cell r="N52">
            <v>0.1045</v>
          </cell>
        </row>
        <row r="53">
          <cell r="N53">
            <v>0.1045</v>
          </cell>
        </row>
        <row r="54">
          <cell r="N54">
            <v>0.1045</v>
          </cell>
        </row>
        <row r="55">
          <cell r="N55">
            <v>0.1045</v>
          </cell>
        </row>
        <row r="56">
          <cell r="N56">
            <v>0.1045</v>
          </cell>
        </row>
        <row r="57">
          <cell r="N57">
            <v>0.1045</v>
          </cell>
        </row>
        <row r="58">
          <cell r="N58">
            <v>0.1045</v>
          </cell>
        </row>
        <row r="59">
          <cell r="N59">
            <v>0.1045</v>
          </cell>
        </row>
        <row r="60">
          <cell r="N60">
            <v>0.1045</v>
          </cell>
        </row>
        <row r="61">
          <cell r="N61">
            <v>0.1045</v>
          </cell>
        </row>
        <row r="62">
          <cell r="N62">
            <v>0.1045</v>
          </cell>
        </row>
        <row r="63">
          <cell r="N63">
            <v>0.1045</v>
          </cell>
        </row>
        <row r="64">
          <cell r="N64">
            <v>0.10249999999999999</v>
          </cell>
        </row>
        <row r="65">
          <cell r="N65">
            <v>0.10249999999999999</v>
          </cell>
        </row>
        <row r="66">
          <cell r="N66">
            <v>0.10249999999999999</v>
          </cell>
        </row>
        <row r="67">
          <cell r="N67">
            <v>0.10249999999999999</v>
          </cell>
        </row>
        <row r="68">
          <cell r="N68">
            <v>0.10249999999999999</v>
          </cell>
        </row>
        <row r="69">
          <cell r="N69">
            <v>0.10249999999999999</v>
          </cell>
        </row>
        <row r="70">
          <cell r="N70">
            <v>0.10249999999999999</v>
          </cell>
        </row>
        <row r="71">
          <cell r="N71">
            <v>0.10249999999999999</v>
          </cell>
        </row>
        <row r="72">
          <cell r="N72">
            <v>0.10249999999999999</v>
          </cell>
        </row>
        <row r="73">
          <cell r="N73">
            <v>0.10249999999999999</v>
          </cell>
        </row>
        <row r="74">
          <cell r="N74">
            <v>0.10249999999999999</v>
          </cell>
        </row>
        <row r="75">
          <cell r="N75">
            <v>0.10249999999999999</v>
          </cell>
        </row>
        <row r="76">
          <cell r="N76">
            <v>0.10049999999999999</v>
          </cell>
        </row>
        <row r="77">
          <cell r="N77">
            <v>0.10049999999999999</v>
          </cell>
        </row>
        <row r="78">
          <cell r="N78">
            <v>0.10049999999999999</v>
          </cell>
        </row>
        <row r="79">
          <cell r="N79">
            <v>0.10049999999999999</v>
          </cell>
        </row>
        <row r="80">
          <cell r="N80">
            <v>0.10049999999999999</v>
          </cell>
        </row>
        <row r="81">
          <cell r="N81">
            <v>0.10049999999999999</v>
          </cell>
        </row>
        <row r="82">
          <cell r="N82">
            <v>0.10049999999999999</v>
          </cell>
        </row>
        <row r="83">
          <cell r="N83">
            <v>0.10049999999999999</v>
          </cell>
        </row>
        <row r="84">
          <cell r="N84">
            <v>0.10049999999999999</v>
          </cell>
        </row>
        <row r="85">
          <cell r="N85">
            <v>0.10049999999999999</v>
          </cell>
        </row>
        <row r="86">
          <cell r="N86">
            <v>0.10049999999999999</v>
          </cell>
        </row>
        <row r="87">
          <cell r="N87">
            <v>0.10049999999999999</v>
          </cell>
        </row>
        <row r="88">
          <cell r="N88">
            <v>9.8500000000000004E-2</v>
          </cell>
        </row>
        <row r="89">
          <cell r="N89">
            <v>9.8500000000000004E-2</v>
          </cell>
        </row>
        <row r="90">
          <cell r="N90">
            <v>9.8500000000000004E-2</v>
          </cell>
        </row>
        <row r="91">
          <cell r="N91">
            <v>9.8500000000000004E-2</v>
          </cell>
        </row>
        <row r="92">
          <cell r="N92">
            <v>9.8500000000000004E-2</v>
          </cell>
        </row>
        <row r="93">
          <cell r="N93">
            <v>9.8500000000000004E-2</v>
          </cell>
        </row>
        <row r="94">
          <cell r="N94">
            <v>9.8500000000000004E-2</v>
          </cell>
        </row>
        <row r="95">
          <cell r="N95">
            <v>9.8500000000000004E-2</v>
          </cell>
        </row>
        <row r="96">
          <cell r="N96">
            <v>9.8500000000000004E-2</v>
          </cell>
        </row>
        <row r="97">
          <cell r="N97">
            <v>9.8500000000000004E-2</v>
          </cell>
        </row>
        <row r="98">
          <cell r="N98">
            <v>9.8500000000000004E-2</v>
          </cell>
        </row>
        <row r="99">
          <cell r="N99">
            <v>9.8500000000000004E-2</v>
          </cell>
        </row>
        <row r="100">
          <cell r="N100">
            <v>9.8500000000000004E-2</v>
          </cell>
        </row>
        <row r="101">
          <cell r="N101">
            <v>9.8500000000000004E-2</v>
          </cell>
        </row>
        <row r="102">
          <cell r="N102">
            <v>9.8500000000000004E-2</v>
          </cell>
        </row>
        <row r="103">
          <cell r="N103">
            <v>9.8500000000000004E-2</v>
          </cell>
        </row>
        <row r="104">
          <cell r="N104">
            <v>9.8500000000000004E-2</v>
          </cell>
        </row>
        <row r="105">
          <cell r="N105">
            <v>9.8500000000000004E-2</v>
          </cell>
        </row>
        <row r="106">
          <cell r="N106">
            <v>9.8500000000000004E-2</v>
          </cell>
        </row>
        <row r="107">
          <cell r="N107">
            <v>9.8500000000000004E-2</v>
          </cell>
        </row>
        <row r="108">
          <cell r="N108">
            <v>9.8500000000000004E-2</v>
          </cell>
        </row>
        <row r="109">
          <cell r="N109">
            <v>9.8500000000000004E-2</v>
          </cell>
        </row>
        <row r="110">
          <cell r="N110">
            <v>9.8500000000000004E-2</v>
          </cell>
        </row>
        <row r="111">
          <cell r="N111">
            <v>9.8500000000000004E-2</v>
          </cell>
        </row>
        <row r="112">
          <cell r="N112">
            <v>9.8500000000000004E-2</v>
          </cell>
        </row>
        <row r="113">
          <cell r="N113">
            <v>9.8500000000000004E-2</v>
          </cell>
        </row>
        <row r="114">
          <cell r="N114">
            <v>9.8500000000000004E-2</v>
          </cell>
        </row>
        <row r="115">
          <cell r="N115">
            <v>9.8500000000000004E-2</v>
          </cell>
        </row>
        <row r="116">
          <cell r="N116">
            <v>9.8500000000000004E-2</v>
          </cell>
        </row>
        <row r="117">
          <cell r="N117">
            <v>9.8500000000000004E-2</v>
          </cell>
        </row>
        <row r="118">
          <cell r="N118">
            <v>9.8500000000000004E-2</v>
          </cell>
        </row>
        <row r="119">
          <cell r="N119">
            <v>9.8500000000000004E-2</v>
          </cell>
        </row>
        <row r="120">
          <cell r="N120">
            <v>9.8500000000000004E-2</v>
          </cell>
        </row>
        <row r="121">
          <cell r="N121">
            <v>9.8500000000000004E-2</v>
          </cell>
        </row>
        <row r="122">
          <cell r="N122">
            <v>9.8500000000000004E-2</v>
          </cell>
        </row>
        <row r="123">
          <cell r="N123">
            <v>9.8500000000000004E-2</v>
          </cell>
        </row>
        <row r="124">
          <cell r="N124">
            <v>9.8500000000000004E-2</v>
          </cell>
        </row>
        <row r="125">
          <cell r="N125">
            <v>9.8500000000000004E-2</v>
          </cell>
        </row>
        <row r="126">
          <cell r="N126">
            <v>9.8500000000000004E-2</v>
          </cell>
        </row>
        <row r="127">
          <cell r="N127">
            <v>9.8500000000000004E-2</v>
          </cell>
        </row>
        <row r="128">
          <cell r="N128">
            <v>9.8500000000000004E-2</v>
          </cell>
        </row>
        <row r="129">
          <cell r="N129">
            <v>9.8500000000000004E-2</v>
          </cell>
        </row>
        <row r="130">
          <cell r="N130">
            <v>9.8500000000000004E-2</v>
          </cell>
        </row>
        <row r="131">
          <cell r="N131">
            <v>9.8500000000000004E-2</v>
          </cell>
        </row>
        <row r="132">
          <cell r="N132">
            <v>9.8500000000000004E-2</v>
          </cell>
        </row>
        <row r="133">
          <cell r="N133">
            <v>9.8500000000000004E-2</v>
          </cell>
        </row>
        <row r="134">
          <cell r="N134">
            <v>9.8500000000000004E-2</v>
          </cell>
        </row>
        <row r="135">
          <cell r="N135">
            <v>9.8500000000000004E-2</v>
          </cell>
        </row>
        <row r="136">
          <cell r="N136">
            <v>9.8500000000000004E-2</v>
          </cell>
        </row>
        <row r="137">
          <cell r="N137">
            <v>9.8500000000000004E-2</v>
          </cell>
        </row>
        <row r="138">
          <cell r="N138">
            <v>9.8500000000000004E-2</v>
          </cell>
        </row>
        <row r="139">
          <cell r="N139">
            <v>9.8500000000000004E-2</v>
          </cell>
        </row>
        <row r="140">
          <cell r="N140">
            <v>9.8500000000000004E-2</v>
          </cell>
        </row>
        <row r="141">
          <cell r="N141">
            <v>9.8500000000000004E-2</v>
          </cell>
        </row>
        <row r="142">
          <cell r="N142">
            <v>9.8500000000000004E-2</v>
          </cell>
        </row>
        <row r="143">
          <cell r="N143">
            <v>9.8500000000000004E-2</v>
          </cell>
        </row>
        <row r="144">
          <cell r="N144">
            <v>9.8500000000000004E-2</v>
          </cell>
        </row>
        <row r="145">
          <cell r="N145">
            <v>9.8500000000000004E-2</v>
          </cell>
        </row>
        <row r="146">
          <cell r="N146">
            <v>9.8500000000000004E-2</v>
          </cell>
        </row>
        <row r="147">
          <cell r="N147">
            <v>9.8500000000000004E-2</v>
          </cell>
        </row>
        <row r="148">
          <cell r="N148">
            <v>9.8500000000000004E-2</v>
          </cell>
        </row>
        <row r="149">
          <cell r="N149">
            <v>9.8500000000000004E-2</v>
          </cell>
        </row>
        <row r="150">
          <cell r="N150">
            <v>9.8500000000000004E-2</v>
          </cell>
        </row>
        <row r="151">
          <cell r="N151">
            <v>9.8500000000000004E-2</v>
          </cell>
        </row>
        <row r="152">
          <cell r="N152">
            <v>9.8500000000000004E-2</v>
          </cell>
        </row>
        <row r="153">
          <cell r="N153">
            <v>9.8500000000000004E-2</v>
          </cell>
        </row>
        <row r="154">
          <cell r="N154">
            <v>9.8500000000000004E-2</v>
          </cell>
        </row>
        <row r="155">
          <cell r="N155">
            <v>9.8500000000000004E-2</v>
          </cell>
        </row>
        <row r="156">
          <cell r="N156">
            <v>9.8500000000000004E-2</v>
          </cell>
        </row>
        <row r="157">
          <cell r="N157">
            <v>9.8500000000000004E-2</v>
          </cell>
        </row>
        <row r="158">
          <cell r="N158">
            <v>9.8500000000000004E-2</v>
          </cell>
        </row>
        <row r="159">
          <cell r="N159">
            <v>9.8500000000000004E-2</v>
          </cell>
        </row>
        <row r="160">
          <cell r="N160">
            <v>9.8500000000000004E-2</v>
          </cell>
        </row>
        <row r="161">
          <cell r="N161">
            <v>9.8500000000000004E-2</v>
          </cell>
        </row>
        <row r="162">
          <cell r="N162">
            <v>9.8500000000000004E-2</v>
          </cell>
        </row>
        <row r="163">
          <cell r="N163">
            <v>9.8500000000000004E-2</v>
          </cell>
        </row>
        <row r="164">
          <cell r="N164">
            <v>9.8500000000000004E-2</v>
          </cell>
        </row>
        <row r="165">
          <cell r="N165">
            <v>9.8500000000000004E-2</v>
          </cell>
        </row>
        <row r="166">
          <cell r="N166">
            <v>9.8500000000000004E-2</v>
          </cell>
        </row>
        <row r="167">
          <cell r="N167">
            <v>9.8500000000000004E-2</v>
          </cell>
        </row>
        <row r="168">
          <cell r="N168">
            <v>9.8500000000000004E-2</v>
          </cell>
        </row>
        <row r="169">
          <cell r="N169">
            <v>9.8500000000000004E-2</v>
          </cell>
        </row>
        <row r="170">
          <cell r="N170">
            <v>9.8500000000000004E-2</v>
          </cell>
        </row>
        <row r="171">
          <cell r="N171">
            <v>9.8500000000000004E-2</v>
          </cell>
        </row>
        <row r="172">
          <cell r="N172">
            <v>9.8500000000000004E-2</v>
          </cell>
        </row>
        <row r="173">
          <cell r="N173">
            <v>9.8500000000000004E-2</v>
          </cell>
        </row>
        <row r="174">
          <cell r="N174">
            <v>9.8500000000000004E-2</v>
          </cell>
        </row>
        <row r="175">
          <cell r="N175">
            <v>9.8500000000000004E-2</v>
          </cell>
        </row>
        <row r="176">
          <cell r="N176">
            <v>9.8500000000000004E-2</v>
          </cell>
        </row>
        <row r="177">
          <cell r="N177">
            <v>9.8500000000000004E-2</v>
          </cell>
        </row>
        <row r="178">
          <cell r="N178">
            <v>9.8500000000000004E-2</v>
          </cell>
        </row>
        <row r="179">
          <cell r="N179">
            <v>9.8500000000000004E-2</v>
          </cell>
        </row>
        <row r="180">
          <cell r="N180">
            <v>9.8500000000000004E-2</v>
          </cell>
        </row>
        <row r="181">
          <cell r="N181">
            <v>9.8500000000000004E-2</v>
          </cell>
        </row>
        <row r="182">
          <cell r="N182">
            <v>9.8500000000000004E-2</v>
          </cell>
        </row>
        <row r="183">
          <cell r="N183">
            <v>9.8500000000000004E-2</v>
          </cell>
        </row>
        <row r="184">
          <cell r="N184">
            <v>9.8500000000000004E-2</v>
          </cell>
        </row>
        <row r="185">
          <cell r="N185">
            <v>9.8500000000000004E-2</v>
          </cell>
        </row>
        <row r="186">
          <cell r="N186">
            <v>9.8500000000000004E-2</v>
          </cell>
        </row>
        <row r="187">
          <cell r="N187">
            <v>9.8500000000000004E-2</v>
          </cell>
        </row>
        <row r="188">
          <cell r="N188">
            <v>9.8500000000000004E-2</v>
          </cell>
        </row>
        <row r="189">
          <cell r="N189">
            <v>9.8500000000000004E-2</v>
          </cell>
        </row>
        <row r="190">
          <cell r="N190">
            <v>9.8500000000000004E-2</v>
          </cell>
        </row>
        <row r="191">
          <cell r="N191">
            <v>9.8500000000000004E-2</v>
          </cell>
        </row>
        <row r="192">
          <cell r="N192">
            <v>9.8500000000000004E-2</v>
          </cell>
        </row>
        <row r="193">
          <cell r="N193">
            <v>9.8500000000000004E-2</v>
          </cell>
        </row>
        <row r="194">
          <cell r="N194">
            <v>9.8500000000000004E-2</v>
          </cell>
        </row>
        <row r="195">
          <cell r="N195">
            <v>9.8500000000000004E-2</v>
          </cell>
        </row>
        <row r="196">
          <cell r="N196">
            <v>9.8500000000000004E-2</v>
          </cell>
        </row>
        <row r="197">
          <cell r="N197">
            <v>9.8500000000000004E-2</v>
          </cell>
        </row>
        <row r="198">
          <cell r="N198">
            <v>9.8500000000000004E-2</v>
          </cell>
        </row>
        <row r="199">
          <cell r="N199">
            <v>9.8500000000000004E-2</v>
          </cell>
        </row>
        <row r="200">
          <cell r="N200">
            <v>9.8500000000000004E-2</v>
          </cell>
        </row>
        <row r="201">
          <cell r="N201">
            <v>9.8500000000000004E-2</v>
          </cell>
        </row>
        <row r="202">
          <cell r="N202">
            <v>9.8500000000000004E-2</v>
          </cell>
        </row>
        <row r="203">
          <cell r="N203">
            <v>9.8500000000000004E-2</v>
          </cell>
        </row>
        <row r="204">
          <cell r="N204">
            <v>9.8500000000000004E-2</v>
          </cell>
        </row>
        <row r="205">
          <cell r="N205">
            <v>9.8500000000000004E-2</v>
          </cell>
        </row>
        <row r="206">
          <cell r="N206">
            <v>9.8500000000000004E-2</v>
          </cell>
        </row>
        <row r="207">
          <cell r="N207">
            <v>9.8500000000000004E-2</v>
          </cell>
        </row>
        <row r="208">
          <cell r="N208">
            <v>9.8500000000000004E-2</v>
          </cell>
        </row>
        <row r="209">
          <cell r="N209">
            <v>9.8500000000000004E-2</v>
          </cell>
        </row>
        <row r="210">
          <cell r="N210">
            <v>9.8500000000000004E-2</v>
          </cell>
        </row>
        <row r="211">
          <cell r="N211">
            <v>9.8500000000000004E-2</v>
          </cell>
        </row>
        <row r="212">
          <cell r="N212">
            <v>9.8500000000000004E-2</v>
          </cell>
        </row>
        <row r="213">
          <cell r="N213">
            <v>9.8500000000000004E-2</v>
          </cell>
        </row>
        <row r="214">
          <cell r="N214">
            <v>9.8500000000000004E-2</v>
          </cell>
        </row>
        <row r="215">
          <cell r="N215">
            <v>9.8500000000000004E-2</v>
          </cell>
        </row>
        <row r="216">
          <cell r="N216">
            <v>9.8500000000000004E-2</v>
          </cell>
        </row>
        <row r="217">
          <cell r="N217">
            <v>9.8500000000000004E-2</v>
          </cell>
        </row>
        <row r="218">
          <cell r="N218">
            <v>9.8500000000000004E-2</v>
          </cell>
        </row>
        <row r="219">
          <cell r="N219">
            <v>9.8500000000000004E-2</v>
          </cell>
        </row>
        <row r="220">
          <cell r="N220">
            <v>9.8500000000000004E-2</v>
          </cell>
        </row>
        <row r="221">
          <cell r="N221">
            <v>9.8500000000000004E-2</v>
          </cell>
        </row>
        <row r="222">
          <cell r="N222">
            <v>9.8500000000000004E-2</v>
          </cell>
        </row>
        <row r="223">
          <cell r="N223">
            <v>9.8500000000000004E-2</v>
          </cell>
        </row>
        <row r="224">
          <cell r="N224">
            <v>9.8500000000000004E-2</v>
          </cell>
        </row>
        <row r="225">
          <cell r="N225">
            <v>9.8500000000000004E-2</v>
          </cell>
        </row>
        <row r="226">
          <cell r="N226">
            <v>9.8500000000000004E-2</v>
          </cell>
        </row>
        <row r="227">
          <cell r="N227">
            <v>9.8500000000000004E-2</v>
          </cell>
        </row>
        <row r="228">
          <cell r="N228">
            <v>9.8500000000000004E-2</v>
          </cell>
        </row>
        <row r="229">
          <cell r="N229">
            <v>9.8500000000000004E-2</v>
          </cell>
        </row>
        <row r="230">
          <cell r="N230">
            <v>9.8500000000000004E-2</v>
          </cell>
        </row>
        <row r="231">
          <cell r="N231">
            <v>9.8500000000000004E-2</v>
          </cell>
        </row>
        <row r="232">
          <cell r="N232">
            <v>9.8500000000000004E-2</v>
          </cell>
        </row>
        <row r="233">
          <cell r="N233">
            <v>9.8500000000000004E-2</v>
          </cell>
        </row>
        <row r="234">
          <cell r="N234">
            <v>9.8500000000000004E-2</v>
          </cell>
        </row>
        <row r="235">
          <cell r="N235">
            <v>9.8500000000000004E-2</v>
          </cell>
        </row>
        <row r="236">
          <cell r="N236">
            <v>9.8500000000000004E-2</v>
          </cell>
        </row>
        <row r="237">
          <cell r="N237">
            <v>9.8500000000000004E-2</v>
          </cell>
        </row>
        <row r="238">
          <cell r="N238">
            <v>9.8500000000000004E-2</v>
          </cell>
        </row>
        <row r="239">
          <cell r="N239">
            <v>9.8500000000000004E-2</v>
          </cell>
        </row>
        <row r="240">
          <cell r="N240">
            <v>9.8500000000000004E-2</v>
          </cell>
        </row>
        <row r="241">
          <cell r="N241">
            <v>9.8500000000000004E-2</v>
          </cell>
        </row>
        <row r="242">
          <cell r="N242">
            <v>9.8500000000000004E-2</v>
          </cell>
        </row>
        <row r="243">
          <cell r="N243">
            <v>9.8500000000000004E-2</v>
          </cell>
        </row>
        <row r="244">
          <cell r="N244" t="str">
            <v/>
          </cell>
        </row>
        <row r="245">
          <cell r="N245" t="str">
            <v/>
          </cell>
        </row>
        <row r="246">
          <cell r="N246" t="str">
            <v/>
          </cell>
        </row>
        <row r="247">
          <cell r="N247" t="str">
            <v/>
          </cell>
        </row>
        <row r="248">
          <cell r="N248" t="str">
            <v/>
          </cell>
        </row>
        <row r="249">
          <cell r="N249" t="str">
            <v/>
          </cell>
        </row>
        <row r="250">
          <cell r="N250" t="str">
            <v/>
          </cell>
        </row>
        <row r="251">
          <cell r="N251" t="str">
            <v/>
          </cell>
        </row>
        <row r="252">
          <cell r="N252" t="str">
            <v/>
          </cell>
        </row>
        <row r="253">
          <cell r="N253" t="str">
            <v/>
          </cell>
        </row>
        <row r="254">
          <cell r="N254" t="str">
            <v/>
          </cell>
        </row>
        <row r="255">
          <cell r="N255" t="str">
            <v/>
          </cell>
        </row>
        <row r="256">
          <cell r="N256" t="str">
            <v/>
          </cell>
        </row>
        <row r="257">
          <cell r="N257" t="str">
            <v/>
          </cell>
        </row>
        <row r="258">
          <cell r="N258" t="str">
            <v/>
          </cell>
        </row>
        <row r="259">
          <cell r="N259" t="str">
            <v/>
          </cell>
        </row>
        <row r="260">
          <cell r="N260" t="str">
            <v/>
          </cell>
        </row>
        <row r="261">
          <cell r="N261" t="str">
            <v/>
          </cell>
        </row>
        <row r="262">
          <cell r="N262" t="str">
            <v/>
          </cell>
        </row>
        <row r="263">
          <cell r="N263" t="str">
            <v/>
          </cell>
        </row>
        <row r="264">
          <cell r="N264" t="str">
            <v/>
          </cell>
        </row>
        <row r="265">
          <cell r="N265" t="str">
            <v/>
          </cell>
        </row>
        <row r="266">
          <cell r="N266" t="str">
            <v/>
          </cell>
        </row>
        <row r="267">
          <cell r="N267" t="str">
            <v/>
          </cell>
        </row>
        <row r="268">
          <cell r="N268" t="str">
            <v/>
          </cell>
        </row>
        <row r="269">
          <cell r="N269" t="str">
            <v/>
          </cell>
        </row>
        <row r="270">
          <cell r="N270" t="str">
            <v/>
          </cell>
        </row>
        <row r="271">
          <cell r="N271" t="str">
            <v/>
          </cell>
        </row>
        <row r="272">
          <cell r="N272" t="str">
            <v/>
          </cell>
        </row>
        <row r="273">
          <cell r="N273" t="str">
            <v/>
          </cell>
        </row>
        <row r="274">
          <cell r="N274" t="str">
            <v/>
          </cell>
        </row>
        <row r="275">
          <cell r="N275" t="str">
            <v/>
          </cell>
        </row>
        <row r="276">
          <cell r="N276" t="str">
            <v/>
          </cell>
        </row>
        <row r="277">
          <cell r="N277" t="str">
            <v/>
          </cell>
        </row>
        <row r="278">
          <cell r="N278" t="str">
            <v/>
          </cell>
        </row>
        <row r="279">
          <cell r="N279" t="str">
            <v/>
          </cell>
        </row>
        <row r="280">
          <cell r="N280" t="str">
            <v/>
          </cell>
        </row>
        <row r="281">
          <cell r="N281" t="str">
            <v/>
          </cell>
        </row>
        <row r="282">
          <cell r="N282" t="str">
            <v/>
          </cell>
        </row>
        <row r="283">
          <cell r="N283" t="str">
            <v/>
          </cell>
        </row>
        <row r="284">
          <cell r="N284" t="str">
            <v/>
          </cell>
        </row>
        <row r="285">
          <cell r="N285" t="str">
            <v/>
          </cell>
        </row>
        <row r="286">
          <cell r="N286" t="str">
            <v/>
          </cell>
        </row>
        <row r="287">
          <cell r="N287" t="str">
            <v/>
          </cell>
        </row>
        <row r="288">
          <cell r="N288" t="str">
            <v/>
          </cell>
        </row>
        <row r="289">
          <cell r="N289" t="str">
            <v/>
          </cell>
        </row>
        <row r="290">
          <cell r="N290" t="str">
            <v/>
          </cell>
        </row>
        <row r="291">
          <cell r="N291" t="str">
            <v/>
          </cell>
        </row>
        <row r="292">
          <cell r="N292" t="str">
            <v/>
          </cell>
        </row>
        <row r="293">
          <cell r="N293" t="str">
            <v/>
          </cell>
        </row>
        <row r="294">
          <cell r="N294" t="str">
            <v/>
          </cell>
        </row>
        <row r="295">
          <cell r="N295" t="str">
            <v/>
          </cell>
        </row>
        <row r="296">
          <cell r="N296" t="str">
            <v/>
          </cell>
        </row>
        <row r="297">
          <cell r="N297" t="str">
            <v/>
          </cell>
        </row>
        <row r="298">
          <cell r="N298" t="str">
            <v/>
          </cell>
        </row>
        <row r="299">
          <cell r="N299" t="str">
            <v/>
          </cell>
        </row>
        <row r="300">
          <cell r="N300" t="str">
            <v/>
          </cell>
        </row>
        <row r="301">
          <cell r="N301" t="str">
            <v/>
          </cell>
        </row>
        <row r="302">
          <cell r="N302" t="str">
            <v/>
          </cell>
        </row>
        <row r="303">
          <cell r="N303" t="str">
            <v/>
          </cell>
        </row>
        <row r="304">
          <cell r="N304" t="str">
            <v/>
          </cell>
        </row>
        <row r="305">
          <cell r="N305" t="str">
            <v/>
          </cell>
        </row>
        <row r="306">
          <cell r="N306" t="str">
            <v/>
          </cell>
        </row>
        <row r="307">
          <cell r="N307" t="str">
            <v/>
          </cell>
        </row>
        <row r="308">
          <cell r="N308" t="str">
            <v/>
          </cell>
        </row>
        <row r="309">
          <cell r="N309" t="str">
            <v/>
          </cell>
        </row>
        <row r="310">
          <cell r="N310" t="str">
            <v/>
          </cell>
        </row>
        <row r="311">
          <cell r="N311" t="str">
            <v/>
          </cell>
        </row>
        <row r="312">
          <cell r="N312" t="str">
            <v/>
          </cell>
        </row>
        <row r="313">
          <cell r="N313" t="str">
            <v/>
          </cell>
        </row>
        <row r="314">
          <cell r="N314" t="str">
            <v/>
          </cell>
        </row>
        <row r="315">
          <cell r="N315" t="str">
            <v/>
          </cell>
        </row>
        <row r="316">
          <cell r="N316" t="str">
            <v/>
          </cell>
        </row>
        <row r="317">
          <cell r="N317" t="str">
            <v/>
          </cell>
        </row>
        <row r="318">
          <cell r="N318" t="str">
            <v/>
          </cell>
        </row>
        <row r="319">
          <cell r="N319" t="str">
            <v/>
          </cell>
        </row>
        <row r="320">
          <cell r="N320" t="str">
            <v/>
          </cell>
        </row>
        <row r="321">
          <cell r="N321" t="str">
            <v/>
          </cell>
        </row>
        <row r="322">
          <cell r="N322" t="str">
            <v/>
          </cell>
        </row>
        <row r="323">
          <cell r="N323" t="str">
            <v/>
          </cell>
        </row>
        <row r="324">
          <cell r="N324" t="str">
            <v/>
          </cell>
        </row>
        <row r="325">
          <cell r="N325" t="str">
            <v/>
          </cell>
        </row>
        <row r="326">
          <cell r="N326" t="str">
            <v/>
          </cell>
        </row>
        <row r="327">
          <cell r="N327" t="str">
            <v/>
          </cell>
        </row>
        <row r="328">
          <cell r="N328" t="str">
            <v/>
          </cell>
        </row>
        <row r="329">
          <cell r="N329" t="str">
            <v/>
          </cell>
        </row>
        <row r="330">
          <cell r="N330" t="str">
            <v/>
          </cell>
        </row>
        <row r="331">
          <cell r="N331" t="str">
            <v/>
          </cell>
        </row>
        <row r="332">
          <cell r="N332" t="str">
            <v/>
          </cell>
        </row>
        <row r="333">
          <cell r="N333" t="str">
            <v/>
          </cell>
        </row>
        <row r="334">
          <cell r="N334" t="str">
            <v/>
          </cell>
        </row>
        <row r="335">
          <cell r="N335" t="str">
            <v/>
          </cell>
        </row>
        <row r="336">
          <cell r="N336" t="str">
            <v/>
          </cell>
        </row>
        <row r="337">
          <cell r="N337" t="str">
            <v/>
          </cell>
        </row>
        <row r="338">
          <cell r="N338" t="str">
            <v/>
          </cell>
        </row>
        <row r="339">
          <cell r="N339" t="str">
            <v/>
          </cell>
        </row>
        <row r="340">
          <cell r="N340" t="str">
            <v/>
          </cell>
        </row>
        <row r="341">
          <cell r="N341" t="str">
            <v/>
          </cell>
        </row>
        <row r="342">
          <cell r="N342" t="str">
            <v/>
          </cell>
        </row>
        <row r="343">
          <cell r="N343" t="str">
            <v/>
          </cell>
        </row>
        <row r="344">
          <cell r="N344" t="str">
            <v/>
          </cell>
        </row>
        <row r="345">
          <cell r="N345" t="str">
            <v/>
          </cell>
        </row>
        <row r="346">
          <cell r="N346" t="str">
            <v/>
          </cell>
        </row>
        <row r="347">
          <cell r="N347" t="str">
            <v/>
          </cell>
        </row>
        <row r="348">
          <cell r="N348" t="str">
            <v/>
          </cell>
        </row>
        <row r="349">
          <cell r="N349" t="str">
            <v/>
          </cell>
        </row>
        <row r="350">
          <cell r="N350" t="str">
            <v/>
          </cell>
        </row>
        <row r="351">
          <cell r="N351" t="str">
            <v/>
          </cell>
        </row>
        <row r="352">
          <cell r="N352" t="str">
            <v/>
          </cell>
        </row>
        <row r="353">
          <cell r="N353" t="str">
            <v/>
          </cell>
        </row>
        <row r="354">
          <cell r="N354" t="str">
            <v/>
          </cell>
        </row>
        <row r="355">
          <cell r="N355" t="str">
            <v/>
          </cell>
        </row>
        <row r="356">
          <cell r="N356" t="str">
            <v/>
          </cell>
        </row>
        <row r="357">
          <cell r="N357" t="str">
            <v/>
          </cell>
        </row>
        <row r="358">
          <cell r="N358" t="str">
            <v/>
          </cell>
        </row>
        <row r="359">
          <cell r="N359" t="str">
            <v/>
          </cell>
        </row>
        <row r="360">
          <cell r="N360" t="str">
            <v/>
          </cell>
        </row>
        <row r="361">
          <cell r="N361" t="str">
            <v/>
          </cell>
        </row>
        <row r="362">
          <cell r="N362" t="str">
            <v/>
          </cell>
        </row>
        <row r="363">
          <cell r="N363" t="str">
            <v/>
          </cell>
        </row>
      </sheetData>
      <sheetData sheetId="66" refreshError="1">
        <row r="1">
          <cell r="A1">
            <v>2</v>
          </cell>
          <cell r="D1">
            <v>2</v>
          </cell>
        </row>
        <row r="2">
          <cell r="A2">
            <v>1</v>
          </cell>
          <cell r="D2">
            <v>1</v>
          </cell>
        </row>
        <row r="3">
          <cell r="A3">
            <v>2</v>
          </cell>
        </row>
      </sheetData>
      <sheetData sheetId="67" refreshError="1">
        <row r="1">
          <cell r="A1">
            <v>1</v>
          </cell>
        </row>
        <row r="2">
          <cell r="A2">
            <v>1</v>
          </cell>
        </row>
        <row r="3">
          <cell r="A3">
            <v>2</v>
          </cell>
        </row>
        <row r="4">
          <cell r="A4">
            <v>3</v>
          </cell>
        </row>
        <row r="5">
          <cell r="A5">
            <v>4</v>
          </cell>
        </row>
      </sheetData>
      <sheetData sheetId="68" refreshError="1">
        <row r="9">
          <cell r="B9">
            <v>80.599999999999994</v>
          </cell>
        </row>
        <row r="10">
          <cell r="B10" t="str">
            <v>UMA</v>
          </cell>
        </row>
        <row r="12">
          <cell r="B12">
            <v>30.4</v>
          </cell>
        </row>
        <row r="13">
          <cell r="B13">
            <v>5.3820399999999999</v>
          </cell>
        </row>
        <row r="14">
          <cell r="B14">
            <v>2000000</v>
          </cell>
        </row>
        <row r="15">
          <cell r="B15">
            <v>10764080</v>
          </cell>
        </row>
      </sheetData>
      <sheetData sheetId="69" refreshError="1">
        <row r="2">
          <cell r="A2">
            <v>0.05</v>
          </cell>
        </row>
        <row r="6">
          <cell r="C6">
            <v>0</v>
          </cell>
          <cell r="D6">
            <v>0</v>
          </cell>
        </row>
        <row r="9">
          <cell r="A9">
            <v>2.8</v>
          </cell>
          <cell r="C9">
            <v>0</v>
          </cell>
          <cell r="D9" t="b">
            <v>0</v>
          </cell>
        </row>
        <row r="11">
          <cell r="C11">
            <v>0</v>
          </cell>
          <cell r="D11" t="b">
            <v>0</v>
          </cell>
          <cell r="E11">
            <v>0</v>
          </cell>
        </row>
        <row r="12">
          <cell r="E12">
            <v>0</v>
          </cell>
        </row>
        <row r="19">
          <cell r="I19">
            <v>418991.04</v>
          </cell>
          <cell r="J19">
            <v>418991.04</v>
          </cell>
        </row>
        <row r="22">
          <cell r="C22">
            <v>441043.1999999999</v>
          </cell>
          <cell r="D22">
            <v>441043.1999999999</v>
          </cell>
        </row>
        <row r="25">
          <cell r="A25">
            <v>3.25</v>
          </cell>
          <cell r="B25">
            <v>7963.28</v>
          </cell>
          <cell r="C25">
            <v>201.43</v>
          </cell>
        </row>
        <row r="26">
          <cell r="A26">
            <v>7</v>
          </cell>
          <cell r="B26">
            <v>17151.689999999999</v>
          </cell>
          <cell r="C26">
            <v>271.69</v>
          </cell>
        </row>
        <row r="27">
          <cell r="A27">
            <v>11</v>
          </cell>
          <cell r="B27">
            <v>26952.66</v>
          </cell>
          <cell r="C27">
            <v>374.74</v>
          </cell>
        </row>
        <row r="30">
          <cell r="C30" t="str">
            <v>Captura Incompleta</v>
          </cell>
        </row>
        <row r="34">
          <cell r="G34">
            <v>0</v>
          </cell>
        </row>
        <row r="41">
          <cell r="F41">
            <v>0</v>
          </cell>
        </row>
        <row r="62">
          <cell r="C62">
            <v>406.77</v>
          </cell>
        </row>
      </sheetData>
      <sheetData sheetId="70" refreshError="1">
        <row r="8">
          <cell r="B8">
            <v>0</v>
          </cell>
          <cell r="C8">
            <v>65000.01</v>
          </cell>
        </row>
        <row r="9">
          <cell r="B9" t="str">
            <v>$0.00</v>
          </cell>
          <cell r="C9" t="str">
            <v>$16,240.00</v>
          </cell>
        </row>
        <row r="13">
          <cell r="B13" t="str">
            <v>0.20 %</v>
          </cell>
        </row>
        <row r="18">
          <cell r="B18" t="str">
            <v>Avalúo 0.20 % más I.V.A.</v>
          </cell>
        </row>
        <row r="19">
          <cell r="B19" t="str">
            <v>Comisión por Avalúo 0.20 % más I.V.A.</v>
          </cell>
        </row>
        <row r="25">
          <cell r="B25" t="str">
            <v>2 al millar más I.V.A.</v>
          </cell>
        </row>
        <row r="33">
          <cell r="B33" t="str">
            <v>Investigación I.V.A. Incluido</v>
          </cell>
        </row>
        <row r="34">
          <cell r="B34" t="str">
            <v>Comisión por Investigación I.V.A. Incluido</v>
          </cell>
        </row>
        <row r="45">
          <cell r="B45" t="str">
            <v>Comisión por Apertura</v>
          </cell>
        </row>
        <row r="46">
          <cell r="B46" t="str">
            <v>Contado</v>
          </cell>
        </row>
        <row r="48">
          <cell r="B48" t="str">
            <v>Apertura 1.00%</v>
          </cell>
        </row>
        <row r="50">
          <cell r="B50" t="str">
            <v>Apertura 1.00%</v>
          </cell>
        </row>
        <row r="55">
          <cell r="B55" t="str">
            <v>$65,000.01</v>
          </cell>
        </row>
        <row r="57">
          <cell r="B57" t="str">
            <v>Comisión por Apertura 1.00%</v>
          </cell>
        </row>
        <row r="58">
          <cell r="B58" t="str">
            <v>$0.00</v>
          </cell>
        </row>
      </sheetData>
      <sheetData sheetId="71" refreshError="1"/>
      <sheetData sheetId="7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Generales"/>
      <sheetName val="Datos Notariales"/>
      <sheetName val="COFFEE"/>
      <sheetName val="Carátula"/>
      <sheetName val="Tabla Notaría"/>
      <sheetName val="BASIC {G}"/>
      <sheetName val="MESH_1"/>
      <sheetName val="DESARROLLADORES"/>
      <sheetName val="COFINAVIT"/>
      <sheetName val="COFINAVIT-ENGINE"/>
      <sheetName val="ROOT"/>
      <sheetName val="COM_AVALUO"/>
      <sheetName val="GASNOT"/>
      <sheetName val="GASNOT.Tarifa"/>
      <sheetName val="FECHAS_PAGO"/>
      <sheetName val="AportPat"/>
      <sheetName val="Abonos"/>
      <sheetName val="ACCESORIOS"/>
      <sheetName val="TAG"/>
      <sheetName val="ACCS_CAT"/>
      <sheetName val="TAG_CAT"/>
    </sheetNames>
    <sheetDataSet>
      <sheetData sheetId="0"/>
      <sheetData sheetId="1"/>
      <sheetData sheetId="2">
        <row r="1">
          <cell r="A1" t="str">
            <v>C</v>
          </cell>
          <cell r="B1" t="str">
            <v>K0</v>
          </cell>
          <cell r="C1" t="str">
            <v>F</v>
          </cell>
          <cell r="D1" t="str">
            <v>E</v>
          </cell>
        </row>
        <row r="2">
          <cell r="A2" t="str">
            <v>Generales</v>
          </cell>
          <cell r="B2" t="str">
            <v>Meses en Año</v>
          </cell>
          <cell r="C2" t="str">
            <v>Valor</v>
          </cell>
          <cell r="D2">
            <v>12</v>
          </cell>
        </row>
        <row r="3">
          <cell r="A3" t="str">
            <v>Generales</v>
          </cell>
          <cell r="B3" t="str">
            <v>Base para Días por Periodo</v>
          </cell>
          <cell r="C3" t="str">
            <v>Valor</v>
          </cell>
          <cell r="D3">
            <v>365</v>
          </cell>
        </row>
        <row r="4">
          <cell r="A4" t="str">
            <v>Generales</v>
          </cell>
          <cell r="B4" t="str">
            <v>Aforo Máximo Tradicional</v>
          </cell>
          <cell r="C4" t="str">
            <v>Valor</v>
          </cell>
          <cell r="D4">
            <v>0.9</v>
          </cell>
        </row>
        <row r="5">
          <cell r="A5" t="str">
            <v>Generales</v>
          </cell>
          <cell r="B5" t="str">
            <v>Tasa Desarrolladores</v>
          </cell>
          <cell r="C5" t="str">
            <v>Valor</v>
          </cell>
          <cell r="D5">
            <v>9.9000000000000005E-2</v>
          </cell>
        </row>
        <row r="6">
          <cell r="A6" t="str">
            <v>Generales</v>
          </cell>
          <cell r="B6" t="str">
            <v>Mostrar Seg Desemp Banorte</v>
          </cell>
          <cell r="C6" t="str">
            <v>Valor</v>
          </cell>
          <cell r="D6" t="b">
            <v>0</v>
          </cell>
        </row>
        <row r="7">
          <cell r="A7" t="str">
            <v>Generales</v>
          </cell>
          <cell r="B7" t="str">
            <v>Valor Vivienda Mínimo</v>
          </cell>
          <cell r="C7" t="str">
            <v>Valor</v>
          </cell>
          <cell r="D7">
            <v>350000</v>
          </cell>
        </row>
        <row r="8">
          <cell r="A8" t="str">
            <v>Generales</v>
          </cell>
          <cell r="B8" t="str">
            <v>Monto Crédito Mínimo</v>
          </cell>
          <cell r="C8" t="str">
            <v>Valor</v>
          </cell>
          <cell r="D8">
            <v>75000</v>
          </cell>
        </row>
        <row r="9">
          <cell r="A9" t="str">
            <v>Generales</v>
          </cell>
          <cell r="B9" t="str">
            <v>Com Investigación con IVA</v>
          </cell>
          <cell r="C9" t="str">
            <v>Valor</v>
          </cell>
          <cell r="D9">
            <v>750</v>
          </cell>
        </row>
        <row r="10">
          <cell r="A10" t="str">
            <v>Generales</v>
          </cell>
          <cell r="B10" t="str">
            <v>Com Diferida</v>
          </cell>
          <cell r="C10" t="str">
            <v>Valor</v>
          </cell>
          <cell r="D10">
            <v>349</v>
          </cell>
        </row>
        <row r="11">
          <cell r="A11" t="str">
            <v>Generales</v>
          </cell>
          <cell r="B11" t="str">
            <v>Com Apertura</v>
          </cell>
          <cell r="C11" t="str">
            <v>Valor</v>
          </cell>
          <cell r="D11">
            <v>0.01</v>
          </cell>
        </row>
        <row r="12">
          <cell r="A12" t="str">
            <v>Generales</v>
          </cell>
          <cell r="B12" t="str">
            <v>Iva Comisiones</v>
          </cell>
          <cell r="C12" t="str">
            <v>Valor</v>
          </cell>
          <cell r="D12">
            <v>0.16</v>
          </cell>
        </row>
        <row r="13">
          <cell r="A13" t="str">
            <v>Generales</v>
          </cell>
          <cell r="B13" t="str">
            <v>Días por Periodo</v>
          </cell>
          <cell r="C13" t="str">
            <v>Valor</v>
          </cell>
          <cell r="D13">
            <v>30.4</v>
          </cell>
        </row>
        <row r="14">
          <cell r="A14" t="str">
            <v>Generales</v>
          </cell>
          <cell r="B14" t="str">
            <v>Periodos por Año</v>
          </cell>
          <cell r="C14" t="str">
            <v>Valor</v>
          </cell>
          <cell r="D14">
            <v>12</v>
          </cell>
        </row>
        <row r="15">
          <cell r="A15" t="str">
            <v>Generales</v>
          </cell>
          <cell r="B15" t="str">
            <v>Día Mes Pago</v>
          </cell>
          <cell r="C15" t="str">
            <v>Valor</v>
          </cell>
          <cell r="D15">
            <v>3</v>
          </cell>
        </row>
        <row r="16">
          <cell r="A16" t="str">
            <v>Generales</v>
          </cell>
          <cell r="B16" t="str">
            <v>Factor Ingreso-Pago</v>
          </cell>
          <cell r="C16" t="str">
            <v>Valor</v>
          </cell>
          <cell r="D16">
            <v>2</v>
          </cell>
        </row>
        <row r="17">
          <cell r="A17"/>
          <cell r="B17"/>
          <cell r="C17"/>
          <cell r="D17"/>
        </row>
        <row r="18">
          <cell r="A18" t="str">
            <v>Generales</v>
          </cell>
          <cell r="B18" t="str">
            <v>Factor SMM</v>
          </cell>
          <cell r="C18" t="str">
            <v>Valor</v>
          </cell>
          <cell r="D18">
            <v>30.4</v>
          </cell>
        </row>
        <row r="19">
          <cell r="D19"/>
        </row>
        <row r="20">
          <cell r="A20" t="str">
            <v>Generales</v>
          </cell>
          <cell r="B20" t="str">
            <v>UMA'18</v>
          </cell>
          <cell r="C20" t="str">
            <v>Valor</v>
          </cell>
          <cell r="D20">
            <v>80.599999999999994</v>
          </cell>
        </row>
        <row r="21">
          <cell r="A21" t="str">
            <v>Generales</v>
          </cell>
          <cell r="B21" t="str">
            <v>UMA'19</v>
          </cell>
          <cell r="C21" t="str">
            <v>Valor</v>
          </cell>
          <cell r="D21">
            <v>84.49</v>
          </cell>
        </row>
        <row r="22">
          <cell r="D22"/>
        </row>
        <row r="23">
          <cell r="A23" t="str">
            <v>Generales</v>
          </cell>
          <cell r="B23" t="str">
            <v>Ingreso Mínimo</v>
          </cell>
          <cell r="C23" t="str">
            <v>Veces</v>
          </cell>
          <cell r="D23">
            <v>98.8</v>
          </cell>
        </row>
        <row r="24">
          <cell r="A24" t="str">
            <v>Generales</v>
          </cell>
          <cell r="B24" t="str">
            <v>Ingreso Mínimo</v>
          </cell>
          <cell r="C24" t="str">
            <v>Unidad</v>
          </cell>
          <cell r="D24" t="str">
            <v>UMA'19</v>
          </cell>
        </row>
        <row r="25">
          <cell r="C25"/>
          <cell r="D25"/>
        </row>
        <row r="26">
          <cell r="A26" t="str">
            <v>Opción Reducción</v>
          </cell>
          <cell r="B26" t="str">
            <v>Reduce Plazo y Pago</v>
          </cell>
          <cell r="C26" t="str">
            <v>Tipo Capital</v>
          </cell>
          <cell r="D26">
            <v>1</v>
          </cell>
        </row>
        <row r="27">
          <cell r="A27" t="str">
            <v>Opción Reducción</v>
          </cell>
          <cell r="B27" t="str">
            <v>Reduce Pago</v>
          </cell>
          <cell r="C27" t="str">
            <v>Tipo Capital</v>
          </cell>
          <cell r="D27">
            <v>2</v>
          </cell>
        </row>
        <row r="28">
          <cell r="A28" t="str">
            <v>Opción Reducción</v>
          </cell>
          <cell r="B28" t="str">
            <v>Reduce Plazo</v>
          </cell>
          <cell r="C28" t="str">
            <v>Tipo Capital</v>
          </cell>
          <cell r="D28">
            <v>3</v>
          </cell>
        </row>
        <row r="29">
          <cell r="D29"/>
        </row>
        <row r="30">
          <cell r="A30" t="str">
            <v>Aportación Patronal</v>
          </cell>
          <cell r="B30" t="str">
            <v>Apoyo Infonavit</v>
          </cell>
          <cell r="C30" t="str">
            <v>Porcentaje</v>
          </cell>
          <cell r="D30">
            <v>0.05</v>
          </cell>
        </row>
        <row r="31">
          <cell r="A31" t="str">
            <v>Aportación Patronal</v>
          </cell>
          <cell r="B31" t="str">
            <v>Apoyo Infonavit</v>
          </cell>
          <cell r="C31" t="str">
            <v>Frecuencia</v>
          </cell>
          <cell r="D31">
            <v>2</v>
          </cell>
        </row>
        <row r="32">
          <cell r="A32" t="str">
            <v>Aportación Patronal</v>
          </cell>
          <cell r="B32" t="str">
            <v>Apoyo Infonavit</v>
          </cell>
          <cell r="C32" t="str">
            <v>Tope</v>
          </cell>
          <cell r="D32">
            <v>6125.6</v>
          </cell>
        </row>
        <row r="33">
          <cell r="D33"/>
        </row>
        <row r="34">
          <cell r="A34" t="str">
            <v>Programa</v>
          </cell>
          <cell r="B34" t="str">
            <v>Tradicional</v>
          </cell>
          <cell r="C34" t="str">
            <v>Requiere Ingreso</v>
          </cell>
          <cell r="D34" t="b">
            <v>0</v>
          </cell>
        </row>
        <row r="35">
          <cell r="A35" t="str">
            <v>Programa</v>
          </cell>
          <cell r="B35" t="str">
            <v>Apoyo Infonavit</v>
          </cell>
          <cell r="C35" t="str">
            <v>Requiere Ingreso</v>
          </cell>
          <cell r="D35" t="b">
            <v>1</v>
          </cell>
        </row>
        <row r="36">
          <cell r="A36" t="str">
            <v>Programa</v>
          </cell>
          <cell r="B36" t="str">
            <v>Cofinavit</v>
          </cell>
          <cell r="C36" t="str">
            <v>Requiere Ingreso</v>
          </cell>
          <cell r="D36" t="b">
            <v>1</v>
          </cell>
        </row>
        <row r="37">
          <cell r="A37" t="str">
            <v>Programa</v>
          </cell>
          <cell r="B37" t="str">
            <v>Tradicional</v>
          </cell>
          <cell r="C37" t="str">
            <v>Captura Crédito</v>
          </cell>
          <cell r="D37" t="b">
            <v>1</v>
          </cell>
        </row>
        <row r="38">
          <cell r="A38" t="str">
            <v>Programa</v>
          </cell>
          <cell r="B38" t="str">
            <v>Apoyo Infonavit</v>
          </cell>
          <cell r="C38" t="str">
            <v>Captura Crédito</v>
          </cell>
          <cell r="D38" t="b">
            <v>1</v>
          </cell>
        </row>
        <row r="39">
          <cell r="A39" t="str">
            <v>Programa</v>
          </cell>
          <cell r="B39" t="str">
            <v>Cofinavit</v>
          </cell>
          <cell r="C39" t="str">
            <v>Captura Crédito</v>
          </cell>
          <cell r="D39" t="b">
            <v>0</v>
          </cell>
        </row>
        <row r="40">
          <cell r="A40" t="str">
            <v>Programa</v>
          </cell>
          <cell r="B40" t="str">
            <v>Apoyo Infonavit</v>
          </cell>
          <cell r="C40" t="str">
            <v>Aforo Máximo</v>
          </cell>
          <cell r="D40">
            <v>0.95</v>
          </cell>
        </row>
        <row r="41">
          <cell r="A41" t="str">
            <v>Programa</v>
          </cell>
          <cell r="B41" t="str">
            <v>Cofinavit</v>
          </cell>
          <cell r="C41" t="str">
            <v>Aforo Máximo</v>
          </cell>
          <cell r="D41">
            <v>0.95</v>
          </cell>
        </row>
        <row r="42">
          <cell r="D42"/>
        </row>
        <row r="43">
          <cell r="A43" t="str">
            <v>Aforos</v>
          </cell>
          <cell r="B43">
            <v>0.5</v>
          </cell>
          <cell r="C43">
            <v>0.5</v>
          </cell>
          <cell r="D43"/>
        </row>
        <row r="44">
          <cell r="A44" t="str">
            <v>Aforos</v>
          </cell>
          <cell r="B44">
            <v>0.6</v>
          </cell>
          <cell r="C44">
            <v>0.6</v>
          </cell>
          <cell r="D44"/>
        </row>
        <row r="45">
          <cell r="A45" t="str">
            <v>Aforos</v>
          </cell>
          <cell r="B45">
            <v>0.7</v>
          </cell>
          <cell r="C45">
            <v>0.7</v>
          </cell>
          <cell r="D45"/>
        </row>
        <row r="46">
          <cell r="A46" t="str">
            <v>Aforos</v>
          </cell>
          <cell r="B46">
            <v>0.79999999999999993</v>
          </cell>
          <cell r="C46">
            <v>0.79999999999999993</v>
          </cell>
          <cell r="D46"/>
        </row>
        <row r="47">
          <cell r="A47" t="str">
            <v>Aforos</v>
          </cell>
          <cell r="B47">
            <v>0.9</v>
          </cell>
          <cell r="C47">
            <v>0.9</v>
          </cell>
          <cell r="D47"/>
        </row>
        <row r="48">
          <cell r="A48" t="str">
            <v>Aforos</v>
          </cell>
          <cell r="B48">
            <v>0.95</v>
          </cell>
          <cell r="C48">
            <v>0.95</v>
          </cell>
          <cell r="D48"/>
        </row>
        <row r="50">
          <cell r="A50" t="str">
            <v>Si/No</v>
          </cell>
          <cell r="B50" t="str">
            <v>Si</v>
          </cell>
          <cell r="C50" t="str">
            <v>Valor</v>
          </cell>
          <cell r="D50" t="b">
            <v>1</v>
          </cell>
        </row>
        <row r="51">
          <cell r="A51" t="str">
            <v>Si/No</v>
          </cell>
          <cell r="B51" t="str">
            <v>No</v>
          </cell>
          <cell r="C51" t="str">
            <v>Valor</v>
          </cell>
          <cell r="D51" t="b">
            <v>0</v>
          </cell>
        </row>
        <row r="53">
          <cell r="A53" t="str">
            <v>Cofinavit</v>
          </cell>
          <cell r="B53" t="str">
            <v>Factor Incremento Avalúo</v>
          </cell>
          <cell r="C53" t="str">
            <v>Valor</v>
          </cell>
          <cell r="D53">
            <v>0.1</v>
          </cell>
        </row>
        <row r="54">
          <cell r="A54" t="str">
            <v>Cofinavit</v>
          </cell>
          <cell r="B54" t="str">
            <v>Umbral Incremento Avalúo</v>
          </cell>
          <cell r="C54" t="str">
            <v>Valor</v>
          </cell>
          <cell r="D54">
            <v>7000000</v>
          </cell>
        </row>
        <row r="55">
          <cell r="A55" t="str">
            <v>Cofinavit</v>
          </cell>
          <cell r="B55" t="str">
            <v>Relación Ingreso-Pago</v>
          </cell>
          <cell r="C55" t="str">
            <v>Valor</v>
          </cell>
          <cell r="D55">
            <v>2</v>
          </cell>
        </row>
        <row r="56">
          <cell r="A56" t="str">
            <v>Cofinavit</v>
          </cell>
          <cell r="B56" t="str">
            <v>Comisión Crédito</v>
          </cell>
          <cell r="C56" t="str">
            <v>Valor</v>
          </cell>
          <cell r="D56">
            <v>0.05</v>
          </cell>
        </row>
        <row r="57">
          <cell r="A57"/>
          <cell r="B57"/>
          <cell r="C57"/>
          <cell r="D57"/>
        </row>
        <row r="58">
          <cell r="A58" t="str">
            <v>Cofinavit</v>
          </cell>
          <cell r="B58" t="str">
            <v>Crédito Titular</v>
          </cell>
          <cell r="C58" t="str">
            <v>Veces</v>
          </cell>
          <cell r="D58">
            <v>180</v>
          </cell>
        </row>
        <row r="59">
          <cell r="A59" t="str">
            <v>Cofinavit</v>
          </cell>
          <cell r="B59" t="str">
            <v>Crédito Titular</v>
          </cell>
          <cell r="C59" t="str">
            <v>Unidad</v>
          </cell>
          <cell r="D59" t="str">
            <v>UMA'18</v>
          </cell>
        </row>
        <row r="60">
          <cell r="A60" t="str">
            <v>Cofinavit</v>
          </cell>
          <cell r="B60" t="str">
            <v>Crédito Cónyuge</v>
          </cell>
          <cell r="C60" t="str">
            <v>Veces</v>
          </cell>
          <cell r="D60">
            <v>180</v>
          </cell>
        </row>
        <row r="61">
          <cell r="A61" t="str">
            <v>Cofinavit</v>
          </cell>
          <cell r="B61" t="str">
            <v>Crédito Cónyuge</v>
          </cell>
          <cell r="C61" t="str">
            <v>Unidad</v>
          </cell>
          <cell r="D61" t="str">
            <v>UMA'18</v>
          </cell>
        </row>
        <row r="62">
          <cell r="A62"/>
          <cell r="B62"/>
          <cell r="C62"/>
          <cell r="D62"/>
        </row>
        <row r="63">
          <cell r="A63" t="str">
            <v>IA Cofinavit</v>
          </cell>
          <cell r="B63" t="str">
            <v>Crédito Titular</v>
          </cell>
          <cell r="C63" t="str">
            <v>Veces</v>
          </cell>
          <cell r="D63">
            <v>171</v>
          </cell>
        </row>
        <row r="64">
          <cell r="A64" t="str">
            <v>IA Cofinavit</v>
          </cell>
          <cell r="B64" t="str">
            <v>Crédito Titular</v>
          </cell>
          <cell r="C64" t="str">
            <v>Unidad</v>
          </cell>
          <cell r="D64" t="str">
            <v>UMA'18</v>
          </cell>
        </row>
        <row r="65">
          <cell r="A65" t="str">
            <v>IA Cofinavit</v>
          </cell>
          <cell r="B65" t="str">
            <v>Crédito Cónyuge</v>
          </cell>
          <cell r="C65" t="str">
            <v>Veces</v>
          </cell>
          <cell r="D65">
            <v>171</v>
          </cell>
        </row>
        <row r="66">
          <cell r="A66" t="str">
            <v>IA Cofinavit</v>
          </cell>
          <cell r="B66" t="str">
            <v>Crédito Cónyuge</v>
          </cell>
          <cell r="C66" t="str">
            <v>Unidad</v>
          </cell>
          <cell r="D66" t="str">
            <v>UMA'18</v>
          </cell>
        </row>
        <row r="67">
          <cell r="A67"/>
          <cell r="B67"/>
          <cell r="C67"/>
          <cell r="D67"/>
        </row>
        <row r="68">
          <cell r="A68" t="str">
            <v>Dcto Eco</v>
          </cell>
          <cell r="B68" t="str">
            <v>Ingreso en VSM</v>
          </cell>
          <cell r="C68"/>
          <cell r="D68"/>
        </row>
        <row r="69">
          <cell r="A69" t="str">
            <v>Dcto Eco</v>
          </cell>
          <cell r="B69">
            <v>1</v>
          </cell>
          <cell r="C69" t="str">
            <v>Dcto</v>
          </cell>
          <cell r="D69">
            <v>68.319999999999993</v>
          </cell>
        </row>
        <row r="70">
          <cell r="A70" t="str">
            <v>Dcto Eco</v>
          </cell>
          <cell r="B70">
            <v>1.6</v>
          </cell>
          <cell r="C70" t="str">
            <v>Dcto</v>
          </cell>
          <cell r="D70">
            <v>136.65</v>
          </cell>
        </row>
        <row r="71">
          <cell r="A71" t="str">
            <v>Dcto Eco</v>
          </cell>
          <cell r="B71">
            <v>2.4</v>
          </cell>
          <cell r="C71" t="str">
            <v>Dcto</v>
          </cell>
          <cell r="D71">
            <v>150.31</v>
          </cell>
        </row>
        <row r="72">
          <cell r="A72" t="str">
            <v>Dcto Eco</v>
          </cell>
          <cell r="B72">
            <v>3.1</v>
          </cell>
          <cell r="C72" t="str">
            <v>Dcto</v>
          </cell>
          <cell r="D72">
            <v>218.64</v>
          </cell>
        </row>
        <row r="73">
          <cell r="A73" t="str">
            <v>Dcto Eco</v>
          </cell>
          <cell r="B73">
            <v>7</v>
          </cell>
          <cell r="C73" t="str">
            <v>Dcto</v>
          </cell>
          <cell r="D73">
            <v>294.91000000000003</v>
          </cell>
        </row>
        <row r="74">
          <cell r="A74" t="str">
            <v>Dcto Eco</v>
          </cell>
          <cell r="B74">
            <v>11</v>
          </cell>
          <cell r="C74" t="str">
            <v>Dcto</v>
          </cell>
          <cell r="D74">
            <v>406.77</v>
          </cell>
        </row>
        <row r="76">
          <cell r="A76" t="str">
            <v>Frecuencia</v>
          </cell>
          <cell r="B76" t="str">
            <v>Mensual</v>
          </cell>
          <cell r="C76" t="str">
            <v>Periodos por Año</v>
          </cell>
          <cell r="D76">
            <v>12</v>
          </cell>
        </row>
      </sheetData>
      <sheetData sheetId="3">
        <row r="3">
          <cell r="H3">
            <v>9.9000000000000005E-2</v>
          </cell>
        </row>
        <row r="5">
          <cell r="H5" t="str">
            <v>Apoyo Infonavit</v>
          </cell>
          <cell r="K5" t="str">
            <v>Cofinavit</v>
          </cell>
        </row>
        <row r="8">
          <cell r="H8">
            <v>1111111.1100000001</v>
          </cell>
          <cell r="L8"/>
        </row>
        <row r="9">
          <cell r="K9">
            <v>100000</v>
          </cell>
          <cell r="L9"/>
        </row>
        <row r="10">
          <cell r="H10">
            <v>0.7</v>
          </cell>
          <cell r="K10">
            <v>200000</v>
          </cell>
          <cell r="L10"/>
        </row>
        <row r="11">
          <cell r="H11">
            <v>777777.777</v>
          </cell>
          <cell r="K11">
            <v>3000</v>
          </cell>
          <cell r="L11"/>
        </row>
        <row r="12">
          <cell r="H12">
            <v>20000</v>
          </cell>
          <cell r="K12">
            <v>294.91000000000003</v>
          </cell>
        </row>
        <row r="16">
          <cell r="H16" t="str">
            <v>No</v>
          </cell>
        </row>
        <row r="17">
          <cell r="H17" t="str">
            <v>No</v>
          </cell>
        </row>
        <row r="25">
          <cell r="H25">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átula Mejora"/>
      <sheetName val="Cotizador Banorte"/>
      <sheetName val="Sheet1"/>
      <sheetName val="Tabla Notaría"/>
      <sheetName val="Oferta Vinculante"/>
      <sheetName val="Estados y Datos Notariales"/>
      <sheetName val="Aforos"/>
      <sheetName val="Hoja1"/>
      <sheetName val="Tabla Parámetros"/>
      <sheetName val="Pago x mil"/>
      <sheetName val="Fecha Pago"/>
      <sheetName val="CAT"/>
      <sheetName val="CAT Flujo Cero"/>
      <sheetName val="Tabla Fijos CAT"/>
      <sheetName val="Tabla Fijos"/>
      <sheetName val="Tabla Crecientes CAT"/>
      <sheetName val="Tabla Crecientes"/>
      <sheetName val="Tabla Construcción Fijos"/>
      <sheetName val="Tabla Construcción Fijos CAT"/>
      <sheetName val="CVTO Fijos"/>
      <sheetName val="Tabla Construcción Crecientes"/>
      <sheetName val="Tabla Construcción CAT crecient"/>
      <sheetName val="CVTO Crecientes"/>
      <sheetName val="Ecotecnologias"/>
      <sheetName val="COFINAVIT"/>
      <sheetName val="AportPat"/>
      <sheetName val="FOVISSSTE"/>
    </sheetNames>
    <sheetDataSet>
      <sheetData sheetId="0">
        <row r="15">
          <cell r="M15">
            <v>2000000</v>
          </cell>
        </row>
      </sheetData>
      <sheetData sheetId="1" refreshError="1"/>
      <sheetData sheetId="2" refreshError="1"/>
      <sheetData sheetId="3" refreshError="1"/>
      <sheetData sheetId="4" refreshError="1"/>
      <sheetData sheetId="5" refreshError="1"/>
      <sheetData sheetId="6" refreshError="1"/>
      <sheetData sheetId="7" refreshError="1"/>
      <sheetData sheetId="8">
        <row r="36">
          <cell r="C36" t="str">
            <v>Tradicional</v>
          </cell>
        </row>
        <row r="37">
          <cell r="C37" t="str">
            <v>Apoyo INFONAVIT</v>
          </cell>
        </row>
        <row r="39">
          <cell r="C39" t="str">
            <v>Tradicional</v>
          </cell>
        </row>
        <row r="41">
          <cell r="C41" t="str">
            <v>Tradicional</v>
          </cell>
        </row>
        <row r="43">
          <cell r="C43" t="str">
            <v>Tradicional</v>
          </cell>
        </row>
        <row r="44">
          <cell r="C44" t="str">
            <v>Apoyo INFONAVIT</v>
          </cell>
        </row>
        <row r="52">
          <cell r="C52" t="str">
            <v>Tradicional</v>
          </cell>
        </row>
        <row r="53">
          <cell r="C53" t="str">
            <v>Tradicional</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tácora"/>
      <sheetName val="Adm"/>
      <sheetName val="Cal"/>
      <sheetName val="Captura"/>
      <sheetName val="Liquidez"/>
      <sheetName val="Consumo"/>
      <sheetName val="Plus"/>
      <sheetName val="pasos"/>
      <sheetName val="Guía"/>
      <sheetName val="CAT"/>
    </sheetNames>
    <sheetDataSet>
      <sheetData sheetId="0"/>
      <sheetData sheetId="1">
        <row r="4">
          <cell r="U4">
            <v>1</v>
          </cell>
        </row>
        <row r="5">
          <cell r="U5">
            <v>2</v>
          </cell>
          <cell r="AG5" t="str">
            <v/>
          </cell>
          <cell r="AH5" t="str">
            <v/>
          </cell>
        </row>
        <row r="6">
          <cell r="U6">
            <v>3</v>
          </cell>
          <cell r="AG6" t="str">
            <v/>
          </cell>
          <cell r="AH6" t="str">
            <v/>
          </cell>
        </row>
        <row r="7">
          <cell r="U7">
            <v>4</v>
          </cell>
          <cell r="AG7" t="str">
            <v/>
          </cell>
          <cell r="AH7" t="str">
            <v/>
          </cell>
        </row>
        <row r="8">
          <cell r="AG8" t="str">
            <v/>
          </cell>
        </row>
      </sheetData>
      <sheetData sheetId="2"/>
      <sheetData sheetId="3"/>
      <sheetData sheetId="4"/>
      <sheetData sheetId="5"/>
      <sheetData sheetId="6"/>
      <sheetData sheetId="7"/>
      <sheetData sheetId="8"/>
      <sheetData sheetId="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cisión"/>
      <sheetName val="Pago Fijo"/>
      <sheetName val="Pago Creciente"/>
      <sheetName val="Tabla Notaria"/>
      <sheetName val="Oferta vinculante"/>
      <sheetName val="Pago Fijo A"/>
      <sheetName val="Pago Creciente A"/>
      <sheetName val="Convenio Tasa"/>
      <sheetName val="Convenio Plazo y Tasa o Plazo"/>
      <sheetName val="Layout"/>
    </sheetNames>
    <sheetDataSet>
      <sheetData sheetId="0"/>
      <sheetData sheetId="1">
        <row r="4">
          <cell r="I4">
            <v>1</v>
          </cell>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pageSetUpPr fitToPage="1"/>
  </sheetPr>
  <dimension ref="A1:T636"/>
  <sheetViews>
    <sheetView showGridLines="0" tabSelected="1" zoomScale="70" zoomScaleNormal="70" zoomScaleSheetLayoutView="75" workbookViewId="0">
      <selection activeCell="I10" sqref="I10"/>
    </sheetView>
  </sheetViews>
  <sheetFormatPr baseColWidth="10" defaultColWidth="0" defaultRowHeight="12.5" zeroHeight="1" x14ac:dyDescent="0.25"/>
  <cols>
    <col min="1" max="1" width="1.26953125" style="264" customWidth="1"/>
    <col min="2" max="2" width="6.54296875" style="264" customWidth="1"/>
    <col min="3" max="3" width="12.453125" style="264" bestFit="1" customWidth="1"/>
    <col min="4" max="4" width="10.1796875" style="264" customWidth="1"/>
    <col min="5" max="5" width="15.81640625" style="264" customWidth="1"/>
    <col min="6" max="6" width="17.453125" style="264" customWidth="1"/>
    <col min="7" max="7" width="24.26953125" style="264" customWidth="1"/>
    <col min="8" max="8" width="17.7265625" style="264" customWidth="1"/>
    <col min="9" max="9" width="15.81640625" style="264" customWidth="1"/>
    <col min="10" max="10" width="18.54296875" style="264" customWidth="1"/>
    <col min="11" max="11" width="19.26953125" style="264" customWidth="1"/>
    <col min="12" max="12" width="22" style="264" customWidth="1"/>
    <col min="13" max="13" width="18.26953125" style="264" customWidth="1"/>
    <col min="14" max="14" width="20.81640625" style="302" customWidth="1"/>
    <col min="15" max="15" width="20.81640625" style="264" bestFit="1" customWidth="1"/>
    <col min="16" max="16" width="19.26953125" style="264" customWidth="1"/>
    <col min="17" max="17" width="19.453125" style="264" customWidth="1"/>
    <col min="18" max="18" width="19.26953125" style="264" customWidth="1"/>
    <col min="19" max="19" width="1" style="264" customWidth="1"/>
    <col min="20" max="20" width="2.1796875" style="264" hidden="1" customWidth="1"/>
    <col min="21" max="16384" width="11.453125" style="264" hidden="1"/>
  </cols>
  <sheetData>
    <row r="1" spans="2:17" ht="21" customHeight="1" x14ac:dyDescent="0.25">
      <c r="J1" s="914"/>
      <c r="K1" s="915"/>
      <c r="L1" s="915"/>
      <c r="M1" s="915"/>
      <c r="N1" s="265"/>
      <c r="O1" s="723"/>
      <c r="P1" s="723"/>
    </row>
    <row r="2" spans="2:17" ht="22.5" customHeight="1" x14ac:dyDescent="0.25">
      <c r="J2" s="265"/>
      <c r="K2" s="723"/>
      <c r="L2" s="723"/>
      <c r="M2" s="723"/>
      <c r="N2" s="265"/>
      <c r="O2" s="723"/>
      <c r="P2" s="723"/>
      <c r="Q2" s="264" t="s">
        <v>17</v>
      </c>
    </row>
    <row r="3" spans="2:17" ht="19.5" customHeight="1" x14ac:dyDescent="0.25">
      <c r="J3" s="265"/>
      <c r="K3" s="723"/>
      <c r="L3" s="723"/>
      <c r="M3" s="723"/>
      <c r="N3" s="724"/>
      <c r="O3" s="724"/>
    </row>
    <row r="4" spans="2:17" ht="8.15" customHeight="1" x14ac:dyDescent="0.25">
      <c r="N4" s="264"/>
    </row>
    <row r="5" spans="2:17" ht="13" x14ac:dyDescent="0.3">
      <c r="B5" s="725" t="s">
        <v>25</v>
      </c>
      <c r="C5" s="726"/>
      <c r="D5" s="726"/>
      <c r="E5" s="726"/>
      <c r="F5" s="726"/>
      <c r="G5" s="726"/>
      <c r="H5" s="726"/>
      <c r="I5" s="726"/>
      <c r="J5" s="726"/>
      <c r="K5" s="726"/>
      <c r="L5" s="726"/>
      <c r="M5" s="726"/>
      <c r="N5" s="726"/>
      <c r="O5" s="726"/>
      <c r="P5" s="726"/>
    </row>
    <row r="6" spans="2:17" ht="8.15" customHeight="1" x14ac:dyDescent="0.3">
      <c r="B6" s="266"/>
      <c r="C6" s="266"/>
      <c r="L6" s="267"/>
      <c r="M6" s="267"/>
      <c r="N6" s="267"/>
      <c r="O6" s="267"/>
    </row>
    <row r="7" spans="2:17" ht="14" x14ac:dyDescent="0.3">
      <c r="C7" s="267"/>
      <c r="D7" s="268" t="s">
        <v>428</v>
      </c>
      <c r="F7" s="727">
        <f ca="1">TODAY()</f>
        <v>46168</v>
      </c>
      <c r="G7" s="727"/>
      <c r="J7" s="266"/>
      <c r="K7" s="730" t="s">
        <v>27</v>
      </c>
      <c r="L7" s="730"/>
      <c r="N7" s="728" t="s">
        <v>382</v>
      </c>
      <c r="O7" s="728"/>
    </row>
    <row r="8" spans="2:17" ht="8.15" customHeight="1" x14ac:dyDescent="0.3">
      <c r="B8" s="268"/>
      <c r="C8" s="268"/>
      <c r="D8" s="268"/>
      <c r="F8" s="731"/>
      <c r="G8" s="731"/>
      <c r="H8" s="269"/>
      <c r="I8" s="269"/>
      <c r="J8" s="265"/>
      <c r="K8" s="268"/>
      <c r="L8" s="265"/>
      <c r="M8" s="267"/>
      <c r="N8" s="729"/>
      <c r="O8" s="729"/>
    </row>
    <row r="9" spans="2:17" ht="14" x14ac:dyDescent="0.3">
      <c r="B9" s="266"/>
      <c r="C9" s="266"/>
      <c r="D9" s="280" t="s">
        <v>429</v>
      </c>
      <c r="E9" s="613">
        <f>VLOOKUP(F9,Sheet1!$B$2:$C$10,2,0)</f>
        <v>1</v>
      </c>
      <c r="F9" s="728" t="s">
        <v>15</v>
      </c>
      <c r="G9" s="728"/>
      <c r="H9" s="738" t="str">
        <f>IF($F$9="Mejora",'Tabla Parámetros'!$M$52,"")</f>
        <v/>
      </c>
      <c r="I9" s="738"/>
      <c r="J9" s="320"/>
      <c r="K9" s="737" t="s">
        <v>716</v>
      </c>
      <c r="L9" s="737"/>
      <c r="N9" s="728" t="s">
        <v>112</v>
      </c>
      <c r="O9" s="728"/>
    </row>
    <row r="10" spans="2:17" ht="8.15" customHeight="1" x14ac:dyDescent="0.3">
      <c r="B10" s="268"/>
      <c r="C10" s="268"/>
      <c r="D10" s="268"/>
      <c r="E10" s="270"/>
      <c r="F10" s="731"/>
      <c r="G10" s="731"/>
      <c r="H10" s="269"/>
      <c r="I10" s="269"/>
      <c r="J10" s="265"/>
      <c r="K10" s="268"/>
      <c r="L10" s="265"/>
      <c r="M10" s="267"/>
      <c r="N10" s="729"/>
      <c r="O10" s="729"/>
    </row>
    <row r="11" spans="2:17" ht="14" x14ac:dyDescent="0.3">
      <c r="B11" s="267"/>
      <c r="C11" s="267"/>
      <c r="D11" s="268" t="s">
        <v>427</v>
      </c>
      <c r="E11" s="270">
        <f>VLOOKUP(F11,Sheet1!$E$2:$F$5,2,0)</f>
        <v>1</v>
      </c>
      <c r="F11" s="739" t="s">
        <v>554</v>
      </c>
      <c r="G11" s="739"/>
      <c r="H11" s="734" t="str">
        <f>IF($F$9="Mejora",'Tabla Parámetros'!$O$52,"")</f>
        <v/>
      </c>
      <c r="I11" s="734"/>
      <c r="J11" s="320"/>
      <c r="K11" s="737" t="s">
        <v>419</v>
      </c>
      <c r="L11" s="737"/>
      <c r="M11" s="646" t="str">
        <f>IF(F11="Hipoteca Fuerte Clara Banorte",IF(N11&gt;3000000,"Máx. $3mdp",""),"")</f>
        <v/>
      </c>
      <c r="N11" s="733">
        <v>3498000</v>
      </c>
      <c r="O11" s="733"/>
    </row>
    <row r="12" spans="2:17" ht="8.15" customHeight="1" x14ac:dyDescent="0.3">
      <c r="B12" s="268"/>
      <c r="C12" s="268"/>
      <c r="D12" s="268"/>
      <c r="F12" s="407"/>
      <c r="G12" s="407"/>
      <c r="J12" s="268"/>
      <c r="K12" s="268"/>
      <c r="L12" s="268"/>
      <c r="M12" s="272"/>
      <c r="N12" s="408"/>
      <c r="O12" s="408"/>
    </row>
    <row r="13" spans="2:17" ht="14" x14ac:dyDescent="0.3">
      <c r="B13" s="267"/>
      <c r="C13" s="267"/>
      <c r="D13" s="268" t="s">
        <v>110</v>
      </c>
      <c r="E13" s="273"/>
      <c r="F13" s="732" t="s">
        <v>713</v>
      </c>
      <c r="G13" s="732"/>
      <c r="J13" s="265" t="s">
        <v>478</v>
      </c>
      <c r="K13" s="332" t="s">
        <v>214</v>
      </c>
      <c r="L13" s="268" t="s">
        <v>479</v>
      </c>
      <c r="M13" s="272" t="s">
        <v>331</v>
      </c>
      <c r="N13" s="430">
        <f>IF($J$11="SI",0,IF($F$9='Tabla Parámetros'!$O$6,0,Simulador!$N$11*0.7))</f>
        <v>2448600</v>
      </c>
      <c r="O13" s="409"/>
      <c r="Q13" s="348"/>
    </row>
    <row r="14" spans="2:17" ht="8.15" customHeight="1" x14ac:dyDescent="0.3">
      <c r="B14" s="268"/>
      <c r="C14" s="268"/>
      <c r="D14" s="647"/>
      <c r="F14" s="731"/>
      <c r="G14" s="731"/>
      <c r="J14" s="265"/>
      <c r="K14" s="265"/>
      <c r="L14" s="265"/>
      <c r="N14" s="400"/>
      <c r="O14" s="400"/>
    </row>
    <row r="15" spans="2:17" ht="15" customHeight="1" x14ac:dyDescent="0.3">
      <c r="B15" s="267"/>
      <c r="C15" s="267"/>
      <c r="D15" s="268" t="str">
        <f>IF(F15=0,"","Monto Crédito")</f>
        <v>Monto Crédito</v>
      </c>
      <c r="E15" s="272" t="s">
        <v>331</v>
      </c>
      <c r="F15" s="733">
        <v>1000000</v>
      </c>
      <c r="G15" s="733"/>
      <c r="H15" s="623" t="str">
        <f>IF(N19&gt;'Tabla Parámetros'!I46,'Tabla Parámetros'!M53,"")</f>
        <v/>
      </c>
      <c r="J15" s="265" t="s">
        <v>714</v>
      </c>
      <c r="K15" s="332" t="s">
        <v>214</v>
      </c>
      <c r="L15" s="736" t="s">
        <v>715</v>
      </c>
      <c r="M15" s="736"/>
      <c r="N15" s="752">
        <f>IF($K$15="Si",0,VLOOKUP($F$9,'Tabla Parámetros'!$G$30:$I$38,2,0))</f>
        <v>0</v>
      </c>
      <c r="O15" s="752"/>
    </row>
    <row r="16" spans="2:17" ht="8.15" customHeight="1" x14ac:dyDescent="0.3">
      <c r="B16" s="268"/>
      <c r="C16" s="268"/>
      <c r="D16" s="268"/>
      <c r="F16" s="408"/>
      <c r="G16" s="408"/>
      <c r="J16" s="268"/>
      <c r="K16" s="268"/>
      <c r="L16" s="268"/>
      <c r="N16" s="407"/>
      <c r="O16" s="407"/>
    </row>
    <row r="17" spans="2:16" ht="14" x14ac:dyDescent="0.3">
      <c r="B17" s="267"/>
      <c r="C17" s="267"/>
      <c r="D17" s="268" t="str">
        <f>IF($N$7="Cofinavit"," ",IF($N$7='Tabla Parámetros'!$C$34," ",IF($N$7="Respalda2"," ","Monto Enganche")))</f>
        <v>Monto Enganche</v>
      </c>
      <c r="F17" s="735">
        <f>IF(OR($N$7="Cofinavit",N7="Cuenta INFONAVIT + BANORTE",N7="FOVISSSTE para todos"),0,'Tabla Parámetros'!$F$20)</f>
        <v>2498000</v>
      </c>
      <c r="G17" s="735"/>
      <c r="H17" s="271" t="str">
        <f>IF(F17=0,"",IF($N$7='Tabla Parámetros'!R35,'Tabla Parámetros'!M54,IF(Simulador!$N$7='Tabla Parámetros'!$R$37,'Tabla Parámetros'!M54,IF(Simulador!$N$7='Tabla Parámetros'!$R$39,'Tabla Parámetros'!M54,""))))</f>
        <v/>
      </c>
      <c r="J17" s="267"/>
      <c r="K17" s="737" t="s">
        <v>717</v>
      </c>
      <c r="L17" s="737"/>
      <c r="N17" s="742" t="s">
        <v>214</v>
      </c>
      <c r="O17" s="742"/>
    </row>
    <row r="18" spans="2:16" ht="8.15" customHeight="1" x14ac:dyDescent="0.3">
      <c r="B18" s="268"/>
      <c r="C18" s="268"/>
      <c r="D18" s="268"/>
      <c r="F18" s="731"/>
      <c r="G18" s="731"/>
      <c r="J18" s="265"/>
      <c r="K18" s="265"/>
      <c r="L18" s="265"/>
      <c r="N18" s="400"/>
      <c r="O18" s="400"/>
    </row>
    <row r="19" spans="2:16" ht="14" x14ac:dyDescent="0.3">
      <c r="B19" s="267"/>
      <c r="C19" s="267"/>
      <c r="D19" s="268" t="s">
        <v>26</v>
      </c>
      <c r="E19" s="273"/>
      <c r="F19" s="728">
        <v>240</v>
      </c>
      <c r="G19" s="728"/>
      <c r="H19" s="629" t="str">
        <f>IF('Estados y Datos Notariales'!$I$1=12,"¿El municipio es León?","")</f>
        <v/>
      </c>
      <c r="J19" s="465" t="str">
        <f>IF(Sheet1!I1=6,"Monto de Crédito FOVISSSTE para todos","")</f>
        <v/>
      </c>
      <c r="K19" s="267"/>
      <c r="L19" s="268" t="str">
        <f>IF($N$7="Cofinavit"," ",IF($N$7="Alia2+"," ",IF($N$7="Respalda2"," ","Aforo")))</f>
        <v>Aforo</v>
      </c>
      <c r="M19" s="273"/>
      <c r="N19" s="617">
        <f>IF(OR(Sheet1!I1=3,Sheet1!I1=4,Sheet1!I1=5),0,IF(Sheet1!I1=6,Sheet1!$I$29,F15/N11))</f>
        <v>0.28587764436821039</v>
      </c>
      <c r="O19" s="624" t="str">
        <f>IF(H15="","",'Tabla Parámetros'!I44)</f>
        <v/>
      </c>
      <c r="P19" s="625" t="str">
        <f>IF(O19="","",'Tabla Parámetros'!I46)</f>
        <v/>
      </c>
    </row>
    <row r="20" spans="2:16" ht="8.15" customHeight="1" x14ac:dyDescent="0.3">
      <c r="B20" s="268"/>
      <c r="C20" s="268"/>
      <c r="E20" s="273"/>
      <c r="F20" s="274"/>
      <c r="G20" s="274"/>
      <c r="J20" s="268"/>
      <c r="K20" s="268"/>
      <c r="L20" s="265"/>
      <c r="M20" s="273"/>
      <c r="N20" s="275"/>
      <c r="O20" s="275"/>
    </row>
    <row r="21" spans="2:16" ht="15" customHeight="1" x14ac:dyDescent="0.35">
      <c r="B21" s="268"/>
      <c r="C21" s="737" t="s">
        <v>69</v>
      </c>
      <c r="D21" s="737"/>
      <c r="F21" s="743" t="s">
        <v>46</v>
      </c>
      <c r="G21" s="743"/>
      <c r="H21" s="576" t="s">
        <v>214</v>
      </c>
      <c r="J21" s="626"/>
      <c r="K21" s="268"/>
      <c r="L21" s="267" t="s">
        <v>393</v>
      </c>
      <c r="M21" s="273"/>
      <c r="N21" s="275"/>
      <c r="O21" s="275"/>
    </row>
    <row r="22" spans="2:16" ht="15" hidden="1" customHeight="1" x14ac:dyDescent="0.3">
      <c r="B22" s="268"/>
      <c r="C22" s="268"/>
      <c r="E22" s="273"/>
      <c r="F22" s="726" t="str">
        <f>N7</f>
        <v>Tradicional</v>
      </c>
      <c r="G22" s="726"/>
      <c r="H22" s="726"/>
      <c r="I22" s="726"/>
      <c r="J22" s="726"/>
      <c r="K22" s="726"/>
      <c r="L22" s="726"/>
      <c r="M22" s="726"/>
      <c r="N22" s="726"/>
      <c r="O22" s="275"/>
    </row>
    <row r="23" spans="2:16" ht="15" hidden="1" customHeight="1" x14ac:dyDescent="0.3">
      <c r="B23" s="268"/>
      <c r="E23" s="268"/>
      <c r="H23" s="449" t="s">
        <v>279</v>
      </c>
      <c r="I23" s="357" t="str">
        <f>IF(OR(N7="Cofinavit",N7='Tabla Parámetros'!C34),"Cotitular","")</f>
        <v/>
      </c>
      <c r="L23" s="749" t="s">
        <v>480</v>
      </c>
      <c r="M23" s="749"/>
      <c r="N23" s="749"/>
    </row>
    <row r="24" spans="2:16" ht="14" hidden="1" x14ac:dyDescent="0.3">
      <c r="B24" s="268"/>
      <c r="E24" s="268"/>
      <c r="G24" s="452" t="s">
        <v>476</v>
      </c>
      <c r="H24" s="414"/>
      <c r="I24" s="415"/>
      <c r="J24" s="271" t="str">
        <f>IF($H$24&lt;10000,COFINAVIT!$G$14,"")</f>
        <v>Ingreso mínimo $10,000.00</v>
      </c>
      <c r="L24" s="272"/>
      <c r="M24" s="450"/>
      <c r="N24" s="272"/>
    </row>
    <row r="25" spans="2:16" ht="14" hidden="1" x14ac:dyDescent="0.3">
      <c r="B25" s="268"/>
      <c r="E25" s="359"/>
      <c r="G25" s="452" t="s">
        <v>475</v>
      </c>
      <c r="H25" s="414"/>
      <c r="I25" s="414"/>
      <c r="J25" s="456"/>
      <c r="L25" s="453"/>
      <c r="M25" s="454" t="str">
        <f>G25</f>
        <v>Subcuenta vivienda:</v>
      </c>
      <c r="N25" s="420">
        <f>$H$25+$I$25</f>
        <v>0</v>
      </c>
    </row>
    <row r="26" spans="2:16" ht="14" hidden="1" x14ac:dyDescent="0.3">
      <c r="B26" s="268"/>
      <c r="E26" s="359"/>
      <c r="G26" s="452" t="str">
        <f>IF(N7='Tabla Parámetros'!$C$34,"","Crédito INFONAVIT:")</f>
        <v>Crédito INFONAVIT:</v>
      </c>
      <c r="H26" s="414"/>
      <c r="I26" s="414"/>
      <c r="J26" s="458" t="str">
        <f>IF((H26)&gt;COFINAVIT!$G$10,"Máximo $1,159,022.80"," ")</f>
        <v xml:space="preserve"> </v>
      </c>
      <c r="K26" s="458" t="str">
        <f>IF((I26)&gt;COFINAVIT!$G$10,"Máximo $1,159,022.80"," ")</f>
        <v xml:space="preserve"> </v>
      </c>
      <c r="L26" s="453"/>
      <c r="M26" s="454" t="str">
        <f>G26</f>
        <v>Crédito INFONAVIT:</v>
      </c>
      <c r="N26" s="420">
        <f>$H$26+$I$26</f>
        <v>0</v>
      </c>
    </row>
    <row r="27" spans="2:16" ht="14" hidden="1" x14ac:dyDescent="0.3">
      <c r="B27" s="268"/>
      <c r="E27" s="359"/>
      <c r="F27" s="359"/>
      <c r="G27" s="452" t="str">
        <f>IF(N7='Tabla Parámetros'!$C$34,"","Desc INFONAVIT:")</f>
        <v>Desc INFONAVIT:</v>
      </c>
      <c r="H27" s="414"/>
      <c r="I27" s="414"/>
      <c r="J27" s="560" t="str">
        <f>IF(N7='Tabla Parámetros'!$C$34,"","Ingresos Adicionales")</f>
        <v>Ingresos Adicionales</v>
      </c>
      <c r="L27" s="453"/>
      <c r="M27" s="454" t="str">
        <f>G31</f>
        <v>Crédito Banorte:</v>
      </c>
      <c r="N27" s="420">
        <f>$H$31</f>
        <v>1000000</v>
      </c>
    </row>
    <row r="28" spans="2:16" ht="14" hidden="1" x14ac:dyDescent="0.3">
      <c r="B28" s="268"/>
      <c r="E28" s="359"/>
      <c r="G28" s="452" t="s">
        <v>473</v>
      </c>
      <c r="H28" s="414"/>
      <c r="I28" s="416"/>
      <c r="J28" s="414"/>
      <c r="L28" s="453"/>
      <c r="M28" s="454" t="str">
        <f>G30</f>
        <v>Enganche obligado:</v>
      </c>
      <c r="N28" s="420">
        <f>$H$30</f>
        <v>2498000</v>
      </c>
    </row>
    <row r="29" spans="2:16" ht="14" hidden="1" x14ac:dyDescent="0.3">
      <c r="B29" s="268"/>
      <c r="E29" s="359"/>
      <c r="G29" s="452" t="str">
        <f>IF(N7='Tabla Parámetros'!$C$34,"","Desc ecotecnologías:")</f>
        <v>Desc ecotecnologías:</v>
      </c>
      <c r="H29" s="417">
        <f>IF(N7='Tabla Parámetros'!$C$34,"",Ecotecnologias!C3)</f>
        <v>0</v>
      </c>
      <c r="I29" s="416"/>
      <c r="J29" s="287"/>
      <c r="L29" s="453"/>
      <c r="M29" s="454" t="str">
        <f>G28</f>
        <v>Enganche opcional:</v>
      </c>
      <c r="N29" s="420">
        <f>$H$28</f>
        <v>0</v>
      </c>
      <c r="O29" s="287"/>
    </row>
    <row r="30" spans="2:16" ht="14" hidden="1" x14ac:dyDescent="0.3">
      <c r="B30" s="268"/>
      <c r="E30" s="359"/>
      <c r="G30" s="452" t="s">
        <v>481</v>
      </c>
      <c r="H30" s="417">
        <f>IF(((N11)-(H25+I25+H26+I26+H28+H31))&lt;0,0,((N11)-(H25+I25+H26+I26+H28+H31)))</f>
        <v>2498000</v>
      </c>
      <c r="I30" s="416">
        <f>IF(N7='Tabla Parámetros'!$C$34,"",COFINAVIT!$C$33)</f>
        <v>0</v>
      </c>
      <c r="J30" s="449" t="str">
        <f>IF(N7='Tabla Parámetros'!$C$34,"","Gastos Infonavit")</f>
        <v>Gastos Infonavit</v>
      </c>
      <c r="L30" s="453"/>
      <c r="M30" s="454"/>
      <c r="N30" s="420"/>
      <c r="O30" s="287"/>
    </row>
    <row r="31" spans="2:16" ht="14" hidden="1" x14ac:dyDescent="0.3">
      <c r="B31" s="268"/>
      <c r="E31" s="268"/>
      <c r="G31" s="461" t="s">
        <v>310</v>
      </c>
      <c r="H31" s="418">
        <f>IF(F15&gt;0,F15,IF(N7='Tabla Parámetros'!$C$34,Fovissste!$B$14,IF(Simulador!N7='Tabla Parámetros'!$C$32,COFINAVIT!$C$28)))</f>
        <v>1000000</v>
      </c>
      <c r="I31" s="419">
        <f>$H$31/$N$11</f>
        <v>0.28587764436821039</v>
      </c>
      <c r="J31" s="462" t="s">
        <v>82</v>
      </c>
      <c r="K31" s="634" t="str">
        <f>IF(I31&gt;'Tabla Parámetros'!I46,"Supera Aforo Máximo","")</f>
        <v/>
      </c>
      <c r="L31" s="453"/>
      <c r="M31" s="358" t="s">
        <v>477</v>
      </c>
      <c r="N31" s="421">
        <f>IF(SUM(N25:N29)&gt;F32,F32,SUM(N25:N29))</f>
        <v>3498000</v>
      </c>
      <c r="O31" s="287"/>
    </row>
    <row r="32" spans="2:16" ht="14" hidden="1" x14ac:dyDescent="0.3">
      <c r="B32" s="268"/>
      <c r="E32" s="268"/>
      <c r="F32" s="426">
        <f>+N11*1</f>
        <v>3498000</v>
      </c>
      <c r="G32" s="452"/>
      <c r="H32" s="561"/>
      <c r="I32" s="561"/>
      <c r="J32" s="287"/>
      <c r="K32" s="431" t="str">
        <f>+IF(SUM(N25:N29)&gt;N11,"La Suma de los Recursos no puede ser mayor al valor de vivienda, ajusta el crédito Banorte","")</f>
        <v/>
      </c>
      <c r="O32" s="287"/>
    </row>
    <row r="33" spans="2:17" ht="15" hidden="1" customHeight="1" x14ac:dyDescent="0.3">
      <c r="B33" s="268"/>
      <c r="E33" s="268" t="s">
        <v>493</v>
      </c>
      <c r="L33" s="747" t="s">
        <v>480</v>
      </c>
      <c r="M33" s="747"/>
      <c r="N33" s="747"/>
    </row>
    <row r="34" spans="2:17" ht="15" hidden="1" customHeight="1" x14ac:dyDescent="0.3">
      <c r="B34" s="268"/>
      <c r="E34" s="268"/>
      <c r="H34" s="449" t="s">
        <v>279</v>
      </c>
      <c r="I34" s="357" t="s">
        <v>494</v>
      </c>
      <c r="L34" s="272"/>
      <c r="M34" s="450"/>
      <c r="N34" s="272"/>
    </row>
    <row r="35" spans="2:17" ht="15" hidden="1" customHeight="1" x14ac:dyDescent="0.3">
      <c r="B35" s="737" t="s">
        <v>495</v>
      </c>
      <c r="C35" s="737"/>
      <c r="D35" s="737"/>
      <c r="E35" s="451">
        <v>0.1045</v>
      </c>
      <c r="G35" s="452" t="s">
        <v>476</v>
      </c>
      <c r="H35" s="414"/>
      <c r="I35" s="414"/>
      <c r="J35" s="271" t="str">
        <f>IF($H$35&lt;10000,COFINAVIT!$G$14,"")</f>
        <v>Ingreso mínimo $10,000.00</v>
      </c>
      <c r="L35" s="453"/>
      <c r="M35" s="454" t="str">
        <f>G36</f>
        <v>Subcuenta vivienda:</v>
      </c>
      <c r="N35" s="420">
        <f>$H$36+$I$36</f>
        <v>0</v>
      </c>
    </row>
    <row r="36" spans="2:17" ht="15" hidden="1" customHeight="1" x14ac:dyDescent="0.3">
      <c r="B36" s="737" t="s">
        <v>496</v>
      </c>
      <c r="C36" s="737"/>
      <c r="D36" s="737"/>
      <c r="E36" s="455">
        <f>H49</f>
        <v>240</v>
      </c>
      <c r="G36" s="452" t="s">
        <v>475</v>
      </c>
      <c r="H36" s="414"/>
      <c r="I36" s="414"/>
      <c r="J36" s="456"/>
      <c r="L36" s="453"/>
      <c r="M36" s="454" t="str">
        <f>G38</f>
        <v>Crédito INFONAVIT:</v>
      </c>
      <c r="N36" s="420">
        <f>$H$38+$I$37</f>
        <v>300000</v>
      </c>
    </row>
    <row r="37" spans="2:17" ht="15" hidden="1" customHeight="1" x14ac:dyDescent="0.3">
      <c r="B37" s="737" t="s">
        <v>497</v>
      </c>
      <c r="C37" s="737"/>
      <c r="D37" s="737"/>
      <c r="E37" s="457">
        <f>PMT(E35/12,E36,-H38)</f>
        <v>2985.070534575852</v>
      </c>
      <c r="F37" s="359"/>
      <c r="G37" s="452" t="s">
        <v>511</v>
      </c>
      <c r="H37" s="464">
        <f>COFINAVIT!C43</f>
        <v>1000000</v>
      </c>
      <c r="I37" s="416"/>
      <c r="L37" s="453"/>
      <c r="M37" s="454" t="str">
        <f>G39</f>
        <v>Crédito Banorte:</v>
      </c>
      <c r="N37" s="420">
        <f>$H$39</f>
        <v>700000</v>
      </c>
    </row>
    <row r="38" spans="2:17" ht="15" hidden="1" customHeight="1" x14ac:dyDescent="0.3">
      <c r="B38" s="737" t="s">
        <v>498</v>
      </c>
      <c r="C38" s="737"/>
      <c r="D38" s="737"/>
      <c r="E38" s="457">
        <f>(H38*0.01)/12</f>
        <v>250</v>
      </c>
      <c r="G38" s="452" t="s">
        <v>474</v>
      </c>
      <c r="H38" s="447">
        <f>COFINAVIT!$C$44</f>
        <v>300000</v>
      </c>
      <c r="I38" s="416"/>
      <c r="J38" s="458" t="str">
        <f>IF(H38&gt;COFINAVIT!$F$39,"Máximo $1,072,671.60"," ")</f>
        <v xml:space="preserve"> </v>
      </c>
      <c r="K38" s="458" t="str">
        <f>IF((H38)&gt;COFINAVIT!$G$10,"Máximo $1,072,671.60"," ")</f>
        <v xml:space="preserve"> </v>
      </c>
      <c r="L38" s="453"/>
      <c r="M38" s="454" t="str">
        <f>G40</f>
        <v>Enganche:</v>
      </c>
      <c r="N38" s="420">
        <f>$H$40</f>
        <v>2498000</v>
      </c>
    </row>
    <row r="39" spans="2:17" ht="15" hidden="1" customHeight="1" x14ac:dyDescent="0.3">
      <c r="B39" s="745" t="s">
        <v>499</v>
      </c>
      <c r="C39" s="745"/>
      <c r="D39" s="745"/>
      <c r="E39" s="459">
        <f>+E37+E38</f>
        <v>3235.070534575852</v>
      </c>
      <c r="G39" s="461" t="s">
        <v>310</v>
      </c>
      <c r="H39" s="418">
        <f>COFINAVIT!$C$46</f>
        <v>700000</v>
      </c>
      <c r="I39" s="419">
        <f>$H$39/$N$11</f>
        <v>0.20011435105774728</v>
      </c>
      <c r="J39" s="462" t="s">
        <v>512</v>
      </c>
      <c r="L39" s="453"/>
      <c r="M39" s="454"/>
      <c r="N39" s="420"/>
      <c r="O39" s="287"/>
    </row>
    <row r="40" spans="2:17" ht="15" hidden="1" customHeight="1" x14ac:dyDescent="0.3">
      <c r="B40" s="737" t="s">
        <v>500</v>
      </c>
      <c r="C40" s="737"/>
      <c r="D40" s="737"/>
      <c r="E40" s="457">
        <f>HLOOKUP(F62,I55:L57,3,0)</f>
        <v>10421.884210717653</v>
      </c>
      <c r="G40" s="452" t="s">
        <v>472</v>
      </c>
      <c r="H40" s="417">
        <f>COFINAVIT!C57</f>
        <v>2498000</v>
      </c>
      <c r="J40" s="465"/>
      <c r="L40" s="453"/>
      <c r="M40" s="454"/>
      <c r="N40" s="420"/>
      <c r="O40" s="287"/>
    </row>
    <row r="41" spans="2:17" ht="14.5" hidden="1" thickBot="1" x14ac:dyDescent="0.35">
      <c r="B41" s="746" t="s">
        <v>501</v>
      </c>
      <c r="C41" s="746"/>
      <c r="D41" s="746"/>
      <c r="E41" s="460">
        <f>+E39+E40</f>
        <v>13656.954745293506</v>
      </c>
      <c r="I41" s="416"/>
      <c r="K41" s="271" t="str">
        <f>+IF(I39&gt;95%,"Máximo 95%","")</f>
        <v/>
      </c>
      <c r="L41" s="453"/>
      <c r="M41" s="358" t="s">
        <v>477</v>
      </c>
      <c r="N41" s="421">
        <f>IF(SUM(N35:N39)&gt;F42,F42,SUM(N35:N39))</f>
        <v>3498000</v>
      </c>
      <c r="O41" s="287"/>
    </row>
    <row r="42" spans="2:17" ht="13.5" hidden="1" thickTop="1" x14ac:dyDescent="0.3">
      <c r="B42" s="268"/>
      <c r="C42" s="268"/>
      <c r="E42" s="273"/>
      <c r="F42" s="426">
        <f>+N11*1</f>
        <v>3498000</v>
      </c>
      <c r="G42" s="276"/>
      <c r="J42" s="268"/>
      <c r="K42" s="431" t="str">
        <f>+IF(SUM(N35:N39)&gt;N11,"La Suma de los Recursos no puede ser mayor al valor de vivienda, ajusta el crédito Banorte","")</f>
        <v/>
      </c>
      <c r="L42" s="277"/>
      <c r="M42" s="273"/>
      <c r="N42" s="287"/>
      <c r="O42" s="287"/>
    </row>
    <row r="43" spans="2:17" ht="13" hidden="1" x14ac:dyDescent="0.3">
      <c r="B43" s="268"/>
      <c r="C43" s="268"/>
      <c r="E43" s="273"/>
      <c r="F43" s="276"/>
      <c r="G43" s="276"/>
      <c r="J43" s="268"/>
      <c r="K43" s="268"/>
      <c r="M43" s="273"/>
      <c r="N43" s="287"/>
      <c r="O43" s="287"/>
    </row>
    <row r="44" spans="2:17" ht="13" x14ac:dyDescent="0.3">
      <c r="B44" s="726" t="s">
        <v>126</v>
      </c>
      <c r="C44" s="726"/>
      <c r="D44" s="726"/>
      <c r="E44" s="726"/>
      <c r="F44" s="726"/>
      <c r="G44" s="726"/>
      <c r="H44" s="726"/>
      <c r="I44" s="726"/>
      <c r="J44" s="726"/>
      <c r="K44" s="726"/>
      <c r="L44" s="726"/>
      <c r="M44" s="726"/>
      <c r="N44" s="726"/>
      <c r="O44" s="726"/>
      <c r="P44" s="726"/>
      <c r="Q44" s="278"/>
    </row>
    <row r="45" spans="2:17" s="281" customFormat="1" ht="14" x14ac:dyDescent="0.3">
      <c r="B45" s="279"/>
      <c r="C45" s="280"/>
      <c r="D45" s="279"/>
      <c r="E45" s="279"/>
      <c r="G45" s="425"/>
      <c r="H45" s="425"/>
      <c r="I45" s="425"/>
      <c r="J45" s="425"/>
      <c r="K45" s="427" t="str">
        <f>IF(N7="Cofinavit",J30,"")</f>
        <v/>
      </c>
      <c r="L45" s="630">
        <f>IF($N$7="Cofinavit",$I$30,0)</f>
        <v>0</v>
      </c>
      <c r="M45" s="279"/>
      <c r="N45" s="279"/>
      <c r="O45" s="279"/>
      <c r="P45" s="282"/>
      <c r="Q45" s="282"/>
    </row>
    <row r="46" spans="2:17" s="281" customFormat="1" ht="14" x14ac:dyDescent="0.3">
      <c r="B46" s="279"/>
      <c r="C46" s="280"/>
      <c r="D46" s="283"/>
      <c r="E46" s="279"/>
      <c r="G46" s="427" t="s">
        <v>1</v>
      </c>
      <c r="H46" s="425" t="str">
        <f>F11</f>
        <v>Hipoteca Fuerte Cero</v>
      </c>
      <c r="I46" s="425"/>
      <c r="J46" s="410"/>
      <c r="K46" s="427" t="s">
        <v>720</v>
      </c>
      <c r="L46" s="395">
        <f>IF($F$9="Liquidez",($H$48*$N$15)*1.16,$H$48*$N$15)</f>
        <v>0</v>
      </c>
      <c r="M46" s="284" t="str">
        <f>IF(N17="SI","Financiada","")</f>
        <v/>
      </c>
      <c r="N46" s="279"/>
      <c r="O46" s="279"/>
      <c r="P46" s="282"/>
      <c r="Q46" s="282"/>
    </row>
    <row r="47" spans="2:17" s="281" customFormat="1" ht="14" x14ac:dyDescent="0.3">
      <c r="B47" s="279"/>
      <c r="C47" s="280"/>
      <c r="D47" s="283"/>
      <c r="E47" s="279"/>
      <c r="G47" s="427" t="s">
        <v>117</v>
      </c>
      <c r="H47" s="395">
        <f>N11</f>
        <v>3498000</v>
      </c>
      <c r="I47" s="425"/>
      <c r="J47" s="425"/>
      <c r="K47" s="427" t="s">
        <v>721</v>
      </c>
      <c r="L47" s="395">
        <f>+'Tabla Parámetros'!R90*1.16</f>
        <v>0</v>
      </c>
      <c r="M47" s="284" t="s">
        <v>513</v>
      </c>
      <c r="N47" s="279"/>
      <c r="O47" s="279"/>
      <c r="P47" s="282"/>
      <c r="Q47" s="282"/>
    </row>
    <row r="48" spans="2:17" s="281" customFormat="1" ht="14" x14ac:dyDescent="0.3">
      <c r="B48" s="748" t="s">
        <v>718</v>
      </c>
      <c r="C48" s="748"/>
      <c r="D48" s="748"/>
      <c r="E48" s="748"/>
      <c r="F48" s="748"/>
      <c r="G48" s="427" t="s">
        <v>118</v>
      </c>
      <c r="H48" s="395">
        <f>IF(N7='Tabla Parámetros'!C32,Simulador!H31,IF(N7='Tabla Parámetros'!C33,Simulador!H39,IF(N7='Tabla Parámetros'!C34,H31,Simulador!F15)))</f>
        <v>1000000</v>
      </c>
      <c r="I48" s="395"/>
      <c r="J48" s="396"/>
      <c r="K48" s="427" t="str">
        <f>IF(F9="Mejora","*Honorarios Notariales:",IF(F9="Mejora_más_Remodelación","*Honorarios Notariales:","*Gastos Notariales Estimados:"))</f>
        <v>*Gastos Notariales Estimados:</v>
      </c>
      <c r="L48" s="395">
        <f>IF(Sheet1!$D$14=2,VLOOKUP(Simulador!$F$21,Notariales!$B$2:$E$33,4,0),IF(Sheet1!$D$14=3,$H$48*$H$50,IF(Sheet1!$D$14=1,Simulador!$N$11*Simulador!$H$50,)))</f>
        <v>174900</v>
      </c>
      <c r="M48" s="284" t="str">
        <f>IF(L48=0,"","Sin IVA")</f>
        <v>Sin IVA</v>
      </c>
      <c r="N48" s="279"/>
      <c r="O48" s="279"/>
      <c r="P48" s="282"/>
      <c r="Q48" s="282"/>
    </row>
    <row r="49" spans="2:17" s="281" customFormat="1" ht="14" x14ac:dyDescent="0.3">
      <c r="B49" s="748"/>
      <c r="C49" s="748"/>
      <c r="D49" s="748"/>
      <c r="E49" s="748"/>
      <c r="F49" s="748"/>
      <c r="G49" s="427" t="s">
        <v>583</v>
      </c>
      <c r="H49" s="411">
        <f>F19</f>
        <v>240</v>
      </c>
      <c r="I49" s="410"/>
      <c r="J49" s="396"/>
      <c r="K49" s="427" t="s">
        <v>722</v>
      </c>
      <c r="L49" s="395">
        <f>IF(H46='Tabla Parámetros'!W1,'Tabla Parámetros'!W25,'Tabla Parámetros'!Y9)</f>
        <v>0</v>
      </c>
      <c r="M49" s="279"/>
      <c r="N49" s="279"/>
      <c r="O49" s="279"/>
      <c r="P49" s="282"/>
      <c r="Q49" s="282"/>
    </row>
    <row r="50" spans="2:17" ht="14" customHeight="1" x14ac:dyDescent="0.3">
      <c r="B50" s="711"/>
      <c r="C50" s="711"/>
      <c r="D50" s="711"/>
      <c r="E50" s="711"/>
      <c r="F50" s="711"/>
      <c r="G50" s="427" t="str">
        <f>IF($F$9="Mejora"," ",IF($F$9="Mejora_más_Remodelación"," ","*Porcentaje de gastos  Notariales:"))</f>
        <v>*Porcentaje de gastos  Notariales:</v>
      </c>
      <c r="H50" s="572">
        <f>'Nuevos % Notarios'!$D$16</f>
        <v>0.05</v>
      </c>
      <c r="I50" s="410"/>
      <c r="J50" s="396"/>
      <c r="K50" s="427" t="s">
        <v>472</v>
      </c>
      <c r="L50" s="395">
        <f>IF(OR(N7="Cofinavit",N7="FOVISSSTE para todos"),H28+H30,IF(N7="Cuenta INFONAVIT + BANORTE",H40,F17))</f>
        <v>2498000</v>
      </c>
    </row>
    <row r="51" spans="2:17" s="281" customFormat="1" ht="15" customHeight="1" x14ac:dyDescent="0.3">
      <c r="G51" s="427" t="str">
        <f>IF(N7='Tabla Parámetros'!$C$34,"Cobertura Seguro Vida:","Cobertura Seguro Vida y Daños:")</f>
        <v>Cobertura Seguro Vida y Daños:</v>
      </c>
      <c r="H51" s="410" t="str">
        <f>$N$9</f>
        <v>Básico</v>
      </c>
      <c r="I51" s="357"/>
      <c r="J51" s="357"/>
      <c r="K51" s="428" t="str">
        <f>IF(N7="",G32,"")</f>
        <v/>
      </c>
      <c r="L51" s="631">
        <f>IF(N7="",H32,0)</f>
        <v>0</v>
      </c>
      <c r="M51" s="279"/>
      <c r="N51" s="279"/>
      <c r="O51" s="279"/>
      <c r="P51" s="282"/>
      <c r="Q51" s="282"/>
    </row>
    <row r="52" spans="2:17" s="281" customFormat="1" ht="14" x14ac:dyDescent="0.3">
      <c r="G52" s="757"/>
      <c r="H52" s="757"/>
      <c r="I52" s="412"/>
      <c r="J52" s="413"/>
      <c r="K52" s="717" t="s">
        <v>127</v>
      </c>
      <c r="L52" s="632">
        <f>IF(N17="SI",(L45+L47+L48+L49+L50)-L51,(L45+L46+L47+L48+L49+L50)-L51)</f>
        <v>2672900</v>
      </c>
      <c r="M52" s="284" t="str">
        <f>IF($L$52&lt;0,"Saldo a Favor del Cliente","")</f>
        <v/>
      </c>
      <c r="N52" s="279"/>
      <c r="O52" s="279"/>
      <c r="P52" s="282"/>
      <c r="Q52" s="282"/>
    </row>
    <row r="53" spans="2:17" s="281" customFormat="1" ht="6.75" customHeight="1" x14ac:dyDescent="0.3">
      <c r="B53" s="279"/>
      <c r="C53" s="279"/>
      <c r="D53" s="279"/>
      <c r="M53" s="279"/>
      <c r="N53" s="279"/>
      <c r="O53" s="279"/>
      <c r="P53" s="282"/>
      <c r="Q53" s="282"/>
    </row>
    <row r="54" spans="2:17" s="281" customFormat="1" ht="13" x14ac:dyDescent="0.3">
      <c r="B54" s="279"/>
      <c r="C54" s="279"/>
      <c r="D54" s="279"/>
      <c r="G54" s="285"/>
      <c r="H54" s="618"/>
      <c r="I54" s="618" t="str">
        <f>IF(Sheet1!AA1&lt;&gt;1,"",IF(OR(Sheet1!$I$10=5,Sheet1!$I$10=6),"","Premium"))</f>
        <v/>
      </c>
      <c r="J54" s="619" t="str">
        <f>IF(OR(Sheet1!$I$10=5,Sheet1!$I$10=6),$N$7,Sheet1!AC1)</f>
        <v>Hipoteca Fuerte Cero</v>
      </c>
      <c r="K54" s="618" t="str">
        <f>IF(Sheet1!AA1&lt;&gt;1,"",IF(OR(Sheet1!$I$10=5,Sheet1!$I$10=6),"","Baja"))</f>
        <v/>
      </c>
      <c r="L54" s="618" t="str">
        <f>IF(Sheet1!AA1&lt;&gt;1,"",IF(OR(Sheet1!$I$10=5,Sheet1!$I$10=6),"","Media"))</f>
        <v/>
      </c>
      <c r="M54" s="618" t="str">
        <f>IF(Sheet1!AA1&lt;&gt;1,"",IF(OR(Sheet1!$I$10=5,Sheet1!$I$10=6),"","Alta"))</f>
        <v/>
      </c>
      <c r="N54" s="279"/>
      <c r="O54" s="279"/>
      <c r="P54" s="282"/>
      <c r="Q54" s="282"/>
    </row>
    <row r="55" spans="2:17" s="281" customFormat="1" ht="14" customHeight="1" x14ac:dyDescent="0.3">
      <c r="B55" s="744" t="s">
        <v>719</v>
      </c>
      <c r="C55" s="744"/>
      <c r="D55" s="744"/>
      <c r="E55" s="744"/>
      <c r="F55" s="744"/>
      <c r="G55" s="712" t="s">
        <v>723</v>
      </c>
      <c r="H55" s="397"/>
      <c r="I55" s="397" t="str">
        <f>IF(Sheet1!AA1&lt;&gt;1,"",IF(Sheet1!$I$10=5,"",'Pago x mil'!$E$12))</f>
        <v/>
      </c>
      <c r="J55" s="397">
        <f>'Pago x mil'!$F$12</f>
        <v>0.11</v>
      </c>
      <c r="K55" s="397" t="str">
        <f>IF(Sheet1!$Z$1=8,'Pago x mil'!$G$12,IF(Sheet1!$AA$1&lt;&gt;1,"",IF(Sheet1!$I$10=5,"",'Pago x mil'!$G$12)))</f>
        <v/>
      </c>
      <c r="L55" s="397" t="str">
        <f>IF(Sheet1!AA1&lt;&gt;1,"",IF(Sheet1!$I$10=5,"",'Pago x mil'!$H$12))</f>
        <v/>
      </c>
      <c r="M55" s="397" t="str">
        <f>IF(Sheet1!AA1&lt;&gt;1,"",IF(Sheet1!$I$10=5,"",'Pago x mil'!$I$12))</f>
        <v/>
      </c>
      <c r="N55" s="279"/>
      <c r="O55" s="279"/>
      <c r="P55" s="282"/>
      <c r="Q55" s="282"/>
    </row>
    <row r="56" spans="2:17" s="281" customFormat="1" ht="14" x14ac:dyDescent="0.3">
      <c r="B56" s="744"/>
      <c r="C56" s="744"/>
      <c r="D56" s="744"/>
      <c r="E56" s="744"/>
      <c r="F56" s="744"/>
      <c r="G56" s="429" t="s">
        <v>457</v>
      </c>
      <c r="H56" s="394"/>
      <c r="I56" s="394" t="str">
        <f>IF(Sheet1!AA1&lt;&gt;1,"",IF(OR(Sheet1!$I$10=5,Sheet1!$I$10=6),"",'Pago x mil'!$E$13))</f>
        <v/>
      </c>
      <c r="J56" s="394">
        <f>'Pago x mil'!$F$13</f>
        <v>10.421884210717653</v>
      </c>
      <c r="K56" s="394" t="str">
        <f>IF(Sheet1!$Z$1=8,'Pago x mil'!$G$13,IF(Sheet1!AA1&lt;&gt;1,"",IF(OR(Sheet1!$I$10=5,Sheet1!$I$10=6),"",'Pago x mil'!$G$13)))</f>
        <v/>
      </c>
      <c r="L56" s="394" t="str">
        <f>IF(Sheet1!AA1&lt;&gt;1,"",IF(OR(Sheet1!$I$10=5,Sheet1!$I$10=6),"",'Pago x mil'!$H$13))</f>
        <v/>
      </c>
      <c r="M56" s="394" t="str">
        <f>IF(Sheet1!AA1&lt;&gt;1,"",IF(OR(Sheet1!$I$10=5,Sheet1!$I$10=6),"",'Pago x mil'!$I$13))</f>
        <v/>
      </c>
      <c r="N56" s="279"/>
      <c r="O56" s="279"/>
      <c r="P56" s="282"/>
      <c r="Q56" s="282"/>
    </row>
    <row r="57" spans="2:17" s="281" customFormat="1" ht="14" x14ac:dyDescent="0.3">
      <c r="B57" s="744"/>
      <c r="C57" s="744"/>
      <c r="D57" s="744"/>
      <c r="E57" s="744"/>
      <c r="F57" s="744"/>
      <c r="G57" s="427" t="s">
        <v>455</v>
      </c>
      <c r="H57" s="395"/>
      <c r="I57" s="395" t="str">
        <f>IF(Sheet1!AA1&lt;&gt;1,"",IF(OR(Sheet1!$I$10=5,Sheet1!$I$10=6),"",'Pago x mil'!$E$21))</f>
        <v/>
      </c>
      <c r="J57" s="395">
        <f>'Pago x mil'!$F$21</f>
        <v>10421.884210717653</v>
      </c>
      <c r="K57" s="395" t="str">
        <f>IF(Sheet1!$Z$1=8,'Pago x mil'!$G$21,IF(Sheet1!AA1&lt;&gt;1,"",IF(OR(Sheet1!$I$10=5,Sheet1!$I$10=6),"",'Pago x mil'!$G$21)))</f>
        <v/>
      </c>
      <c r="L57" s="395" t="str">
        <f>IF(Sheet1!AA1&lt;&gt;1,"",IF(OR(Sheet1!$I$10=5,Sheet1!$I$10=6),"",'Pago x mil'!$H$21))</f>
        <v/>
      </c>
      <c r="M57" s="395" t="str">
        <f>IF(Sheet1!AA1&lt;&gt;1,"",IF(OR(Sheet1!$I$10=5,Sheet1!$I$10=6),"",'Pago x mil'!$I$21))</f>
        <v/>
      </c>
      <c r="N57" s="279"/>
      <c r="O57" s="279"/>
      <c r="P57" s="282"/>
      <c r="Q57" s="282"/>
    </row>
    <row r="58" spans="2:17" s="281" customFormat="1" ht="14" x14ac:dyDescent="0.3">
      <c r="B58" s="744"/>
      <c r="C58" s="744"/>
      <c r="D58" s="744"/>
      <c r="E58" s="744"/>
      <c r="F58" s="744"/>
      <c r="G58" s="429" t="s">
        <v>125</v>
      </c>
      <c r="H58" s="394"/>
      <c r="I58" s="394" t="str">
        <f>IF(Sheet1!AA1&lt;&gt;1,"",IF(OR(Sheet1!$I$10=5,Sheet1!$I$10=6),"",'Pago x mil'!$E$22))</f>
        <v/>
      </c>
      <c r="J58" s="394">
        <f>'Pago x mil'!$F$22</f>
        <v>20843.768421435307</v>
      </c>
      <c r="K58" s="394" t="str">
        <f>IF(Sheet1!$Z$1=8,'Pago x mil'!$G$22,IF(Sheet1!AA1&lt;&gt;1,"",IF(OR(Sheet1!$I$10=5,Sheet1!$I$10=6),"",'Pago x mil'!$G$22)))</f>
        <v/>
      </c>
      <c r="L58" s="394" t="str">
        <f>IF(Sheet1!AA1&lt;&gt;1,"",IF(OR(Sheet1!$I$10=5,Sheet1!$I$10=6),"",'Pago x mil'!$H$22))</f>
        <v/>
      </c>
      <c r="M58" s="394" t="str">
        <f>IF(Sheet1!AA1&lt;&gt;1,"",IF(OR(Sheet1!$I$10=5,Sheet1!$I$10=6),"",'Pago x mil'!$I$22))</f>
        <v/>
      </c>
      <c r="N58" s="279"/>
      <c r="O58" s="279"/>
      <c r="P58" s="282"/>
      <c r="Q58" s="282"/>
    </row>
    <row r="59" spans="2:17" s="281" customFormat="1" ht="8.15" customHeight="1" x14ac:dyDescent="0.25">
      <c r="F59" s="286"/>
      <c r="G59" s="287"/>
      <c r="H59" s="287"/>
      <c r="I59" s="287"/>
      <c r="J59" s="287"/>
      <c r="K59" s="287"/>
      <c r="L59" s="287"/>
      <c r="M59" s="287"/>
      <c r="N59" s="287"/>
    </row>
    <row r="60" spans="2:17" ht="13" x14ac:dyDescent="0.3">
      <c r="B60" s="725" t="s">
        <v>523</v>
      </c>
      <c r="C60" s="726"/>
      <c r="D60" s="726"/>
      <c r="E60" s="726"/>
      <c r="F60" s="726"/>
      <c r="G60" s="726"/>
      <c r="H60" s="726"/>
      <c r="I60" s="726"/>
      <c r="J60" s="726"/>
      <c r="K60" s="726"/>
      <c r="L60" s="726"/>
      <c r="M60" s="726"/>
      <c r="N60" s="726"/>
      <c r="O60" s="726"/>
      <c r="P60" s="726"/>
    </row>
    <row r="61" spans="2:17" ht="8.15" customHeight="1" x14ac:dyDescent="0.25">
      <c r="F61" s="288"/>
      <c r="N61" s="264"/>
    </row>
    <row r="62" spans="2:17" ht="14" x14ac:dyDescent="0.25">
      <c r="B62" s="754" t="s">
        <v>414</v>
      </c>
      <c r="C62" s="754"/>
      <c r="D62" s="754"/>
      <c r="E62" s="754"/>
      <c r="F62" s="554">
        <v>0.11</v>
      </c>
      <c r="G62" s="398" t="s">
        <v>17</v>
      </c>
      <c r="H62" s="760"/>
      <c r="I62" s="760"/>
      <c r="J62" s="467">
        <v>0</v>
      </c>
      <c r="K62" s="445"/>
      <c r="L62" s="740" t="s">
        <v>413</v>
      </c>
      <c r="M62" s="741"/>
      <c r="N62" s="758" t="s">
        <v>308</v>
      </c>
      <c r="O62" s="759"/>
      <c r="P62" s="399"/>
      <c r="Q62" s="278"/>
    </row>
    <row r="63" spans="2:17" ht="14" x14ac:dyDescent="0.3">
      <c r="B63" s="400"/>
      <c r="C63" s="400"/>
      <c r="D63" s="400"/>
      <c r="E63" s="400"/>
      <c r="F63" s="400"/>
      <c r="G63" s="400"/>
      <c r="H63" s="753"/>
      <c r="I63" s="753"/>
      <c r="J63" s="446"/>
      <c r="K63" s="445"/>
      <c r="L63" s="755" t="s">
        <v>22</v>
      </c>
      <c r="M63" s="755"/>
      <c r="N63" s="401">
        <f ca="1">IF($F$9='Tabla Parámetros'!$J$7,SUM(Simulador!S392:S631),IF($F$9='Tabla Parámetros'!$J$9,SUM(Simulador!S392:S631),IF($F$9='Tabla Parámetros'!J8,SUM(Simulador!S392:S631),SUM(R67:R366))))</f>
        <v>240</v>
      </c>
      <c r="O63" s="402" t="s">
        <v>332</v>
      </c>
      <c r="P63" s="400"/>
    </row>
    <row r="64" spans="2:17" ht="14" x14ac:dyDescent="0.3">
      <c r="B64" s="755" t="s">
        <v>139</v>
      </c>
      <c r="C64" s="755"/>
      <c r="D64" s="403">
        <f>IF(F11='Tabla Parámetros'!G45,'Tabla Parámetros'!G50,IF(Simulador!F11='Tabla Parámetros'!G67,'Tabla Parámetros'!G72,IF(Simulador!F11='Tabla Parámetros'!B52,'Tabla Parámetros'!G62,IF(Simulador!F11='Tabla Parámetros'!B53,'Tabla Parámetros'!G62,))))</f>
        <v>0.11734144041403516</v>
      </c>
      <c r="E64" s="756" t="s">
        <v>724</v>
      </c>
      <c r="F64" s="756"/>
      <c r="G64" s="404"/>
      <c r="I64" s="584" t="str">
        <f>IF(Sheet1!$Z$1=3,"Monto de cada bonificación:","")</f>
        <v/>
      </c>
      <c r="J64" s="585" t="str">
        <f>IF(I64="","",'Tabla Fijos'!$P$9)</f>
        <v/>
      </c>
      <c r="K64" s="400"/>
      <c r="L64" s="404"/>
      <c r="M64" s="400"/>
      <c r="N64" s="400"/>
      <c r="O64" s="400"/>
      <c r="P64" s="400"/>
    </row>
    <row r="65" spans="1:18" ht="8.15" customHeight="1" x14ac:dyDescent="0.3">
      <c r="B65" s="400"/>
      <c r="C65" s="400"/>
      <c r="D65" s="400"/>
      <c r="E65" s="400"/>
      <c r="F65" s="400"/>
      <c r="G65" s="400"/>
      <c r="H65" s="405"/>
      <c r="I65" s="405"/>
      <c r="J65" s="400"/>
      <c r="K65" s="400"/>
      <c r="L65" s="406"/>
      <c r="M65" s="406"/>
      <c r="N65" s="400"/>
      <c r="O65" s="400"/>
      <c r="P65" s="400"/>
    </row>
    <row r="66" spans="1:18" ht="48.75" customHeight="1" x14ac:dyDescent="0.25">
      <c r="B66" s="262" t="s">
        <v>398</v>
      </c>
      <c r="C66" s="262" t="s">
        <v>19</v>
      </c>
      <c r="D66" s="262" t="s">
        <v>29</v>
      </c>
      <c r="E66" s="262" t="s">
        <v>725</v>
      </c>
      <c r="F66" s="262" t="s">
        <v>727</v>
      </c>
      <c r="G66" s="262" t="s">
        <v>31</v>
      </c>
      <c r="H66" s="262" t="s">
        <v>37</v>
      </c>
      <c r="I66" s="262" t="str">
        <f>IF($F$9="Liquidez",'Tabla Fijos'!$I$10,IF($F$9="Terreno_Urbanizado",'Tabla Fijos'!$I$10,IF($J$9="SI",'Tabla Fijos'!$I$10,IF($J$11="SI",'Tabla Fijos'!$I$10,""))))</f>
        <v/>
      </c>
      <c r="J66" s="262" t="s">
        <v>20</v>
      </c>
      <c r="K66" s="262" t="s">
        <v>32</v>
      </c>
      <c r="L66" s="262" t="s">
        <v>726</v>
      </c>
      <c r="M66" s="262" t="str">
        <f>IF(OR($N$7='Tabla Parámetros'!$C$31,$N$7='Tabla Parámetros'!$C$34),'Tabla Fijos'!$N$10,"")</f>
        <v/>
      </c>
      <c r="N66" s="263" t="s">
        <v>415</v>
      </c>
      <c r="O66" s="263" t="str">
        <f>IF(Sheet1!$AD$13=0,"",'Tabla Fijos'!$Q$10)</f>
        <v/>
      </c>
      <c r="P66" s="262" t="s">
        <v>35</v>
      </c>
      <c r="Q66" s="262" t="s">
        <v>728</v>
      </c>
      <c r="R66" s="289"/>
    </row>
    <row r="67" spans="1:18" ht="15.5" x14ac:dyDescent="0.35">
      <c r="A67" s="272"/>
      <c r="B67" s="360">
        <v>1</v>
      </c>
      <c r="C67" s="361">
        <f ca="1">IF($B67="","",'Fecha Pago'!K4)</f>
        <v>46176</v>
      </c>
      <c r="D67" s="362">
        <f ca="1">IF($B$67="","",'Fecha Pago'!L4)</f>
        <v>9</v>
      </c>
      <c r="E67" s="363">
        <f>IF(B67="","",IF(Sheet1!$Z$1=2,'Tabla de Pagos Crecientes'!E7,$F$62))</f>
        <v>0.11</v>
      </c>
      <c r="F67" s="362">
        <f>IF($B67="","",IF(Sheet1!$Z$1=2,'Tabla de Pagos Crecientes'!F7,'Tabla Fijos'!F12))</f>
        <v>1000000</v>
      </c>
      <c r="G67" s="362">
        <f ca="1">IF($B67="","",IF(Sheet1!$Z$1=2,'Tabla de Pagos Crecientes'!G7,'Tabla Fijos'!G12))</f>
        <v>1132.9953218287653</v>
      </c>
      <c r="H67" s="362">
        <f ca="1">IF($B67="","",IF(Sheet1!$Z$1=2,'Tabla de Pagos Crecientes'!H7,'Tabla Fijos'!H12))</f>
        <v>2750</v>
      </c>
      <c r="I67" s="362">
        <f>IF($B67=0,0,IF(B67="","",VLOOKUP($B67,'Tabla Fijos'!$B$12:$S$311,8,0)))</f>
        <v>0</v>
      </c>
      <c r="J67" s="362">
        <f ca="1">IF($B67="","",IF(Sheet1!$Z$1=2,'Tabla de Pagos Crecientes'!J7,'Tabla Fijos'!K12))</f>
        <v>0</v>
      </c>
      <c r="K67" s="362">
        <f ca="1">IF($B67="","",IF(Sheet1!$Z$1=2,'Tabla de Pagos Crecientes'!K7,'Tabla Fijos'!L12))</f>
        <v>0</v>
      </c>
      <c r="L67" s="362">
        <f>IF($B67="","",IF(Sheet1!$Z$1=2,'Tabla de Pagos Crecientes'!L7,'Tabla Fijos'!M12))</f>
        <v>0</v>
      </c>
      <c r="M67" s="362">
        <f>IF($B67="","",IF(Sheet1!$Z$1=2,'Tabla de Pagos Crecientes'!M7,'Tabla Fijos'!N12))</f>
        <v>0</v>
      </c>
      <c r="N67" s="364"/>
      <c r="O67" s="362">
        <f>IF($B67="","",IF(Sheet1!$Z$1=2,'Tabla de Pagos Crecientes'!O7,'Tabla Fijos'!Q12))</f>
        <v>0</v>
      </c>
      <c r="P67" s="362">
        <f ca="1">IF(B67="","",G67+H67+I67+J67+K67+L67-M67-'Tabla Fijos'!P12)</f>
        <v>3882.9953218287656</v>
      </c>
      <c r="Q67" s="362">
        <f t="shared" ref="Q67:Q130" ca="1" si="0">IF(B67="","",F67-G67)</f>
        <v>998867.00467817124</v>
      </c>
      <c r="R67" s="272">
        <f>IF(OR($B67="",$F67&lt;=0),0,1)</f>
        <v>1</v>
      </c>
    </row>
    <row r="68" spans="1:18" ht="15.5" x14ac:dyDescent="0.35">
      <c r="A68" s="272"/>
      <c r="B68" s="360">
        <f>IF(B67="","",IF(B67=$H$49,"",B67+1))</f>
        <v>2</v>
      </c>
      <c r="C68" s="361">
        <f ca="1">IF($B68="","",'Fecha Pago'!K5)</f>
        <v>46206</v>
      </c>
      <c r="D68" s="362">
        <f>IF($B$67="","",'Fecha Pago'!L5)</f>
        <v>30.4</v>
      </c>
      <c r="E68" s="363">
        <f>IF(B68="","",IF(Sheet1!$Z$1=2,'Tabla de Pagos Crecientes'!E8,$F$62))</f>
        <v>0.11</v>
      </c>
      <c r="F68" s="362">
        <f ca="1">IF($B68="","",IF(Sheet1!$Z$1=2,'Tabla de Pagos Crecientes'!F8,'Tabla Fijos'!F13))</f>
        <v>998867.00467817124</v>
      </c>
      <c r="G68" s="362">
        <f ca="1">IF($B68="","",IF(Sheet1!$Z$1=2,'Tabla de Pagos Crecientes'!G8,'Tabla Fijos'!G13))</f>
        <v>1143.5195894848639</v>
      </c>
      <c r="H68" s="362">
        <f ca="1">IF($B68="","",IF(Sheet1!$Z$1=2,'Tabla de Pagos Crecientes'!H8,'Tabla Fijos'!H13))</f>
        <v>9278.3646212327894</v>
      </c>
      <c r="I68" s="362">
        <f>IF($B68=0,0,IF(B68="","",VLOOKUP($B68,'Tabla Fijos'!$B$12:$S$311,8,0)))</f>
        <v>0</v>
      </c>
      <c r="J68" s="362">
        <f ca="1">IF($B68="","",IF(Sheet1!$Z$1=2,'Tabla de Pagos Crecientes'!J8,'Tabla Fijos'!K13))</f>
        <v>0</v>
      </c>
      <c r="K68" s="362">
        <f ca="1">IF($B68="","",IF(Sheet1!$Z$1=2,'Tabla de Pagos Crecientes'!K8,'Tabla Fijos'!L13))</f>
        <v>0</v>
      </c>
      <c r="L68" s="362">
        <f ca="1">IF($B68="","",IF(Sheet1!$Z$1=2,'Tabla de Pagos Crecientes'!L8,'Tabla Fijos'!M13))</f>
        <v>0</v>
      </c>
      <c r="M68" s="362">
        <f ca="1">IF($B68="","",IF(Sheet1!$Z$1=2,'Tabla de Pagos Crecientes'!M8,'Tabla Fijos'!N13))</f>
        <v>0</v>
      </c>
      <c r="N68" s="364"/>
      <c r="O68" s="362">
        <f>IF($B68="","",IF(Sheet1!$Z$1=2,'Tabla de Pagos Crecientes'!O8,'Tabla Fijos'!Q13))</f>
        <v>0</v>
      </c>
      <c r="P68" s="362">
        <f ca="1">IF(B68="","",G68+H68+I68+J68+K68+L68-M68-'Tabla Fijos'!P13)</f>
        <v>10421.884210717653</v>
      </c>
      <c r="Q68" s="362">
        <f t="shared" ca="1" si="0"/>
        <v>997723.48508868634</v>
      </c>
      <c r="R68" s="272">
        <f t="shared" ref="R68:R131" ca="1" si="1">IF(OR($B68="",$F68&lt;=0),0,1)</f>
        <v>1</v>
      </c>
    </row>
    <row r="69" spans="1:18" ht="15.5" x14ac:dyDescent="0.35">
      <c r="A69" s="272"/>
      <c r="B69" s="360">
        <f t="shared" ref="B69:B132" si="2">IF(B68="","",IF(B68=$H$49,"",B68+1))</f>
        <v>3</v>
      </c>
      <c r="C69" s="361">
        <f ca="1">IF($B69="","",'Fecha Pago'!K6)</f>
        <v>46237</v>
      </c>
      <c r="D69" s="362">
        <f>IF($B$67="","",'Fecha Pago'!L6)</f>
        <v>30.4</v>
      </c>
      <c r="E69" s="363">
        <f>IF(B69="","",IF(Sheet1!$Z$1=2,'Tabla de Pagos Crecientes'!E9,$F$62))</f>
        <v>0.11</v>
      </c>
      <c r="F69" s="362">
        <f ca="1">IF($B69="","",IF(Sheet1!$Z$1=2,'Tabla de Pagos Crecientes'!F9,'Tabla Fijos'!F14))</f>
        <v>997723.48508868634</v>
      </c>
      <c r="G69" s="362">
        <f ca="1">IF($B69="","",IF(Sheet1!$Z$1=2,'Tabla de Pagos Crecientes'!G9,'Tabla Fijos'!G14))</f>
        <v>1154.1416158938555</v>
      </c>
      <c r="H69" s="362">
        <f ca="1">IF($B69="","",IF(Sheet1!$Z$1=2,'Tabla de Pagos Crecientes'!H9,'Tabla Fijos'!H14))</f>
        <v>9267.742594823796</v>
      </c>
      <c r="I69" s="362">
        <f>IF($B69=0,0,IF(B69="","",VLOOKUP($B69,'Tabla Fijos'!$B$12:$S$311,8,0)))</f>
        <v>0</v>
      </c>
      <c r="J69" s="362">
        <f ca="1">IF($B69="","",IF(Sheet1!$Z$1=2,'Tabla de Pagos Crecientes'!J9,'Tabla Fijos'!K14))</f>
        <v>0</v>
      </c>
      <c r="K69" s="362">
        <f ca="1">IF($B69="","",IF(Sheet1!$Z$1=2,'Tabla de Pagos Crecientes'!K9,'Tabla Fijos'!L14))</f>
        <v>0</v>
      </c>
      <c r="L69" s="362">
        <f ca="1">IF($B69="","",IF(Sheet1!$Z$1=2,'Tabla de Pagos Crecientes'!L9,'Tabla Fijos'!M14))</f>
        <v>0</v>
      </c>
      <c r="M69" s="362">
        <f ca="1">IF($B69="","",IF(Sheet1!$Z$1=2,'Tabla de Pagos Crecientes'!M9,'Tabla Fijos'!N14))</f>
        <v>0</v>
      </c>
      <c r="N69" s="364"/>
      <c r="O69" s="362">
        <f>IF($B69="","",IF(Sheet1!$Z$1=2,'Tabla de Pagos Crecientes'!O9,'Tabla Fijos'!Q14))</f>
        <v>0</v>
      </c>
      <c r="P69" s="362">
        <f ca="1">IF(B69="","",G69+H69+I69+J69+K69+L69-M69-'Tabla Fijos'!P14)</f>
        <v>10421.884210717652</v>
      </c>
      <c r="Q69" s="362">
        <f t="shared" ca="1" si="0"/>
        <v>996569.34347279253</v>
      </c>
      <c r="R69" s="272">
        <f t="shared" ca="1" si="1"/>
        <v>1</v>
      </c>
    </row>
    <row r="70" spans="1:18" ht="15.5" x14ac:dyDescent="0.35">
      <c r="A70" s="272"/>
      <c r="B70" s="360">
        <f t="shared" si="2"/>
        <v>4</v>
      </c>
      <c r="C70" s="361">
        <f ca="1">IF($B70="","",'Fecha Pago'!K7)</f>
        <v>46268</v>
      </c>
      <c r="D70" s="362">
        <f>IF($B$67="","",'Fecha Pago'!L7)</f>
        <v>30.4</v>
      </c>
      <c r="E70" s="363">
        <f>IF(B70="","",IF(Sheet1!$Z$1=2,'Tabla de Pagos Crecientes'!E10,$F$62))</f>
        <v>0.11</v>
      </c>
      <c r="F70" s="362">
        <f ca="1">IF($B70="","",IF(Sheet1!$Z$1=2,'Tabla de Pagos Crecientes'!F10,'Tabla Fijos'!F15))</f>
        <v>996569.34347279253</v>
      </c>
      <c r="G70" s="362">
        <f ca="1">IF($B70="","",IF(Sheet1!$Z$1=2,'Tabla de Pagos Crecientes'!G10,'Tabla Fijos'!G15))</f>
        <v>1164.862309125936</v>
      </c>
      <c r="H70" s="362">
        <f ca="1">IF($B70="","",IF(Sheet1!$Z$1=2,'Tabla de Pagos Crecientes'!H10,'Tabla Fijos'!H15))</f>
        <v>9257.0219015917173</v>
      </c>
      <c r="I70" s="362">
        <f>IF($B70=0,0,IF(B70="","",VLOOKUP($B70,'Tabla Fijos'!$B$12:$S$311,8,0)))</f>
        <v>0</v>
      </c>
      <c r="J70" s="362">
        <f ca="1">IF($B70="","",IF(Sheet1!$Z$1=2,'Tabla de Pagos Crecientes'!J10,'Tabla Fijos'!K15))</f>
        <v>0</v>
      </c>
      <c r="K70" s="362">
        <f ca="1">IF($B70="","",IF(Sheet1!$Z$1=2,'Tabla de Pagos Crecientes'!K10,'Tabla Fijos'!L15))</f>
        <v>0</v>
      </c>
      <c r="L70" s="362">
        <f ca="1">IF($B70="","",IF(Sheet1!$Z$1=2,'Tabla de Pagos Crecientes'!L10,'Tabla Fijos'!M15))</f>
        <v>0</v>
      </c>
      <c r="M70" s="362">
        <f ca="1">IF($B70="","",IF(Sheet1!$Z$1=2,'Tabla de Pagos Crecientes'!M10,'Tabla Fijos'!N15))</f>
        <v>0</v>
      </c>
      <c r="N70" s="364"/>
      <c r="O70" s="362">
        <f>IF($B70="","",IF(Sheet1!$Z$1=2,'Tabla de Pagos Crecientes'!O10,'Tabla Fijos'!Q15))</f>
        <v>0</v>
      </c>
      <c r="P70" s="362">
        <f ca="1">IF(B70="","",G70+H70+I70+J70+K70+L70-M70-'Tabla Fijos'!P15)</f>
        <v>10421.884210717653</v>
      </c>
      <c r="Q70" s="362">
        <f t="shared" ca="1" si="0"/>
        <v>995404.48116366658</v>
      </c>
      <c r="R70" s="272">
        <f t="shared" ca="1" si="1"/>
        <v>1</v>
      </c>
    </row>
    <row r="71" spans="1:18" ht="15.5" x14ac:dyDescent="0.35">
      <c r="A71" s="272"/>
      <c r="B71" s="360">
        <f t="shared" si="2"/>
        <v>5</v>
      </c>
      <c r="C71" s="361">
        <f ca="1">IF($B71="","",'Fecha Pago'!K8)</f>
        <v>46298</v>
      </c>
      <c r="D71" s="362">
        <f>IF($B$67="","",'Fecha Pago'!L8)</f>
        <v>30.4</v>
      </c>
      <c r="E71" s="363">
        <f>IF(B71="","",IF(Sheet1!$Z$1=2,'Tabla de Pagos Crecientes'!E11,$F$62))</f>
        <v>0.11</v>
      </c>
      <c r="F71" s="362">
        <f ca="1">IF($B71="","",IF(Sheet1!$Z$1=2,'Tabla de Pagos Crecientes'!F11,'Tabla Fijos'!F16))</f>
        <v>995404.48116366658</v>
      </c>
      <c r="G71" s="362">
        <f ca="1">IF($B71="","",IF(Sheet1!$Z$1=2,'Tabla de Pagos Crecientes'!G11,'Tabla Fijos'!G16))</f>
        <v>1175.6825856862615</v>
      </c>
      <c r="H71" s="362">
        <f ca="1">IF($B71="","",IF(Sheet1!$Z$1=2,'Tabla de Pagos Crecientes'!H11,'Tabla Fijos'!H16))</f>
        <v>9246.2016250313918</v>
      </c>
      <c r="I71" s="362">
        <f>IF($B71=0,0,IF(B71="","",VLOOKUP($B71,'Tabla Fijos'!$B$12:$S$311,8,0)))</f>
        <v>0</v>
      </c>
      <c r="J71" s="362">
        <f ca="1">IF($B71="","",IF(Sheet1!$Z$1=2,'Tabla de Pagos Crecientes'!J11,'Tabla Fijos'!K16))</f>
        <v>0</v>
      </c>
      <c r="K71" s="362">
        <f ca="1">IF($B71="","",IF(Sheet1!$Z$1=2,'Tabla de Pagos Crecientes'!K11,'Tabla Fijos'!L16))</f>
        <v>0</v>
      </c>
      <c r="L71" s="362">
        <f ca="1">IF($B71="","",IF(Sheet1!$Z$1=2,'Tabla de Pagos Crecientes'!L11,'Tabla Fijos'!M16))</f>
        <v>0</v>
      </c>
      <c r="M71" s="362">
        <f ca="1">IF($B71="","",IF(Sheet1!$Z$1=2,'Tabla de Pagos Crecientes'!M11,'Tabla Fijos'!N16))</f>
        <v>0</v>
      </c>
      <c r="N71" s="364"/>
      <c r="O71" s="362">
        <f>IF($B71="","",IF(Sheet1!$Z$1=2,'Tabla de Pagos Crecientes'!O11,'Tabla Fijos'!Q16))</f>
        <v>0</v>
      </c>
      <c r="P71" s="362">
        <f ca="1">IF(B71="","",G71+H71+I71+J71+K71+L71-M71-'Tabla Fijos'!P16)</f>
        <v>10421.884210717653</v>
      </c>
      <c r="Q71" s="362">
        <f t="shared" ca="1" si="0"/>
        <v>994228.79857798037</v>
      </c>
      <c r="R71" s="272">
        <f t="shared" ca="1" si="1"/>
        <v>1</v>
      </c>
    </row>
    <row r="72" spans="1:18" ht="15.5" x14ac:dyDescent="0.35">
      <c r="A72" s="272"/>
      <c r="B72" s="360">
        <f t="shared" si="2"/>
        <v>6</v>
      </c>
      <c r="C72" s="361">
        <f ca="1">IF($B72="","",'Fecha Pago'!K9)</f>
        <v>46329</v>
      </c>
      <c r="D72" s="362">
        <f>IF($B$67="","",'Fecha Pago'!L9)</f>
        <v>30.4</v>
      </c>
      <c r="E72" s="363">
        <f>IF(B72="","",IF(Sheet1!$Z$1=2,'Tabla de Pagos Crecientes'!E12,$F$62))</f>
        <v>0.11</v>
      </c>
      <c r="F72" s="362">
        <f ca="1">IF($B72="","",IF(Sheet1!$Z$1=2,'Tabla de Pagos Crecientes'!F12,'Tabla Fijos'!F17))</f>
        <v>994228.79857798037</v>
      </c>
      <c r="G72" s="362">
        <f ca="1">IF($B72="","",IF(Sheet1!$Z$1=2,'Tabla de Pagos Crecientes'!G12,'Tabla Fijos'!G17))</f>
        <v>1186.6033705933023</v>
      </c>
      <c r="H72" s="362">
        <f ca="1">IF($B72="","",IF(Sheet1!$Z$1=2,'Tabla de Pagos Crecientes'!H12,'Tabla Fijos'!H17))</f>
        <v>9235.280840124351</v>
      </c>
      <c r="I72" s="362">
        <f>IF($B72=0,0,IF(B72="","",VLOOKUP($B72,'Tabla Fijos'!$B$12:$S$311,8,0)))</f>
        <v>0</v>
      </c>
      <c r="J72" s="362">
        <f ca="1">IF($B72="","",IF(Sheet1!$Z$1=2,'Tabla de Pagos Crecientes'!J12,'Tabla Fijos'!K17))</f>
        <v>0</v>
      </c>
      <c r="K72" s="362">
        <f ca="1">IF($B72="","",IF(Sheet1!$Z$1=2,'Tabla de Pagos Crecientes'!K12,'Tabla Fijos'!L17))</f>
        <v>0</v>
      </c>
      <c r="L72" s="362">
        <f ca="1">IF($B72="","",IF(Sheet1!$Z$1=2,'Tabla de Pagos Crecientes'!L12,'Tabla Fijos'!M17))</f>
        <v>0</v>
      </c>
      <c r="M72" s="362">
        <f ca="1">IF($B72="","",IF(Sheet1!$Z$1=2,'Tabla de Pagos Crecientes'!M12,'Tabla Fijos'!N17))</f>
        <v>0</v>
      </c>
      <c r="N72" s="364"/>
      <c r="O72" s="362">
        <f>IF($B72="","",IF(Sheet1!$Z$1=2,'Tabla de Pagos Crecientes'!O12,'Tabla Fijos'!Q17))</f>
        <v>0</v>
      </c>
      <c r="P72" s="362">
        <f ca="1">IF(B72="","",G72+H72+I72+J72+K72+L72-M72-'Tabla Fijos'!P17)</f>
        <v>10421.884210717653</v>
      </c>
      <c r="Q72" s="362">
        <f t="shared" ca="1" si="0"/>
        <v>993042.19520738709</v>
      </c>
      <c r="R72" s="272">
        <f t="shared" ca="1" si="1"/>
        <v>1</v>
      </c>
    </row>
    <row r="73" spans="1:18" ht="15.5" x14ac:dyDescent="0.35">
      <c r="A73" s="272"/>
      <c r="B73" s="360">
        <f t="shared" si="2"/>
        <v>7</v>
      </c>
      <c r="C73" s="361">
        <f ca="1">IF($B73="","",'Fecha Pago'!K10)</f>
        <v>46359</v>
      </c>
      <c r="D73" s="362">
        <f>IF($B$67="","",'Fecha Pago'!L10)</f>
        <v>30.4</v>
      </c>
      <c r="E73" s="363">
        <f>IF(B73="","",IF(Sheet1!$Z$1=2,'Tabla de Pagos Crecientes'!E13,$F$62))</f>
        <v>0.11</v>
      </c>
      <c r="F73" s="362">
        <f ca="1">IF($B73="","",IF(Sheet1!$Z$1=2,'Tabla de Pagos Crecientes'!F13,'Tabla Fijos'!F18))</f>
        <v>993042.19520738709</v>
      </c>
      <c r="G73" s="362">
        <f ca="1">IF($B73="","",IF(Sheet1!$Z$1=2,'Tabla de Pagos Crecientes'!G13,'Tabla Fijos'!G18))</f>
        <v>1197.6255974579253</v>
      </c>
      <c r="H73" s="362">
        <f ca="1">IF($B73="","",IF(Sheet1!$Z$1=2,'Tabla de Pagos Crecientes'!H13,'Tabla Fijos'!H18))</f>
        <v>9224.258613259728</v>
      </c>
      <c r="I73" s="362">
        <f>IF($B73=0,0,IF(B73="","",VLOOKUP($B73,'Tabla Fijos'!$B$12:$S$311,8,0)))</f>
        <v>0</v>
      </c>
      <c r="J73" s="362">
        <f ca="1">IF($B73="","",IF(Sheet1!$Z$1=2,'Tabla de Pagos Crecientes'!J13,'Tabla Fijos'!K18))</f>
        <v>0</v>
      </c>
      <c r="K73" s="362">
        <f ca="1">IF($B73="","",IF(Sheet1!$Z$1=2,'Tabla de Pagos Crecientes'!K13,'Tabla Fijos'!L18))</f>
        <v>0</v>
      </c>
      <c r="L73" s="362">
        <f ca="1">IF($B73="","",IF(Sheet1!$Z$1=2,'Tabla de Pagos Crecientes'!L13,'Tabla Fijos'!M18))</f>
        <v>0</v>
      </c>
      <c r="M73" s="362">
        <f ca="1">IF($B73="","",IF(Sheet1!$Z$1=2,'Tabla de Pagos Crecientes'!M13,'Tabla Fijos'!N18))</f>
        <v>0</v>
      </c>
      <c r="N73" s="364"/>
      <c r="O73" s="362">
        <f>IF($B73="","",IF(Sheet1!$Z$1=2,'Tabla de Pagos Crecientes'!O13,'Tabla Fijos'!Q18))</f>
        <v>0</v>
      </c>
      <c r="P73" s="362">
        <f ca="1">IF(B73="","",G73+H73+I73+J73+K73+L73-M73-'Tabla Fijos'!P18)</f>
        <v>10421.884210717653</v>
      </c>
      <c r="Q73" s="362">
        <f t="shared" ca="1" si="0"/>
        <v>991844.56960992911</v>
      </c>
      <c r="R73" s="272">
        <f t="shared" ca="1" si="1"/>
        <v>1</v>
      </c>
    </row>
    <row r="74" spans="1:18" ht="15.5" x14ac:dyDescent="0.35">
      <c r="A74" s="272"/>
      <c r="B74" s="360">
        <f t="shared" si="2"/>
        <v>8</v>
      </c>
      <c r="C74" s="361">
        <f ca="1">IF($B74="","",'Fecha Pago'!K11)</f>
        <v>46390</v>
      </c>
      <c r="D74" s="362">
        <f>IF($B$67="","",'Fecha Pago'!L11)</f>
        <v>30.4</v>
      </c>
      <c r="E74" s="363">
        <f>IF(B74="","",IF(Sheet1!$Z$1=2,'Tabla de Pagos Crecientes'!E14,$F$62))</f>
        <v>0.11</v>
      </c>
      <c r="F74" s="362">
        <f ca="1">IF($B74="","",IF(Sheet1!$Z$1=2,'Tabla de Pagos Crecientes'!F14,'Tabla Fijos'!F19))</f>
        <v>991844.56960992911</v>
      </c>
      <c r="G74" s="362">
        <f ca="1">IF($B74="","",IF(Sheet1!$Z$1=2,'Tabla de Pagos Crecientes'!G14,'Tabla Fijos'!G19))</f>
        <v>1208.7502085632022</v>
      </c>
      <c r="H74" s="362">
        <f ca="1">IF($B74="","",IF(Sheet1!$Z$1=2,'Tabla de Pagos Crecientes'!H14,'Tabla Fijos'!H19))</f>
        <v>9213.1340021544511</v>
      </c>
      <c r="I74" s="362">
        <f>IF($B74=0,0,IF(B74="","",VLOOKUP($B74,'Tabla Fijos'!$B$12:$S$311,8,0)))</f>
        <v>0</v>
      </c>
      <c r="J74" s="362">
        <f ca="1">IF($B74="","",IF(Sheet1!$Z$1=2,'Tabla de Pagos Crecientes'!J14,'Tabla Fijos'!K19))</f>
        <v>0</v>
      </c>
      <c r="K74" s="362">
        <f ca="1">IF($B74="","",IF(Sheet1!$Z$1=2,'Tabla de Pagos Crecientes'!K14,'Tabla Fijos'!L19))</f>
        <v>0</v>
      </c>
      <c r="L74" s="362">
        <f ca="1">IF($B74="","",IF(Sheet1!$Z$1=2,'Tabla de Pagos Crecientes'!L14,'Tabla Fijos'!M19))</f>
        <v>0</v>
      </c>
      <c r="M74" s="362">
        <f ca="1">IF($B74="","",IF(Sheet1!$Z$1=2,'Tabla de Pagos Crecientes'!M14,'Tabla Fijos'!N19))</f>
        <v>0</v>
      </c>
      <c r="N74" s="364"/>
      <c r="O74" s="362">
        <f>IF($B74="","",IF(Sheet1!$Z$1=2,'Tabla de Pagos Crecientes'!O14,'Tabla Fijos'!Q19))</f>
        <v>0</v>
      </c>
      <c r="P74" s="362">
        <f ca="1">IF(B74="","",G74+H74+I74+J74+K74+L74-M74-'Tabla Fijos'!P19)</f>
        <v>10421.884210717653</v>
      </c>
      <c r="Q74" s="362">
        <f t="shared" ca="1" si="0"/>
        <v>990635.81940136594</v>
      </c>
      <c r="R74" s="272">
        <f t="shared" ca="1" si="1"/>
        <v>1</v>
      </c>
    </row>
    <row r="75" spans="1:18" ht="15.5" x14ac:dyDescent="0.35">
      <c r="A75" s="272"/>
      <c r="B75" s="360">
        <f t="shared" si="2"/>
        <v>9</v>
      </c>
      <c r="C75" s="361">
        <f ca="1">IF($B75="","",'Fecha Pago'!K12)</f>
        <v>46421</v>
      </c>
      <c r="D75" s="362">
        <f>IF($B$67="","",'Fecha Pago'!L12)</f>
        <v>30.4</v>
      </c>
      <c r="E75" s="363">
        <f>IF(B75="","",IF(Sheet1!$Z$1=2,'Tabla de Pagos Crecientes'!E15,$F$62))</f>
        <v>0.11</v>
      </c>
      <c r="F75" s="362">
        <f ca="1">IF($B75="","",IF(Sheet1!$Z$1=2,'Tabla de Pagos Crecientes'!F15,'Tabla Fijos'!F20))</f>
        <v>990635.81940136594</v>
      </c>
      <c r="G75" s="362">
        <f ca="1">IF($B75="","",IF(Sheet1!$Z$1=2,'Tabla de Pagos Crecientes'!G15,'Tabla Fijos'!G20))</f>
        <v>1219.9781549449654</v>
      </c>
      <c r="H75" s="362">
        <f ca="1">IF($B75="","",IF(Sheet1!$Z$1=2,'Tabla de Pagos Crecientes'!H15,'Tabla Fijos'!H20))</f>
        <v>9201.906055772688</v>
      </c>
      <c r="I75" s="362">
        <f>IF($B75=0,0,IF(B75="","",VLOOKUP($B75,'Tabla Fijos'!$B$12:$S$311,8,0)))</f>
        <v>0</v>
      </c>
      <c r="J75" s="362">
        <f ca="1">IF($B75="","",IF(Sheet1!$Z$1=2,'Tabla de Pagos Crecientes'!J15,'Tabla Fijos'!K20))</f>
        <v>0</v>
      </c>
      <c r="K75" s="362">
        <f ca="1">IF($B75="","",IF(Sheet1!$Z$1=2,'Tabla de Pagos Crecientes'!K15,'Tabla Fijos'!L20))</f>
        <v>0</v>
      </c>
      <c r="L75" s="362">
        <f ca="1">IF($B75="","",IF(Sheet1!$Z$1=2,'Tabla de Pagos Crecientes'!L15,'Tabla Fijos'!M20))</f>
        <v>0</v>
      </c>
      <c r="M75" s="362">
        <f ca="1">IF($B75="","",IF(Sheet1!$Z$1=2,'Tabla de Pagos Crecientes'!M15,'Tabla Fijos'!N20))</f>
        <v>0</v>
      </c>
      <c r="N75" s="364"/>
      <c r="O75" s="362">
        <f>IF($B75="","",IF(Sheet1!$Z$1=2,'Tabla de Pagos Crecientes'!O15,'Tabla Fijos'!Q20))</f>
        <v>0</v>
      </c>
      <c r="P75" s="362">
        <f ca="1">IF(B75="","",G75+H75+I75+J75+K75+L75-M75-'Tabla Fijos'!P20)</f>
        <v>10421.884210717653</v>
      </c>
      <c r="Q75" s="362">
        <f t="shared" ca="1" si="0"/>
        <v>989415.84124642098</v>
      </c>
      <c r="R75" s="272">
        <f t="shared" ca="1" si="1"/>
        <v>1</v>
      </c>
    </row>
    <row r="76" spans="1:18" ht="15.5" x14ac:dyDescent="0.35">
      <c r="A76" s="272"/>
      <c r="B76" s="360">
        <f t="shared" si="2"/>
        <v>10</v>
      </c>
      <c r="C76" s="361">
        <f ca="1">IF($B76="","",'Fecha Pago'!K13)</f>
        <v>46449</v>
      </c>
      <c r="D76" s="362">
        <f>IF($B$67="","",'Fecha Pago'!L13)</f>
        <v>30.4</v>
      </c>
      <c r="E76" s="363">
        <f>IF(B76="","",IF(Sheet1!$Z$1=2,'Tabla de Pagos Crecientes'!E16,$F$62))</f>
        <v>0.11</v>
      </c>
      <c r="F76" s="362">
        <f ca="1">IF($B76="","",IF(Sheet1!$Z$1=2,'Tabla de Pagos Crecientes'!F16,'Tabla Fijos'!F21))</f>
        <v>989415.84124642098</v>
      </c>
      <c r="G76" s="362">
        <f ca="1">IF($B76="","",IF(Sheet1!$Z$1=2,'Tabla de Pagos Crecientes'!G16,'Tabla Fijos'!G21))</f>
        <v>1231.3103964731217</v>
      </c>
      <c r="H76" s="362">
        <f ca="1">IF($B76="","",IF(Sheet1!$Z$1=2,'Tabla de Pagos Crecientes'!H16,'Tabla Fijos'!H21))</f>
        <v>9190.5738142445316</v>
      </c>
      <c r="I76" s="362">
        <f>IF($B76=0,0,IF(B76="","",VLOOKUP($B76,'Tabla Fijos'!$B$12:$S$311,8,0)))</f>
        <v>0</v>
      </c>
      <c r="J76" s="362">
        <f ca="1">IF($B76="","",IF(Sheet1!$Z$1=2,'Tabla de Pagos Crecientes'!J16,'Tabla Fijos'!K21))</f>
        <v>0</v>
      </c>
      <c r="K76" s="362">
        <f ca="1">IF($B76="","",IF(Sheet1!$Z$1=2,'Tabla de Pagos Crecientes'!K16,'Tabla Fijos'!L21))</f>
        <v>0</v>
      </c>
      <c r="L76" s="362">
        <f ca="1">IF($B76="","",IF(Sheet1!$Z$1=2,'Tabla de Pagos Crecientes'!L16,'Tabla Fijos'!M21))</f>
        <v>0</v>
      </c>
      <c r="M76" s="362">
        <f ca="1">IF($B76="","",IF(Sheet1!$Z$1=2,'Tabla de Pagos Crecientes'!M16,'Tabla Fijos'!N21))</f>
        <v>0</v>
      </c>
      <c r="N76" s="364"/>
      <c r="O76" s="362">
        <f>IF($B76="","",IF(Sheet1!$Z$1=2,'Tabla de Pagos Crecientes'!O16,'Tabla Fijos'!Q21))</f>
        <v>0</v>
      </c>
      <c r="P76" s="362">
        <f ca="1">IF(B76="","",G76+H76+I76+J76+K76+L76-M76-'Tabla Fijos'!P21)</f>
        <v>10421.884210717653</v>
      </c>
      <c r="Q76" s="362">
        <f t="shared" ca="1" si="0"/>
        <v>988184.53084994783</v>
      </c>
      <c r="R76" s="272">
        <f t="shared" ca="1" si="1"/>
        <v>1</v>
      </c>
    </row>
    <row r="77" spans="1:18" ht="15.5" x14ac:dyDescent="0.35">
      <c r="A77" s="272"/>
      <c r="B77" s="360">
        <f t="shared" si="2"/>
        <v>11</v>
      </c>
      <c r="C77" s="361">
        <f ca="1">IF($B77="","",'Fecha Pago'!K14)</f>
        <v>46480</v>
      </c>
      <c r="D77" s="362">
        <f>IF($B$67="","",'Fecha Pago'!L14)</f>
        <v>30.4</v>
      </c>
      <c r="E77" s="363">
        <f>IF(B77="","",IF(Sheet1!$Z$1=2,'Tabla de Pagos Crecientes'!E17,$F$62))</f>
        <v>0.11</v>
      </c>
      <c r="F77" s="362">
        <f ca="1">IF($B77="","",IF(Sheet1!$Z$1=2,'Tabla de Pagos Crecientes'!F17,'Tabla Fijos'!F22))</f>
        <v>988184.53084994783</v>
      </c>
      <c r="G77" s="362">
        <f ca="1">IF($B77="","",IF(Sheet1!$Z$1=2,'Tabla de Pagos Crecientes'!G17,'Tabla Fijos'!G22))</f>
        <v>1242.7479019336934</v>
      </c>
      <c r="H77" s="362">
        <f ca="1">IF($B77="","",IF(Sheet1!$Z$1=2,'Tabla de Pagos Crecientes'!H17,'Tabla Fijos'!H22))</f>
        <v>9179.13630878396</v>
      </c>
      <c r="I77" s="362">
        <f>IF($B77=0,0,IF(B77="","",VLOOKUP($B77,'Tabla Fijos'!$B$12:$S$311,8,0)))</f>
        <v>0</v>
      </c>
      <c r="J77" s="362">
        <f ca="1">IF($B77="","",IF(Sheet1!$Z$1=2,'Tabla de Pagos Crecientes'!J17,'Tabla Fijos'!K22))</f>
        <v>0</v>
      </c>
      <c r="K77" s="362">
        <f ca="1">IF($B77="","",IF(Sheet1!$Z$1=2,'Tabla de Pagos Crecientes'!K17,'Tabla Fijos'!L22))</f>
        <v>0</v>
      </c>
      <c r="L77" s="362">
        <f ca="1">IF($B77="","",IF(Sheet1!$Z$1=2,'Tabla de Pagos Crecientes'!L17,'Tabla Fijos'!M22))</f>
        <v>0</v>
      </c>
      <c r="M77" s="362">
        <f ca="1">IF($B77="","",IF(Sheet1!$Z$1=2,'Tabla de Pagos Crecientes'!M17,'Tabla Fijos'!N22))</f>
        <v>0</v>
      </c>
      <c r="N77" s="364"/>
      <c r="O77" s="362">
        <f>IF($B77="","",IF(Sheet1!$Z$1=2,'Tabla de Pagos Crecientes'!O17,'Tabla Fijos'!Q22))</f>
        <v>0</v>
      </c>
      <c r="P77" s="362">
        <f ca="1">IF(B77="","",G77+H77+I77+J77+K77+L77-M77-'Tabla Fijos'!P22)</f>
        <v>10421.884210717653</v>
      </c>
      <c r="Q77" s="362">
        <f t="shared" ca="1" si="0"/>
        <v>986941.78294801409</v>
      </c>
      <c r="R77" s="272">
        <f t="shared" ca="1" si="1"/>
        <v>1</v>
      </c>
    </row>
    <row r="78" spans="1:18" ht="15.5" x14ac:dyDescent="0.35">
      <c r="A78" s="272"/>
      <c r="B78" s="360">
        <f t="shared" si="2"/>
        <v>12</v>
      </c>
      <c r="C78" s="361">
        <f ca="1">IF($B78="","",'Fecha Pago'!K15)</f>
        <v>46510</v>
      </c>
      <c r="D78" s="362">
        <f>IF($B$67="","",'Fecha Pago'!L15)</f>
        <v>30.4</v>
      </c>
      <c r="E78" s="363">
        <f>IF(B78="","",IF(Sheet1!$Z$1=2,'Tabla de Pagos Crecientes'!E18,$F$62))</f>
        <v>0.11</v>
      </c>
      <c r="F78" s="362">
        <f ca="1">IF($B78="","",IF(Sheet1!$Z$1=2,'Tabla de Pagos Crecientes'!F18,'Tabla Fijos'!F23))</f>
        <v>986941.78294801409</v>
      </c>
      <c r="G78" s="362">
        <f ca="1">IF($B78="","",IF(Sheet1!$Z$1=2,'Tabla de Pagos Crecientes'!G18,'Tabla Fijos'!G23))</f>
        <v>1254.2916491116539</v>
      </c>
      <c r="H78" s="362">
        <f ca="1">IF($B78="","",IF(Sheet1!$Z$1=2,'Tabla de Pagos Crecientes'!H18,'Tabla Fijos'!H23))</f>
        <v>9167.5925616059976</v>
      </c>
      <c r="I78" s="362">
        <f>IF($B78=0,0,IF(B78="","",VLOOKUP($B78,'Tabla Fijos'!$B$12:$S$311,8,0)))</f>
        <v>0</v>
      </c>
      <c r="J78" s="362">
        <f ca="1">IF($B78="","",IF(Sheet1!$Z$1=2,'Tabla de Pagos Crecientes'!J18,'Tabla Fijos'!K23))</f>
        <v>0</v>
      </c>
      <c r="K78" s="362">
        <f ca="1">IF($B78="","",IF(Sheet1!$Z$1=2,'Tabla de Pagos Crecientes'!K18,'Tabla Fijos'!L23))</f>
        <v>0</v>
      </c>
      <c r="L78" s="362">
        <f ca="1">IF($B78="","",IF(Sheet1!$Z$1=2,'Tabla de Pagos Crecientes'!L18,'Tabla Fijos'!M23))</f>
        <v>0</v>
      </c>
      <c r="M78" s="362">
        <f ca="1">IF($B78="","",IF(Sheet1!$Z$1=2,'Tabla de Pagos Crecientes'!M18,'Tabla Fijos'!N23))</f>
        <v>0</v>
      </c>
      <c r="N78" s="364"/>
      <c r="O78" s="362">
        <f>IF($B78="","",IF(Sheet1!$Z$1=2,'Tabla de Pagos Crecientes'!O18,'Tabla Fijos'!Q23))</f>
        <v>0</v>
      </c>
      <c r="P78" s="362">
        <f ca="1">IF(B78="","",G78+H78+I78+J78+K78+L78-M78-'Tabla Fijos'!P23)</f>
        <v>10421.884210717652</v>
      </c>
      <c r="Q78" s="362">
        <f t="shared" ca="1" si="0"/>
        <v>985687.49129890243</v>
      </c>
      <c r="R78" s="272">
        <f t="shared" ca="1" si="1"/>
        <v>1</v>
      </c>
    </row>
    <row r="79" spans="1:18" ht="15.5" x14ac:dyDescent="0.35">
      <c r="A79" s="272"/>
      <c r="B79" s="360">
        <f t="shared" si="2"/>
        <v>13</v>
      </c>
      <c r="C79" s="361">
        <f ca="1">IF($B79="","",'Fecha Pago'!K16)</f>
        <v>46541</v>
      </c>
      <c r="D79" s="362">
        <f>IF($B$67="","",'Fecha Pago'!L16)</f>
        <v>30.4</v>
      </c>
      <c r="E79" s="363">
        <f>IF(B79="","",IF(Sheet1!$Z$1=2,'Tabla de Pagos Crecientes'!E19,$F$62))</f>
        <v>0.11</v>
      </c>
      <c r="F79" s="362">
        <f ca="1">IF($B79="","",IF(Sheet1!$Z$1=2,'Tabla de Pagos Crecientes'!F19,'Tabla Fijos'!F24))</f>
        <v>985687.49129890243</v>
      </c>
      <c r="G79" s="362">
        <f ca="1">IF($B79="","",IF(Sheet1!$Z$1=2,'Tabla de Pagos Crecientes'!G19,'Tabla Fijos'!G24))</f>
        <v>1265.9426248745167</v>
      </c>
      <c r="H79" s="362">
        <f ca="1">IF($B79="","",IF(Sheet1!$Z$1=2,'Tabla de Pagos Crecientes'!H19,'Tabla Fijos'!H24))</f>
        <v>9155.9415858431366</v>
      </c>
      <c r="I79" s="362">
        <f>IF($B79=0,0,IF(B79="","",VLOOKUP($B79,'Tabla Fijos'!$B$12:$S$311,8,0)))</f>
        <v>0</v>
      </c>
      <c r="J79" s="362">
        <f ca="1">IF($B79="","",IF(Sheet1!$Z$1=2,'Tabla de Pagos Crecientes'!J19,'Tabla Fijos'!K24))</f>
        <v>0</v>
      </c>
      <c r="K79" s="362">
        <f ca="1">IF($B79="","",IF(Sheet1!$Z$1=2,'Tabla de Pagos Crecientes'!K19,'Tabla Fijos'!L24))</f>
        <v>0</v>
      </c>
      <c r="L79" s="362">
        <f ca="1">IF($B79="","",IF(Sheet1!$Z$1=2,'Tabla de Pagos Crecientes'!L19,'Tabla Fijos'!M24))</f>
        <v>0</v>
      </c>
      <c r="M79" s="362">
        <f ca="1">IF($B79="","",IF(Sheet1!$Z$1=2,'Tabla de Pagos Crecientes'!M19,'Tabla Fijos'!N24))</f>
        <v>0</v>
      </c>
      <c r="N79" s="364"/>
      <c r="O79" s="362">
        <f>IF($B79="","",IF(Sheet1!$Z$1=2,'Tabla de Pagos Crecientes'!O19,'Tabla Fijos'!Q24))</f>
        <v>0</v>
      </c>
      <c r="P79" s="362">
        <f ca="1">IF(B79="","",G79+H79+I79+J79+K79+L79-M79-'Tabla Fijos'!P24)</f>
        <v>10421.884210717653</v>
      </c>
      <c r="Q79" s="362">
        <f t="shared" ca="1" si="0"/>
        <v>984421.5486740279</v>
      </c>
      <c r="R79" s="272">
        <f t="shared" ca="1" si="1"/>
        <v>1</v>
      </c>
    </row>
    <row r="80" spans="1:18" ht="15.5" x14ac:dyDescent="0.35">
      <c r="A80" s="272"/>
      <c r="B80" s="360">
        <f t="shared" si="2"/>
        <v>14</v>
      </c>
      <c r="C80" s="361">
        <f ca="1">IF($B80="","",'Fecha Pago'!K17)</f>
        <v>46571</v>
      </c>
      <c r="D80" s="362">
        <f>IF($B$67="","",'Fecha Pago'!L17)</f>
        <v>30.4</v>
      </c>
      <c r="E80" s="363">
        <f>IF(B80="","",IF(Sheet1!$Z$1=2,'Tabla de Pagos Crecientes'!E20,$F$62))</f>
        <v>0.11</v>
      </c>
      <c r="F80" s="362">
        <f ca="1">IF($B80="","",IF(Sheet1!$Z$1=2,'Tabla de Pagos Crecientes'!F20,'Tabla Fijos'!F25))</f>
        <v>984421.5486740279</v>
      </c>
      <c r="G80" s="362">
        <f ca="1">IF($B80="","",IF(Sheet1!$Z$1=2,'Tabla de Pagos Crecientes'!G20,'Tabla Fijos'!G25))</f>
        <v>1277.7018252566832</v>
      </c>
      <c r="H80" s="362">
        <f ca="1">IF($B80="","",IF(Sheet1!$Z$1=2,'Tabla de Pagos Crecientes'!H20,'Tabla Fijos'!H25))</f>
        <v>9144.1823854609702</v>
      </c>
      <c r="I80" s="362">
        <f>IF($B80=0,0,IF(B80="","",VLOOKUP($B80,'Tabla Fijos'!$B$12:$S$311,8,0)))</f>
        <v>0</v>
      </c>
      <c r="J80" s="362">
        <f ca="1">IF($B80="","",IF(Sheet1!$Z$1=2,'Tabla de Pagos Crecientes'!J20,'Tabla Fijos'!K25))</f>
        <v>0</v>
      </c>
      <c r="K80" s="362">
        <f ca="1">IF($B80="","",IF(Sheet1!$Z$1=2,'Tabla de Pagos Crecientes'!K20,'Tabla Fijos'!L25))</f>
        <v>0</v>
      </c>
      <c r="L80" s="362">
        <f ca="1">IF($B80="","",IF(Sheet1!$Z$1=2,'Tabla de Pagos Crecientes'!L20,'Tabla Fijos'!M25))</f>
        <v>0</v>
      </c>
      <c r="M80" s="362">
        <f ca="1">IF($B80="","",IF(Sheet1!$Z$1=2,'Tabla de Pagos Crecientes'!M20,'Tabla Fijos'!N25))</f>
        <v>0</v>
      </c>
      <c r="N80" s="364"/>
      <c r="O80" s="362">
        <f>IF($B80="","",IF(Sheet1!$Z$1=2,'Tabla de Pagos Crecientes'!O20,'Tabla Fijos'!Q25))</f>
        <v>0</v>
      </c>
      <c r="P80" s="362">
        <f ca="1">IF(B80="","",G80+H80+I80+J80+K80+L80-M80-'Tabla Fijos'!P25)</f>
        <v>10421.884210717653</v>
      </c>
      <c r="Q80" s="362">
        <f t="shared" ca="1" si="0"/>
        <v>983143.84684877121</v>
      </c>
      <c r="R80" s="272">
        <f t="shared" ca="1" si="1"/>
        <v>1</v>
      </c>
    </row>
    <row r="81" spans="1:18" ht="15.5" x14ac:dyDescent="0.35">
      <c r="A81" s="272"/>
      <c r="B81" s="360">
        <f t="shared" si="2"/>
        <v>15</v>
      </c>
      <c r="C81" s="361">
        <f ca="1">IF($B81="","",'Fecha Pago'!K18)</f>
        <v>46602</v>
      </c>
      <c r="D81" s="362">
        <f>IF($B$67="","",'Fecha Pago'!L18)</f>
        <v>30.4</v>
      </c>
      <c r="E81" s="363">
        <f>IF(B81="","",IF(Sheet1!$Z$1=2,'Tabla de Pagos Crecientes'!E21,$F$62))</f>
        <v>0.11</v>
      </c>
      <c r="F81" s="362">
        <f ca="1">IF($B81="","",IF(Sheet1!$Z$1=2,'Tabla de Pagos Crecientes'!F21,'Tabla Fijos'!F26))</f>
        <v>983143.84684877121</v>
      </c>
      <c r="G81" s="362">
        <f ca="1">IF($B81="","",IF(Sheet1!$Z$1=2,'Tabla de Pagos Crecientes'!G21,'Tabla Fijos'!G26))</f>
        <v>1289.5702555446242</v>
      </c>
      <c r="H81" s="362">
        <f ca="1">IF($B81="","",IF(Sheet1!$Z$1=2,'Tabla de Pagos Crecientes'!H21,'Tabla Fijos'!H26))</f>
        <v>9132.3139551730292</v>
      </c>
      <c r="I81" s="362">
        <f>IF($B81=0,0,IF(B81="","",VLOOKUP($B81,'Tabla Fijos'!$B$12:$S$311,8,0)))</f>
        <v>0</v>
      </c>
      <c r="J81" s="362">
        <f ca="1">IF($B81="","",IF(Sheet1!$Z$1=2,'Tabla de Pagos Crecientes'!J21,'Tabla Fijos'!K26))</f>
        <v>0</v>
      </c>
      <c r="K81" s="362">
        <f ca="1">IF($B81="","",IF(Sheet1!$Z$1=2,'Tabla de Pagos Crecientes'!K21,'Tabla Fijos'!L26))</f>
        <v>0</v>
      </c>
      <c r="L81" s="362">
        <f ca="1">IF($B81="","",IF(Sheet1!$Z$1=2,'Tabla de Pagos Crecientes'!L21,'Tabla Fijos'!M26))</f>
        <v>0</v>
      </c>
      <c r="M81" s="362">
        <f ca="1">IF($B81="","",IF(Sheet1!$Z$1=2,'Tabla de Pagos Crecientes'!M21,'Tabla Fijos'!N26))</f>
        <v>0</v>
      </c>
      <c r="N81" s="364"/>
      <c r="O81" s="362">
        <f>IF($B81="","",IF(Sheet1!$Z$1=2,'Tabla de Pagos Crecientes'!O21,'Tabla Fijos'!Q26))</f>
        <v>0</v>
      </c>
      <c r="P81" s="362">
        <f ca="1">IF(B81="","",G81+H81+I81+J81+K81+L81-M81-'Tabla Fijos'!P26)</f>
        <v>10421.884210717653</v>
      </c>
      <c r="Q81" s="362">
        <f t="shared" ca="1" si="0"/>
        <v>981854.27659322659</v>
      </c>
      <c r="R81" s="272">
        <f t="shared" ca="1" si="1"/>
        <v>1</v>
      </c>
    </row>
    <row r="82" spans="1:18" ht="15.5" x14ac:dyDescent="0.35">
      <c r="A82" s="272"/>
      <c r="B82" s="360">
        <f t="shared" si="2"/>
        <v>16</v>
      </c>
      <c r="C82" s="361">
        <f ca="1">IF($B82="","",'Fecha Pago'!K19)</f>
        <v>46633</v>
      </c>
      <c r="D82" s="362">
        <f>IF($B$67="","",'Fecha Pago'!L19)</f>
        <v>30.4</v>
      </c>
      <c r="E82" s="363">
        <f>IF(B82="","",IF(Sheet1!$Z$1=2,'Tabla de Pagos Crecientes'!E22,$F$62))</f>
        <v>0.11</v>
      </c>
      <c r="F82" s="362">
        <f ca="1">IF($B82="","",IF(Sheet1!$Z$1=2,'Tabla de Pagos Crecientes'!F22,'Tabla Fijos'!F27))</f>
        <v>981854.27659322659</v>
      </c>
      <c r="G82" s="362">
        <f ca="1">IF($B82="","",IF(Sheet1!$Z$1=2,'Tabla de Pagos Crecientes'!G22,'Tabla Fijos'!G27))</f>
        <v>1301.548930362791</v>
      </c>
      <c r="H82" s="362">
        <f ca="1">IF($B82="","",IF(Sheet1!$Z$1=2,'Tabla de Pagos Crecientes'!H22,'Tabla Fijos'!H27))</f>
        <v>9120.3352803548605</v>
      </c>
      <c r="I82" s="362">
        <f>IF($B82=0,0,IF(B82="","",VLOOKUP($B82,'Tabla Fijos'!$B$12:$S$311,8,0)))</f>
        <v>0</v>
      </c>
      <c r="J82" s="362">
        <f ca="1">IF($B82="","",IF(Sheet1!$Z$1=2,'Tabla de Pagos Crecientes'!J22,'Tabla Fijos'!K27))</f>
        <v>0</v>
      </c>
      <c r="K82" s="362">
        <f ca="1">IF($B82="","",IF(Sheet1!$Z$1=2,'Tabla de Pagos Crecientes'!K22,'Tabla Fijos'!L27))</f>
        <v>0</v>
      </c>
      <c r="L82" s="362">
        <f ca="1">IF($B82="","",IF(Sheet1!$Z$1=2,'Tabla de Pagos Crecientes'!L22,'Tabla Fijos'!M27))</f>
        <v>0</v>
      </c>
      <c r="M82" s="362">
        <f ca="1">IF($B82="","",IF(Sheet1!$Z$1=2,'Tabla de Pagos Crecientes'!M22,'Tabla Fijos'!N27))</f>
        <v>0</v>
      </c>
      <c r="N82" s="364"/>
      <c r="O82" s="362">
        <f>IF($B82="","",IF(Sheet1!$Z$1=2,'Tabla de Pagos Crecientes'!O22,'Tabla Fijos'!Q27))</f>
        <v>0</v>
      </c>
      <c r="P82" s="362">
        <f ca="1">IF(B82="","",G82+H82+I82+J82+K82+L82-M82-'Tabla Fijos'!P27)</f>
        <v>10421.884210717652</v>
      </c>
      <c r="Q82" s="362">
        <f t="shared" ca="1" si="0"/>
        <v>980552.72766286379</v>
      </c>
      <c r="R82" s="272">
        <f t="shared" ca="1" si="1"/>
        <v>1</v>
      </c>
    </row>
    <row r="83" spans="1:18" ht="15.5" x14ac:dyDescent="0.35">
      <c r="A83" s="272"/>
      <c r="B83" s="360">
        <f t="shared" si="2"/>
        <v>17</v>
      </c>
      <c r="C83" s="361">
        <f ca="1">IF($B83="","",'Fecha Pago'!K20)</f>
        <v>46663</v>
      </c>
      <c r="D83" s="362">
        <f>IF($B$67="","",'Fecha Pago'!L20)</f>
        <v>30.4</v>
      </c>
      <c r="E83" s="363">
        <f>IF(B83="","",IF(Sheet1!$Z$1=2,'Tabla de Pagos Crecientes'!E23,$F$62))</f>
        <v>0.11</v>
      </c>
      <c r="F83" s="362">
        <f ca="1">IF($B83="","",IF(Sheet1!$Z$1=2,'Tabla de Pagos Crecientes'!F23,'Tabla Fijos'!F28))</f>
        <v>980552.72766286379</v>
      </c>
      <c r="G83" s="362">
        <f ca="1">IF($B83="","",IF(Sheet1!$Z$1=2,'Tabla de Pagos Crecientes'!G23,'Tabla Fijos'!G28))</f>
        <v>1313.6388737603866</v>
      </c>
      <c r="H83" s="362">
        <f ca="1">IF($B83="","",IF(Sheet1!$Z$1=2,'Tabla de Pagos Crecientes'!H23,'Tabla Fijos'!H28))</f>
        <v>9108.2453369572668</v>
      </c>
      <c r="I83" s="362">
        <f>IF($B83=0,0,IF(B83="","",VLOOKUP($B83,'Tabla Fijos'!$B$12:$S$311,8,0)))</f>
        <v>0</v>
      </c>
      <c r="J83" s="362">
        <f ca="1">IF($B83="","",IF(Sheet1!$Z$1=2,'Tabla de Pagos Crecientes'!J23,'Tabla Fijos'!K28))</f>
        <v>0</v>
      </c>
      <c r="K83" s="362">
        <f ca="1">IF($B83="","",IF(Sheet1!$Z$1=2,'Tabla de Pagos Crecientes'!K23,'Tabla Fijos'!L28))</f>
        <v>0</v>
      </c>
      <c r="L83" s="362">
        <f ca="1">IF($B83="","",IF(Sheet1!$Z$1=2,'Tabla de Pagos Crecientes'!L23,'Tabla Fijos'!M28))</f>
        <v>0</v>
      </c>
      <c r="M83" s="362">
        <f ca="1">IF($B83="","",IF(Sheet1!$Z$1=2,'Tabla de Pagos Crecientes'!M23,'Tabla Fijos'!N28))</f>
        <v>0</v>
      </c>
      <c r="N83" s="364"/>
      <c r="O83" s="362">
        <f>IF($B83="","",IF(Sheet1!$Z$1=2,'Tabla de Pagos Crecientes'!O23,'Tabla Fijos'!Q28))</f>
        <v>0</v>
      </c>
      <c r="P83" s="362">
        <f ca="1">IF(B83="","",G83+H83+I83+J83+K83+L83-M83-'Tabla Fijos'!P28)</f>
        <v>10421.884210717653</v>
      </c>
      <c r="Q83" s="362">
        <f t="shared" ca="1" si="0"/>
        <v>979239.08878910344</v>
      </c>
      <c r="R83" s="272">
        <f t="shared" ca="1" si="1"/>
        <v>1</v>
      </c>
    </row>
    <row r="84" spans="1:18" ht="15.5" x14ac:dyDescent="0.35">
      <c r="A84" s="272"/>
      <c r="B84" s="360">
        <f t="shared" si="2"/>
        <v>18</v>
      </c>
      <c r="C84" s="361">
        <f ca="1">IF($B84="","",'Fecha Pago'!K21)</f>
        <v>46694</v>
      </c>
      <c r="D84" s="362">
        <f>IF($B$67="","",'Fecha Pago'!L21)</f>
        <v>30.4</v>
      </c>
      <c r="E84" s="363">
        <f>IF(B84="","",IF(Sheet1!$Z$1=2,'Tabla de Pagos Crecientes'!E24,$F$62))</f>
        <v>0.11</v>
      </c>
      <c r="F84" s="362">
        <f ca="1">IF($B84="","",IF(Sheet1!$Z$1=2,'Tabla de Pagos Crecientes'!F24,'Tabla Fijos'!F29))</f>
        <v>979239.08878910344</v>
      </c>
      <c r="G84" s="362">
        <f ca="1">IF($B84="","",IF(Sheet1!$Z$1=2,'Tabla de Pagos Crecientes'!G24,'Tabla Fijos'!G29))</f>
        <v>1325.8411192988715</v>
      </c>
      <c r="H84" s="362">
        <f ca="1">IF($B84="","",IF(Sheet1!$Z$1=2,'Tabla de Pagos Crecientes'!H24,'Tabla Fijos'!H29))</f>
        <v>9096.0430914187818</v>
      </c>
      <c r="I84" s="362">
        <f>IF($B84=0,0,IF(B84="","",VLOOKUP($B84,'Tabla Fijos'!$B$12:$S$311,8,0)))</f>
        <v>0</v>
      </c>
      <c r="J84" s="362">
        <f ca="1">IF($B84="","",IF(Sheet1!$Z$1=2,'Tabla de Pagos Crecientes'!J24,'Tabla Fijos'!K29))</f>
        <v>0</v>
      </c>
      <c r="K84" s="362">
        <f ca="1">IF($B84="","",IF(Sheet1!$Z$1=2,'Tabla de Pagos Crecientes'!K24,'Tabla Fijos'!L29))</f>
        <v>0</v>
      </c>
      <c r="L84" s="362">
        <f ca="1">IF($B84="","",IF(Sheet1!$Z$1=2,'Tabla de Pagos Crecientes'!L24,'Tabla Fijos'!M29))</f>
        <v>0</v>
      </c>
      <c r="M84" s="362">
        <f ca="1">IF($B84="","",IF(Sheet1!$Z$1=2,'Tabla de Pagos Crecientes'!M24,'Tabla Fijos'!N29))</f>
        <v>0</v>
      </c>
      <c r="N84" s="364"/>
      <c r="O84" s="362">
        <f>IF($B84="","",IF(Sheet1!$Z$1=2,'Tabla de Pagos Crecientes'!O24,'Tabla Fijos'!Q29))</f>
        <v>0</v>
      </c>
      <c r="P84" s="362">
        <f ca="1">IF(B84="","",G84+H84+I84+J84+K84+L84-M84-'Tabla Fijos'!P29)</f>
        <v>10421.884210717653</v>
      </c>
      <c r="Q84" s="362">
        <f t="shared" ca="1" si="0"/>
        <v>977913.24766980461</v>
      </c>
      <c r="R84" s="272">
        <f t="shared" ca="1" si="1"/>
        <v>1</v>
      </c>
    </row>
    <row r="85" spans="1:18" ht="15.5" x14ac:dyDescent="0.35">
      <c r="A85" s="272"/>
      <c r="B85" s="360">
        <f t="shared" si="2"/>
        <v>19</v>
      </c>
      <c r="C85" s="361">
        <f ca="1">IF($B85="","",'Fecha Pago'!K22)</f>
        <v>46724</v>
      </c>
      <c r="D85" s="362">
        <f>IF($B$67="","",'Fecha Pago'!L22)</f>
        <v>30.4</v>
      </c>
      <c r="E85" s="363">
        <f>IF(B85="","",IF(Sheet1!$Z$1=2,'Tabla de Pagos Crecientes'!E25,$F$62))</f>
        <v>0.11</v>
      </c>
      <c r="F85" s="362">
        <f ca="1">IF($B85="","",IF(Sheet1!$Z$1=2,'Tabla de Pagos Crecientes'!F25,'Tabla Fijos'!F30))</f>
        <v>977913.24766980461</v>
      </c>
      <c r="G85" s="362">
        <f ca="1">IF($B85="","",IF(Sheet1!$Z$1=2,'Tabla de Pagos Crecientes'!G25,'Tabla Fijos'!G30))</f>
        <v>1338.156710140358</v>
      </c>
      <c r="H85" s="362">
        <f ca="1">IF($B85="","",IF(Sheet1!$Z$1=2,'Tabla de Pagos Crecientes'!H25,'Tabla Fijos'!H30))</f>
        <v>9083.7275005772954</v>
      </c>
      <c r="I85" s="362">
        <f>IF($B85=0,0,IF(B85="","",VLOOKUP($B85,'Tabla Fijos'!$B$12:$S$311,8,0)))</f>
        <v>0</v>
      </c>
      <c r="J85" s="362">
        <f ca="1">IF($B85="","",IF(Sheet1!$Z$1=2,'Tabla de Pagos Crecientes'!J25,'Tabla Fijos'!K30))</f>
        <v>0</v>
      </c>
      <c r="K85" s="362">
        <f ca="1">IF($B85="","",IF(Sheet1!$Z$1=2,'Tabla de Pagos Crecientes'!K25,'Tabla Fijos'!L30))</f>
        <v>0</v>
      </c>
      <c r="L85" s="362">
        <f ca="1">IF($B85="","",IF(Sheet1!$Z$1=2,'Tabla de Pagos Crecientes'!L25,'Tabla Fijos'!M30))</f>
        <v>0</v>
      </c>
      <c r="M85" s="362">
        <f ca="1">IF($B85="","",IF(Sheet1!$Z$1=2,'Tabla de Pagos Crecientes'!M25,'Tabla Fijos'!N30))</f>
        <v>0</v>
      </c>
      <c r="N85" s="364"/>
      <c r="O85" s="362">
        <f>IF($B85="","",IF(Sheet1!$Z$1=2,'Tabla de Pagos Crecientes'!O25,'Tabla Fijos'!Q30))</f>
        <v>0</v>
      </c>
      <c r="P85" s="362">
        <f ca="1">IF(B85="","",G85+H85+I85+J85+K85+L85-M85-'Tabla Fijos'!P30)</f>
        <v>10421.884210717653</v>
      </c>
      <c r="Q85" s="362">
        <f t="shared" ca="1" si="0"/>
        <v>976575.0909596642</v>
      </c>
      <c r="R85" s="272">
        <f t="shared" ca="1" si="1"/>
        <v>1</v>
      </c>
    </row>
    <row r="86" spans="1:18" ht="15.5" x14ac:dyDescent="0.35">
      <c r="A86" s="272"/>
      <c r="B86" s="360">
        <f t="shared" si="2"/>
        <v>20</v>
      </c>
      <c r="C86" s="361">
        <f ca="1">IF($B86="","",'Fecha Pago'!K23)</f>
        <v>46755</v>
      </c>
      <c r="D86" s="362">
        <f>IF($B$67="","",'Fecha Pago'!L23)</f>
        <v>30.4</v>
      </c>
      <c r="E86" s="363">
        <f>IF(B86="","",IF(Sheet1!$Z$1=2,'Tabla de Pagos Crecientes'!E26,$F$62))</f>
        <v>0.11</v>
      </c>
      <c r="F86" s="362">
        <f ca="1">IF($B86="","",IF(Sheet1!$Z$1=2,'Tabla de Pagos Crecientes'!F26,'Tabla Fijos'!F31))</f>
        <v>976575.0909596642</v>
      </c>
      <c r="G86" s="362">
        <f ca="1">IF($B86="","",IF(Sheet1!$Z$1=2,'Tabla de Pagos Crecientes'!G26,'Tabla Fijos'!G31))</f>
        <v>1350.5866991367729</v>
      </c>
      <c r="H86" s="362">
        <f ca="1">IF($B86="","",IF(Sheet1!$Z$1=2,'Tabla de Pagos Crecientes'!H26,'Tabla Fijos'!H31))</f>
        <v>9071.2975115808804</v>
      </c>
      <c r="I86" s="362">
        <f>IF($B86=0,0,IF(B86="","",VLOOKUP($B86,'Tabla Fijos'!$B$12:$S$311,8,0)))</f>
        <v>0</v>
      </c>
      <c r="J86" s="362">
        <f ca="1">IF($B86="","",IF(Sheet1!$Z$1=2,'Tabla de Pagos Crecientes'!J26,'Tabla Fijos'!K31))</f>
        <v>0</v>
      </c>
      <c r="K86" s="362">
        <f ca="1">IF($B86="","",IF(Sheet1!$Z$1=2,'Tabla de Pagos Crecientes'!K26,'Tabla Fijos'!L31))</f>
        <v>0</v>
      </c>
      <c r="L86" s="362">
        <f ca="1">IF($B86="","",IF(Sheet1!$Z$1=2,'Tabla de Pagos Crecientes'!L26,'Tabla Fijos'!M31))</f>
        <v>0</v>
      </c>
      <c r="M86" s="362">
        <f ca="1">IF($B86="","",IF(Sheet1!$Z$1=2,'Tabla de Pagos Crecientes'!M26,'Tabla Fijos'!N31))</f>
        <v>0</v>
      </c>
      <c r="N86" s="364"/>
      <c r="O86" s="362">
        <f>IF($B86="","",IF(Sheet1!$Z$1=2,'Tabla de Pagos Crecientes'!O26,'Tabla Fijos'!Q31))</f>
        <v>0</v>
      </c>
      <c r="P86" s="362">
        <f ca="1">IF(B86="","",G86+H86+I86+J86+K86+L86-M86-'Tabla Fijos'!P31)</f>
        <v>10421.884210717653</v>
      </c>
      <c r="Q86" s="362">
        <f t="shared" ca="1" si="0"/>
        <v>975224.50426052744</v>
      </c>
      <c r="R86" s="272">
        <f t="shared" ca="1" si="1"/>
        <v>1</v>
      </c>
    </row>
    <row r="87" spans="1:18" ht="15.5" x14ac:dyDescent="0.35">
      <c r="A87" s="272"/>
      <c r="B87" s="360">
        <f t="shared" si="2"/>
        <v>21</v>
      </c>
      <c r="C87" s="361">
        <f ca="1">IF($B87="","",'Fecha Pago'!K24)</f>
        <v>46786</v>
      </c>
      <c r="D87" s="362">
        <f>IF($B$67="","",'Fecha Pago'!L24)</f>
        <v>30.4</v>
      </c>
      <c r="E87" s="363">
        <f>IF(B87="","",IF(Sheet1!$Z$1=2,'Tabla de Pagos Crecientes'!E27,$F$62))</f>
        <v>0.11</v>
      </c>
      <c r="F87" s="362">
        <f ca="1">IF($B87="","",IF(Sheet1!$Z$1=2,'Tabla de Pagos Crecientes'!F27,'Tabla Fijos'!F32))</f>
        <v>975224.50426052744</v>
      </c>
      <c r="G87" s="362">
        <f ca="1">IF($B87="","",IF(Sheet1!$Z$1=2,'Tabla de Pagos Crecientes'!G27,'Tabla Fijos'!G32))</f>
        <v>1363.1321489198654</v>
      </c>
      <c r="H87" s="362">
        <f ca="1">IF($B87="","",IF(Sheet1!$Z$1=2,'Tabla de Pagos Crecientes'!H27,'Tabla Fijos'!H32))</f>
        <v>9058.752061797788</v>
      </c>
      <c r="I87" s="362">
        <f>IF($B87=0,0,IF(B87="","",VLOOKUP($B87,'Tabla Fijos'!$B$12:$S$311,8,0)))</f>
        <v>0</v>
      </c>
      <c r="J87" s="362">
        <f ca="1">IF($B87="","",IF(Sheet1!$Z$1=2,'Tabla de Pagos Crecientes'!J27,'Tabla Fijos'!K32))</f>
        <v>0</v>
      </c>
      <c r="K87" s="362">
        <f ca="1">IF($B87="","",IF(Sheet1!$Z$1=2,'Tabla de Pagos Crecientes'!K27,'Tabla Fijos'!L32))</f>
        <v>0</v>
      </c>
      <c r="L87" s="362">
        <f ca="1">IF($B87="","",IF(Sheet1!$Z$1=2,'Tabla de Pagos Crecientes'!L27,'Tabla Fijos'!M32))</f>
        <v>0</v>
      </c>
      <c r="M87" s="362">
        <f ca="1">IF($B87="","",IF(Sheet1!$Z$1=2,'Tabla de Pagos Crecientes'!M27,'Tabla Fijos'!N32))</f>
        <v>0</v>
      </c>
      <c r="N87" s="364"/>
      <c r="O87" s="362">
        <f>IF($B87="","",IF(Sheet1!$Z$1=2,'Tabla de Pagos Crecientes'!O27,'Tabla Fijos'!Q32))</f>
        <v>0</v>
      </c>
      <c r="P87" s="362">
        <f ca="1">IF(B87="","",G87+H87+I87+J87+K87+L87-M87-'Tabla Fijos'!P32)</f>
        <v>10421.884210717653</v>
      </c>
      <c r="Q87" s="362">
        <f t="shared" ca="1" si="0"/>
        <v>973861.37211160758</v>
      </c>
      <c r="R87" s="272">
        <f t="shared" ca="1" si="1"/>
        <v>1</v>
      </c>
    </row>
    <row r="88" spans="1:18" ht="15.5" x14ac:dyDescent="0.35">
      <c r="A88" s="272"/>
      <c r="B88" s="360">
        <f t="shared" si="2"/>
        <v>22</v>
      </c>
      <c r="C88" s="361">
        <f ca="1">IF($B88="","",'Fecha Pago'!K25)</f>
        <v>46815</v>
      </c>
      <c r="D88" s="362">
        <f>IF($B$67="","",'Fecha Pago'!L25)</f>
        <v>30.4</v>
      </c>
      <c r="E88" s="363">
        <f>IF(B88="","",IF(Sheet1!$Z$1=2,'Tabla de Pagos Crecientes'!E28,$F$62))</f>
        <v>0.11</v>
      </c>
      <c r="F88" s="362">
        <f ca="1">IF($B88="","",IF(Sheet1!$Z$1=2,'Tabla de Pagos Crecientes'!F28,'Tabla Fijos'!F33))</f>
        <v>973861.37211160758</v>
      </c>
      <c r="G88" s="362">
        <f ca="1">IF($B88="","",IF(Sheet1!$Z$1=2,'Tabla de Pagos Crecientes'!G28,'Tabla Fijos'!G33))</f>
        <v>1375.7941319920556</v>
      </c>
      <c r="H88" s="362">
        <f ca="1">IF($B88="","",IF(Sheet1!$Z$1=2,'Tabla de Pagos Crecientes'!H28,'Tabla Fijos'!H33))</f>
        <v>9046.0900787255978</v>
      </c>
      <c r="I88" s="362">
        <f>IF($B88=0,0,IF(B88="","",VLOOKUP($B88,'Tabla Fijos'!$B$12:$S$311,8,0)))</f>
        <v>0</v>
      </c>
      <c r="J88" s="362">
        <f ca="1">IF($B88="","",IF(Sheet1!$Z$1=2,'Tabla de Pagos Crecientes'!J28,'Tabla Fijos'!K33))</f>
        <v>0</v>
      </c>
      <c r="K88" s="362">
        <f ca="1">IF($B88="","",IF(Sheet1!$Z$1=2,'Tabla de Pagos Crecientes'!K28,'Tabla Fijos'!L33))</f>
        <v>0</v>
      </c>
      <c r="L88" s="362">
        <f ca="1">IF($B88="","",IF(Sheet1!$Z$1=2,'Tabla de Pagos Crecientes'!L28,'Tabla Fijos'!M33))</f>
        <v>0</v>
      </c>
      <c r="M88" s="362">
        <f ca="1">IF($B88="","",IF(Sheet1!$Z$1=2,'Tabla de Pagos Crecientes'!M28,'Tabla Fijos'!N33))</f>
        <v>0</v>
      </c>
      <c r="N88" s="364"/>
      <c r="O88" s="362">
        <f>IF($B88="","",IF(Sheet1!$Z$1=2,'Tabla de Pagos Crecientes'!O28,'Tabla Fijos'!Q33))</f>
        <v>0</v>
      </c>
      <c r="P88" s="362">
        <f ca="1">IF(B88="","",G88+H88+I88+J88+K88+L88-M88-'Tabla Fijos'!P33)</f>
        <v>10421.884210717653</v>
      </c>
      <c r="Q88" s="362">
        <f t="shared" ca="1" si="0"/>
        <v>972485.57797961554</v>
      </c>
      <c r="R88" s="272">
        <f t="shared" ca="1" si="1"/>
        <v>1</v>
      </c>
    </row>
    <row r="89" spans="1:18" ht="15.5" x14ac:dyDescent="0.35">
      <c r="A89" s="272"/>
      <c r="B89" s="360">
        <f t="shared" si="2"/>
        <v>23</v>
      </c>
      <c r="C89" s="361">
        <f ca="1">IF($B89="","",'Fecha Pago'!K26)</f>
        <v>46846</v>
      </c>
      <c r="D89" s="362">
        <f>IF($B$67="","",'Fecha Pago'!L26)</f>
        <v>30.4</v>
      </c>
      <c r="E89" s="363">
        <f>IF(B89="","",IF(Sheet1!$Z$1=2,'Tabla de Pagos Crecientes'!E29,$F$62))</f>
        <v>0.11</v>
      </c>
      <c r="F89" s="362">
        <f ca="1">IF($B89="","",IF(Sheet1!$Z$1=2,'Tabla de Pagos Crecientes'!F29,'Tabla Fijos'!F34))</f>
        <v>972485.57797961554</v>
      </c>
      <c r="G89" s="362">
        <f ca="1">IF($B89="","",IF(Sheet1!$Z$1=2,'Tabla de Pagos Crecientes'!G29,'Tabla Fijos'!G34))</f>
        <v>1388.5737308181142</v>
      </c>
      <c r="H89" s="362">
        <f ca="1">IF($B89="","",IF(Sheet1!$Z$1=2,'Tabla de Pagos Crecientes'!H29,'Tabla Fijos'!H34))</f>
        <v>9033.3104798995391</v>
      </c>
      <c r="I89" s="362">
        <f>IF($B89=0,0,IF(B89="","",VLOOKUP($B89,'Tabla Fijos'!$B$12:$S$311,8,0)))</f>
        <v>0</v>
      </c>
      <c r="J89" s="362">
        <f ca="1">IF($B89="","",IF(Sheet1!$Z$1=2,'Tabla de Pagos Crecientes'!J29,'Tabla Fijos'!K34))</f>
        <v>0</v>
      </c>
      <c r="K89" s="362">
        <f ca="1">IF($B89="","",IF(Sheet1!$Z$1=2,'Tabla de Pagos Crecientes'!K29,'Tabla Fijos'!L34))</f>
        <v>0</v>
      </c>
      <c r="L89" s="362">
        <f ca="1">IF($B89="","",IF(Sheet1!$Z$1=2,'Tabla de Pagos Crecientes'!L29,'Tabla Fijos'!M34))</f>
        <v>0</v>
      </c>
      <c r="M89" s="362">
        <f ca="1">IF($B89="","",IF(Sheet1!$Z$1=2,'Tabla de Pagos Crecientes'!M29,'Tabla Fijos'!N34))</f>
        <v>0</v>
      </c>
      <c r="N89" s="364"/>
      <c r="O89" s="362">
        <f>IF($B89="","",IF(Sheet1!$Z$1=2,'Tabla de Pagos Crecientes'!O29,'Tabla Fijos'!Q34))</f>
        <v>0</v>
      </c>
      <c r="P89" s="362">
        <f ca="1">IF(B89="","",G89+H89+I89+J89+K89+L89-M89-'Tabla Fijos'!P34)</f>
        <v>10421.884210717653</v>
      </c>
      <c r="Q89" s="362">
        <f t="shared" ca="1" si="0"/>
        <v>971097.00424879743</v>
      </c>
      <c r="R89" s="272">
        <f t="shared" ca="1" si="1"/>
        <v>1</v>
      </c>
    </row>
    <row r="90" spans="1:18" ht="15.5" x14ac:dyDescent="0.35">
      <c r="A90" s="272"/>
      <c r="B90" s="360">
        <f t="shared" si="2"/>
        <v>24</v>
      </c>
      <c r="C90" s="361">
        <f ca="1">IF($B90="","",'Fecha Pago'!K27)</f>
        <v>46876</v>
      </c>
      <c r="D90" s="362">
        <f>IF($B$67="","",'Fecha Pago'!L27)</f>
        <v>30.4</v>
      </c>
      <c r="E90" s="363">
        <f>IF(B90="","",IF(Sheet1!$Z$1=2,'Tabla de Pagos Crecientes'!E30,$F$62))</f>
        <v>0.11</v>
      </c>
      <c r="F90" s="362">
        <f ca="1">IF($B90="","",IF(Sheet1!$Z$1=2,'Tabla de Pagos Crecientes'!F30,'Tabla Fijos'!F35))</f>
        <v>971097.00424879743</v>
      </c>
      <c r="G90" s="362">
        <f ca="1">IF($B90="","",IF(Sheet1!$Z$1=2,'Tabla de Pagos Crecientes'!G30,'Tabla Fijos'!G35))</f>
        <v>1401.4720379177143</v>
      </c>
      <c r="H90" s="362">
        <f ca="1">IF($B90="","",IF(Sheet1!$Z$1=2,'Tabla de Pagos Crecientes'!H30,'Tabla Fijos'!H35))</f>
        <v>9020.4121727999391</v>
      </c>
      <c r="I90" s="362">
        <f>IF($B90=0,0,IF(B90="","",VLOOKUP($B90,'Tabla Fijos'!$B$12:$S$311,8,0)))</f>
        <v>0</v>
      </c>
      <c r="J90" s="362">
        <f ca="1">IF($B90="","",IF(Sheet1!$Z$1=2,'Tabla de Pagos Crecientes'!J30,'Tabla Fijos'!K35))</f>
        <v>0</v>
      </c>
      <c r="K90" s="362">
        <f ca="1">IF($B90="","",IF(Sheet1!$Z$1=2,'Tabla de Pagos Crecientes'!K30,'Tabla Fijos'!L35))</f>
        <v>0</v>
      </c>
      <c r="L90" s="362">
        <f ca="1">IF($B90="","",IF(Sheet1!$Z$1=2,'Tabla de Pagos Crecientes'!L30,'Tabla Fijos'!M35))</f>
        <v>0</v>
      </c>
      <c r="M90" s="362">
        <f ca="1">IF($B90="","",IF(Sheet1!$Z$1=2,'Tabla de Pagos Crecientes'!M30,'Tabla Fijos'!N35))</f>
        <v>0</v>
      </c>
      <c r="N90" s="364"/>
      <c r="O90" s="362">
        <f>IF($B90="","",IF(Sheet1!$Z$1=2,'Tabla de Pagos Crecientes'!O30,'Tabla Fijos'!Q35))</f>
        <v>0</v>
      </c>
      <c r="P90" s="362">
        <f ca="1">IF(B90="","",G90+H90+I90+J90+K90+L90-M90-'Tabla Fijos'!P35)</f>
        <v>10421.884210717653</v>
      </c>
      <c r="Q90" s="362">
        <f t="shared" ca="1" si="0"/>
        <v>969695.53221087973</v>
      </c>
      <c r="R90" s="272">
        <f t="shared" ca="1" si="1"/>
        <v>1</v>
      </c>
    </row>
    <row r="91" spans="1:18" ht="15.5" x14ac:dyDescent="0.35">
      <c r="A91" s="272"/>
      <c r="B91" s="360">
        <f t="shared" si="2"/>
        <v>25</v>
      </c>
      <c r="C91" s="361">
        <f ca="1">IF($B91="","",'Fecha Pago'!K28)</f>
        <v>46907</v>
      </c>
      <c r="D91" s="362">
        <f>IF($B$67="","",'Fecha Pago'!L28)</f>
        <v>30.4</v>
      </c>
      <c r="E91" s="363">
        <f>IF(B91="","",IF(Sheet1!$Z$1=2,'Tabla de Pagos Crecientes'!E31,$F$62))</f>
        <v>0.11</v>
      </c>
      <c r="F91" s="362">
        <f ca="1">IF($B91="","",IF(Sheet1!$Z$1=2,'Tabla de Pagos Crecientes'!F31,'Tabla Fijos'!F36))</f>
        <v>969695.53221087973</v>
      </c>
      <c r="G91" s="362">
        <f ca="1">IF($B91="","",IF(Sheet1!$Z$1=2,'Tabla de Pagos Crecientes'!G31,'Tabla Fijos'!G36))</f>
        <v>1414.4901559588161</v>
      </c>
      <c r="H91" s="362">
        <f ca="1">IF($B91="","",IF(Sheet1!$Z$1=2,'Tabla de Pagos Crecientes'!H31,'Tabla Fijos'!H36))</f>
        <v>9007.3940547588372</v>
      </c>
      <c r="I91" s="362">
        <f>IF($B91=0,0,IF(B91="","",VLOOKUP($B91,'Tabla Fijos'!$B$12:$S$311,8,0)))</f>
        <v>0</v>
      </c>
      <c r="J91" s="362">
        <f ca="1">IF($B91="","",IF(Sheet1!$Z$1=2,'Tabla de Pagos Crecientes'!J31,'Tabla Fijos'!K36))</f>
        <v>0</v>
      </c>
      <c r="K91" s="362">
        <f ca="1">IF($B91="","",IF(Sheet1!$Z$1=2,'Tabla de Pagos Crecientes'!K31,'Tabla Fijos'!L36))</f>
        <v>0</v>
      </c>
      <c r="L91" s="362">
        <f ca="1">IF($B91="","",IF(Sheet1!$Z$1=2,'Tabla de Pagos Crecientes'!L31,'Tabla Fijos'!M36))</f>
        <v>0</v>
      </c>
      <c r="M91" s="362">
        <f ca="1">IF($B91="","",IF(Sheet1!$Z$1=2,'Tabla de Pagos Crecientes'!M31,'Tabla Fijos'!N36))</f>
        <v>0</v>
      </c>
      <c r="N91" s="364"/>
      <c r="O91" s="362">
        <f>IF($B91="","",IF(Sheet1!$Z$1=2,'Tabla de Pagos Crecientes'!O31,'Tabla Fijos'!Q36))</f>
        <v>0</v>
      </c>
      <c r="P91" s="362">
        <f ca="1">IF(B91="","",G91+H91+I91+J91+K91+L91-M91-'Tabla Fijos'!P36)</f>
        <v>10421.884210717653</v>
      </c>
      <c r="Q91" s="362">
        <f t="shared" ca="1" si="0"/>
        <v>968281.04205492092</v>
      </c>
      <c r="R91" s="272">
        <f t="shared" ca="1" si="1"/>
        <v>1</v>
      </c>
    </row>
    <row r="92" spans="1:18" ht="15.5" x14ac:dyDescent="0.35">
      <c r="A92" s="272"/>
      <c r="B92" s="360">
        <f t="shared" si="2"/>
        <v>26</v>
      </c>
      <c r="C92" s="361">
        <f ca="1">IF($B92="","",'Fecha Pago'!K29)</f>
        <v>46937</v>
      </c>
      <c r="D92" s="362">
        <f>IF($B$67="","",'Fecha Pago'!L29)</f>
        <v>30.4</v>
      </c>
      <c r="E92" s="363">
        <f>IF(B92="","",IF(Sheet1!$Z$1=2,'Tabla de Pagos Crecientes'!E32,$F$62))</f>
        <v>0.11</v>
      </c>
      <c r="F92" s="362">
        <f ca="1">IF($B92="","",IF(Sheet1!$Z$1=2,'Tabla de Pagos Crecientes'!F32,'Tabla Fijos'!F37))</f>
        <v>968281.04205492092</v>
      </c>
      <c r="G92" s="362">
        <f ca="1">IF($B92="","",IF(Sheet1!$Z$1=2,'Tabla de Pagos Crecientes'!G32,'Tabla Fijos'!G37))</f>
        <v>1427.6291978519439</v>
      </c>
      <c r="H92" s="362">
        <f ca="1">IF($B92="","",IF(Sheet1!$Z$1=2,'Tabla de Pagos Crecientes'!H32,'Tabla Fijos'!H37))</f>
        <v>8994.2550128657094</v>
      </c>
      <c r="I92" s="362">
        <f>IF($B92=0,0,IF(B92="","",VLOOKUP($B92,'Tabla Fijos'!$B$12:$S$311,8,0)))</f>
        <v>0</v>
      </c>
      <c r="J92" s="362">
        <f ca="1">IF($B92="","",IF(Sheet1!$Z$1=2,'Tabla de Pagos Crecientes'!J32,'Tabla Fijos'!K37))</f>
        <v>0</v>
      </c>
      <c r="K92" s="362">
        <f ca="1">IF($B92="","",IF(Sheet1!$Z$1=2,'Tabla de Pagos Crecientes'!K32,'Tabla Fijos'!L37))</f>
        <v>0</v>
      </c>
      <c r="L92" s="362">
        <f ca="1">IF($B92="","",IF(Sheet1!$Z$1=2,'Tabla de Pagos Crecientes'!L32,'Tabla Fijos'!M37))</f>
        <v>0</v>
      </c>
      <c r="M92" s="362">
        <f ca="1">IF($B92="","",IF(Sheet1!$Z$1=2,'Tabla de Pagos Crecientes'!M32,'Tabla Fijos'!N37))</f>
        <v>0</v>
      </c>
      <c r="N92" s="364"/>
      <c r="O92" s="362">
        <f>IF($B92="","",IF(Sheet1!$Z$1=2,'Tabla de Pagos Crecientes'!O32,'Tabla Fijos'!Q37))</f>
        <v>0</v>
      </c>
      <c r="P92" s="362">
        <f ca="1">IF(B92="","",G92+H92+I92+J92+K92+L92-M92-'Tabla Fijos'!P37)</f>
        <v>10421.884210717653</v>
      </c>
      <c r="Q92" s="362">
        <f t="shared" ca="1" si="0"/>
        <v>966853.41285706894</v>
      </c>
      <c r="R92" s="272">
        <f t="shared" ca="1" si="1"/>
        <v>1</v>
      </c>
    </row>
    <row r="93" spans="1:18" ht="15.5" x14ac:dyDescent="0.35">
      <c r="A93" s="272"/>
      <c r="B93" s="360">
        <f t="shared" si="2"/>
        <v>27</v>
      </c>
      <c r="C93" s="361">
        <f ca="1">IF($B93="","",'Fecha Pago'!K30)</f>
        <v>46968</v>
      </c>
      <c r="D93" s="362">
        <f>IF($B$67="","",'Fecha Pago'!L30)</f>
        <v>30.4</v>
      </c>
      <c r="E93" s="363">
        <f>IF(B93="","",IF(Sheet1!$Z$1=2,'Tabla de Pagos Crecientes'!E33,$F$62))</f>
        <v>0.11</v>
      </c>
      <c r="F93" s="362">
        <f ca="1">IF($B93="","",IF(Sheet1!$Z$1=2,'Tabla de Pagos Crecientes'!F33,'Tabla Fijos'!F38))</f>
        <v>966853.41285706894</v>
      </c>
      <c r="G93" s="362">
        <f ca="1">IF($B93="","",IF(Sheet1!$Z$1=2,'Tabla de Pagos Crecientes'!G33,'Tabla Fijos'!G38))</f>
        <v>1440.8902868453242</v>
      </c>
      <c r="H93" s="362">
        <f ca="1">IF($B93="","",IF(Sheet1!$Z$1=2,'Tabla de Pagos Crecientes'!H33,'Tabla Fijos'!H38))</f>
        <v>8980.9939238723291</v>
      </c>
      <c r="I93" s="362">
        <f>IF($B93=0,0,IF(B93="","",VLOOKUP($B93,'Tabla Fijos'!$B$12:$S$311,8,0)))</f>
        <v>0</v>
      </c>
      <c r="J93" s="362">
        <f ca="1">IF($B93="","",IF(Sheet1!$Z$1=2,'Tabla de Pagos Crecientes'!J33,'Tabla Fijos'!K38))</f>
        <v>0</v>
      </c>
      <c r="K93" s="362">
        <f ca="1">IF($B93="","",IF(Sheet1!$Z$1=2,'Tabla de Pagos Crecientes'!K33,'Tabla Fijos'!L38))</f>
        <v>0</v>
      </c>
      <c r="L93" s="362">
        <f ca="1">IF($B93="","",IF(Sheet1!$Z$1=2,'Tabla de Pagos Crecientes'!L33,'Tabla Fijos'!M38))</f>
        <v>0</v>
      </c>
      <c r="M93" s="362">
        <f ca="1">IF($B93="","",IF(Sheet1!$Z$1=2,'Tabla de Pagos Crecientes'!M33,'Tabla Fijos'!N38))</f>
        <v>0</v>
      </c>
      <c r="N93" s="364"/>
      <c r="O93" s="362">
        <f>IF($B93="","",IF(Sheet1!$Z$1=2,'Tabla de Pagos Crecientes'!O33,'Tabla Fijos'!Q38))</f>
        <v>0</v>
      </c>
      <c r="P93" s="362">
        <f ca="1">IF(B93="","",G93+H93+I93+J93+K93+L93-M93-'Tabla Fijos'!P38)</f>
        <v>10421.884210717653</v>
      </c>
      <c r="Q93" s="362">
        <f t="shared" ca="1" si="0"/>
        <v>965412.52257022366</v>
      </c>
      <c r="R93" s="272">
        <f t="shared" ca="1" si="1"/>
        <v>1</v>
      </c>
    </row>
    <row r="94" spans="1:18" ht="15.5" x14ac:dyDescent="0.35">
      <c r="A94" s="272"/>
      <c r="B94" s="360">
        <f t="shared" si="2"/>
        <v>28</v>
      </c>
      <c r="C94" s="361">
        <f ca="1">IF($B94="","",'Fecha Pago'!K31)</f>
        <v>46999</v>
      </c>
      <c r="D94" s="362">
        <f>IF($B$67="","",'Fecha Pago'!L31)</f>
        <v>30.4</v>
      </c>
      <c r="E94" s="363">
        <f>IF(B94="","",IF(Sheet1!$Z$1=2,'Tabla de Pagos Crecientes'!E34,$F$62))</f>
        <v>0.11</v>
      </c>
      <c r="F94" s="362">
        <f ca="1">IF($B94="","",IF(Sheet1!$Z$1=2,'Tabla de Pagos Crecientes'!F34,'Tabla Fijos'!F39))</f>
        <v>965412.52257022366</v>
      </c>
      <c r="G94" s="362">
        <f ca="1">IF($B94="","",IF(Sheet1!$Z$1=2,'Tabla de Pagos Crecientes'!G34,'Tabla Fijos'!G39))</f>
        <v>1454.2745566209105</v>
      </c>
      <c r="H94" s="362">
        <f ca="1">IF($B94="","",IF(Sheet1!$Z$1=2,'Tabla de Pagos Crecientes'!H34,'Tabla Fijos'!H39))</f>
        <v>8967.6096540967428</v>
      </c>
      <c r="I94" s="362">
        <f>IF($B94=0,0,IF(B94="","",VLOOKUP($B94,'Tabla Fijos'!$B$12:$S$311,8,0)))</f>
        <v>0</v>
      </c>
      <c r="J94" s="362">
        <f ca="1">IF($B94="","",IF(Sheet1!$Z$1=2,'Tabla de Pagos Crecientes'!J34,'Tabla Fijos'!K39))</f>
        <v>0</v>
      </c>
      <c r="K94" s="362">
        <f ca="1">IF($B94="","",IF(Sheet1!$Z$1=2,'Tabla de Pagos Crecientes'!K34,'Tabla Fijos'!L39))</f>
        <v>0</v>
      </c>
      <c r="L94" s="362">
        <f ca="1">IF($B94="","",IF(Sheet1!$Z$1=2,'Tabla de Pagos Crecientes'!L34,'Tabla Fijos'!M39))</f>
        <v>0</v>
      </c>
      <c r="M94" s="362">
        <f ca="1">IF($B94="","",IF(Sheet1!$Z$1=2,'Tabla de Pagos Crecientes'!M34,'Tabla Fijos'!N39))</f>
        <v>0</v>
      </c>
      <c r="N94" s="364"/>
      <c r="O94" s="362">
        <f>IF($B94="","",IF(Sheet1!$Z$1=2,'Tabla de Pagos Crecientes'!O34,'Tabla Fijos'!Q39))</f>
        <v>0</v>
      </c>
      <c r="P94" s="362">
        <f ca="1">IF(B94="","",G94+H94+I94+J94+K94+L94-M94-'Tabla Fijos'!P39)</f>
        <v>10421.884210717653</v>
      </c>
      <c r="Q94" s="362">
        <f t="shared" ca="1" si="0"/>
        <v>963958.2480136028</v>
      </c>
      <c r="R94" s="272">
        <f t="shared" ca="1" si="1"/>
        <v>1</v>
      </c>
    </row>
    <row r="95" spans="1:18" ht="15.5" x14ac:dyDescent="0.35">
      <c r="A95" s="272"/>
      <c r="B95" s="360">
        <f t="shared" si="2"/>
        <v>29</v>
      </c>
      <c r="C95" s="361">
        <f ca="1">IF($B95="","",'Fecha Pago'!K32)</f>
        <v>47029</v>
      </c>
      <c r="D95" s="362">
        <f>IF($B$67="","",'Fecha Pago'!L32)</f>
        <v>30.4</v>
      </c>
      <c r="E95" s="363">
        <f>IF(B95="","",IF(Sheet1!$Z$1=2,'Tabla de Pagos Crecientes'!E35,$F$62))</f>
        <v>0.11</v>
      </c>
      <c r="F95" s="362">
        <f ca="1">IF($B95="","",IF(Sheet1!$Z$1=2,'Tabla de Pagos Crecientes'!F35,'Tabla Fijos'!F40))</f>
        <v>963958.2480136028</v>
      </c>
      <c r="G95" s="362">
        <f ca="1">IF($B95="","",IF(Sheet1!$Z$1=2,'Tabla de Pagos Crecientes'!G35,'Tabla Fijos'!G40))</f>
        <v>1467.7831513912988</v>
      </c>
      <c r="H95" s="362">
        <f ca="1">IF($B95="","",IF(Sheet1!$Z$1=2,'Tabla de Pagos Crecientes'!H35,'Tabla Fijos'!H40))</f>
        <v>8954.1010593263545</v>
      </c>
      <c r="I95" s="362">
        <f>IF($B95=0,0,IF(B95="","",VLOOKUP($B95,'Tabla Fijos'!$B$12:$S$311,8,0)))</f>
        <v>0</v>
      </c>
      <c r="J95" s="362">
        <f ca="1">IF($B95="","",IF(Sheet1!$Z$1=2,'Tabla de Pagos Crecientes'!J35,'Tabla Fijos'!K40))</f>
        <v>0</v>
      </c>
      <c r="K95" s="362">
        <f ca="1">IF($B95="","",IF(Sheet1!$Z$1=2,'Tabla de Pagos Crecientes'!K35,'Tabla Fijos'!L40))</f>
        <v>0</v>
      </c>
      <c r="L95" s="362">
        <f ca="1">IF($B95="","",IF(Sheet1!$Z$1=2,'Tabla de Pagos Crecientes'!L35,'Tabla Fijos'!M40))</f>
        <v>0</v>
      </c>
      <c r="M95" s="362">
        <f ca="1">IF($B95="","",IF(Sheet1!$Z$1=2,'Tabla de Pagos Crecientes'!M35,'Tabla Fijos'!N40))</f>
        <v>0</v>
      </c>
      <c r="N95" s="364"/>
      <c r="O95" s="362">
        <f>IF($B95="","",IF(Sheet1!$Z$1=2,'Tabla de Pagos Crecientes'!O35,'Tabla Fijos'!Q40))</f>
        <v>0</v>
      </c>
      <c r="P95" s="362">
        <f ca="1">IF(B95="","",G95+H95+I95+J95+K95+L95-M95-'Tabla Fijos'!P40)</f>
        <v>10421.884210717653</v>
      </c>
      <c r="Q95" s="362">
        <f t="shared" ca="1" si="0"/>
        <v>962490.46486221149</v>
      </c>
      <c r="R95" s="272">
        <f t="shared" ca="1" si="1"/>
        <v>1</v>
      </c>
    </row>
    <row r="96" spans="1:18" ht="15.5" x14ac:dyDescent="0.35">
      <c r="A96" s="272"/>
      <c r="B96" s="360">
        <f t="shared" si="2"/>
        <v>30</v>
      </c>
      <c r="C96" s="361">
        <f ca="1">IF($B96="","",'Fecha Pago'!K33)</f>
        <v>47060</v>
      </c>
      <c r="D96" s="362">
        <f>IF($B$67="","",'Fecha Pago'!L33)</f>
        <v>30.4</v>
      </c>
      <c r="E96" s="363">
        <f>IF(B96="","",IF(Sheet1!$Z$1=2,'Tabla de Pagos Crecientes'!E36,$F$62))</f>
        <v>0.11</v>
      </c>
      <c r="F96" s="362">
        <f ca="1">IF($B96="","",IF(Sheet1!$Z$1=2,'Tabla de Pagos Crecientes'!F36,'Tabla Fijos'!F41))</f>
        <v>962490.46486221149</v>
      </c>
      <c r="G96" s="362">
        <f ca="1">IF($B96="","",IF(Sheet1!$Z$1=2,'Tabla de Pagos Crecientes'!G36,'Tabla Fijos'!G41))</f>
        <v>1481.4172259975567</v>
      </c>
      <c r="H96" s="362">
        <f ca="1">IF($B96="","",IF(Sheet1!$Z$1=2,'Tabla de Pagos Crecientes'!H36,'Tabla Fijos'!H41))</f>
        <v>8940.4669847200967</v>
      </c>
      <c r="I96" s="362">
        <f>IF($B96=0,0,IF(B96="","",VLOOKUP($B96,'Tabla Fijos'!$B$12:$S$311,8,0)))</f>
        <v>0</v>
      </c>
      <c r="J96" s="362">
        <f ca="1">IF($B96="","",IF(Sheet1!$Z$1=2,'Tabla de Pagos Crecientes'!J36,'Tabla Fijos'!K41))</f>
        <v>0</v>
      </c>
      <c r="K96" s="362">
        <f ca="1">IF($B96="","",IF(Sheet1!$Z$1=2,'Tabla de Pagos Crecientes'!K36,'Tabla Fijos'!L41))</f>
        <v>0</v>
      </c>
      <c r="L96" s="362">
        <f ca="1">IF($B96="","",IF(Sheet1!$Z$1=2,'Tabla de Pagos Crecientes'!L36,'Tabla Fijos'!M41))</f>
        <v>0</v>
      </c>
      <c r="M96" s="362">
        <f ca="1">IF($B96="","",IF(Sheet1!$Z$1=2,'Tabla de Pagos Crecientes'!M36,'Tabla Fijos'!N41))</f>
        <v>0</v>
      </c>
      <c r="N96" s="364"/>
      <c r="O96" s="362">
        <f>IF($B96="","",IF(Sheet1!$Z$1=2,'Tabla de Pagos Crecientes'!O36,'Tabla Fijos'!Q41))</f>
        <v>0</v>
      </c>
      <c r="P96" s="362">
        <f ca="1">IF(B96="","",G96+H96+I96+J96+K96+L96-M96-'Tabla Fijos'!P41)</f>
        <v>10421.884210717653</v>
      </c>
      <c r="Q96" s="362">
        <f t="shared" ca="1" si="0"/>
        <v>961009.04763621395</v>
      </c>
      <c r="R96" s="272">
        <f t="shared" ca="1" si="1"/>
        <v>1</v>
      </c>
    </row>
    <row r="97" spans="1:18" ht="15.5" x14ac:dyDescent="0.35">
      <c r="A97" s="272"/>
      <c r="B97" s="360">
        <f t="shared" si="2"/>
        <v>31</v>
      </c>
      <c r="C97" s="361">
        <f ca="1">IF($B97="","",'Fecha Pago'!K34)</f>
        <v>47090</v>
      </c>
      <c r="D97" s="362">
        <f>IF($B$67="","",'Fecha Pago'!L34)</f>
        <v>30.4</v>
      </c>
      <c r="E97" s="363">
        <f>IF(B97="","",IF(Sheet1!$Z$1=2,'Tabla de Pagos Crecientes'!E37,$F$62))</f>
        <v>0.11</v>
      </c>
      <c r="F97" s="362">
        <f ca="1">IF($B97="","",IF(Sheet1!$Z$1=2,'Tabla de Pagos Crecientes'!F37,'Tabla Fijos'!F42))</f>
        <v>961009.04763621395</v>
      </c>
      <c r="G97" s="362">
        <f ca="1">IF($B97="","",IF(Sheet1!$Z$1=2,'Tabla de Pagos Crecientes'!G37,'Tabla Fijos'!G42))</f>
        <v>1495.1779460079342</v>
      </c>
      <c r="H97" s="362">
        <f ca="1">IF($B97="","",IF(Sheet1!$Z$1=2,'Tabla de Pagos Crecientes'!H37,'Tabla Fijos'!H42))</f>
        <v>8926.7062647097191</v>
      </c>
      <c r="I97" s="362">
        <f>IF($B97=0,0,IF(B97="","",VLOOKUP($B97,'Tabla Fijos'!$B$12:$S$311,8,0)))</f>
        <v>0</v>
      </c>
      <c r="J97" s="362">
        <f ca="1">IF($B97="","",IF(Sheet1!$Z$1=2,'Tabla de Pagos Crecientes'!J37,'Tabla Fijos'!K42))</f>
        <v>0</v>
      </c>
      <c r="K97" s="362">
        <f ca="1">IF($B97="","",IF(Sheet1!$Z$1=2,'Tabla de Pagos Crecientes'!K37,'Tabla Fijos'!L42))</f>
        <v>0</v>
      </c>
      <c r="L97" s="362">
        <f ca="1">IF($B97="","",IF(Sheet1!$Z$1=2,'Tabla de Pagos Crecientes'!L37,'Tabla Fijos'!M42))</f>
        <v>0</v>
      </c>
      <c r="M97" s="362">
        <f ca="1">IF($B97="","",IF(Sheet1!$Z$1=2,'Tabla de Pagos Crecientes'!M37,'Tabla Fijos'!N42))</f>
        <v>0</v>
      </c>
      <c r="N97" s="364"/>
      <c r="O97" s="362">
        <f>IF($B97="","",IF(Sheet1!$Z$1=2,'Tabla de Pagos Crecientes'!O37,'Tabla Fijos'!Q42))</f>
        <v>0</v>
      </c>
      <c r="P97" s="362">
        <f ca="1">IF(B97="","",G97+H97+I97+J97+K97+L97-M97-'Tabla Fijos'!P42)</f>
        <v>10421.884210717653</v>
      </c>
      <c r="Q97" s="362">
        <f t="shared" ca="1" si="0"/>
        <v>959513.86969020602</v>
      </c>
      <c r="R97" s="272">
        <f t="shared" ca="1" si="1"/>
        <v>1</v>
      </c>
    </row>
    <row r="98" spans="1:18" ht="15.5" x14ac:dyDescent="0.35">
      <c r="A98" s="272"/>
      <c r="B98" s="360">
        <f t="shared" si="2"/>
        <v>32</v>
      </c>
      <c r="C98" s="361">
        <f ca="1">IF($B98="","",'Fecha Pago'!K35)</f>
        <v>47121</v>
      </c>
      <c r="D98" s="362">
        <f>IF($B$67="","",'Fecha Pago'!L35)</f>
        <v>30.4</v>
      </c>
      <c r="E98" s="363">
        <f>IF(B98="","",IF(Sheet1!$Z$1=2,'Tabla de Pagos Crecientes'!E38,$F$62))</f>
        <v>0.11</v>
      </c>
      <c r="F98" s="362">
        <f ca="1">IF($B98="","",IF(Sheet1!$Z$1=2,'Tabla de Pagos Crecientes'!F38,'Tabla Fijos'!F43))</f>
        <v>959513.86969020602</v>
      </c>
      <c r="G98" s="362">
        <f ca="1">IF($B98="","",IF(Sheet1!$Z$1=2,'Tabla de Pagos Crecientes'!G38,'Tabla Fijos'!G43))</f>
        <v>1509.0664878175176</v>
      </c>
      <c r="H98" s="362">
        <f ca="1">IF($B98="","",IF(Sheet1!$Z$1=2,'Tabla de Pagos Crecientes'!H38,'Tabla Fijos'!H43))</f>
        <v>8912.8177229001358</v>
      </c>
      <c r="I98" s="362">
        <f>IF($B98=0,0,IF(B98="","",VLOOKUP($B98,'Tabla Fijos'!$B$12:$S$311,8,0)))</f>
        <v>0</v>
      </c>
      <c r="J98" s="362">
        <f ca="1">IF($B98="","",IF(Sheet1!$Z$1=2,'Tabla de Pagos Crecientes'!J38,'Tabla Fijos'!K43))</f>
        <v>0</v>
      </c>
      <c r="K98" s="362">
        <f ca="1">IF($B98="","",IF(Sheet1!$Z$1=2,'Tabla de Pagos Crecientes'!K38,'Tabla Fijos'!L43))</f>
        <v>0</v>
      </c>
      <c r="L98" s="362">
        <f ca="1">IF($B98="","",IF(Sheet1!$Z$1=2,'Tabla de Pagos Crecientes'!L38,'Tabla Fijos'!M43))</f>
        <v>0</v>
      </c>
      <c r="M98" s="362">
        <f ca="1">IF($B98="","",IF(Sheet1!$Z$1=2,'Tabla de Pagos Crecientes'!M38,'Tabla Fijos'!N43))</f>
        <v>0</v>
      </c>
      <c r="N98" s="364"/>
      <c r="O98" s="362">
        <f>IF($B98="","",IF(Sheet1!$Z$1=2,'Tabla de Pagos Crecientes'!O38,'Tabla Fijos'!Q43))</f>
        <v>0</v>
      </c>
      <c r="P98" s="362">
        <f ca="1">IF(B98="","",G98+H98+I98+J98+K98+L98-M98-'Tabla Fijos'!P43)</f>
        <v>10421.884210717653</v>
      </c>
      <c r="Q98" s="362">
        <f t="shared" ca="1" si="0"/>
        <v>958004.80320238846</v>
      </c>
      <c r="R98" s="272">
        <f t="shared" ca="1" si="1"/>
        <v>1</v>
      </c>
    </row>
    <row r="99" spans="1:18" ht="15.5" x14ac:dyDescent="0.35">
      <c r="A99" s="272"/>
      <c r="B99" s="360">
        <f t="shared" si="2"/>
        <v>33</v>
      </c>
      <c r="C99" s="361">
        <f ca="1">IF($B99="","",'Fecha Pago'!K36)</f>
        <v>47152</v>
      </c>
      <c r="D99" s="362">
        <f>IF($B$67="","",'Fecha Pago'!L36)</f>
        <v>30.4</v>
      </c>
      <c r="E99" s="363">
        <f>IF(B99="","",IF(Sheet1!$Z$1=2,'Tabla de Pagos Crecientes'!E39,$F$62))</f>
        <v>0.11</v>
      </c>
      <c r="F99" s="362">
        <f ca="1">IF($B99="","",IF(Sheet1!$Z$1=2,'Tabla de Pagos Crecientes'!F39,'Tabla Fijos'!F44))</f>
        <v>958004.80320238846</v>
      </c>
      <c r="G99" s="362">
        <f ca="1">IF($B99="","",IF(Sheet1!$Z$1=2,'Tabla de Pagos Crecientes'!G39,'Tabla Fijos'!G44))</f>
        <v>1523.0840387488006</v>
      </c>
      <c r="H99" s="362">
        <f ca="1">IF($B99="","",IF(Sheet1!$Z$1=2,'Tabla de Pagos Crecientes'!H39,'Tabla Fijos'!H44))</f>
        <v>8898.8001719688527</v>
      </c>
      <c r="I99" s="362">
        <f>IF($B99=0,0,IF(B99="","",VLOOKUP($B99,'Tabla Fijos'!$B$12:$S$311,8,0)))</f>
        <v>0</v>
      </c>
      <c r="J99" s="362">
        <f ca="1">IF($B99="","",IF(Sheet1!$Z$1=2,'Tabla de Pagos Crecientes'!J39,'Tabla Fijos'!K44))</f>
        <v>0</v>
      </c>
      <c r="K99" s="362">
        <f ca="1">IF($B99="","",IF(Sheet1!$Z$1=2,'Tabla de Pagos Crecientes'!K39,'Tabla Fijos'!L44))</f>
        <v>0</v>
      </c>
      <c r="L99" s="362">
        <f ca="1">IF($B99="","",IF(Sheet1!$Z$1=2,'Tabla de Pagos Crecientes'!L39,'Tabla Fijos'!M44))</f>
        <v>0</v>
      </c>
      <c r="M99" s="362">
        <f ca="1">IF($B99="","",IF(Sheet1!$Z$1=2,'Tabla de Pagos Crecientes'!M39,'Tabla Fijos'!N44))</f>
        <v>0</v>
      </c>
      <c r="N99" s="364"/>
      <c r="O99" s="362">
        <f>IF($B99="","",IF(Sheet1!$Z$1=2,'Tabla de Pagos Crecientes'!O39,'Tabla Fijos'!Q44))</f>
        <v>0</v>
      </c>
      <c r="P99" s="362">
        <f ca="1">IF(B99="","",G99+H99+I99+J99+K99+L99-M99-'Tabla Fijos'!P44)</f>
        <v>10421.884210717653</v>
      </c>
      <c r="Q99" s="362">
        <f t="shared" ca="1" si="0"/>
        <v>956481.7191636397</v>
      </c>
      <c r="R99" s="272">
        <f t="shared" ca="1" si="1"/>
        <v>1</v>
      </c>
    </row>
    <row r="100" spans="1:18" ht="15.5" x14ac:dyDescent="0.35">
      <c r="A100" s="272"/>
      <c r="B100" s="360">
        <f t="shared" si="2"/>
        <v>34</v>
      </c>
      <c r="C100" s="361">
        <f ca="1">IF($B100="","",'Fecha Pago'!K37)</f>
        <v>47180</v>
      </c>
      <c r="D100" s="362">
        <f>IF($B$67="","",'Fecha Pago'!L37)</f>
        <v>30.4</v>
      </c>
      <c r="E100" s="363">
        <f>IF(B100="","",IF(Sheet1!$Z$1=2,'Tabla de Pagos Crecientes'!E40,$F$62))</f>
        <v>0.11</v>
      </c>
      <c r="F100" s="362">
        <f ca="1">IF($B100="","",IF(Sheet1!$Z$1=2,'Tabla de Pagos Crecientes'!F40,'Tabla Fijos'!F45))</f>
        <v>956481.7191636397</v>
      </c>
      <c r="G100" s="362">
        <f ca="1">IF($B100="","",IF(Sheet1!$Z$1=2,'Tabla de Pagos Crecientes'!G40,'Tabla Fijos'!G45))</f>
        <v>1537.2317971531793</v>
      </c>
      <c r="H100" s="362">
        <f ca="1">IF($B100="","",IF(Sheet1!$Z$1=2,'Tabla de Pagos Crecientes'!H40,'Tabla Fijos'!H45))</f>
        <v>8884.652413564474</v>
      </c>
      <c r="I100" s="362">
        <f>IF($B100=0,0,IF(B100="","",VLOOKUP($B100,'Tabla Fijos'!$B$12:$S$311,8,0)))</f>
        <v>0</v>
      </c>
      <c r="J100" s="362">
        <f ca="1">IF($B100="","",IF(Sheet1!$Z$1=2,'Tabla de Pagos Crecientes'!J40,'Tabla Fijos'!K45))</f>
        <v>0</v>
      </c>
      <c r="K100" s="362">
        <f ca="1">IF($B100="","",IF(Sheet1!$Z$1=2,'Tabla de Pagos Crecientes'!K40,'Tabla Fijos'!L45))</f>
        <v>0</v>
      </c>
      <c r="L100" s="362">
        <f ca="1">IF($B100="","",IF(Sheet1!$Z$1=2,'Tabla de Pagos Crecientes'!L40,'Tabla Fijos'!M45))</f>
        <v>0</v>
      </c>
      <c r="M100" s="362">
        <f ca="1">IF($B100="","",IF(Sheet1!$Z$1=2,'Tabla de Pagos Crecientes'!M40,'Tabla Fijos'!N45))</f>
        <v>0</v>
      </c>
      <c r="N100" s="364"/>
      <c r="O100" s="362">
        <f>IF($B100="","",IF(Sheet1!$Z$1=2,'Tabla de Pagos Crecientes'!O40,'Tabla Fijos'!Q45))</f>
        <v>0</v>
      </c>
      <c r="P100" s="362">
        <f ca="1">IF(B100="","",G100+H100+I100+J100+K100+L100-M100-'Tabla Fijos'!P45)</f>
        <v>10421.884210717653</v>
      </c>
      <c r="Q100" s="362">
        <f t="shared" ca="1" si="0"/>
        <v>954944.48736648657</v>
      </c>
      <c r="R100" s="272">
        <f t="shared" ca="1" si="1"/>
        <v>1</v>
      </c>
    </row>
    <row r="101" spans="1:18" ht="15.5" x14ac:dyDescent="0.35">
      <c r="A101" s="272"/>
      <c r="B101" s="360">
        <f t="shared" si="2"/>
        <v>35</v>
      </c>
      <c r="C101" s="361">
        <f ca="1">IF($B101="","",'Fecha Pago'!K38)</f>
        <v>47211</v>
      </c>
      <c r="D101" s="362">
        <f>IF($B$67="","",'Fecha Pago'!L38)</f>
        <v>30.4</v>
      </c>
      <c r="E101" s="363">
        <f>IF(B101="","",IF(Sheet1!$Z$1=2,'Tabla de Pagos Crecientes'!E41,$F$62))</f>
        <v>0.11</v>
      </c>
      <c r="F101" s="362">
        <f ca="1">IF($B101="","",IF(Sheet1!$Z$1=2,'Tabla de Pagos Crecientes'!F41,'Tabla Fijos'!F46))</f>
        <v>954944.48736648657</v>
      </c>
      <c r="G101" s="362">
        <f ca="1">IF($B101="","",IF(Sheet1!$Z$1=2,'Tabla de Pagos Crecientes'!G41,'Tabla Fijos'!G46))</f>
        <v>1551.5109725134043</v>
      </c>
      <c r="H101" s="362">
        <f ca="1">IF($B101="","",IF(Sheet1!$Z$1=2,'Tabla de Pagos Crecientes'!H41,'Tabla Fijos'!H46))</f>
        <v>8870.3732382042526</v>
      </c>
      <c r="I101" s="362">
        <f>IF($B101=0,0,IF(B101="","",VLOOKUP($B101,'Tabla Fijos'!$B$12:$S$311,8,0)))</f>
        <v>0</v>
      </c>
      <c r="J101" s="362">
        <f ca="1">IF($B101="","",IF(Sheet1!$Z$1=2,'Tabla de Pagos Crecientes'!J41,'Tabla Fijos'!K46))</f>
        <v>0</v>
      </c>
      <c r="K101" s="362">
        <f ca="1">IF($B101="","",IF(Sheet1!$Z$1=2,'Tabla de Pagos Crecientes'!K41,'Tabla Fijos'!L46))</f>
        <v>0</v>
      </c>
      <c r="L101" s="362">
        <f ca="1">IF($B101="","",IF(Sheet1!$Z$1=2,'Tabla de Pagos Crecientes'!L41,'Tabla Fijos'!M46))</f>
        <v>0</v>
      </c>
      <c r="M101" s="362">
        <f ca="1">IF($B101="","",IF(Sheet1!$Z$1=2,'Tabla de Pagos Crecientes'!M41,'Tabla Fijos'!N46))</f>
        <v>0</v>
      </c>
      <c r="N101" s="364"/>
      <c r="O101" s="362">
        <f>IF($B101="","",IF(Sheet1!$Z$1=2,'Tabla de Pagos Crecientes'!O41,'Tabla Fijos'!Q46))</f>
        <v>0</v>
      </c>
      <c r="P101" s="362">
        <f ca="1">IF(B101="","",G101+H101+I101+J101+K101+L101-M101-'Tabla Fijos'!P46)</f>
        <v>10421.884210717657</v>
      </c>
      <c r="Q101" s="362">
        <f t="shared" ca="1" si="0"/>
        <v>953392.97639397322</v>
      </c>
      <c r="R101" s="272">
        <f t="shared" ca="1" si="1"/>
        <v>1</v>
      </c>
    </row>
    <row r="102" spans="1:18" ht="15.5" x14ac:dyDescent="0.35">
      <c r="A102" s="272"/>
      <c r="B102" s="360">
        <f t="shared" si="2"/>
        <v>36</v>
      </c>
      <c r="C102" s="361">
        <f ca="1">IF($B102="","",'Fecha Pago'!K39)</f>
        <v>47241</v>
      </c>
      <c r="D102" s="362">
        <f>IF($B$67="","",'Fecha Pago'!L39)</f>
        <v>30.4</v>
      </c>
      <c r="E102" s="363">
        <f>IF(B102="","",IF(Sheet1!$Z$1=2,'Tabla de Pagos Crecientes'!E42,$F$62))</f>
        <v>0.11</v>
      </c>
      <c r="F102" s="362">
        <f ca="1">IF($B102="","",IF(Sheet1!$Z$1=2,'Tabla de Pagos Crecientes'!F42,'Tabla Fijos'!F47))</f>
        <v>953392.97639397322</v>
      </c>
      <c r="G102" s="362">
        <f ca="1">IF($B102="","",IF(Sheet1!$Z$1=2,'Tabla de Pagos Crecientes'!G42,'Tabla Fijos'!G47))</f>
        <v>1565.922785546969</v>
      </c>
      <c r="H102" s="362">
        <f ca="1">IF($B102="","",IF(Sheet1!$Z$1=2,'Tabla de Pagos Crecientes'!H42,'Tabla Fijos'!H47))</f>
        <v>8855.9614251706844</v>
      </c>
      <c r="I102" s="362">
        <f>IF($B102=0,0,IF(B102="","",VLOOKUP($B102,'Tabla Fijos'!$B$12:$S$311,8,0)))</f>
        <v>0</v>
      </c>
      <c r="J102" s="362">
        <f ca="1">IF($B102="","",IF(Sheet1!$Z$1=2,'Tabla de Pagos Crecientes'!J42,'Tabla Fijos'!K47))</f>
        <v>0</v>
      </c>
      <c r="K102" s="362">
        <f ca="1">IF($B102="","",IF(Sheet1!$Z$1=2,'Tabla de Pagos Crecientes'!K42,'Tabla Fijos'!L47))</f>
        <v>0</v>
      </c>
      <c r="L102" s="362">
        <f ca="1">IF($B102="","",IF(Sheet1!$Z$1=2,'Tabla de Pagos Crecientes'!L42,'Tabla Fijos'!M47))</f>
        <v>0</v>
      </c>
      <c r="M102" s="362">
        <f ca="1">IF($B102="","",IF(Sheet1!$Z$1=2,'Tabla de Pagos Crecientes'!M42,'Tabla Fijos'!N47))</f>
        <v>0</v>
      </c>
      <c r="N102" s="364"/>
      <c r="O102" s="362">
        <f>IF($B102="","",IF(Sheet1!$Z$1=2,'Tabla de Pagos Crecientes'!O42,'Tabla Fijos'!Q47))</f>
        <v>0</v>
      </c>
      <c r="P102" s="362">
        <f ca="1">IF(B102="","",G102+H102+I102+J102+K102+L102-M102-'Tabla Fijos'!P47)</f>
        <v>10421.884210717653</v>
      </c>
      <c r="Q102" s="362">
        <f t="shared" ca="1" si="0"/>
        <v>951827.05360842624</v>
      </c>
      <c r="R102" s="272">
        <f t="shared" ca="1" si="1"/>
        <v>1</v>
      </c>
    </row>
    <row r="103" spans="1:18" ht="15.5" x14ac:dyDescent="0.35">
      <c r="A103" s="272"/>
      <c r="B103" s="360">
        <f t="shared" si="2"/>
        <v>37</v>
      </c>
      <c r="C103" s="361">
        <f ca="1">IF($B103="","",'Fecha Pago'!K40)</f>
        <v>47272</v>
      </c>
      <c r="D103" s="362">
        <f>IF($B$67="","",'Fecha Pago'!L40)</f>
        <v>30.4</v>
      </c>
      <c r="E103" s="363">
        <f>IF(B103="","",IF(Sheet1!$Z$1=2,'Tabla de Pagos Crecientes'!E43,$F$62))</f>
        <v>0.11</v>
      </c>
      <c r="F103" s="362">
        <f ca="1">IF($B103="","",IF(Sheet1!$Z$1=2,'Tabla de Pagos Crecientes'!F43,'Tabla Fijos'!F48))</f>
        <v>951827.05360842624</v>
      </c>
      <c r="G103" s="362">
        <f ca="1">IF($B103="","",IF(Sheet1!$Z$1=2,'Tabla de Pagos Crecientes'!G43,'Tabla Fijos'!G48))</f>
        <v>1580.4684683104988</v>
      </c>
      <c r="H103" s="362">
        <f ca="1">IF($B103="","",IF(Sheet1!$Z$1=2,'Tabla de Pagos Crecientes'!H43,'Tabla Fijos'!H48))</f>
        <v>8841.4157424071582</v>
      </c>
      <c r="I103" s="362">
        <f>IF($B103=0,0,IF(B103="","",VLOOKUP($B103,'Tabla Fijos'!$B$12:$S$311,8,0)))</f>
        <v>0</v>
      </c>
      <c r="J103" s="362">
        <f ca="1">IF($B103="","",IF(Sheet1!$Z$1=2,'Tabla de Pagos Crecientes'!J43,'Tabla Fijos'!K48))</f>
        <v>0</v>
      </c>
      <c r="K103" s="362">
        <f ca="1">IF($B103="","",IF(Sheet1!$Z$1=2,'Tabla de Pagos Crecientes'!K43,'Tabla Fijos'!L48))</f>
        <v>0</v>
      </c>
      <c r="L103" s="362">
        <f ca="1">IF($B103="","",IF(Sheet1!$Z$1=2,'Tabla de Pagos Crecientes'!L43,'Tabla Fijos'!M48))</f>
        <v>0</v>
      </c>
      <c r="M103" s="362">
        <f ca="1">IF($B103="","",IF(Sheet1!$Z$1=2,'Tabla de Pagos Crecientes'!M43,'Tabla Fijos'!N48))</f>
        <v>0</v>
      </c>
      <c r="N103" s="364"/>
      <c r="O103" s="362">
        <f>IF($B103="","",IF(Sheet1!$Z$1=2,'Tabla de Pagos Crecientes'!O43,'Tabla Fijos'!Q48))</f>
        <v>0</v>
      </c>
      <c r="P103" s="362">
        <f ca="1">IF(B103="","",G103+H103+I103+J103+K103+L103-M103-'Tabla Fijos'!P48)</f>
        <v>10421.884210717657</v>
      </c>
      <c r="Q103" s="362">
        <f t="shared" ca="1" si="0"/>
        <v>950246.5851401157</v>
      </c>
      <c r="R103" s="272">
        <f t="shared" ca="1" si="1"/>
        <v>1</v>
      </c>
    </row>
    <row r="104" spans="1:18" ht="15.5" x14ac:dyDescent="0.35">
      <c r="A104" s="272"/>
      <c r="B104" s="360">
        <f t="shared" si="2"/>
        <v>38</v>
      </c>
      <c r="C104" s="361">
        <f ca="1">IF($B104="","",'Fecha Pago'!K41)</f>
        <v>47302</v>
      </c>
      <c r="D104" s="362">
        <f>IF($B$67="","",'Fecha Pago'!L41)</f>
        <v>30.4</v>
      </c>
      <c r="E104" s="363">
        <f>IF(B104="","",IF(Sheet1!$Z$1=2,'Tabla de Pagos Crecientes'!E44,$F$62))</f>
        <v>0.11</v>
      </c>
      <c r="F104" s="362">
        <f ca="1">IF($B104="","",IF(Sheet1!$Z$1=2,'Tabla de Pagos Crecientes'!F44,'Tabla Fijos'!F49))</f>
        <v>950246.5851401157</v>
      </c>
      <c r="G104" s="362">
        <f ca="1">IF($B104="","",IF(Sheet1!$Z$1=2,'Tabla de Pagos Crecientes'!G44,'Tabla Fijos'!G49))</f>
        <v>1595.1492643050242</v>
      </c>
      <c r="H104" s="362">
        <f ca="1">IF($B104="","",IF(Sheet1!$Z$1=2,'Tabla de Pagos Crecientes'!H44,'Tabla Fijos'!H49))</f>
        <v>8826.7349464126291</v>
      </c>
      <c r="I104" s="362">
        <f>IF($B104=0,0,IF(B104="","",VLOOKUP($B104,'Tabla Fijos'!$B$12:$S$311,8,0)))</f>
        <v>0</v>
      </c>
      <c r="J104" s="362">
        <f ca="1">IF($B104="","",IF(Sheet1!$Z$1=2,'Tabla de Pagos Crecientes'!J44,'Tabla Fijos'!K49))</f>
        <v>0</v>
      </c>
      <c r="K104" s="362">
        <f ca="1">IF($B104="","",IF(Sheet1!$Z$1=2,'Tabla de Pagos Crecientes'!K44,'Tabla Fijos'!L49))</f>
        <v>0</v>
      </c>
      <c r="L104" s="362">
        <f ca="1">IF($B104="","",IF(Sheet1!$Z$1=2,'Tabla de Pagos Crecientes'!L44,'Tabla Fijos'!M49))</f>
        <v>0</v>
      </c>
      <c r="M104" s="362">
        <f ca="1">IF($B104="","",IF(Sheet1!$Z$1=2,'Tabla de Pagos Crecientes'!M44,'Tabla Fijos'!N49))</f>
        <v>0</v>
      </c>
      <c r="N104" s="364"/>
      <c r="O104" s="362">
        <f>IF($B104="","",IF(Sheet1!$Z$1=2,'Tabla de Pagos Crecientes'!O44,'Tabla Fijos'!Q49))</f>
        <v>0</v>
      </c>
      <c r="P104" s="362">
        <f ca="1">IF(B104="","",G104+H104+I104+J104+K104+L104-M104-'Tabla Fijos'!P49)</f>
        <v>10421.884210717653</v>
      </c>
      <c r="Q104" s="362">
        <f t="shared" ca="1" si="0"/>
        <v>948651.43587581068</v>
      </c>
      <c r="R104" s="272">
        <f t="shared" ca="1" si="1"/>
        <v>1</v>
      </c>
    </row>
    <row r="105" spans="1:18" ht="15.5" x14ac:dyDescent="0.35">
      <c r="A105" s="272"/>
      <c r="B105" s="360">
        <f t="shared" si="2"/>
        <v>39</v>
      </c>
      <c r="C105" s="361">
        <f ca="1">IF($B105="","",'Fecha Pago'!K42)</f>
        <v>47333</v>
      </c>
      <c r="D105" s="362">
        <f>IF($B$67="","",'Fecha Pago'!L42)</f>
        <v>30.4</v>
      </c>
      <c r="E105" s="363">
        <f>IF(B105="","",IF(Sheet1!$Z$1=2,'Tabla de Pagos Crecientes'!E45,$F$62))</f>
        <v>0.11</v>
      </c>
      <c r="F105" s="362">
        <f ca="1">IF($B105="","",IF(Sheet1!$Z$1=2,'Tabla de Pagos Crecientes'!F45,'Tabla Fijos'!F50))</f>
        <v>948651.43587581068</v>
      </c>
      <c r="G105" s="362">
        <f ca="1">IF($B105="","",IF(Sheet1!$Z$1=2,'Tabla de Pagos Crecientes'!G45,'Tabla Fijos'!G50))</f>
        <v>1609.9664285823492</v>
      </c>
      <c r="H105" s="362">
        <f ca="1">IF($B105="","",IF(Sheet1!$Z$1=2,'Tabla de Pagos Crecientes'!H45,'Tabla Fijos'!H50))</f>
        <v>8811.9177821353078</v>
      </c>
      <c r="I105" s="362">
        <f>IF($B105=0,0,IF(B105="","",VLOOKUP($B105,'Tabla Fijos'!$B$12:$S$311,8,0)))</f>
        <v>0</v>
      </c>
      <c r="J105" s="362">
        <f ca="1">IF($B105="","",IF(Sheet1!$Z$1=2,'Tabla de Pagos Crecientes'!J45,'Tabla Fijos'!K50))</f>
        <v>0</v>
      </c>
      <c r="K105" s="362">
        <f ca="1">IF($B105="","",IF(Sheet1!$Z$1=2,'Tabla de Pagos Crecientes'!K45,'Tabla Fijos'!L50))</f>
        <v>0</v>
      </c>
      <c r="L105" s="362">
        <f ca="1">IF($B105="","",IF(Sheet1!$Z$1=2,'Tabla de Pagos Crecientes'!L45,'Tabla Fijos'!M50))</f>
        <v>0</v>
      </c>
      <c r="M105" s="362">
        <f ca="1">IF($B105="","",IF(Sheet1!$Z$1=2,'Tabla de Pagos Crecientes'!M45,'Tabla Fijos'!N50))</f>
        <v>0</v>
      </c>
      <c r="N105" s="364"/>
      <c r="O105" s="362">
        <f>IF($B105="","",IF(Sheet1!$Z$1=2,'Tabla de Pagos Crecientes'!O45,'Tabla Fijos'!Q50))</f>
        <v>0</v>
      </c>
      <c r="P105" s="362">
        <f ca="1">IF(B105="","",G105+H105+I105+J105+K105+L105-M105-'Tabla Fijos'!P50)</f>
        <v>10421.884210717657</v>
      </c>
      <c r="Q105" s="362">
        <f t="shared" ca="1" si="0"/>
        <v>947041.46944722836</v>
      </c>
      <c r="R105" s="272">
        <f t="shared" ca="1" si="1"/>
        <v>1</v>
      </c>
    </row>
    <row r="106" spans="1:18" ht="15.5" x14ac:dyDescent="0.35">
      <c r="A106" s="272"/>
      <c r="B106" s="360">
        <f t="shared" si="2"/>
        <v>40</v>
      </c>
      <c r="C106" s="361">
        <f ca="1">IF($B106="","",'Fecha Pago'!K43)</f>
        <v>47364</v>
      </c>
      <c r="D106" s="362">
        <f>IF($B$67="","",'Fecha Pago'!L43)</f>
        <v>30.4</v>
      </c>
      <c r="E106" s="363">
        <f>IF(B106="","",IF(Sheet1!$Z$1=2,'Tabla de Pagos Crecientes'!E46,$F$62))</f>
        <v>0.11</v>
      </c>
      <c r="F106" s="362">
        <f ca="1">IF($B106="","",IF(Sheet1!$Z$1=2,'Tabla de Pagos Crecientes'!F46,'Tabla Fijos'!F51))</f>
        <v>947041.46944722836</v>
      </c>
      <c r="G106" s="362">
        <f ca="1">IF($B106="","",IF(Sheet1!$Z$1=2,'Tabla de Pagos Crecientes'!G46,'Tabla Fijos'!G51))</f>
        <v>1624.9212278522918</v>
      </c>
      <c r="H106" s="362">
        <f ca="1">IF($B106="","",IF(Sheet1!$Z$1=2,'Tabla de Pagos Crecientes'!H46,'Tabla Fijos'!H51))</f>
        <v>8796.9629828653651</v>
      </c>
      <c r="I106" s="362">
        <f>IF($B106=0,0,IF(B106="","",VLOOKUP($B106,'Tabla Fijos'!$B$12:$S$311,8,0)))</f>
        <v>0</v>
      </c>
      <c r="J106" s="362">
        <f ca="1">IF($B106="","",IF(Sheet1!$Z$1=2,'Tabla de Pagos Crecientes'!J46,'Tabla Fijos'!K51))</f>
        <v>0</v>
      </c>
      <c r="K106" s="362">
        <f ca="1">IF($B106="","",IF(Sheet1!$Z$1=2,'Tabla de Pagos Crecientes'!K46,'Tabla Fijos'!L51))</f>
        <v>0</v>
      </c>
      <c r="L106" s="362">
        <f ca="1">IF($B106="","",IF(Sheet1!$Z$1=2,'Tabla de Pagos Crecientes'!L46,'Tabla Fijos'!M51))</f>
        <v>0</v>
      </c>
      <c r="M106" s="362">
        <f ca="1">IF($B106="","",IF(Sheet1!$Z$1=2,'Tabla de Pagos Crecientes'!M46,'Tabla Fijos'!N51))</f>
        <v>0</v>
      </c>
      <c r="N106" s="364"/>
      <c r="O106" s="362">
        <f>IF($B106="","",IF(Sheet1!$Z$1=2,'Tabla de Pagos Crecientes'!O46,'Tabla Fijos'!Q51))</f>
        <v>0</v>
      </c>
      <c r="P106" s="362">
        <f ca="1">IF(B106="","",G106+H106+I106+J106+K106+L106-M106-'Tabla Fijos'!P51)</f>
        <v>10421.884210717657</v>
      </c>
      <c r="Q106" s="362">
        <f t="shared" ca="1" si="0"/>
        <v>945416.54821937601</v>
      </c>
      <c r="R106" s="272">
        <f t="shared" ca="1" si="1"/>
        <v>1</v>
      </c>
    </row>
    <row r="107" spans="1:18" ht="15.5" x14ac:dyDescent="0.35">
      <c r="A107" s="272"/>
      <c r="B107" s="360">
        <f t="shared" si="2"/>
        <v>41</v>
      </c>
      <c r="C107" s="361">
        <f ca="1">IF($B107="","",'Fecha Pago'!K44)</f>
        <v>47394</v>
      </c>
      <c r="D107" s="362">
        <f>IF($B$67="","",'Fecha Pago'!L44)</f>
        <v>30.4</v>
      </c>
      <c r="E107" s="363">
        <f>IF(B107="","",IF(Sheet1!$Z$1=2,'Tabla de Pagos Crecientes'!E47,$F$62))</f>
        <v>0.11</v>
      </c>
      <c r="F107" s="362">
        <f ca="1">IF($B107="","",IF(Sheet1!$Z$1=2,'Tabla de Pagos Crecientes'!F47,'Tabla Fijos'!F52))</f>
        <v>945416.54821937601</v>
      </c>
      <c r="G107" s="362">
        <f ca="1">IF($B107="","",IF(Sheet1!$Z$1=2,'Tabla de Pagos Crecientes'!G47,'Tabla Fijos'!G52))</f>
        <v>1640.0149405910088</v>
      </c>
      <c r="H107" s="362">
        <f ca="1">IF($B107="","",IF(Sheet1!$Z$1=2,'Tabla de Pagos Crecientes'!H47,'Tabla Fijos'!H52))</f>
        <v>8781.8692701266482</v>
      </c>
      <c r="I107" s="362">
        <f>IF($B107=0,0,IF(B107="","",VLOOKUP($B107,'Tabla Fijos'!$B$12:$S$311,8,0)))</f>
        <v>0</v>
      </c>
      <c r="J107" s="362">
        <f ca="1">IF($B107="","",IF(Sheet1!$Z$1=2,'Tabla de Pagos Crecientes'!J47,'Tabla Fijos'!K52))</f>
        <v>0</v>
      </c>
      <c r="K107" s="362">
        <f ca="1">IF($B107="","",IF(Sheet1!$Z$1=2,'Tabla de Pagos Crecientes'!K47,'Tabla Fijos'!L52))</f>
        <v>0</v>
      </c>
      <c r="L107" s="362">
        <f ca="1">IF($B107="","",IF(Sheet1!$Z$1=2,'Tabla de Pagos Crecientes'!L47,'Tabla Fijos'!M52))</f>
        <v>0</v>
      </c>
      <c r="M107" s="362">
        <f ca="1">IF($B107="","",IF(Sheet1!$Z$1=2,'Tabla de Pagos Crecientes'!M47,'Tabla Fijos'!N52))</f>
        <v>0</v>
      </c>
      <c r="N107" s="364"/>
      <c r="O107" s="362">
        <f>IF($B107="","",IF(Sheet1!$Z$1=2,'Tabla de Pagos Crecientes'!O47,'Tabla Fijos'!Q52))</f>
        <v>0</v>
      </c>
      <c r="P107" s="362">
        <f ca="1">IF(B107="","",G107+H107+I107+J107+K107+L107-M107-'Tabla Fijos'!P52)</f>
        <v>10421.884210717657</v>
      </c>
      <c r="Q107" s="362">
        <f t="shared" ca="1" si="0"/>
        <v>943776.53327878495</v>
      </c>
      <c r="R107" s="272">
        <f t="shared" ca="1" si="1"/>
        <v>1</v>
      </c>
    </row>
    <row r="108" spans="1:18" ht="15.5" x14ac:dyDescent="0.35">
      <c r="A108" s="272"/>
      <c r="B108" s="360">
        <f t="shared" si="2"/>
        <v>42</v>
      </c>
      <c r="C108" s="361">
        <f ca="1">IF($B108="","",'Fecha Pago'!K45)</f>
        <v>47425</v>
      </c>
      <c r="D108" s="362">
        <f>IF($B$67="","",'Fecha Pago'!L45)</f>
        <v>30.4</v>
      </c>
      <c r="E108" s="363">
        <f>IF(B108="","",IF(Sheet1!$Z$1=2,'Tabla de Pagos Crecientes'!E48,$F$62))</f>
        <v>0.11</v>
      </c>
      <c r="F108" s="362">
        <f ca="1">IF($B108="","",IF(Sheet1!$Z$1=2,'Tabla de Pagos Crecientes'!F48,'Tabla Fijos'!F53))</f>
        <v>943776.53327878495</v>
      </c>
      <c r="G108" s="362">
        <f ca="1">IF($B108="","",IF(Sheet1!$Z$1=2,'Tabla de Pagos Crecientes'!G48,'Tabla Fijos'!G53))</f>
        <v>1655.2488571502781</v>
      </c>
      <c r="H108" s="362">
        <f ca="1">IF($B108="","",IF(Sheet1!$Z$1=2,'Tabla de Pagos Crecientes'!H48,'Tabla Fijos'!H53))</f>
        <v>8766.6353535673788</v>
      </c>
      <c r="I108" s="362">
        <f>IF($B108=0,0,IF(B108="","",VLOOKUP($B108,'Tabla Fijos'!$B$12:$S$311,8,0)))</f>
        <v>0</v>
      </c>
      <c r="J108" s="362">
        <f ca="1">IF($B108="","",IF(Sheet1!$Z$1=2,'Tabla de Pagos Crecientes'!J48,'Tabla Fijos'!K53))</f>
        <v>0</v>
      </c>
      <c r="K108" s="362">
        <f ca="1">IF($B108="","",IF(Sheet1!$Z$1=2,'Tabla de Pagos Crecientes'!K48,'Tabla Fijos'!L53))</f>
        <v>0</v>
      </c>
      <c r="L108" s="362">
        <f ca="1">IF($B108="","",IF(Sheet1!$Z$1=2,'Tabla de Pagos Crecientes'!L48,'Tabla Fijos'!M53))</f>
        <v>0</v>
      </c>
      <c r="M108" s="362">
        <f ca="1">IF($B108="","",IF(Sheet1!$Z$1=2,'Tabla de Pagos Crecientes'!M48,'Tabla Fijos'!N53))</f>
        <v>0</v>
      </c>
      <c r="N108" s="364"/>
      <c r="O108" s="362">
        <f>IF($B108="","",IF(Sheet1!$Z$1=2,'Tabla de Pagos Crecientes'!O48,'Tabla Fijos'!Q53))</f>
        <v>0</v>
      </c>
      <c r="P108" s="362">
        <f ca="1">IF(B108="","",G108+H108+I108+J108+K108+L108-M108-'Tabla Fijos'!P53)</f>
        <v>10421.884210717657</v>
      </c>
      <c r="Q108" s="362">
        <f t="shared" ca="1" si="0"/>
        <v>942121.28442163463</v>
      </c>
      <c r="R108" s="272">
        <f t="shared" ca="1" si="1"/>
        <v>1</v>
      </c>
    </row>
    <row r="109" spans="1:18" ht="15.5" x14ac:dyDescent="0.35">
      <c r="A109" s="272"/>
      <c r="B109" s="360">
        <f t="shared" si="2"/>
        <v>43</v>
      </c>
      <c r="C109" s="361">
        <f ca="1">IF($B109="","",'Fecha Pago'!K46)</f>
        <v>47455</v>
      </c>
      <c r="D109" s="362">
        <f>IF($B$67="","",'Fecha Pago'!L46)</f>
        <v>30.4</v>
      </c>
      <c r="E109" s="363">
        <f>IF(B109="","",IF(Sheet1!$Z$1=2,'Tabla de Pagos Crecientes'!E49,$F$62))</f>
        <v>0.11</v>
      </c>
      <c r="F109" s="362">
        <f ca="1">IF($B109="","",IF(Sheet1!$Z$1=2,'Tabla de Pagos Crecientes'!F49,'Tabla Fijos'!F54))</f>
        <v>942121.28442163463</v>
      </c>
      <c r="G109" s="362">
        <f ca="1">IF($B109="","",IF(Sheet1!$Z$1=2,'Tabla de Pagos Crecientes'!G49,'Tabla Fijos'!G54))</f>
        <v>1670.6242798678031</v>
      </c>
      <c r="H109" s="362">
        <f ca="1">IF($B109="","",IF(Sheet1!$Z$1=2,'Tabla de Pagos Crecientes'!H49,'Tabla Fijos'!H54))</f>
        <v>8751.2599308498502</v>
      </c>
      <c r="I109" s="362">
        <f>IF($B109=0,0,IF(B109="","",VLOOKUP($B109,'Tabla Fijos'!$B$12:$S$311,8,0)))</f>
        <v>0</v>
      </c>
      <c r="J109" s="362">
        <f ca="1">IF($B109="","",IF(Sheet1!$Z$1=2,'Tabla de Pagos Crecientes'!J49,'Tabla Fijos'!K54))</f>
        <v>0</v>
      </c>
      <c r="K109" s="362">
        <f ca="1">IF($B109="","",IF(Sheet1!$Z$1=2,'Tabla de Pagos Crecientes'!K49,'Tabla Fijos'!L54))</f>
        <v>0</v>
      </c>
      <c r="L109" s="362">
        <f ca="1">IF($B109="","",IF(Sheet1!$Z$1=2,'Tabla de Pagos Crecientes'!L49,'Tabla Fijos'!M54))</f>
        <v>0</v>
      </c>
      <c r="M109" s="362">
        <f ca="1">IF($B109="","",IF(Sheet1!$Z$1=2,'Tabla de Pagos Crecientes'!M49,'Tabla Fijos'!N54))</f>
        <v>0</v>
      </c>
      <c r="N109" s="364"/>
      <c r="O109" s="362">
        <f>IF($B109="","",IF(Sheet1!$Z$1=2,'Tabla de Pagos Crecientes'!O49,'Tabla Fijos'!Q54))</f>
        <v>0</v>
      </c>
      <c r="P109" s="362">
        <f ca="1">IF(B109="","",G109+H109+I109+J109+K109+L109-M109-'Tabla Fijos'!P54)</f>
        <v>10421.884210717653</v>
      </c>
      <c r="Q109" s="362">
        <f t="shared" ca="1" si="0"/>
        <v>940450.66014176677</v>
      </c>
      <c r="R109" s="272">
        <f t="shared" ca="1" si="1"/>
        <v>1</v>
      </c>
    </row>
    <row r="110" spans="1:18" ht="15.5" x14ac:dyDescent="0.35">
      <c r="A110" s="272"/>
      <c r="B110" s="360">
        <f t="shared" si="2"/>
        <v>44</v>
      </c>
      <c r="C110" s="361">
        <f ca="1">IF($B110="","",'Fecha Pago'!K47)</f>
        <v>47486</v>
      </c>
      <c r="D110" s="362">
        <f>IF($B$67="","",'Fecha Pago'!L47)</f>
        <v>30.4</v>
      </c>
      <c r="E110" s="363">
        <f>IF(B110="","",IF(Sheet1!$Z$1=2,'Tabla de Pagos Crecientes'!E50,$F$62))</f>
        <v>0.11</v>
      </c>
      <c r="F110" s="362">
        <f ca="1">IF($B110="","",IF(Sheet1!$Z$1=2,'Tabla de Pagos Crecientes'!F50,'Tabla Fijos'!F55))</f>
        <v>940450.66014176677</v>
      </c>
      <c r="G110" s="362">
        <f ca="1">IF($B110="","",IF(Sheet1!$Z$1=2,'Tabla de Pagos Crecientes'!G50,'Tabla Fijos'!G55))</f>
        <v>1686.1425231785761</v>
      </c>
      <c r="H110" s="362">
        <f ca="1">IF($B110="","",IF(Sheet1!$Z$1=2,'Tabla de Pagos Crecientes'!H50,'Tabla Fijos'!H55))</f>
        <v>8735.7416875390772</v>
      </c>
      <c r="I110" s="362">
        <f>IF($B110=0,0,IF(B110="","",VLOOKUP($B110,'Tabla Fijos'!$B$12:$S$311,8,0)))</f>
        <v>0</v>
      </c>
      <c r="J110" s="362">
        <f ca="1">IF($B110="","",IF(Sheet1!$Z$1=2,'Tabla de Pagos Crecientes'!J50,'Tabla Fijos'!K55))</f>
        <v>0</v>
      </c>
      <c r="K110" s="362">
        <f ca="1">IF($B110="","",IF(Sheet1!$Z$1=2,'Tabla de Pagos Crecientes'!K50,'Tabla Fijos'!L55))</f>
        <v>0</v>
      </c>
      <c r="L110" s="362">
        <f ca="1">IF($B110="","",IF(Sheet1!$Z$1=2,'Tabla de Pagos Crecientes'!L50,'Tabla Fijos'!M55))</f>
        <v>0</v>
      </c>
      <c r="M110" s="362">
        <f ca="1">IF($B110="","",IF(Sheet1!$Z$1=2,'Tabla de Pagos Crecientes'!M50,'Tabla Fijos'!N55))</f>
        <v>0</v>
      </c>
      <c r="N110" s="364"/>
      <c r="O110" s="362">
        <f>IF($B110="","",IF(Sheet1!$Z$1=2,'Tabla de Pagos Crecientes'!O50,'Tabla Fijos'!Q55))</f>
        <v>0</v>
      </c>
      <c r="P110" s="362">
        <f ca="1">IF(B110="","",G110+H110+I110+J110+K110+L110-M110-'Tabla Fijos'!P55)</f>
        <v>10421.884210717653</v>
      </c>
      <c r="Q110" s="362">
        <f t="shared" ca="1" si="0"/>
        <v>938764.51761858817</v>
      </c>
      <c r="R110" s="272">
        <f t="shared" ca="1" si="1"/>
        <v>1</v>
      </c>
    </row>
    <row r="111" spans="1:18" ht="15.5" x14ac:dyDescent="0.35">
      <c r="A111" s="272"/>
      <c r="B111" s="360">
        <f t="shared" si="2"/>
        <v>45</v>
      </c>
      <c r="C111" s="361">
        <f ca="1">IF($B111="","",'Fecha Pago'!K48)</f>
        <v>47517</v>
      </c>
      <c r="D111" s="362">
        <f>IF($B$67="","",'Fecha Pago'!L48)</f>
        <v>30.4</v>
      </c>
      <c r="E111" s="363">
        <f>IF(B111="","",IF(Sheet1!$Z$1=2,'Tabla de Pagos Crecientes'!E51,$F$62))</f>
        <v>0.11</v>
      </c>
      <c r="F111" s="362">
        <f ca="1">IF($B111="","",IF(Sheet1!$Z$1=2,'Tabla de Pagos Crecientes'!F51,'Tabla Fijos'!F56))</f>
        <v>938764.51761858817</v>
      </c>
      <c r="G111" s="362">
        <f ca="1">IF($B111="","",IF(Sheet1!$Z$1=2,'Tabla de Pagos Crecientes'!G51,'Tabla Fijos'!G56))</f>
        <v>1701.8049137272119</v>
      </c>
      <c r="H111" s="362">
        <f ca="1">IF($B111="","",IF(Sheet1!$Z$1=2,'Tabla de Pagos Crecientes'!H51,'Tabla Fijos'!H56))</f>
        <v>8720.0792969904414</v>
      </c>
      <c r="I111" s="362">
        <f>IF($B111=0,0,IF(B111="","",VLOOKUP($B111,'Tabla Fijos'!$B$12:$S$311,8,0)))</f>
        <v>0</v>
      </c>
      <c r="J111" s="362">
        <f ca="1">IF($B111="","",IF(Sheet1!$Z$1=2,'Tabla de Pagos Crecientes'!J51,'Tabla Fijos'!K56))</f>
        <v>0</v>
      </c>
      <c r="K111" s="362">
        <f ca="1">IF($B111="","",IF(Sheet1!$Z$1=2,'Tabla de Pagos Crecientes'!K51,'Tabla Fijos'!L56))</f>
        <v>0</v>
      </c>
      <c r="L111" s="362">
        <f ca="1">IF($B111="","",IF(Sheet1!$Z$1=2,'Tabla de Pagos Crecientes'!L51,'Tabla Fijos'!M56))</f>
        <v>0</v>
      </c>
      <c r="M111" s="362">
        <f ca="1">IF($B111="","",IF(Sheet1!$Z$1=2,'Tabla de Pagos Crecientes'!M51,'Tabla Fijos'!N56))</f>
        <v>0</v>
      </c>
      <c r="N111" s="364"/>
      <c r="O111" s="362">
        <f>IF($B111="","",IF(Sheet1!$Z$1=2,'Tabla de Pagos Crecientes'!O51,'Tabla Fijos'!Q56))</f>
        <v>0</v>
      </c>
      <c r="P111" s="362">
        <f ca="1">IF(B111="","",G111+H111+I111+J111+K111+L111-M111-'Tabla Fijos'!P56)</f>
        <v>10421.884210717653</v>
      </c>
      <c r="Q111" s="362">
        <f t="shared" ca="1" si="0"/>
        <v>937062.71270486095</v>
      </c>
      <c r="R111" s="272">
        <f t="shared" ca="1" si="1"/>
        <v>1</v>
      </c>
    </row>
    <row r="112" spans="1:18" ht="15.5" x14ac:dyDescent="0.35">
      <c r="A112" s="272"/>
      <c r="B112" s="360">
        <f t="shared" si="2"/>
        <v>46</v>
      </c>
      <c r="C112" s="361">
        <f ca="1">IF($B112="","",'Fecha Pago'!K49)</f>
        <v>47545</v>
      </c>
      <c r="D112" s="362">
        <f>IF($B$67="","",'Fecha Pago'!L49)</f>
        <v>30.4</v>
      </c>
      <c r="E112" s="363">
        <f>IF(B112="","",IF(Sheet1!$Z$1=2,'Tabla de Pagos Crecientes'!E52,$F$62))</f>
        <v>0.11</v>
      </c>
      <c r="F112" s="362">
        <f ca="1">IF($B112="","",IF(Sheet1!$Z$1=2,'Tabla de Pagos Crecientes'!F52,'Tabla Fijos'!F57))</f>
        <v>937062.71270486095</v>
      </c>
      <c r="G112" s="362">
        <f ca="1">IF($B112="","",IF(Sheet1!$Z$1=2,'Tabla de Pagos Crecientes'!G52,'Tabla Fijos'!G57))</f>
        <v>1717.6127904813893</v>
      </c>
      <c r="H112" s="362">
        <f ca="1">IF($B112="","",IF(Sheet1!$Z$1=2,'Tabla de Pagos Crecientes'!H52,'Tabla Fijos'!H57))</f>
        <v>8704.271420236264</v>
      </c>
      <c r="I112" s="362">
        <f>IF($B112=0,0,IF(B112="","",VLOOKUP($B112,'Tabla Fijos'!$B$12:$S$311,8,0)))</f>
        <v>0</v>
      </c>
      <c r="J112" s="362">
        <f ca="1">IF($B112="","",IF(Sheet1!$Z$1=2,'Tabla de Pagos Crecientes'!J52,'Tabla Fijos'!K57))</f>
        <v>0</v>
      </c>
      <c r="K112" s="362">
        <f ca="1">IF($B112="","",IF(Sheet1!$Z$1=2,'Tabla de Pagos Crecientes'!K52,'Tabla Fijos'!L57))</f>
        <v>0</v>
      </c>
      <c r="L112" s="362">
        <f ca="1">IF($B112="","",IF(Sheet1!$Z$1=2,'Tabla de Pagos Crecientes'!L52,'Tabla Fijos'!M57))</f>
        <v>0</v>
      </c>
      <c r="M112" s="362">
        <f ca="1">IF($B112="","",IF(Sheet1!$Z$1=2,'Tabla de Pagos Crecientes'!M52,'Tabla Fijos'!N57))</f>
        <v>0</v>
      </c>
      <c r="N112" s="364"/>
      <c r="O112" s="362">
        <f>IF($B112="","",IF(Sheet1!$Z$1=2,'Tabla de Pagos Crecientes'!O52,'Tabla Fijos'!Q57))</f>
        <v>0</v>
      </c>
      <c r="P112" s="362">
        <f ca="1">IF(B112="","",G112+H112+I112+J112+K112+L112-M112-'Tabla Fijos'!P57)</f>
        <v>10421.884210717653</v>
      </c>
      <c r="Q112" s="362">
        <f t="shared" ca="1" si="0"/>
        <v>935345.09991437953</v>
      </c>
      <c r="R112" s="272">
        <f t="shared" ca="1" si="1"/>
        <v>1</v>
      </c>
    </row>
    <row r="113" spans="1:18" ht="15.5" x14ac:dyDescent="0.35">
      <c r="A113" s="272"/>
      <c r="B113" s="360">
        <f t="shared" si="2"/>
        <v>47</v>
      </c>
      <c r="C113" s="361">
        <f ca="1">IF($B113="","",'Fecha Pago'!K50)</f>
        <v>47576</v>
      </c>
      <c r="D113" s="362">
        <f>IF($B$67="","",'Fecha Pago'!L50)</f>
        <v>30.4</v>
      </c>
      <c r="E113" s="363">
        <f>IF(B113="","",IF(Sheet1!$Z$1=2,'Tabla de Pagos Crecientes'!E53,$F$62))</f>
        <v>0.11</v>
      </c>
      <c r="F113" s="362">
        <f ca="1">IF($B113="","",IF(Sheet1!$Z$1=2,'Tabla de Pagos Crecientes'!F53,'Tabla Fijos'!F58))</f>
        <v>935345.09991437953</v>
      </c>
      <c r="G113" s="362">
        <f ca="1">IF($B113="","",IF(Sheet1!$Z$1=2,'Tabla de Pagos Crecientes'!G53,'Tabla Fijos'!G58))</f>
        <v>1733.5675048463072</v>
      </c>
      <c r="H113" s="362">
        <f ca="1">IF($B113="","",IF(Sheet1!$Z$1=2,'Tabla de Pagos Crecientes'!H53,'Tabla Fijos'!H58))</f>
        <v>8688.3167058713461</v>
      </c>
      <c r="I113" s="362">
        <f>IF($B113=0,0,IF(B113="","",VLOOKUP($B113,'Tabla Fijos'!$B$12:$S$311,8,0)))</f>
        <v>0</v>
      </c>
      <c r="J113" s="362">
        <f ca="1">IF($B113="","",IF(Sheet1!$Z$1=2,'Tabla de Pagos Crecientes'!J53,'Tabla Fijos'!K58))</f>
        <v>0</v>
      </c>
      <c r="K113" s="362">
        <f ca="1">IF($B113="","",IF(Sheet1!$Z$1=2,'Tabla de Pagos Crecientes'!K53,'Tabla Fijos'!L58))</f>
        <v>0</v>
      </c>
      <c r="L113" s="362">
        <f ca="1">IF($B113="","",IF(Sheet1!$Z$1=2,'Tabla de Pagos Crecientes'!L53,'Tabla Fijos'!M58))</f>
        <v>0</v>
      </c>
      <c r="M113" s="362">
        <f ca="1">IF($B113="","",IF(Sheet1!$Z$1=2,'Tabla de Pagos Crecientes'!M53,'Tabla Fijos'!N58))</f>
        <v>0</v>
      </c>
      <c r="N113" s="364"/>
      <c r="O113" s="362">
        <f>IF($B113="","",IF(Sheet1!$Z$1=2,'Tabla de Pagos Crecientes'!O53,'Tabla Fijos'!Q58))</f>
        <v>0</v>
      </c>
      <c r="P113" s="362">
        <f ca="1">IF(B113="","",G113+H113+I113+J113+K113+L113-M113-'Tabla Fijos'!P58)</f>
        <v>10421.884210717653</v>
      </c>
      <c r="Q113" s="362">
        <f t="shared" ca="1" si="0"/>
        <v>933611.53240953328</v>
      </c>
      <c r="R113" s="272">
        <f t="shared" ca="1" si="1"/>
        <v>1</v>
      </c>
    </row>
    <row r="114" spans="1:18" ht="15.5" x14ac:dyDescent="0.35">
      <c r="A114" s="272"/>
      <c r="B114" s="360">
        <f t="shared" si="2"/>
        <v>48</v>
      </c>
      <c r="C114" s="361">
        <f ca="1">IF($B114="","",'Fecha Pago'!K51)</f>
        <v>47606</v>
      </c>
      <c r="D114" s="362">
        <f>IF($B$67="","",'Fecha Pago'!L51)</f>
        <v>30.4</v>
      </c>
      <c r="E114" s="363">
        <f>IF(B114="","",IF(Sheet1!$Z$1=2,'Tabla de Pagos Crecientes'!E54,$F$62))</f>
        <v>0.11</v>
      </c>
      <c r="F114" s="362">
        <f ca="1">IF($B114="","",IF(Sheet1!$Z$1=2,'Tabla de Pagos Crecientes'!F54,'Tabla Fijos'!F59))</f>
        <v>933611.53240953328</v>
      </c>
      <c r="G114" s="362">
        <f ca="1">IF($B114="","",IF(Sheet1!$Z$1=2,'Tabla de Pagos Crecientes'!G54,'Tabla Fijos'!G59))</f>
        <v>1749.6704207802122</v>
      </c>
      <c r="H114" s="362">
        <f ca="1">IF($B114="","",IF(Sheet1!$Z$1=2,'Tabla de Pagos Crecientes'!H54,'Tabla Fijos'!H59))</f>
        <v>8672.2137899374411</v>
      </c>
      <c r="I114" s="362">
        <f>IF($B114=0,0,IF(B114="","",VLOOKUP($B114,'Tabla Fijos'!$B$12:$S$311,8,0)))</f>
        <v>0</v>
      </c>
      <c r="J114" s="362">
        <f ca="1">IF($B114="","",IF(Sheet1!$Z$1=2,'Tabla de Pagos Crecientes'!J54,'Tabla Fijos'!K59))</f>
        <v>0</v>
      </c>
      <c r="K114" s="362">
        <f ca="1">IF($B114="","",IF(Sheet1!$Z$1=2,'Tabla de Pagos Crecientes'!K54,'Tabla Fijos'!L59))</f>
        <v>0</v>
      </c>
      <c r="L114" s="362">
        <f ca="1">IF($B114="","",IF(Sheet1!$Z$1=2,'Tabla de Pagos Crecientes'!L54,'Tabla Fijos'!M59))</f>
        <v>0</v>
      </c>
      <c r="M114" s="362">
        <f ca="1">IF($B114="","",IF(Sheet1!$Z$1=2,'Tabla de Pagos Crecientes'!M54,'Tabla Fijos'!N59))</f>
        <v>0</v>
      </c>
      <c r="N114" s="364"/>
      <c r="O114" s="362">
        <f>IF($B114="","",IF(Sheet1!$Z$1=2,'Tabla de Pagos Crecientes'!O54,'Tabla Fijos'!Q59))</f>
        <v>0</v>
      </c>
      <c r="P114" s="362">
        <f ca="1">IF(B114="","",G114+H114+I114+J114+K114+L114-M114-'Tabla Fijos'!P59)</f>
        <v>10421.884210717653</v>
      </c>
      <c r="Q114" s="362">
        <f t="shared" ca="1" si="0"/>
        <v>931861.86198875308</v>
      </c>
      <c r="R114" s="272">
        <f t="shared" ca="1" si="1"/>
        <v>1</v>
      </c>
    </row>
    <row r="115" spans="1:18" ht="15.5" x14ac:dyDescent="0.35">
      <c r="A115" s="272"/>
      <c r="B115" s="360">
        <f t="shared" si="2"/>
        <v>49</v>
      </c>
      <c r="C115" s="361">
        <f ca="1">IF($B115="","",'Fecha Pago'!K52)</f>
        <v>47637</v>
      </c>
      <c r="D115" s="362">
        <f>IF($B$67="","",'Fecha Pago'!L52)</f>
        <v>30.4</v>
      </c>
      <c r="E115" s="363">
        <f>IF(B115="","",IF(Sheet1!$Z$1=2,'Tabla de Pagos Crecientes'!E55,$F$62))</f>
        <v>0.11</v>
      </c>
      <c r="F115" s="362">
        <f ca="1">IF($B115="","",IF(Sheet1!$Z$1=2,'Tabla de Pagos Crecientes'!F55,'Tabla Fijos'!F60))</f>
        <v>931861.86198875308</v>
      </c>
      <c r="G115" s="362">
        <f ca="1">IF($B115="","",IF(Sheet1!$Z$1=2,'Tabla de Pagos Crecientes'!G55,'Tabla Fijos'!G60))</f>
        <v>1765.9229149110142</v>
      </c>
      <c r="H115" s="362">
        <f ca="1">IF($B115="","",IF(Sheet1!$Z$1=2,'Tabla de Pagos Crecientes'!H55,'Tabla Fijos'!H60))</f>
        <v>8655.9612958066391</v>
      </c>
      <c r="I115" s="362">
        <f>IF($B115=0,0,IF(B115="","",VLOOKUP($B115,'Tabla Fijos'!$B$12:$S$311,8,0)))</f>
        <v>0</v>
      </c>
      <c r="J115" s="362">
        <f ca="1">IF($B115="","",IF(Sheet1!$Z$1=2,'Tabla de Pagos Crecientes'!J55,'Tabla Fijos'!K60))</f>
        <v>0</v>
      </c>
      <c r="K115" s="362">
        <f ca="1">IF($B115="","",IF(Sheet1!$Z$1=2,'Tabla de Pagos Crecientes'!K55,'Tabla Fijos'!L60))</f>
        <v>0</v>
      </c>
      <c r="L115" s="362">
        <f ca="1">IF($B115="","",IF(Sheet1!$Z$1=2,'Tabla de Pagos Crecientes'!L55,'Tabla Fijos'!M60))</f>
        <v>0</v>
      </c>
      <c r="M115" s="362">
        <f ca="1">IF($B115="","",IF(Sheet1!$Z$1=2,'Tabla de Pagos Crecientes'!M55,'Tabla Fijos'!N60))</f>
        <v>0</v>
      </c>
      <c r="N115" s="364"/>
      <c r="O115" s="362">
        <f>IF($B115="","",IF(Sheet1!$Z$1=2,'Tabla de Pagos Crecientes'!O55,'Tabla Fijos'!Q60))</f>
        <v>0</v>
      </c>
      <c r="P115" s="362">
        <f ca="1">IF(B115="","",G115+H115+I115+J115+K115+L115-M115-'Tabla Fijos'!P60)</f>
        <v>10421.884210717653</v>
      </c>
      <c r="Q115" s="362">
        <f t="shared" ca="1" si="0"/>
        <v>930095.93907384202</v>
      </c>
      <c r="R115" s="272">
        <f t="shared" ca="1" si="1"/>
        <v>1</v>
      </c>
    </row>
    <row r="116" spans="1:18" ht="15.5" x14ac:dyDescent="0.35">
      <c r="A116" s="272"/>
      <c r="B116" s="360">
        <f t="shared" si="2"/>
        <v>50</v>
      </c>
      <c r="C116" s="361">
        <f ca="1">IF($B116="","",'Fecha Pago'!K53)</f>
        <v>47667</v>
      </c>
      <c r="D116" s="362">
        <f>IF($B$67="","",'Fecha Pago'!L53)</f>
        <v>30.4</v>
      </c>
      <c r="E116" s="363">
        <f>IF(B116="","",IF(Sheet1!$Z$1=2,'Tabla de Pagos Crecientes'!E56,$F$62))</f>
        <v>0.11</v>
      </c>
      <c r="F116" s="362">
        <f ca="1">IF($B116="","",IF(Sheet1!$Z$1=2,'Tabla de Pagos Crecientes'!F56,'Tabla Fijos'!F61))</f>
        <v>930095.93907384202</v>
      </c>
      <c r="G116" s="362">
        <f ca="1">IF($B116="","",IF(Sheet1!$Z$1=2,'Tabla de Pagos Crecientes'!G56,'Tabla Fijos'!G61))</f>
        <v>1782.3263766539658</v>
      </c>
      <c r="H116" s="362">
        <f ca="1">IF($B116="","",IF(Sheet1!$Z$1=2,'Tabla de Pagos Crecientes'!H56,'Tabla Fijos'!H61))</f>
        <v>8639.5578340636876</v>
      </c>
      <c r="I116" s="362">
        <f>IF($B116=0,0,IF(B116="","",VLOOKUP($B116,'Tabla Fijos'!$B$12:$S$311,8,0)))</f>
        <v>0</v>
      </c>
      <c r="J116" s="362">
        <f ca="1">IF($B116="","",IF(Sheet1!$Z$1=2,'Tabla de Pagos Crecientes'!J56,'Tabla Fijos'!K61))</f>
        <v>0</v>
      </c>
      <c r="K116" s="362">
        <f ca="1">IF($B116="","",IF(Sheet1!$Z$1=2,'Tabla de Pagos Crecientes'!K56,'Tabla Fijos'!L61))</f>
        <v>0</v>
      </c>
      <c r="L116" s="362">
        <f ca="1">IF($B116="","",IF(Sheet1!$Z$1=2,'Tabla de Pagos Crecientes'!L56,'Tabla Fijos'!M61))</f>
        <v>0</v>
      </c>
      <c r="M116" s="362">
        <f ca="1">IF($B116="","",IF(Sheet1!$Z$1=2,'Tabla de Pagos Crecientes'!M56,'Tabla Fijos'!N61))</f>
        <v>0</v>
      </c>
      <c r="N116" s="364"/>
      <c r="O116" s="362">
        <f>IF($B116="","",IF(Sheet1!$Z$1=2,'Tabla de Pagos Crecientes'!O56,'Tabla Fijos'!Q61))</f>
        <v>0</v>
      </c>
      <c r="P116" s="362">
        <f ca="1">IF(B116="","",G116+H116+I116+J116+K116+L116-M116-'Tabla Fijos'!P61)</f>
        <v>10421.884210717653</v>
      </c>
      <c r="Q116" s="362">
        <f t="shared" ca="1" si="0"/>
        <v>928313.61269718804</v>
      </c>
      <c r="R116" s="272">
        <f t="shared" ca="1" si="1"/>
        <v>1</v>
      </c>
    </row>
    <row r="117" spans="1:18" ht="15.5" x14ac:dyDescent="0.35">
      <c r="A117" s="272"/>
      <c r="B117" s="360">
        <f t="shared" si="2"/>
        <v>51</v>
      </c>
      <c r="C117" s="361">
        <f ca="1">IF($B117="","",'Fecha Pago'!K54)</f>
        <v>47698</v>
      </c>
      <c r="D117" s="362">
        <f>IF($B$67="","",'Fecha Pago'!L54)</f>
        <v>30.4</v>
      </c>
      <c r="E117" s="363">
        <f>IF(B117="","",IF(Sheet1!$Z$1=2,'Tabla de Pagos Crecientes'!E57,$F$62))</f>
        <v>0.11</v>
      </c>
      <c r="F117" s="362">
        <f ca="1">IF($B117="","",IF(Sheet1!$Z$1=2,'Tabla de Pagos Crecientes'!F57,'Tabla Fijos'!F62))</f>
        <v>928313.61269718804</v>
      </c>
      <c r="G117" s="362">
        <f ca="1">IF($B117="","",IF(Sheet1!$Z$1=2,'Tabla de Pagos Crecientes'!G57,'Tabla Fijos'!G62))</f>
        <v>1798.8822083304403</v>
      </c>
      <c r="H117" s="362">
        <f ca="1">IF($B117="","",IF(Sheet1!$Z$1=2,'Tabla de Pagos Crecientes'!H57,'Tabla Fijos'!H62))</f>
        <v>8623.002002387213</v>
      </c>
      <c r="I117" s="362">
        <f>IF($B117=0,0,IF(B117="","",VLOOKUP($B117,'Tabla Fijos'!$B$12:$S$311,8,0)))</f>
        <v>0</v>
      </c>
      <c r="J117" s="362">
        <f ca="1">IF($B117="","",IF(Sheet1!$Z$1=2,'Tabla de Pagos Crecientes'!J57,'Tabla Fijos'!K62))</f>
        <v>0</v>
      </c>
      <c r="K117" s="362">
        <f ca="1">IF($B117="","",IF(Sheet1!$Z$1=2,'Tabla de Pagos Crecientes'!K57,'Tabla Fijos'!L62))</f>
        <v>0</v>
      </c>
      <c r="L117" s="362">
        <f ca="1">IF($B117="","",IF(Sheet1!$Z$1=2,'Tabla de Pagos Crecientes'!L57,'Tabla Fijos'!M62))</f>
        <v>0</v>
      </c>
      <c r="M117" s="362">
        <f ca="1">IF($B117="","",IF(Sheet1!$Z$1=2,'Tabla de Pagos Crecientes'!M57,'Tabla Fijos'!N62))</f>
        <v>0</v>
      </c>
      <c r="N117" s="364"/>
      <c r="O117" s="362">
        <f>IF($B117="","",IF(Sheet1!$Z$1=2,'Tabla de Pagos Crecientes'!O57,'Tabla Fijos'!Q62))</f>
        <v>0</v>
      </c>
      <c r="P117" s="362">
        <f ca="1">IF(B117="","",G117+H117+I117+J117+K117+L117-M117-'Tabla Fijos'!P62)</f>
        <v>10421.884210717653</v>
      </c>
      <c r="Q117" s="362">
        <f t="shared" ca="1" si="0"/>
        <v>926514.7304888576</v>
      </c>
      <c r="R117" s="272">
        <f t="shared" ca="1" si="1"/>
        <v>1</v>
      </c>
    </row>
    <row r="118" spans="1:18" ht="15.5" x14ac:dyDescent="0.35">
      <c r="A118" s="272"/>
      <c r="B118" s="360">
        <f t="shared" si="2"/>
        <v>52</v>
      </c>
      <c r="C118" s="361">
        <f ca="1">IF($B118="","",'Fecha Pago'!K55)</f>
        <v>47729</v>
      </c>
      <c r="D118" s="362">
        <f>IF($B$67="","",'Fecha Pago'!L55)</f>
        <v>30.4</v>
      </c>
      <c r="E118" s="363">
        <f>IF(B118="","",IF(Sheet1!$Z$1=2,'Tabla de Pagos Crecientes'!E58,$F$62))</f>
        <v>0.11</v>
      </c>
      <c r="F118" s="362">
        <f ca="1">IF($B118="","",IF(Sheet1!$Z$1=2,'Tabla de Pagos Crecientes'!F58,'Tabla Fijos'!F63))</f>
        <v>926514.7304888576</v>
      </c>
      <c r="G118" s="362">
        <f ca="1">IF($B118="","",IF(Sheet1!$Z$1=2,'Tabla de Pagos Crecientes'!G58,'Tabla Fijos'!G63))</f>
        <v>1815.5918252878218</v>
      </c>
      <c r="H118" s="362">
        <f ca="1">IF($B118="","",IF(Sheet1!$Z$1=2,'Tabla de Pagos Crecientes'!H58,'Tabla Fijos'!H63))</f>
        <v>8606.2923854298315</v>
      </c>
      <c r="I118" s="362">
        <f>IF($B118=0,0,IF(B118="","",VLOOKUP($B118,'Tabla Fijos'!$B$12:$S$311,8,0)))</f>
        <v>0</v>
      </c>
      <c r="J118" s="362">
        <f ca="1">IF($B118="","",IF(Sheet1!$Z$1=2,'Tabla de Pagos Crecientes'!J58,'Tabla Fijos'!K63))</f>
        <v>0</v>
      </c>
      <c r="K118" s="362">
        <f ca="1">IF($B118="","",IF(Sheet1!$Z$1=2,'Tabla de Pagos Crecientes'!K58,'Tabla Fijos'!L63))</f>
        <v>0</v>
      </c>
      <c r="L118" s="362">
        <f ca="1">IF($B118="","",IF(Sheet1!$Z$1=2,'Tabla de Pagos Crecientes'!L58,'Tabla Fijos'!M63))</f>
        <v>0</v>
      </c>
      <c r="M118" s="362">
        <f ca="1">IF($B118="","",IF(Sheet1!$Z$1=2,'Tabla de Pagos Crecientes'!M58,'Tabla Fijos'!N63))</f>
        <v>0</v>
      </c>
      <c r="N118" s="364"/>
      <c r="O118" s="362">
        <f>IF($B118="","",IF(Sheet1!$Z$1=2,'Tabla de Pagos Crecientes'!O58,'Tabla Fijos'!Q63))</f>
        <v>0</v>
      </c>
      <c r="P118" s="362">
        <f ca="1">IF(B118="","",G118+H118+I118+J118+K118+L118-M118-'Tabla Fijos'!P63)</f>
        <v>10421.884210717653</v>
      </c>
      <c r="Q118" s="362">
        <f t="shared" ca="1" si="0"/>
        <v>924699.13866356981</v>
      </c>
      <c r="R118" s="272">
        <f t="shared" ca="1" si="1"/>
        <v>1</v>
      </c>
    </row>
    <row r="119" spans="1:18" ht="15.5" x14ac:dyDescent="0.35">
      <c r="A119" s="272"/>
      <c r="B119" s="360">
        <f t="shared" si="2"/>
        <v>53</v>
      </c>
      <c r="C119" s="361">
        <f ca="1">IF($B119="","",'Fecha Pago'!K56)</f>
        <v>47759</v>
      </c>
      <c r="D119" s="362">
        <f>IF($B$67="","",'Fecha Pago'!L56)</f>
        <v>30.4</v>
      </c>
      <c r="E119" s="363">
        <f>IF(B119="","",IF(Sheet1!$Z$1=2,'Tabla de Pagos Crecientes'!E59,$F$62))</f>
        <v>0.11</v>
      </c>
      <c r="F119" s="362">
        <f ca="1">IF($B119="","",IF(Sheet1!$Z$1=2,'Tabla de Pagos Crecientes'!F59,'Tabla Fijos'!F64))</f>
        <v>924699.13866356981</v>
      </c>
      <c r="G119" s="362">
        <f ca="1">IF($B119="","",IF(Sheet1!$Z$1=2,'Tabla de Pagos Crecientes'!G59,'Tabla Fijos'!G64))</f>
        <v>1832.4566560204948</v>
      </c>
      <c r="H119" s="362">
        <f ca="1">IF($B119="","",IF(Sheet1!$Z$1=2,'Tabla de Pagos Crecientes'!H59,'Tabla Fijos'!H64))</f>
        <v>8589.4275546971585</v>
      </c>
      <c r="I119" s="362">
        <f>IF($B119=0,0,IF(B119="","",VLOOKUP($B119,'Tabla Fijos'!$B$12:$S$311,8,0)))</f>
        <v>0</v>
      </c>
      <c r="J119" s="362">
        <f ca="1">IF($B119="","",IF(Sheet1!$Z$1=2,'Tabla de Pagos Crecientes'!J59,'Tabla Fijos'!K64))</f>
        <v>0</v>
      </c>
      <c r="K119" s="362">
        <f ca="1">IF($B119="","",IF(Sheet1!$Z$1=2,'Tabla de Pagos Crecientes'!K59,'Tabla Fijos'!L64))</f>
        <v>0</v>
      </c>
      <c r="L119" s="362">
        <f ca="1">IF($B119="","",IF(Sheet1!$Z$1=2,'Tabla de Pagos Crecientes'!L59,'Tabla Fijos'!M64))</f>
        <v>0</v>
      </c>
      <c r="M119" s="362">
        <f ca="1">IF($B119="","",IF(Sheet1!$Z$1=2,'Tabla de Pagos Crecientes'!M59,'Tabla Fijos'!N64))</f>
        <v>0</v>
      </c>
      <c r="N119" s="364"/>
      <c r="O119" s="362">
        <f>IF($B119="","",IF(Sheet1!$Z$1=2,'Tabla de Pagos Crecientes'!O59,'Tabla Fijos'!Q64))</f>
        <v>0</v>
      </c>
      <c r="P119" s="362">
        <f ca="1">IF(B119="","",G119+H119+I119+J119+K119+L119-M119-'Tabla Fijos'!P64)</f>
        <v>10421.884210717653</v>
      </c>
      <c r="Q119" s="362">
        <f t="shared" ca="1" si="0"/>
        <v>922866.68200754933</v>
      </c>
      <c r="R119" s="272">
        <f t="shared" ca="1" si="1"/>
        <v>1</v>
      </c>
    </row>
    <row r="120" spans="1:18" ht="15.5" x14ac:dyDescent="0.35">
      <c r="A120" s="272"/>
      <c r="B120" s="360">
        <f t="shared" si="2"/>
        <v>54</v>
      </c>
      <c r="C120" s="361">
        <f ca="1">IF($B120="","",'Fecha Pago'!K57)</f>
        <v>47790</v>
      </c>
      <c r="D120" s="362">
        <f>IF($B$67="","",'Fecha Pago'!L57)</f>
        <v>30.4</v>
      </c>
      <c r="E120" s="363">
        <f>IF(B120="","",IF(Sheet1!$Z$1=2,'Tabla de Pagos Crecientes'!E60,$F$62))</f>
        <v>0.11</v>
      </c>
      <c r="F120" s="362">
        <f ca="1">IF($B120="","",IF(Sheet1!$Z$1=2,'Tabla de Pagos Crecientes'!F60,'Tabla Fijos'!F65))</f>
        <v>922866.68200754933</v>
      </c>
      <c r="G120" s="362">
        <f ca="1">IF($B120="","",IF(Sheet1!$Z$1=2,'Tabla de Pagos Crecientes'!G60,'Tabla Fijos'!G65))</f>
        <v>1849.4781422919732</v>
      </c>
      <c r="H120" s="362">
        <f ca="1">IF($B120="","",IF(Sheet1!$Z$1=2,'Tabla de Pagos Crecientes'!H60,'Tabla Fijos'!H65))</f>
        <v>8572.4060684256801</v>
      </c>
      <c r="I120" s="362">
        <f>IF($B120=0,0,IF(B120="","",VLOOKUP($B120,'Tabla Fijos'!$B$12:$S$311,8,0)))</f>
        <v>0</v>
      </c>
      <c r="J120" s="362">
        <f ca="1">IF($B120="","",IF(Sheet1!$Z$1=2,'Tabla de Pagos Crecientes'!J60,'Tabla Fijos'!K65))</f>
        <v>0</v>
      </c>
      <c r="K120" s="362">
        <f ca="1">IF($B120="","",IF(Sheet1!$Z$1=2,'Tabla de Pagos Crecientes'!K60,'Tabla Fijos'!L65))</f>
        <v>0</v>
      </c>
      <c r="L120" s="362">
        <f ca="1">IF($B120="","",IF(Sheet1!$Z$1=2,'Tabla de Pagos Crecientes'!L60,'Tabla Fijos'!M65))</f>
        <v>0</v>
      </c>
      <c r="M120" s="362">
        <f ca="1">IF($B120="","",IF(Sheet1!$Z$1=2,'Tabla de Pagos Crecientes'!M60,'Tabla Fijos'!N65))</f>
        <v>0</v>
      </c>
      <c r="N120" s="364"/>
      <c r="O120" s="362">
        <f>IF($B120="","",IF(Sheet1!$Z$1=2,'Tabla de Pagos Crecientes'!O60,'Tabla Fijos'!Q65))</f>
        <v>0</v>
      </c>
      <c r="P120" s="362">
        <f ca="1">IF(B120="","",G120+H120+I120+J120+K120+L120-M120-'Tabla Fijos'!P65)</f>
        <v>10421.884210717653</v>
      </c>
      <c r="Q120" s="362">
        <f t="shared" ca="1" si="0"/>
        <v>921017.20386525732</v>
      </c>
      <c r="R120" s="272">
        <f t="shared" ca="1" si="1"/>
        <v>1</v>
      </c>
    </row>
    <row r="121" spans="1:18" ht="15.5" x14ac:dyDescent="0.35">
      <c r="A121" s="272"/>
      <c r="B121" s="360">
        <f t="shared" si="2"/>
        <v>55</v>
      </c>
      <c r="C121" s="361">
        <f ca="1">IF($B121="","",'Fecha Pago'!K58)</f>
        <v>47820</v>
      </c>
      <c r="D121" s="362">
        <f>IF($B$67="","",'Fecha Pago'!L58)</f>
        <v>30.4</v>
      </c>
      <c r="E121" s="363">
        <f>IF(B121="","",IF(Sheet1!$Z$1=2,'Tabla de Pagos Crecientes'!E61,$F$62))</f>
        <v>0.11</v>
      </c>
      <c r="F121" s="362">
        <f ca="1">IF($B121="","",IF(Sheet1!$Z$1=2,'Tabla de Pagos Crecientes'!F61,'Tabla Fijos'!F66))</f>
        <v>921017.20386525732</v>
      </c>
      <c r="G121" s="362">
        <f ca="1">IF($B121="","",IF(Sheet1!$Z$1=2,'Tabla de Pagos Crecientes'!G61,'Tabla Fijos'!G66))</f>
        <v>1866.657739258153</v>
      </c>
      <c r="H121" s="362">
        <f ca="1">IF($B121="","",IF(Sheet1!$Z$1=2,'Tabla de Pagos Crecientes'!H61,'Tabla Fijos'!H66))</f>
        <v>8555.2264714595003</v>
      </c>
      <c r="I121" s="362">
        <f>IF($B121=0,0,IF(B121="","",VLOOKUP($B121,'Tabla Fijos'!$B$12:$S$311,8,0)))</f>
        <v>0</v>
      </c>
      <c r="J121" s="362">
        <f ca="1">IF($B121="","",IF(Sheet1!$Z$1=2,'Tabla de Pagos Crecientes'!J61,'Tabla Fijos'!K66))</f>
        <v>0</v>
      </c>
      <c r="K121" s="362">
        <f ca="1">IF($B121="","",IF(Sheet1!$Z$1=2,'Tabla de Pagos Crecientes'!K61,'Tabla Fijos'!L66))</f>
        <v>0</v>
      </c>
      <c r="L121" s="362">
        <f ca="1">IF($B121="","",IF(Sheet1!$Z$1=2,'Tabla de Pagos Crecientes'!L61,'Tabla Fijos'!M66))</f>
        <v>0</v>
      </c>
      <c r="M121" s="362">
        <f ca="1">IF($B121="","",IF(Sheet1!$Z$1=2,'Tabla de Pagos Crecientes'!M61,'Tabla Fijos'!N66))</f>
        <v>0</v>
      </c>
      <c r="N121" s="364"/>
      <c r="O121" s="362">
        <f>IF($B121="","",IF(Sheet1!$Z$1=2,'Tabla de Pagos Crecientes'!O61,'Tabla Fijos'!Q66))</f>
        <v>0</v>
      </c>
      <c r="P121" s="362">
        <f ca="1">IF(B121="","",G121+H121+I121+J121+K121+L121-M121-'Tabla Fijos'!P66)</f>
        <v>10421.884210717653</v>
      </c>
      <c r="Q121" s="362">
        <f t="shared" ca="1" si="0"/>
        <v>919150.54612599919</v>
      </c>
      <c r="R121" s="272">
        <f t="shared" ca="1" si="1"/>
        <v>1</v>
      </c>
    </row>
    <row r="122" spans="1:18" ht="15.5" x14ac:dyDescent="0.35">
      <c r="A122" s="272"/>
      <c r="B122" s="360">
        <f t="shared" si="2"/>
        <v>56</v>
      </c>
      <c r="C122" s="361">
        <f ca="1">IF($B122="","",'Fecha Pago'!K59)</f>
        <v>47851</v>
      </c>
      <c r="D122" s="362">
        <f>IF($B$67="","",'Fecha Pago'!L59)</f>
        <v>30.4</v>
      </c>
      <c r="E122" s="363">
        <f>IF(B122="","",IF(Sheet1!$Z$1=2,'Tabla de Pagos Crecientes'!E62,$F$62))</f>
        <v>0.11</v>
      </c>
      <c r="F122" s="362">
        <f ca="1">IF($B122="","",IF(Sheet1!$Z$1=2,'Tabla de Pagos Crecientes'!F62,'Tabla Fijos'!F67))</f>
        <v>919150.54612599919</v>
      </c>
      <c r="G122" s="362">
        <f ca="1">IF($B122="","",IF(Sheet1!$Z$1=2,'Tabla de Pagos Crecientes'!G62,'Tabla Fijos'!G67))</f>
        <v>1883.9969155917061</v>
      </c>
      <c r="H122" s="362">
        <f ca="1">IF($B122="","",IF(Sheet1!$Z$1=2,'Tabla de Pagos Crecientes'!H62,'Tabla Fijos'!H67))</f>
        <v>8537.8872951259473</v>
      </c>
      <c r="I122" s="362">
        <f>IF($B122=0,0,IF(B122="","",VLOOKUP($B122,'Tabla Fijos'!$B$12:$S$311,8,0)))</f>
        <v>0</v>
      </c>
      <c r="J122" s="362">
        <f ca="1">IF($B122="","",IF(Sheet1!$Z$1=2,'Tabla de Pagos Crecientes'!J62,'Tabla Fijos'!K67))</f>
        <v>0</v>
      </c>
      <c r="K122" s="362">
        <f ca="1">IF($B122="","",IF(Sheet1!$Z$1=2,'Tabla de Pagos Crecientes'!K62,'Tabla Fijos'!L67))</f>
        <v>0</v>
      </c>
      <c r="L122" s="362">
        <f ca="1">IF($B122="","",IF(Sheet1!$Z$1=2,'Tabla de Pagos Crecientes'!L62,'Tabla Fijos'!M67))</f>
        <v>0</v>
      </c>
      <c r="M122" s="362">
        <f ca="1">IF($B122="","",IF(Sheet1!$Z$1=2,'Tabla de Pagos Crecientes'!M62,'Tabla Fijos'!N67))</f>
        <v>0</v>
      </c>
      <c r="N122" s="364"/>
      <c r="O122" s="362">
        <f>IF($B122="","",IF(Sheet1!$Z$1=2,'Tabla de Pagos Crecientes'!O62,'Tabla Fijos'!Q67))</f>
        <v>0</v>
      </c>
      <c r="P122" s="362">
        <f ca="1">IF(B122="","",G122+H122+I122+J122+K122+L122-M122-'Tabla Fijos'!P67)</f>
        <v>10421.884210717653</v>
      </c>
      <c r="Q122" s="362">
        <f t="shared" ca="1" si="0"/>
        <v>917266.54921040754</v>
      </c>
      <c r="R122" s="272">
        <f t="shared" ca="1" si="1"/>
        <v>1</v>
      </c>
    </row>
    <row r="123" spans="1:18" ht="15.5" x14ac:dyDescent="0.35">
      <c r="A123" s="272"/>
      <c r="B123" s="360">
        <f t="shared" si="2"/>
        <v>57</v>
      </c>
      <c r="C123" s="361">
        <f ca="1">IF($B123="","",'Fecha Pago'!K60)</f>
        <v>47882</v>
      </c>
      <c r="D123" s="362">
        <f>IF($B$67="","",'Fecha Pago'!L60)</f>
        <v>30.4</v>
      </c>
      <c r="E123" s="363">
        <f>IF(B123="","",IF(Sheet1!$Z$1=2,'Tabla de Pagos Crecientes'!E63,$F$62))</f>
        <v>0.11</v>
      </c>
      <c r="F123" s="362">
        <f ca="1">IF($B123="","",IF(Sheet1!$Z$1=2,'Tabla de Pagos Crecientes'!F63,'Tabla Fijos'!F68))</f>
        <v>917266.54921040754</v>
      </c>
      <c r="G123" s="362">
        <f ca="1">IF($B123="","",IF(Sheet1!$Z$1=2,'Tabla de Pagos Crecientes'!G63,'Tabla Fijos'!G68))</f>
        <v>1901.4971536076464</v>
      </c>
      <c r="H123" s="362">
        <f ca="1">IF($B123="","",IF(Sheet1!$Z$1=2,'Tabla de Pagos Crecientes'!H63,'Tabla Fijos'!H68))</f>
        <v>8520.3870571100069</v>
      </c>
      <c r="I123" s="362">
        <f>IF($B123=0,0,IF(B123="","",VLOOKUP($B123,'Tabla Fijos'!$B$12:$S$311,8,0)))</f>
        <v>0</v>
      </c>
      <c r="J123" s="362">
        <f ca="1">IF($B123="","",IF(Sheet1!$Z$1=2,'Tabla de Pagos Crecientes'!J63,'Tabla Fijos'!K68))</f>
        <v>0</v>
      </c>
      <c r="K123" s="362">
        <f ca="1">IF($B123="","",IF(Sheet1!$Z$1=2,'Tabla de Pagos Crecientes'!K63,'Tabla Fijos'!L68))</f>
        <v>0</v>
      </c>
      <c r="L123" s="362">
        <f ca="1">IF($B123="","",IF(Sheet1!$Z$1=2,'Tabla de Pagos Crecientes'!L63,'Tabla Fijos'!M68))</f>
        <v>0</v>
      </c>
      <c r="M123" s="362">
        <f ca="1">IF($B123="","",IF(Sheet1!$Z$1=2,'Tabla de Pagos Crecientes'!M63,'Tabla Fijos'!N68))</f>
        <v>0</v>
      </c>
      <c r="N123" s="364"/>
      <c r="O123" s="362">
        <f>IF($B123="","",IF(Sheet1!$Z$1=2,'Tabla de Pagos Crecientes'!O63,'Tabla Fijos'!Q68))</f>
        <v>0</v>
      </c>
      <c r="P123" s="362">
        <f ca="1">IF(B123="","",G123+H123+I123+J123+K123+L123-M123-'Tabla Fijos'!P68)</f>
        <v>10421.884210717653</v>
      </c>
      <c r="Q123" s="362">
        <f t="shared" ca="1" si="0"/>
        <v>915365.05205679988</v>
      </c>
      <c r="R123" s="272">
        <f t="shared" ca="1" si="1"/>
        <v>1</v>
      </c>
    </row>
    <row r="124" spans="1:18" ht="15.5" x14ac:dyDescent="0.35">
      <c r="A124" s="272"/>
      <c r="B124" s="360">
        <f t="shared" si="2"/>
        <v>58</v>
      </c>
      <c r="C124" s="361">
        <f ca="1">IF($B124="","",'Fecha Pago'!K61)</f>
        <v>47910</v>
      </c>
      <c r="D124" s="362">
        <f>IF($B$67="","",'Fecha Pago'!L61)</f>
        <v>30.4</v>
      </c>
      <c r="E124" s="363">
        <f>IF(B124="","",IF(Sheet1!$Z$1=2,'Tabla de Pagos Crecientes'!E64,$F$62))</f>
        <v>0.11</v>
      </c>
      <c r="F124" s="362">
        <f ca="1">IF($B124="","",IF(Sheet1!$Z$1=2,'Tabla de Pagos Crecientes'!F64,'Tabla Fijos'!F69))</f>
        <v>915365.05205679988</v>
      </c>
      <c r="G124" s="362">
        <f ca="1">IF($B124="","",IF(Sheet1!$Z$1=2,'Tabla de Pagos Crecientes'!G64,'Tabla Fijos'!G69))</f>
        <v>1919.1599493900467</v>
      </c>
      <c r="H124" s="362">
        <f ca="1">IF($B124="","",IF(Sheet1!$Z$1=2,'Tabla de Pagos Crecientes'!H64,'Tabla Fijos'!H69))</f>
        <v>8502.7242613276067</v>
      </c>
      <c r="I124" s="362">
        <f>IF($B124=0,0,IF(B124="","",VLOOKUP($B124,'Tabla Fijos'!$B$12:$S$311,8,0)))</f>
        <v>0</v>
      </c>
      <c r="J124" s="362">
        <f ca="1">IF($B124="","",IF(Sheet1!$Z$1=2,'Tabla de Pagos Crecientes'!J64,'Tabla Fijos'!K69))</f>
        <v>0</v>
      </c>
      <c r="K124" s="362">
        <f ca="1">IF($B124="","",IF(Sheet1!$Z$1=2,'Tabla de Pagos Crecientes'!K64,'Tabla Fijos'!L69))</f>
        <v>0</v>
      </c>
      <c r="L124" s="362">
        <f ca="1">IF($B124="","",IF(Sheet1!$Z$1=2,'Tabla de Pagos Crecientes'!L64,'Tabla Fijos'!M69))</f>
        <v>0</v>
      </c>
      <c r="M124" s="362">
        <f ca="1">IF($B124="","",IF(Sheet1!$Z$1=2,'Tabla de Pagos Crecientes'!M64,'Tabla Fijos'!N69))</f>
        <v>0</v>
      </c>
      <c r="N124" s="364"/>
      <c r="O124" s="362">
        <f>IF($B124="","",IF(Sheet1!$Z$1=2,'Tabla de Pagos Crecientes'!O64,'Tabla Fijos'!Q69))</f>
        <v>0</v>
      </c>
      <c r="P124" s="362">
        <f ca="1">IF(B124="","",G124+H124+I124+J124+K124+L124-M124-'Tabla Fijos'!P69)</f>
        <v>10421.884210717653</v>
      </c>
      <c r="Q124" s="362">
        <f t="shared" ca="1" si="0"/>
        <v>913445.89210740977</v>
      </c>
      <c r="R124" s="272">
        <f t="shared" ca="1" si="1"/>
        <v>1</v>
      </c>
    </row>
    <row r="125" spans="1:18" ht="15.5" x14ac:dyDescent="0.35">
      <c r="A125" s="272"/>
      <c r="B125" s="360">
        <f t="shared" si="2"/>
        <v>59</v>
      </c>
      <c r="C125" s="361">
        <f ca="1">IF($B125="","",'Fecha Pago'!K62)</f>
        <v>47941</v>
      </c>
      <c r="D125" s="362">
        <f>IF($B$67="","",'Fecha Pago'!L62)</f>
        <v>30.4</v>
      </c>
      <c r="E125" s="363">
        <f>IF(B125="","",IF(Sheet1!$Z$1=2,'Tabla de Pagos Crecientes'!E65,$F$62))</f>
        <v>0.11</v>
      </c>
      <c r="F125" s="362">
        <f ca="1">IF($B125="","",IF(Sheet1!$Z$1=2,'Tabla de Pagos Crecientes'!F65,'Tabla Fijos'!F70))</f>
        <v>913445.89210740977</v>
      </c>
      <c r="G125" s="362">
        <f ca="1">IF($B125="","",IF(Sheet1!$Z$1=2,'Tabla de Pagos Crecientes'!G65,'Tabla Fijos'!G70))</f>
        <v>1936.9868129199349</v>
      </c>
      <c r="H125" s="362">
        <f ca="1">IF($B125="","",IF(Sheet1!$Z$1=2,'Tabla de Pagos Crecientes'!H65,'Tabla Fijos'!H70))</f>
        <v>8484.8973977977166</v>
      </c>
      <c r="I125" s="362">
        <f>IF($B125=0,0,IF(B125="","",VLOOKUP($B125,'Tabla Fijos'!$B$12:$S$311,8,0)))</f>
        <v>0</v>
      </c>
      <c r="J125" s="362">
        <f ca="1">IF($B125="","",IF(Sheet1!$Z$1=2,'Tabla de Pagos Crecientes'!J65,'Tabla Fijos'!K70))</f>
        <v>0</v>
      </c>
      <c r="K125" s="362">
        <f ca="1">IF($B125="","",IF(Sheet1!$Z$1=2,'Tabla de Pagos Crecientes'!K65,'Tabla Fijos'!L70))</f>
        <v>0</v>
      </c>
      <c r="L125" s="362">
        <f ca="1">IF($B125="","",IF(Sheet1!$Z$1=2,'Tabla de Pagos Crecientes'!L65,'Tabla Fijos'!M70))</f>
        <v>0</v>
      </c>
      <c r="M125" s="362">
        <f ca="1">IF($B125="","",IF(Sheet1!$Z$1=2,'Tabla de Pagos Crecientes'!M65,'Tabla Fijos'!N70))</f>
        <v>0</v>
      </c>
      <c r="N125" s="364"/>
      <c r="O125" s="362">
        <f>IF($B125="","",IF(Sheet1!$Z$1=2,'Tabla de Pagos Crecientes'!O65,'Tabla Fijos'!Q70))</f>
        <v>0</v>
      </c>
      <c r="P125" s="362">
        <f ca="1">IF(B125="","",G125+H125+I125+J125+K125+L125-M125-'Tabla Fijos'!P70)</f>
        <v>10421.884210717652</v>
      </c>
      <c r="Q125" s="362">
        <f t="shared" ca="1" si="0"/>
        <v>911508.90529448981</v>
      </c>
      <c r="R125" s="272">
        <f t="shared" ca="1" si="1"/>
        <v>1</v>
      </c>
    </row>
    <row r="126" spans="1:18" ht="15.5" x14ac:dyDescent="0.35">
      <c r="A126" s="272"/>
      <c r="B126" s="360">
        <f t="shared" si="2"/>
        <v>60</v>
      </c>
      <c r="C126" s="361">
        <f ca="1">IF($B126="","",'Fecha Pago'!K63)</f>
        <v>47971</v>
      </c>
      <c r="D126" s="362">
        <f>IF($B$67="","",'Fecha Pago'!L63)</f>
        <v>30.4</v>
      </c>
      <c r="E126" s="363">
        <f>IF(B126="","",IF(Sheet1!$Z$1=2,'Tabla de Pagos Crecientes'!E66,$F$62))</f>
        <v>0.11</v>
      </c>
      <c r="F126" s="362">
        <f ca="1">IF($B126="","",IF(Sheet1!$Z$1=2,'Tabla de Pagos Crecientes'!F66,'Tabla Fijos'!F71))</f>
        <v>911508.90529448981</v>
      </c>
      <c r="G126" s="362">
        <f ca="1">IF($B126="","",IF(Sheet1!$Z$1=2,'Tabla de Pagos Crecientes'!G66,'Tabla Fijos'!G71))</f>
        <v>1954.9792682043917</v>
      </c>
      <c r="H126" s="362">
        <f ca="1">IF($B126="","",IF(Sheet1!$Z$1=2,'Tabla de Pagos Crecientes'!H66,'Tabla Fijos'!H71))</f>
        <v>8466.9049425132598</v>
      </c>
      <c r="I126" s="362">
        <f>IF($B126=0,0,IF(B126="","",VLOOKUP($B126,'Tabla Fijos'!$B$12:$S$311,8,0)))</f>
        <v>0</v>
      </c>
      <c r="J126" s="362">
        <f ca="1">IF($B126="","",IF(Sheet1!$Z$1=2,'Tabla de Pagos Crecientes'!J66,'Tabla Fijos'!K71))</f>
        <v>0</v>
      </c>
      <c r="K126" s="362">
        <f ca="1">IF($B126="","",IF(Sheet1!$Z$1=2,'Tabla de Pagos Crecientes'!K66,'Tabla Fijos'!L71))</f>
        <v>0</v>
      </c>
      <c r="L126" s="362">
        <f ca="1">IF($B126="","",IF(Sheet1!$Z$1=2,'Tabla de Pagos Crecientes'!L66,'Tabla Fijos'!M71))</f>
        <v>0</v>
      </c>
      <c r="M126" s="362">
        <f ca="1">IF($B126="","",IF(Sheet1!$Z$1=2,'Tabla de Pagos Crecientes'!M66,'Tabla Fijos'!N71))</f>
        <v>0</v>
      </c>
      <c r="N126" s="364"/>
      <c r="O126" s="362">
        <f>IF($B126="","",IF(Sheet1!$Z$1=2,'Tabla de Pagos Crecientes'!O66,'Tabla Fijos'!Q71))</f>
        <v>0</v>
      </c>
      <c r="P126" s="362">
        <f ca="1">IF(B126="","",G126+H126+I126+J126+K126+L126-M126-'Tabla Fijos'!P71)</f>
        <v>10421.884210717652</v>
      </c>
      <c r="Q126" s="362">
        <f t="shared" ca="1" si="0"/>
        <v>909553.92602628539</v>
      </c>
      <c r="R126" s="272">
        <f t="shared" ca="1" si="1"/>
        <v>1</v>
      </c>
    </row>
    <row r="127" spans="1:18" ht="15.5" x14ac:dyDescent="0.35">
      <c r="A127" s="272"/>
      <c r="B127" s="360">
        <f t="shared" si="2"/>
        <v>61</v>
      </c>
      <c r="C127" s="361">
        <f ca="1">IF($B127="","",'Fecha Pago'!K64)</f>
        <v>48002</v>
      </c>
      <c r="D127" s="362">
        <f>IF($B$67="","",'Fecha Pago'!L64)</f>
        <v>30.4</v>
      </c>
      <c r="E127" s="363">
        <f>IF(B127="","",IF(Sheet1!$Z$1=2,'Tabla de Pagos Crecientes'!E67,$F$62))</f>
        <v>0.11</v>
      </c>
      <c r="F127" s="362">
        <f ca="1">IF($B127="","",IF(Sheet1!$Z$1=2,'Tabla de Pagos Crecientes'!F67,'Tabla Fijos'!F72))</f>
        <v>909553.92602628539</v>
      </c>
      <c r="G127" s="362">
        <f ca="1">IF($B127="","",IF(Sheet1!$Z$1=2,'Tabla de Pagos Crecientes'!G67,'Tabla Fijos'!G72))</f>
        <v>1973.1388534068228</v>
      </c>
      <c r="H127" s="362">
        <f ca="1">IF($B127="","",IF(Sheet1!$Z$1=2,'Tabla de Pagos Crecientes'!H67,'Tabla Fijos'!H72))</f>
        <v>8448.7453573108287</v>
      </c>
      <c r="I127" s="362">
        <f>IF($B127=0,0,IF(B127="","",VLOOKUP($B127,'Tabla Fijos'!$B$12:$S$311,8,0)))</f>
        <v>0</v>
      </c>
      <c r="J127" s="362">
        <f ca="1">IF($B127="","",IF(Sheet1!$Z$1=2,'Tabla de Pagos Crecientes'!J67,'Tabla Fijos'!K72))</f>
        <v>0</v>
      </c>
      <c r="K127" s="362">
        <f ca="1">IF($B127="","",IF(Sheet1!$Z$1=2,'Tabla de Pagos Crecientes'!K67,'Tabla Fijos'!L72))</f>
        <v>0</v>
      </c>
      <c r="L127" s="362">
        <f ca="1">IF($B127="","",IF(Sheet1!$Z$1=2,'Tabla de Pagos Crecientes'!L67,'Tabla Fijos'!M72))</f>
        <v>0</v>
      </c>
      <c r="M127" s="362">
        <f ca="1">IF($B127="","",IF(Sheet1!$Z$1=2,'Tabla de Pagos Crecientes'!M67,'Tabla Fijos'!N72))</f>
        <v>0</v>
      </c>
      <c r="N127" s="364"/>
      <c r="O127" s="362">
        <f>IF($B127="","",IF(Sheet1!$Z$1=2,'Tabla de Pagos Crecientes'!O67,'Tabla Fijos'!Q72))</f>
        <v>0</v>
      </c>
      <c r="P127" s="362">
        <f ca="1">IF(B127="","",G127+H127+I127+J127+K127+L127-M127-'Tabla Fijos'!P72)</f>
        <v>10421.884210717652</v>
      </c>
      <c r="Q127" s="362">
        <f t="shared" ca="1" si="0"/>
        <v>907580.78717287863</v>
      </c>
      <c r="R127" s="272">
        <f t="shared" ca="1" si="1"/>
        <v>1</v>
      </c>
    </row>
    <row r="128" spans="1:18" ht="15.5" x14ac:dyDescent="0.35">
      <c r="A128" s="272"/>
      <c r="B128" s="360">
        <f t="shared" si="2"/>
        <v>62</v>
      </c>
      <c r="C128" s="361">
        <f ca="1">IF($B128="","",'Fecha Pago'!K65)</f>
        <v>48032</v>
      </c>
      <c r="D128" s="362">
        <f>IF($B$67="","",'Fecha Pago'!L65)</f>
        <v>30.4</v>
      </c>
      <c r="E128" s="363">
        <f>IF(B128="","",IF(Sheet1!$Z$1=2,'Tabla de Pagos Crecientes'!E68,$F$62))</f>
        <v>0.11</v>
      </c>
      <c r="F128" s="362">
        <f ca="1">IF($B128="","",IF(Sheet1!$Z$1=2,'Tabla de Pagos Crecientes'!F68,'Tabla Fijos'!F73))</f>
        <v>907580.78717287863</v>
      </c>
      <c r="G128" s="362">
        <f ca="1">IF($B128="","",IF(Sheet1!$Z$1=2,'Tabla de Pagos Crecientes'!G68,'Tabla Fijos'!G73))</f>
        <v>1991.4671209784701</v>
      </c>
      <c r="H128" s="362">
        <f ca="1">IF($B128="","",IF(Sheet1!$Z$1=2,'Tabla de Pagos Crecientes'!H68,'Tabla Fijos'!H73))</f>
        <v>8430.4170897391832</v>
      </c>
      <c r="I128" s="362">
        <f>IF($B128=0,0,IF(B128="","",VLOOKUP($B128,'Tabla Fijos'!$B$12:$S$311,8,0)))</f>
        <v>0</v>
      </c>
      <c r="J128" s="362">
        <f ca="1">IF($B128="","",IF(Sheet1!$Z$1=2,'Tabla de Pagos Crecientes'!J68,'Tabla Fijos'!K73))</f>
        <v>0</v>
      </c>
      <c r="K128" s="362">
        <f ca="1">IF($B128="","",IF(Sheet1!$Z$1=2,'Tabla de Pagos Crecientes'!K68,'Tabla Fijos'!L73))</f>
        <v>0</v>
      </c>
      <c r="L128" s="362">
        <f ca="1">IF($B128="","",IF(Sheet1!$Z$1=2,'Tabla de Pagos Crecientes'!L68,'Tabla Fijos'!M73))</f>
        <v>0</v>
      </c>
      <c r="M128" s="362">
        <f ca="1">IF($B128="","",IF(Sheet1!$Z$1=2,'Tabla de Pagos Crecientes'!M68,'Tabla Fijos'!N73))</f>
        <v>0</v>
      </c>
      <c r="N128" s="364"/>
      <c r="O128" s="362">
        <f>IF($B128="","",IF(Sheet1!$Z$1=2,'Tabla de Pagos Crecientes'!O68,'Tabla Fijos'!Q73))</f>
        <v>0</v>
      </c>
      <c r="P128" s="362">
        <f ca="1">IF(B128="","",G128+H128+I128+J128+K128+L128-M128-'Tabla Fijos'!P73)</f>
        <v>10421.884210717653</v>
      </c>
      <c r="Q128" s="362">
        <f t="shared" ca="1" si="0"/>
        <v>905589.32005190011</v>
      </c>
      <c r="R128" s="272">
        <f t="shared" ca="1" si="1"/>
        <v>1</v>
      </c>
    </row>
    <row r="129" spans="1:18" ht="15.5" x14ac:dyDescent="0.35">
      <c r="A129" s="272"/>
      <c r="B129" s="360">
        <f t="shared" si="2"/>
        <v>63</v>
      </c>
      <c r="C129" s="361">
        <f ca="1">IF($B129="","",'Fecha Pago'!K66)</f>
        <v>48063</v>
      </c>
      <c r="D129" s="362">
        <f>IF($B$67="","",'Fecha Pago'!L66)</f>
        <v>30.4</v>
      </c>
      <c r="E129" s="363">
        <f>IF(B129="","",IF(Sheet1!$Z$1=2,'Tabla de Pagos Crecientes'!E69,$F$62))</f>
        <v>0.11</v>
      </c>
      <c r="F129" s="362">
        <f ca="1">IF($B129="","",IF(Sheet1!$Z$1=2,'Tabla de Pagos Crecientes'!F69,'Tabla Fijos'!F74))</f>
        <v>905589.32005190011</v>
      </c>
      <c r="G129" s="362">
        <f ca="1">IF($B129="","",IF(Sheet1!$Z$1=2,'Tabla de Pagos Crecientes'!G69,'Tabla Fijos'!G74))</f>
        <v>2009.9656377911142</v>
      </c>
      <c r="H129" s="362">
        <f ca="1">IF($B129="","",IF(Sheet1!$Z$1=2,'Tabla de Pagos Crecientes'!H69,'Tabla Fijos'!H74))</f>
        <v>8411.9185729265373</v>
      </c>
      <c r="I129" s="362">
        <f>IF($B129=0,0,IF(B129="","",VLOOKUP($B129,'Tabla Fijos'!$B$12:$S$311,8,0)))</f>
        <v>0</v>
      </c>
      <c r="J129" s="362">
        <f ca="1">IF($B129="","",IF(Sheet1!$Z$1=2,'Tabla de Pagos Crecientes'!J69,'Tabla Fijos'!K74))</f>
        <v>0</v>
      </c>
      <c r="K129" s="362">
        <f ca="1">IF($B129="","",IF(Sheet1!$Z$1=2,'Tabla de Pagos Crecientes'!K69,'Tabla Fijos'!L74))</f>
        <v>0</v>
      </c>
      <c r="L129" s="362">
        <f ca="1">IF($B129="","",IF(Sheet1!$Z$1=2,'Tabla de Pagos Crecientes'!L69,'Tabla Fijos'!M74))</f>
        <v>0</v>
      </c>
      <c r="M129" s="362">
        <f ca="1">IF($B129="","",IF(Sheet1!$Z$1=2,'Tabla de Pagos Crecientes'!M69,'Tabla Fijos'!N74))</f>
        <v>0</v>
      </c>
      <c r="N129" s="364"/>
      <c r="O129" s="362">
        <f>IF($B129="","",IF(Sheet1!$Z$1=2,'Tabla de Pagos Crecientes'!O69,'Tabla Fijos'!Q74))</f>
        <v>0</v>
      </c>
      <c r="P129" s="362">
        <f ca="1">IF(B129="","",G129+H129+I129+J129+K129+L129-M129-'Tabla Fijos'!P74)</f>
        <v>10421.884210717652</v>
      </c>
      <c r="Q129" s="362">
        <f t="shared" ca="1" si="0"/>
        <v>903579.35441410902</v>
      </c>
      <c r="R129" s="272">
        <f t="shared" ca="1" si="1"/>
        <v>1</v>
      </c>
    </row>
    <row r="130" spans="1:18" ht="15.5" x14ac:dyDescent="0.35">
      <c r="A130" s="272"/>
      <c r="B130" s="360">
        <f t="shared" si="2"/>
        <v>64</v>
      </c>
      <c r="C130" s="361">
        <f ca="1">IF($B130="","",'Fecha Pago'!K67)</f>
        <v>48094</v>
      </c>
      <c r="D130" s="362">
        <f>IF($B$67="","",'Fecha Pago'!L67)</f>
        <v>30.4</v>
      </c>
      <c r="E130" s="363">
        <f>IF(B130="","",IF(Sheet1!$Z$1=2,'Tabla de Pagos Crecientes'!E70,$F$62))</f>
        <v>0.11</v>
      </c>
      <c r="F130" s="362">
        <f ca="1">IF($B130="","",IF(Sheet1!$Z$1=2,'Tabla de Pagos Crecientes'!F70,'Tabla Fijos'!F75))</f>
        <v>903579.35441410902</v>
      </c>
      <c r="G130" s="362">
        <f ca="1">IF($B130="","",IF(Sheet1!$Z$1=2,'Tabla de Pagos Crecientes'!G70,'Tabla Fijos'!G75))</f>
        <v>2028.6359852710393</v>
      </c>
      <c r="H130" s="362">
        <f ca="1">IF($B130="","",IF(Sheet1!$Z$1=2,'Tabla de Pagos Crecientes'!H70,'Tabla Fijos'!H75))</f>
        <v>8393.2482254466122</v>
      </c>
      <c r="I130" s="362">
        <f>IF($B130=0,0,IF(B130="","",VLOOKUP($B130,'Tabla Fijos'!$B$12:$S$311,8,0)))</f>
        <v>0</v>
      </c>
      <c r="J130" s="362">
        <f ca="1">IF($B130="","",IF(Sheet1!$Z$1=2,'Tabla de Pagos Crecientes'!J70,'Tabla Fijos'!K75))</f>
        <v>0</v>
      </c>
      <c r="K130" s="362">
        <f ca="1">IF($B130="","",IF(Sheet1!$Z$1=2,'Tabla de Pagos Crecientes'!K70,'Tabla Fijos'!L75))</f>
        <v>0</v>
      </c>
      <c r="L130" s="362">
        <f ca="1">IF($B130="","",IF(Sheet1!$Z$1=2,'Tabla de Pagos Crecientes'!L70,'Tabla Fijos'!M75))</f>
        <v>0</v>
      </c>
      <c r="M130" s="362">
        <f ca="1">IF($B130="","",IF(Sheet1!$Z$1=2,'Tabla de Pagos Crecientes'!M70,'Tabla Fijos'!N75))</f>
        <v>0</v>
      </c>
      <c r="N130" s="364"/>
      <c r="O130" s="362">
        <f>IF($B130="","",IF(Sheet1!$Z$1=2,'Tabla de Pagos Crecientes'!O70,'Tabla Fijos'!Q75))</f>
        <v>0</v>
      </c>
      <c r="P130" s="362">
        <f ca="1">IF(B130="","",G130+H130+I130+J130+K130+L130-M130-'Tabla Fijos'!P75)</f>
        <v>10421.884210717652</v>
      </c>
      <c r="Q130" s="362">
        <f t="shared" ca="1" si="0"/>
        <v>901550.71842883795</v>
      </c>
      <c r="R130" s="272">
        <f t="shared" ca="1" si="1"/>
        <v>1</v>
      </c>
    </row>
    <row r="131" spans="1:18" ht="15.5" x14ac:dyDescent="0.35">
      <c r="A131" s="272"/>
      <c r="B131" s="360">
        <f t="shared" si="2"/>
        <v>65</v>
      </c>
      <c r="C131" s="361">
        <f ca="1">IF($B131="","",'Fecha Pago'!K68)</f>
        <v>48124</v>
      </c>
      <c r="D131" s="362">
        <f>IF($B$67="","",'Fecha Pago'!L68)</f>
        <v>30.4</v>
      </c>
      <c r="E131" s="363">
        <f>IF(B131="","",IF(Sheet1!$Z$1=2,'Tabla de Pagos Crecientes'!E71,$F$62))</f>
        <v>0.11</v>
      </c>
      <c r="F131" s="362">
        <f ca="1">IF($B131="","",IF(Sheet1!$Z$1=2,'Tabla de Pagos Crecientes'!F71,'Tabla Fijos'!F76))</f>
        <v>901550.71842883795</v>
      </c>
      <c r="G131" s="362">
        <f ca="1">IF($B131="","",IF(Sheet1!$Z$1=2,'Tabla de Pagos Crecientes'!G71,'Tabla Fijos'!G76))</f>
        <v>2047.4797595342243</v>
      </c>
      <c r="H131" s="362">
        <f ca="1">IF($B131="","",IF(Sheet1!$Z$1=2,'Tabla de Pagos Crecientes'!H71,'Tabla Fijos'!H76))</f>
        <v>8374.4044511834272</v>
      </c>
      <c r="I131" s="362">
        <f>IF($B131=0,0,IF(B131="","",VLOOKUP($B131,'Tabla Fijos'!$B$12:$S$311,8,0)))</f>
        <v>0</v>
      </c>
      <c r="J131" s="362">
        <f ca="1">IF($B131="","",IF(Sheet1!$Z$1=2,'Tabla de Pagos Crecientes'!J71,'Tabla Fijos'!K76))</f>
        <v>0</v>
      </c>
      <c r="K131" s="362">
        <f ca="1">IF($B131="","",IF(Sheet1!$Z$1=2,'Tabla de Pagos Crecientes'!K71,'Tabla Fijos'!L76))</f>
        <v>0</v>
      </c>
      <c r="L131" s="362">
        <f ca="1">IF($B131="","",IF(Sheet1!$Z$1=2,'Tabla de Pagos Crecientes'!L71,'Tabla Fijos'!M76))</f>
        <v>0</v>
      </c>
      <c r="M131" s="362">
        <f ca="1">IF($B131="","",IF(Sheet1!$Z$1=2,'Tabla de Pagos Crecientes'!M71,'Tabla Fijos'!N76))</f>
        <v>0</v>
      </c>
      <c r="N131" s="364"/>
      <c r="O131" s="362">
        <f>IF($B131="","",IF(Sheet1!$Z$1=2,'Tabla de Pagos Crecientes'!O71,'Tabla Fijos'!Q76))</f>
        <v>0</v>
      </c>
      <c r="P131" s="362">
        <f ca="1">IF(B131="","",G131+H131+I131+J131+K131+L131-M131-'Tabla Fijos'!P76)</f>
        <v>10421.884210717652</v>
      </c>
      <c r="Q131" s="362">
        <f t="shared" ref="Q131:Q194" ca="1" si="3">IF(B131="","",F131-G131)</f>
        <v>899503.23866930371</v>
      </c>
      <c r="R131" s="272">
        <f t="shared" ca="1" si="1"/>
        <v>1</v>
      </c>
    </row>
    <row r="132" spans="1:18" ht="15.5" x14ac:dyDescent="0.35">
      <c r="A132" s="272"/>
      <c r="B132" s="360">
        <f t="shared" si="2"/>
        <v>66</v>
      </c>
      <c r="C132" s="361">
        <f ca="1">IF($B132="","",'Fecha Pago'!K69)</f>
        <v>48155</v>
      </c>
      <c r="D132" s="362">
        <f>IF($B$67="","",'Fecha Pago'!L69)</f>
        <v>30.4</v>
      </c>
      <c r="E132" s="363">
        <f>IF(B132="","",IF(Sheet1!$Z$1=2,'Tabla de Pagos Crecientes'!E72,$F$62))</f>
        <v>0.11</v>
      </c>
      <c r="F132" s="362">
        <f ca="1">IF($B132="","",IF(Sheet1!$Z$1=2,'Tabla de Pagos Crecientes'!F72,'Tabla Fijos'!F77))</f>
        <v>899503.23866930371</v>
      </c>
      <c r="G132" s="362">
        <f ca="1">IF($B132="","",IF(Sheet1!$Z$1=2,'Tabla de Pagos Crecientes'!G72,'Tabla Fijos'!G77))</f>
        <v>2066.4985715227867</v>
      </c>
      <c r="H132" s="362">
        <f ca="1">IF($B132="","",IF(Sheet1!$Z$1=2,'Tabla de Pagos Crecientes'!H72,'Tabla Fijos'!H77))</f>
        <v>8355.3856391948648</v>
      </c>
      <c r="I132" s="362">
        <f>IF($B132=0,0,IF(B132="","",VLOOKUP($B132,'Tabla Fijos'!$B$12:$S$311,8,0)))</f>
        <v>0</v>
      </c>
      <c r="J132" s="362">
        <f ca="1">IF($B132="","",IF(Sheet1!$Z$1=2,'Tabla de Pagos Crecientes'!J72,'Tabla Fijos'!K77))</f>
        <v>0</v>
      </c>
      <c r="K132" s="362">
        <f ca="1">IF($B132="","",IF(Sheet1!$Z$1=2,'Tabla de Pagos Crecientes'!K72,'Tabla Fijos'!L77))</f>
        <v>0</v>
      </c>
      <c r="L132" s="362">
        <f ca="1">IF($B132="","",IF(Sheet1!$Z$1=2,'Tabla de Pagos Crecientes'!L72,'Tabla Fijos'!M77))</f>
        <v>0</v>
      </c>
      <c r="M132" s="362">
        <f ca="1">IF($B132="","",IF(Sheet1!$Z$1=2,'Tabla de Pagos Crecientes'!M72,'Tabla Fijos'!N77))</f>
        <v>0</v>
      </c>
      <c r="N132" s="364"/>
      <c r="O132" s="362">
        <f>IF($B132="","",IF(Sheet1!$Z$1=2,'Tabla de Pagos Crecientes'!O72,'Tabla Fijos'!Q77))</f>
        <v>0</v>
      </c>
      <c r="P132" s="362">
        <f ca="1">IF(B132="","",G132+H132+I132+J132+K132+L132-M132-'Tabla Fijos'!P77)</f>
        <v>10421.884210717652</v>
      </c>
      <c r="Q132" s="362">
        <f t="shared" ca="1" si="3"/>
        <v>897436.74009778094</v>
      </c>
      <c r="R132" s="272">
        <f t="shared" ref="R132:R195" ca="1" si="4">IF(OR($B132="",$F132&lt;=0),0,1)</f>
        <v>1</v>
      </c>
    </row>
    <row r="133" spans="1:18" ht="15.5" x14ac:dyDescent="0.35">
      <c r="A133" s="272"/>
      <c r="B133" s="360">
        <f t="shared" ref="B133:B196" si="5">IF(B132="","",IF(B132=$H$49,"",B132+1))</f>
        <v>67</v>
      </c>
      <c r="C133" s="361">
        <f ca="1">IF($B133="","",'Fecha Pago'!K70)</f>
        <v>48185</v>
      </c>
      <c r="D133" s="362">
        <f>IF($B$67="","",'Fecha Pago'!L70)</f>
        <v>30.4</v>
      </c>
      <c r="E133" s="363">
        <f>IF(B133="","",IF(Sheet1!$Z$1=2,'Tabla de Pagos Crecientes'!E73,$F$62))</f>
        <v>0.11</v>
      </c>
      <c r="F133" s="362">
        <f ca="1">IF($B133="","",IF(Sheet1!$Z$1=2,'Tabla de Pagos Crecientes'!F73,'Tabla Fijos'!F78))</f>
        <v>897436.74009778094</v>
      </c>
      <c r="G133" s="362">
        <f ca="1">IF($B133="","",IF(Sheet1!$Z$1=2,'Tabla de Pagos Crecientes'!G73,'Tabla Fijos'!G78))</f>
        <v>2085.6940471427097</v>
      </c>
      <c r="H133" s="362">
        <f ca="1">IF($B133="","",IF(Sheet1!$Z$1=2,'Tabla de Pagos Crecientes'!H73,'Tabla Fijos'!H78))</f>
        <v>8336.1901635749418</v>
      </c>
      <c r="I133" s="362">
        <f>IF($B133=0,0,IF(B133="","",VLOOKUP($B133,'Tabla Fijos'!$B$12:$S$311,8,0)))</f>
        <v>0</v>
      </c>
      <c r="J133" s="362">
        <f ca="1">IF($B133="","",IF(Sheet1!$Z$1=2,'Tabla de Pagos Crecientes'!J73,'Tabla Fijos'!K78))</f>
        <v>0</v>
      </c>
      <c r="K133" s="362">
        <f ca="1">IF($B133="","",IF(Sheet1!$Z$1=2,'Tabla de Pagos Crecientes'!K73,'Tabla Fijos'!L78))</f>
        <v>0</v>
      </c>
      <c r="L133" s="362">
        <f ca="1">IF($B133="","",IF(Sheet1!$Z$1=2,'Tabla de Pagos Crecientes'!L73,'Tabla Fijos'!M78))</f>
        <v>0</v>
      </c>
      <c r="M133" s="362">
        <f ca="1">IF($B133="","",IF(Sheet1!$Z$1=2,'Tabla de Pagos Crecientes'!M73,'Tabla Fijos'!N78))</f>
        <v>0</v>
      </c>
      <c r="N133" s="364"/>
      <c r="O133" s="362">
        <f>IF($B133="","",IF(Sheet1!$Z$1=2,'Tabla de Pagos Crecientes'!O73,'Tabla Fijos'!Q78))</f>
        <v>0</v>
      </c>
      <c r="P133" s="362">
        <f ca="1">IF(B133="","",G133+H133+I133+J133+K133+L133-M133-'Tabla Fijos'!P78)</f>
        <v>10421.884210717652</v>
      </c>
      <c r="Q133" s="362">
        <f t="shared" ca="1" si="3"/>
        <v>895351.04605063819</v>
      </c>
      <c r="R133" s="272">
        <f t="shared" ca="1" si="4"/>
        <v>1</v>
      </c>
    </row>
    <row r="134" spans="1:18" ht="15.5" x14ac:dyDescent="0.35">
      <c r="A134" s="272"/>
      <c r="B134" s="360">
        <f t="shared" si="5"/>
        <v>68</v>
      </c>
      <c r="C134" s="361">
        <f ca="1">IF($B134="","",'Fecha Pago'!K71)</f>
        <v>48216</v>
      </c>
      <c r="D134" s="362">
        <f>IF($B$67="","",'Fecha Pago'!L71)</f>
        <v>30.4</v>
      </c>
      <c r="E134" s="363">
        <f>IF(B134="","",IF(Sheet1!$Z$1=2,'Tabla de Pagos Crecientes'!E74,$F$62))</f>
        <v>0.11</v>
      </c>
      <c r="F134" s="362">
        <f ca="1">IF($B134="","",IF(Sheet1!$Z$1=2,'Tabla de Pagos Crecientes'!F74,'Tabla Fijos'!F79))</f>
        <v>895351.04605063819</v>
      </c>
      <c r="G134" s="362">
        <f ca="1">IF($B134="","",IF(Sheet1!$Z$1=2,'Tabla de Pagos Crecientes'!G74,'Tabla Fijos'!G79))</f>
        <v>2105.067827402836</v>
      </c>
      <c r="H134" s="362">
        <f ca="1">IF($B134="","",IF(Sheet1!$Z$1=2,'Tabla de Pagos Crecientes'!H74,'Tabla Fijos'!H79))</f>
        <v>8316.8163833148155</v>
      </c>
      <c r="I134" s="362">
        <f>IF($B134=0,0,IF(B134="","",VLOOKUP($B134,'Tabla Fijos'!$B$12:$S$311,8,0)))</f>
        <v>0</v>
      </c>
      <c r="J134" s="362">
        <f ca="1">IF($B134="","",IF(Sheet1!$Z$1=2,'Tabla de Pagos Crecientes'!J74,'Tabla Fijos'!K79))</f>
        <v>0</v>
      </c>
      <c r="K134" s="362">
        <f ca="1">IF($B134="","",IF(Sheet1!$Z$1=2,'Tabla de Pagos Crecientes'!K74,'Tabla Fijos'!L79))</f>
        <v>0</v>
      </c>
      <c r="L134" s="362">
        <f ca="1">IF($B134="","",IF(Sheet1!$Z$1=2,'Tabla de Pagos Crecientes'!L74,'Tabla Fijos'!M79))</f>
        <v>0</v>
      </c>
      <c r="M134" s="362">
        <f ca="1">IF($B134="","",IF(Sheet1!$Z$1=2,'Tabla de Pagos Crecientes'!M74,'Tabla Fijos'!N79))</f>
        <v>0</v>
      </c>
      <c r="N134" s="364"/>
      <c r="O134" s="362">
        <f>IF($B134="","",IF(Sheet1!$Z$1=2,'Tabla de Pagos Crecientes'!O74,'Tabla Fijos'!Q79))</f>
        <v>0</v>
      </c>
      <c r="P134" s="362">
        <f ca="1">IF(B134="","",G134+H134+I134+J134+K134+L134-M134-'Tabla Fijos'!P79)</f>
        <v>10421.884210717652</v>
      </c>
      <c r="Q134" s="362">
        <f t="shared" ca="1" si="3"/>
        <v>893245.97822323535</v>
      </c>
      <c r="R134" s="272">
        <f t="shared" ca="1" si="4"/>
        <v>1</v>
      </c>
    </row>
    <row r="135" spans="1:18" ht="15.5" x14ac:dyDescent="0.35">
      <c r="A135" s="272"/>
      <c r="B135" s="360">
        <f t="shared" si="5"/>
        <v>69</v>
      </c>
      <c r="C135" s="361">
        <f ca="1">IF($B135="","",'Fecha Pago'!K72)</f>
        <v>48247</v>
      </c>
      <c r="D135" s="362">
        <f>IF($B$67="","",'Fecha Pago'!L72)</f>
        <v>30.4</v>
      </c>
      <c r="E135" s="363">
        <f>IF(B135="","",IF(Sheet1!$Z$1=2,'Tabla de Pagos Crecientes'!E75,$F$62))</f>
        <v>0.11</v>
      </c>
      <c r="F135" s="362">
        <f ca="1">IF($B135="","",IF(Sheet1!$Z$1=2,'Tabla de Pagos Crecientes'!F75,'Tabla Fijos'!F80))</f>
        <v>893245.97822323535</v>
      </c>
      <c r="G135" s="362">
        <f ca="1">IF($B135="","",IF(Sheet1!$Z$1=2,'Tabla de Pagos Crecientes'!G75,'Tabla Fijos'!G80))</f>
        <v>2124.6215685551542</v>
      </c>
      <c r="H135" s="362">
        <f ca="1">IF($B135="","",IF(Sheet1!$Z$1=2,'Tabla de Pagos Crecientes'!H75,'Tabla Fijos'!H80))</f>
        <v>8297.2626421624973</v>
      </c>
      <c r="I135" s="362">
        <f>IF($B135=0,0,IF(B135="","",VLOOKUP($B135,'Tabla Fijos'!$B$12:$S$311,8,0)))</f>
        <v>0</v>
      </c>
      <c r="J135" s="362">
        <f ca="1">IF($B135="","",IF(Sheet1!$Z$1=2,'Tabla de Pagos Crecientes'!J75,'Tabla Fijos'!K80))</f>
        <v>0</v>
      </c>
      <c r="K135" s="362">
        <f ca="1">IF($B135="","",IF(Sheet1!$Z$1=2,'Tabla de Pagos Crecientes'!K75,'Tabla Fijos'!L80))</f>
        <v>0</v>
      </c>
      <c r="L135" s="362">
        <f ca="1">IF($B135="","",IF(Sheet1!$Z$1=2,'Tabla de Pagos Crecientes'!L75,'Tabla Fijos'!M80))</f>
        <v>0</v>
      </c>
      <c r="M135" s="362">
        <f ca="1">IF($B135="","",IF(Sheet1!$Z$1=2,'Tabla de Pagos Crecientes'!M75,'Tabla Fijos'!N80))</f>
        <v>0</v>
      </c>
      <c r="N135" s="364"/>
      <c r="O135" s="362">
        <f>IF($B135="","",IF(Sheet1!$Z$1=2,'Tabla de Pagos Crecientes'!O75,'Tabla Fijos'!Q80))</f>
        <v>0</v>
      </c>
      <c r="P135" s="362">
        <f ca="1">IF(B135="","",G135+H135+I135+J135+K135+L135-M135-'Tabla Fijos'!P80)</f>
        <v>10421.884210717652</v>
      </c>
      <c r="Q135" s="362">
        <f t="shared" ca="1" si="3"/>
        <v>891121.35665468022</v>
      </c>
      <c r="R135" s="272">
        <f t="shared" ca="1" si="4"/>
        <v>1</v>
      </c>
    </row>
    <row r="136" spans="1:18" ht="15.5" x14ac:dyDescent="0.35">
      <c r="A136" s="272"/>
      <c r="B136" s="360">
        <f t="shared" si="5"/>
        <v>70</v>
      </c>
      <c r="C136" s="361">
        <f ca="1">IF($B136="","",'Fecha Pago'!K73)</f>
        <v>48276</v>
      </c>
      <c r="D136" s="362">
        <f>IF($B$67="","",'Fecha Pago'!L73)</f>
        <v>30.4</v>
      </c>
      <c r="E136" s="363">
        <f>IF(B136="","",IF(Sheet1!$Z$1=2,'Tabla de Pagos Crecientes'!E76,$F$62))</f>
        <v>0.11</v>
      </c>
      <c r="F136" s="362">
        <f ca="1">IF($B136="","",IF(Sheet1!$Z$1=2,'Tabla de Pagos Crecientes'!F76,'Tabla Fijos'!F81))</f>
        <v>891121.35665468022</v>
      </c>
      <c r="G136" s="362">
        <f ca="1">IF($B136="","",IF(Sheet1!$Z$1=2,'Tabla de Pagos Crecientes'!G76,'Tabla Fijos'!G81))</f>
        <v>2144.3569422364017</v>
      </c>
      <c r="H136" s="362">
        <f ca="1">IF($B136="","",IF(Sheet1!$Z$1=2,'Tabla de Pagos Crecientes'!H76,'Tabla Fijos'!H81))</f>
        <v>8277.5272684812517</v>
      </c>
      <c r="I136" s="362">
        <f>IF($B136=0,0,IF(B136="","",VLOOKUP($B136,'Tabla Fijos'!$B$12:$S$311,8,0)))</f>
        <v>0</v>
      </c>
      <c r="J136" s="362">
        <f ca="1">IF($B136="","",IF(Sheet1!$Z$1=2,'Tabla de Pagos Crecientes'!J76,'Tabla Fijos'!K81))</f>
        <v>0</v>
      </c>
      <c r="K136" s="362">
        <f ca="1">IF($B136="","",IF(Sheet1!$Z$1=2,'Tabla de Pagos Crecientes'!K76,'Tabla Fijos'!L81))</f>
        <v>0</v>
      </c>
      <c r="L136" s="362">
        <f ca="1">IF($B136="","",IF(Sheet1!$Z$1=2,'Tabla de Pagos Crecientes'!L76,'Tabla Fijos'!M81))</f>
        <v>0</v>
      </c>
      <c r="M136" s="362">
        <f ca="1">IF($B136="","",IF(Sheet1!$Z$1=2,'Tabla de Pagos Crecientes'!M76,'Tabla Fijos'!N81))</f>
        <v>0</v>
      </c>
      <c r="N136" s="364"/>
      <c r="O136" s="362">
        <f>IF($B136="","",IF(Sheet1!$Z$1=2,'Tabla de Pagos Crecientes'!O76,'Tabla Fijos'!Q81))</f>
        <v>0</v>
      </c>
      <c r="P136" s="362">
        <f ca="1">IF(B136="","",G136+H136+I136+J136+K136+L136-M136-'Tabla Fijos'!P81)</f>
        <v>10421.884210717653</v>
      </c>
      <c r="Q136" s="362">
        <f t="shared" ca="1" si="3"/>
        <v>888976.99971244379</v>
      </c>
      <c r="R136" s="272">
        <f t="shared" ca="1" si="4"/>
        <v>1</v>
      </c>
    </row>
    <row r="137" spans="1:18" ht="15.5" x14ac:dyDescent="0.35">
      <c r="A137" s="272"/>
      <c r="B137" s="360">
        <f t="shared" si="5"/>
        <v>71</v>
      </c>
      <c r="C137" s="361">
        <f ca="1">IF($B137="","",'Fecha Pago'!K74)</f>
        <v>48307</v>
      </c>
      <c r="D137" s="362">
        <f>IF($B$67="","",'Fecha Pago'!L74)</f>
        <v>30.4</v>
      </c>
      <c r="E137" s="363">
        <f>IF(B137="","",IF(Sheet1!$Z$1=2,'Tabla de Pagos Crecientes'!E77,$F$62))</f>
        <v>0.11</v>
      </c>
      <c r="F137" s="362">
        <f ca="1">IF($B137="","",IF(Sheet1!$Z$1=2,'Tabla de Pagos Crecientes'!F77,'Tabla Fijos'!F82))</f>
        <v>888976.99971244379</v>
      </c>
      <c r="G137" s="362">
        <f ca="1">IF($B137="","",IF(Sheet1!$Z$1=2,'Tabla de Pagos Crecientes'!G77,'Tabla Fijos'!G82))</f>
        <v>2164.2756356109512</v>
      </c>
      <c r="H137" s="362">
        <f ca="1">IF($B137="","",IF(Sheet1!$Z$1=2,'Tabla de Pagos Crecientes'!H77,'Tabla Fijos'!H82))</f>
        <v>8257.6085751067003</v>
      </c>
      <c r="I137" s="362">
        <f>IF($B137=0,0,IF(B137="","",VLOOKUP($B137,'Tabla Fijos'!$B$12:$S$311,8,0)))</f>
        <v>0</v>
      </c>
      <c r="J137" s="362">
        <f ca="1">IF($B137="","",IF(Sheet1!$Z$1=2,'Tabla de Pagos Crecientes'!J77,'Tabla Fijos'!K82))</f>
        <v>0</v>
      </c>
      <c r="K137" s="362">
        <f ca="1">IF($B137="","",IF(Sheet1!$Z$1=2,'Tabla de Pagos Crecientes'!K77,'Tabla Fijos'!L82))</f>
        <v>0</v>
      </c>
      <c r="L137" s="362">
        <f ca="1">IF($B137="","",IF(Sheet1!$Z$1=2,'Tabla de Pagos Crecientes'!L77,'Tabla Fijos'!M82))</f>
        <v>0</v>
      </c>
      <c r="M137" s="362">
        <f ca="1">IF($B137="","",IF(Sheet1!$Z$1=2,'Tabla de Pagos Crecientes'!M77,'Tabla Fijos'!N82))</f>
        <v>0</v>
      </c>
      <c r="N137" s="364"/>
      <c r="O137" s="362">
        <f>IF($B137="","",IF(Sheet1!$Z$1=2,'Tabla de Pagos Crecientes'!O77,'Tabla Fijos'!Q82))</f>
        <v>0</v>
      </c>
      <c r="P137" s="362">
        <f ca="1">IF(B137="","",G137+H137+I137+J137+K137+L137-M137-'Tabla Fijos'!P82)</f>
        <v>10421.884210717652</v>
      </c>
      <c r="Q137" s="362">
        <f t="shared" ca="1" si="3"/>
        <v>886812.72407683288</v>
      </c>
      <c r="R137" s="272">
        <f t="shared" ca="1" si="4"/>
        <v>1</v>
      </c>
    </row>
    <row r="138" spans="1:18" ht="15.5" x14ac:dyDescent="0.35">
      <c r="A138" s="272"/>
      <c r="B138" s="360">
        <f t="shared" si="5"/>
        <v>72</v>
      </c>
      <c r="C138" s="361">
        <f ca="1">IF($B138="","",'Fecha Pago'!K75)</f>
        <v>48337</v>
      </c>
      <c r="D138" s="362">
        <f>IF($B$67="","",'Fecha Pago'!L75)</f>
        <v>30.4</v>
      </c>
      <c r="E138" s="363">
        <f>IF(B138="","",IF(Sheet1!$Z$1=2,'Tabla de Pagos Crecientes'!E78,$F$62))</f>
        <v>0.11</v>
      </c>
      <c r="F138" s="362">
        <f ca="1">IF($B138="","",IF(Sheet1!$Z$1=2,'Tabla de Pagos Crecientes'!F78,'Tabla Fijos'!F83))</f>
        <v>886812.72407683288</v>
      </c>
      <c r="G138" s="362">
        <f ca="1">IF($B138="","",IF(Sheet1!$Z$1=2,'Tabla de Pagos Crecientes'!G78,'Tabla Fijos'!G83))</f>
        <v>2184.3793515150719</v>
      </c>
      <c r="H138" s="362">
        <f ca="1">IF($B138="","",IF(Sheet1!$Z$1=2,'Tabla de Pagos Crecientes'!H78,'Tabla Fijos'!H83))</f>
        <v>8237.5048592025796</v>
      </c>
      <c r="I138" s="362">
        <f>IF($B138=0,0,IF(B138="","",VLOOKUP($B138,'Tabla Fijos'!$B$12:$S$311,8,0)))</f>
        <v>0</v>
      </c>
      <c r="J138" s="362">
        <f ca="1">IF($B138="","",IF(Sheet1!$Z$1=2,'Tabla de Pagos Crecientes'!J78,'Tabla Fijos'!K83))</f>
        <v>0</v>
      </c>
      <c r="K138" s="362">
        <f ca="1">IF($B138="","",IF(Sheet1!$Z$1=2,'Tabla de Pagos Crecientes'!K78,'Tabla Fijos'!L83))</f>
        <v>0</v>
      </c>
      <c r="L138" s="362">
        <f ca="1">IF($B138="","",IF(Sheet1!$Z$1=2,'Tabla de Pagos Crecientes'!L78,'Tabla Fijos'!M83))</f>
        <v>0</v>
      </c>
      <c r="M138" s="362">
        <f ca="1">IF($B138="","",IF(Sheet1!$Z$1=2,'Tabla de Pagos Crecientes'!M78,'Tabla Fijos'!N83))</f>
        <v>0</v>
      </c>
      <c r="N138" s="364"/>
      <c r="O138" s="362">
        <f>IF($B138="","",IF(Sheet1!$Z$1=2,'Tabla de Pagos Crecientes'!O78,'Tabla Fijos'!Q83))</f>
        <v>0</v>
      </c>
      <c r="P138" s="362">
        <f ca="1">IF(B138="","",G138+H138+I138+J138+K138+L138-M138-'Tabla Fijos'!P83)</f>
        <v>10421.884210717652</v>
      </c>
      <c r="Q138" s="362">
        <f t="shared" ca="1" si="3"/>
        <v>884628.34472531779</v>
      </c>
      <c r="R138" s="272">
        <f t="shared" ca="1" si="4"/>
        <v>1</v>
      </c>
    </row>
    <row r="139" spans="1:18" ht="15.5" x14ac:dyDescent="0.35">
      <c r="A139" s="272"/>
      <c r="B139" s="360">
        <f t="shared" si="5"/>
        <v>73</v>
      </c>
      <c r="C139" s="361">
        <f ca="1">IF($B139="","",'Fecha Pago'!K76)</f>
        <v>48368</v>
      </c>
      <c r="D139" s="362">
        <f>IF($B$67="","",'Fecha Pago'!L76)</f>
        <v>30.4</v>
      </c>
      <c r="E139" s="363">
        <f>IF(B139="","",IF(Sheet1!$Z$1=2,'Tabla de Pagos Crecientes'!E79,$F$62))</f>
        <v>0.11</v>
      </c>
      <c r="F139" s="362">
        <f ca="1">IF($B139="","",IF(Sheet1!$Z$1=2,'Tabla de Pagos Crecientes'!F79,'Tabla Fijos'!F84))</f>
        <v>884628.34472531779</v>
      </c>
      <c r="G139" s="362">
        <f ca="1">IF($B139="","",IF(Sheet1!$Z$1=2,'Tabla de Pagos Crecientes'!G79,'Tabla Fijos'!G84))</f>
        <v>2204.6698086024771</v>
      </c>
      <c r="H139" s="362">
        <f ca="1">IF($B139="","",IF(Sheet1!$Z$1=2,'Tabla de Pagos Crecientes'!H79,'Tabla Fijos'!H84))</f>
        <v>8217.2144021151744</v>
      </c>
      <c r="I139" s="362">
        <f>IF($B139=0,0,IF(B139="","",VLOOKUP($B139,'Tabla Fijos'!$B$12:$S$311,8,0)))</f>
        <v>0</v>
      </c>
      <c r="J139" s="362">
        <f ca="1">IF($B139="","",IF(Sheet1!$Z$1=2,'Tabla de Pagos Crecientes'!J79,'Tabla Fijos'!K84))</f>
        <v>0</v>
      </c>
      <c r="K139" s="362">
        <f ca="1">IF($B139="","",IF(Sheet1!$Z$1=2,'Tabla de Pagos Crecientes'!K79,'Tabla Fijos'!L84))</f>
        <v>0</v>
      </c>
      <c r="L139" s="362">
        <f ca="1">IF($B139="","",IF(Sheet1!$Z$1=2,'Tabla de Pagos Crecientes'!L79,'Tabla Fijos'!M84))</f>
        <v>0</v>
      </c>
      <c r="M139" s="362">
        <f ca="1">IF($B139="","",IF(Sheet1!$Z$1=2,'Tabla de Pagos Crecientes'!M79,'Tabla Fijos'!N84))</f>
        <v>0</v>
      </c>
      <c r="N139" s="364"/>
      <c r="O139" s="362">
        <f>IF($B139="","",IF(Sheet1!$Z$1=2,'Tabla de Pagos Crecientes'!O79,'Tabla Fijos'!Q84))</f>
        <v>0</v>
      </c>
      <c r="P139" s="362">
        <f ca="1">IF(B139="","",G139+H139+I139+J139+K139+L139-M139-'Tabla Fijos'!P84)</f>
        <v>10421.884210717652</v>
      </c>
      <c r="Q139" s="362">
        <f t="shared" ca="1" si="3"/>
        <v>882423.67491671536</v>
      </c>
      <c r="R139" s="272">
        <f t="shared" ca="1" si="4"/>
        <v>1</v>
      </c>
    </row>
    <row r="140" spans="1:18" ht="15.5" x14ac:dyDescent="0.35">
      <c r="A140" s="272"/>
      <c r="B140" s="360">
        <f t="shared" si="5"/>
        <v>74</v>
      </c>
      <c r="C140" s="361">
        <f ca="1">IF($B140="","",'Fecha Pago'!K77)</f>
        <v>48398</v>
      </c>
      <c r="D140" s="362">
        <f>IF($B$67="","",'Fecha Pago'!L77)</f>
        <v>30.4</v>
      </c>
      <c r="E140" s="363">
        <f>IF(B140="","",IF(Sheet1!$Z$1=2,'Tabla de Pagos Crecientes'!E80,$F$62))</f>
        <v>0.11</v>
      </c>
      <c r="F140" s="362">
        <f ca="1">IF($B140="","",IF(Sheet1!$Z$1=2,'Tabla de Pagos Crecientes'!F80,'Tabla Fijos'!F85))</f>
        <v>882423.67491671536</v>
      </c>
      <c r="G140" s="362">
        <f ca="1">IF($B140="","",IF(Sheet1!$Z$1=2,'Tabla de Pagos Crecientes'!G80,'Tabla Fijos'!G85))</f>
        <v>2225.1487414912754</v>
      </c>
      <c r="H140" s="362">
        <f ca="1">IF($B140="","",IF(Sheet1!$Z$1=2,'Tabla de Pagos Crecientes'!H80,'Tabla Fijos'!H85))</f>
        <v>8196.735469226378</v>
      </c>
      <c r="I140" s="362">
        <f>IF($B140=0,0,IF(B140="","",VLOOKUP($B140,'Tabla Fijos'!$B$12:$S$311,8,0)))</f>
        <v>0</v>
      </c>
      <c r="J140" s="362">
        <f ca="1">IF($B140="","",IF(Sheet1!$Z$1=2,'Tabla de Pagos Crecientes'!J80,'Tabla Fijos'!K85))</f>
        <v>0</v>
      </c>
      <c r="K140" s="362">
        <f ca="1">IF($B140="","",IF(Sheet1!$Z$1=2,'Tabla de Pagos Crecientes'!K80,'Tabla Fijos'!L85))</f>
        <v>0</v>
      </c>
      <c r="L140" s="362">
        <f ca="1">IF($B140="","",IF(Sheet1!$Z$1=2,'Tabla de Pagos Crecientes'!L80,'Tabla Fijos'!M85))</f>
        <v>0</v>
      </c>
      <c r="M140" s="362">
        <f ca="1">IF($B140="","",IF(Sheet1!$Z$1=2,'Tabla de Pagos Crecientes'!M80,'Tabla Fijos'!N85))</f>
        <v>0</v>
      </c>
      <c r="N140" s="364"/>
      <c r="O140" s="362">
        <f>IF($B140="","",IF(Sheet1!$Z$1=2,'Tabla de Pagos Crecientes'!O80,'Tabla Fijos'!Q85))</f>
        <v>0</v>
      </c>
      <c r="P140" s="362">
        <f ca="1">IF(B140="","",G140+H140+I140+J140+K140+L140-M140-'Tabla Fijos'!P85)</f>
        <v>10421.884210717653</v>
      </c>
      <c r="Q140" s="362">
        <f t="shared" ca="1" si="3"/>
        <v>880198.52617522411</v>
      </c>
      <c r="R140" s="272">
        <f t="shared" ca="1" si="4"/>
        <v>1</v>
      </c>
    </row>
    <row r="141" spans="1:18" ht="15.5" x14ac:dyDescent="0.35">
      <c r="A141" s="272"/>
      <c r="B141" s="360">
        <f t="shared" si="5"/>
        <v>75</v>
      </c>
      <c r="C141" s="361">
        <f ca="1">IF($B141="","",'Fecha Pago'!K78)</f>
        <v>48429</v>
      </c>
      <c r="D141" s="362">
        <f>IF($B$67="","",'Fecha Pago'!L78)</f>
        <v>30.4</v>
      </c>
      <c r="E141" s="363">
        <f>IF(B141="","",IF(Sheet1!$Z$1=2,'Tabla de Pagos Crecientes'!E81,$F$62))</f>
        <v>0.11</v>
      </c>
      <c r="F141" s="362">
        <f ca="1">IF($B141="","",IF(Sheet1!$Z$1=2,'Tabla de Pagos Crecientes'!F81,'Tabla Fijos'!F86))</f>
        <v>880198.52617522411</v>
      </c>
      <c r="G141" s="362">
        <f ca="1">IF($B141="","",IF(Sheet1!$Z$1=2,'Tabla de Pagos Crecientes'!G81,'Tabla Fijos'!G86))</f>
        <v>2245.8179009122387</v>
      </c>
      <c r="H141" s="362">
        <f ca="1">IF($B141="","",IF(Sheet1!$Z$1=2,'Tabla de Pagos Crecientes'!H81,'Tabla Fijos'!H86))</f>
        <v>8176.0663098054147</v>
      </c>
      <c r="I141" s="362">
        <f>IF($B141=0,0,IF(B141="","",VLOOKUP($B141,'Tabla Fijos'!$B$12:$S$311,8,0)))</f>
        <v>0</v>
      </c>
      <c r="J141" s="362">
        <f ca="1">IF($B141="","",IF(Sheet1!$Z$1=2,'Tabla de Pagos Crecientes'!J81,'Tabla Fijos'!K86))</f>
        <v>0</v>
      </c>
      <c r="K141" s="362">
        <f ca="1">IF($B141="","",IF(Sheet1!$Z$1=2,'Tabla de Pagos Crecientes'!K81,'Tabla Fijos'!L86))</f>
        <v>0</v>
      </c>
      <c r="L141" s="362">
        <f ca="1">IF($B141="","",IF(Sheet1!$Z$1=2,'Tabla de Pagos Crecientes'!L81,'Tabla Fijos'!M86))</f>
        <v>0</v>
      </c>
      <c r="M141" s="362">
        <f ca="1">IF($B141="","",IF(Sheet1!$Z$1=2,'Tabla de Pagos Crecientes'!M81,'Tabla Fijos'!N86))</f>
        <v>0</v>
      </c>
      <c r="N141" s="364"/>
      <c r="O141" s="362">
        <f>IF($B141="","",IF(Sheet1!$Z$1=2,'Tabla de Pagos Crecientes'!O81,'Tabla Fijos'!Q86))</f>
        <v>0</v>
      </c>
      <c r="P141" s="362">
        <f ca="1">IF(B141="","",G141+H141+I141+J141+K141+L141-M141-'Tabla Fijos'!P86)</f>
        <v>10421.884210717653</v>
      </c>
      <c r="Q141" s="362">
        <f t="shared" ca="1" si="3"/>
        <v>877952.70827431185</v>
      </c>
      <c r="R141" s="272">
        <f t="shared" ca="1" si="4"/>
        <v>1</v>
      </c>
    </row>
    <row r="142" spans="1:18" ht="15.5" x14ac:dyDescent="0.35">
      <c r="A142" s="272"/>
      <c r="B142" s="360">
        <f t="shared" si="5"/>
        <v>76</v>
      </c>
      <c r="C142" s="361">
        <f ca="1">IF($B142="","",'Fecha Pago'!K79)</f>
        <v>48460</v>
      </c>
      <c r="D142" s="362">
        <f>IF($B$67="","",'Fecha Pago'!L79)</f>
        <v>30.4</v>
      </c>
      <c r="E142" s="363">
        <f>IF(B142="","",IF(Sheet1!$Z$1=2,'Tabla de Pagos Crecientes'!E82,$F$62))</f>
        <v>0.11</v>
      </c>
      <c r="F142" s="362">
        <f ca="1">IF($B142="","",IF(Sheet1!$Z$1=2,'Tabla de Pagos Crecientes'!F82,'Tabla Fijos'!F87))</f>
        <v>877952.70827431185</v>
      </c>
      <c r="G142" s="362">
        <f ca="1">IF($B142="","",IF(Sheet1!$Z$1=2,'Tabla de Pagos Crecientes'!G82,'Tabla Fijos'!G87))</f>
        <v>2266.6790538584883</v>
      </c>
      <c r="H142" s="362">
        <f ca="1">IF($B142="","",IF(Sheet1!$Z$1=2,'Tabla de Pagos Crecientes'!H82,'Tabla Fijos'!H87))</f>
        <v>8155.2051568591633</v>
      </c>
      <c r="I142" s="362">
        <f>IF($B142=0,0,IF(B142="","",VLOOKUP($B142,'Tabla Fijos'!$B$12:$S$311,8,0)))</f>
        <v>0</v>
      </c>
      <c r="J142" s="362">
        <f ca="1">IF($B142="","",IF(Sheet1!$Z$1=2,'Tabla de Pagos Crecientes'!J82,'Tabla Fijos'!K87))</f>
        <v>0</v>
      </c>
      <c r="K142" s="362">
        <f ca="1">IF($B142="","",IF(Sheet1!$Z$1=2,'Tabla de Pagos Crecientes'!K82,'Tabla Fijos'!L87))</f>
        <v>0</v>
      </c>
      <c r="L142" s="362">
        <f ca="1">IF($B142="","",IF(Sheet1!$Z$1=2,'Tabla de Pagos Crecientes'!L82,'Tabla Fijos'!M87))</f>
        <v>0</v>
      </c>
      <c r="M142" s="362">
        <f ca="1">IF($B142="","",IF(Sheet1!$Z$1=2,'Tabla de Pagos Crecientes'!M82,'Tabla Fijos'!N87))</f>
        <v>0</v>
      </c>
      <c r="N142" s="364"/>
      <c r="O142" s="362">
        <f>IF($B142="","",IF(Sheet1!$Z$1=2,'Tabla de Pagos Crecientes'!O82,'Tabla Fijos'!Q87))</f>
        <v>0</v>
      </c>
      <c r="P142" s="362">
        <f ca="1">IF(B142="","",G142+H142+I142+J142+K142+L142-M142-'Tabla Fijos'!P87)</f>
        <v>10421.884210717652</v>
      </c>
      <c r="Q142" s="362">
        <f t="shared" ca="1" si="3"/>
        <v>875686.02922045335</v>
      </c>
      <c r="R142" s="272">
        <f t="shared" ca="1" si="4"/>
        <v>1</v>
      </c>
    </row>
    <row r="143" spans="1:18" ht="15.5" x14ac:dyDescent="0.35">
      <c r="A143" s="272"/>
      <c r="B143" s="360">
        <f t="shared" si="5"/>
        <v>77</v>
      </c>
      <c r="C143" s="361">
        <f ca="1">IF($B143="","",'Fecha Pago'!K80)</f>
        <v>48490</v>
      </c>
      <c r="D143" s="362">
        <f>IF($B$67="","",'Fecha Pago'!L80)</f>
        <v>30.4</v>
      </c>
      <c r="E143" s="363">
        <f>IF(B143="","",IF(Sheet1!$Z$1=2,'Tabla de Pagos Crecientes'!E83,$F$62))</f>
        <v>0.11</v>
      </c>
      <c r="F143" s="362">
        <f ca="1">IF($B143="","",IF(Sheet1!$Z$1=2,'Tabla de Pagos Crecientes'!F83,'Tabla Fijos'!F88))</f>
        <v>875686.02922045335</v>
      </c>
      <c r="G143" s="362">
        <f ca="1">IF($B143="","",IF(Sheet1!$Z$1=2,'Tabla de Pagos Crecientes'!G83,'Tabla Fijos'!G88))</f>
        <v>2287.7339837365525</v>
      </c>
      <c r="H143" s="362">
        <f ca="1">IF($B143="","",IF(Sheet1!$Z$1=2,'Tabla de Pagos Crecientes'!H83,'Tabla Fijos'!H88))</f>
        <v>8134.150226981099</v>
      </c>
      <c r="I143" s="362">
        <f>IF($B143=0,0,IF(B143="","",VLOOKUP($B143,'Tabla Fijos'!$B$12:$S$311,8,0)))</f>
        <v>0</v>
      </c>
      <c r="J143" s="362">
        <f ca="1">IF($B143="","",IF(Sheet1!$Z$1=2,'Tabla de Pagos Crecientes'!J83,'Tabla Fijos'!K88))</f>
        <v>0</v>
      </c>
      <c r="K143" s="362">
        <f ca="1">IF($B143="","",IF(Sheet1!$Z$1=2,'Tabla de Pagos Crecientes'!K83,'Tabla Fijos'!L88))</f>
        <v>0</v>
      </c>
      <c r="L143" s="362">
        <f ca="1">IF($B143="","",IF(Sheet1!$Z$1=2,'Tabla de Pagos Crecientes'!L83,'Tabla Fijos'!M88))</f>
        <v>0</v>
      </c>
      <c r="M143" s="362">
        <f ca="1">IF($B143="","",IF(Sheet1!$Z$1=2,'Tabla de Pagos Crecientes'!M83,'Tabla Fijos'!N88))</f>
        <v>0</v>
      </c>
      <c r="N143" s="364"/>
      <c r="O143" s="362">
        <f>IF($B143="","",IF(Sheet1!$Z$1=2,'Tabla de Pagos Crecientes'!O83,'Tabla Fijos'!Q88))</f>
        <v>0</v>
      </c>
      <c r="P143" s="362">
        <f ca="1">IF(B143="","",G143+H143+I143+J143+K143+L143-M143-'Tabla Fijos'!P88)</f>
        <v>10421.884210717652</v>
      </c>
      <c r="Q143" s="362">
        <f t="shared" ca="1" si="3"/>
        <v>873398.29523671675</v>
      </c>
      <c r="R143" s="272">
        <f t="shared" ca="1" si="4"/>
        <v>1</v>
      </c>
    </row>
    <row r="144" spans="1:18" ht="15.5" x14ac:dyDescent="0.35">
      <c r="A144" s="272"/>
      <c r="B144" s="360">
        <f t="shared" si="5"/>
        <v>78</v>
      </c>
      <c r="C144" s="361">
        <f ca="1">IF($B144="","",'Fecha Pago'!K81)</f>
        <v>48521</v>
      </c>
      <c r="D144" s="362">
        <f>IF($B$67="","",'Fecha Pago'!L81)</f>
        <v>30.4</v>
      </c>
      <c r="E144" s="363">
        <f>IF(B144="","",IF(Sheet1!$Z$1=2,'Tabla de Pagos Crecientes'!E84,$F$62))</f>
        <v>0.11</v>
      </c>
      <c r="F144" s="362">
        <f ca="1">IF($B144="","",IF(Sheet1!$Z$1=2,'Tabla de Pagos Crecientes'!F84,'Tabla Fijos'!F89))</f>
        <v>873398.29523671675</v>
      </c>
      <c r="G144" s="362">
        <f ca="1">IF($B144="","",IF(Sheet1!$Z$1=2,'Tabla de Pagos Crecientes'!G84,'Tabla Fijos'!G89))</f>
        <v>2308.9844905188165</v>
      </c>
      <c r="H144" s="362">
        <f ca="1">IF($B144="","",IF(Sheet1!$Z$1=2,'Tabla de Pagos Crecientes'!H84,'Tabla Fijos'!H89))</f>
        <v>8112.899720198835</v>
      </c>
      <c r="I144" s="362">
        <f>IF($B144=0,0,IF(B144="","",VLOOKUP($B144,'Tabla Fijos'!$B$12:$S$311,8,0)))</f>
        <v>0</v>
      </c>
      <c r="J144" s="362">
        <f ca="1">IF($B144="","",IF(Sheet1!$Z$1=2,'Tabla de Pagos Crecientes'!J84,'Tabla Fijos'!K89))</f>
        <v>0</v>
      </c>
      <c r="K144" s="362">
        <f ca="1">IF($B144="","",IF(Sheet1!$Z$1=2,'Tabla de Pagos Crecientes'!K84,'Tabla Fijos'!L89))</f>
        <v>0</v>
      </c>
      <c r="L144" s="362">
        <f ca="1">IF($B144="","",IF(Sheet1!$Z$1=2,'Tabla de Pagos Crecientes'!L84,'Tabla Fijos'!M89))</f>
        <v>0</v>
      </c>
      <c r="M144" s="362">
        <f ca="1">IF($B144="","",IF(Sheet1!$Z$1=2,'Tabla de Pagos Crecientes'!M84,'Tabla Fijos'!N89))</f>
        <v>0</v>
      </c>
      <c r="N144" s="364"/>
      <c r="O144" s="362">
        <f>IF($B144="","",IF(Sheet1!$Z$1=2,'Tabla de Pagos Crecientes'!O84,'Tabla Fijos'!Q89))</f>
        <v>0</v>
      </c>
      <c r="P144" s="362">
        <f ca="1">IF(B144="","",G144+H144+I144+J144+K144+L144-M144-'Tabla Fijos'!P89)</f>
        <v>10421.884210717652</v>
      </c>
      <c r="Q144" s="362">
        <f t="shared" ca="1" si="3"/>
        <v>871089.31074619794</v>
      </c>
      <c r="R144" s="272">
        <f t="shared" ca="1" si="4"/>
        <v>1</v>
      </c>
    </row>
    <row r="145" spans="1:18" ht="15.5" x14ac:dyDescent="0.35">
      <c r="A145" s="272"/>
      <c r="B145" s="360">
        <f t="shared" si="5"/>
        <v>79</v>
      </c>
      <c r="C145" s="361">
        <f ca="1">IF($B145="","",'Fecha Pago'!K82)</f>
        <v>48551</v>
      </c>
      <c r="D145" s="362">
        <f>IF($B$67="","",'Fecha Pago'!L82)</f>
        <v>30.4</v>
      </c>
      <c r="E145" s="363">
        <f>IF(B145="","",IF(Sheet1!$Z$1=2,'Tabla de Pagos Crecientes'!E85,$F$62))</f>
        <v>0.11</v>
      </c>
      <c r="F145" s="362">
        <f ca="1">IF($B145="","",IF(Sheet1!$Z$1=2,'Tabla de Pagos Crecientes'!F85,'Tabla Fijos'!F90))</f>
        <v>871089.31074619794</v>
      </c>
      <c r="G145" s="362">
        <f ca="1">IF($B145="","",IF(Sheet1!$Z$1=2,'Tabla de Pagos Crecientes'!G85,'Tabla Fijos'!G90))</f>
        <v>2330.4323908974138</v>
      </c>
      <c r="H145" s="362">
        <f ca="1">IF($B145="","",IF(Sheet1!$Z$1=2,'Tabla de Pagos Crecientes'!H85,'Tabla Fijos'!H90))</f>
        <v>8091.4518198202377</v>
      </c>
      <c r="I145" s="362">
        <f>IF($B145=0,0,IF(B145="","",VLOOKUP($B145,'Tabla Fijos'!$B$12:$S$311,8,0)))</f>
        <v>0</v>
      </c>
      <c r="J145" s="362">
        <f ca="1">IF($B145="","",IF(Sheet1!$Z$1=2,'Tabla de Pagos Crecientes'!J85,'Tabla Fijos'!K90))</f>
        <v>0</v>
      </c>
      <c r="K145" s="362">
        <f ca="1">IF($B145="","",IF(Sheet1!$Z$1=2,'Tabla de Pagos Crecientes'!K85,'Tabla Fijos'!L90))</f>
        <v>0</v>
      </c>
      <c r="L145" s="362">
        <f ca="1">IF($B145="","",IF(Sheet1!$Z$1=2,'Tabla de Pagos Crecientes'!L85,'Tabla Fijos'!M90))</f>
        <v>0</v>
      </c>
      <c r="M145" s="362">
        <f ca="1">IF($B145="","",IF(Sheet1!$Z$1=2,'Tabla de Pagos Crecientes'!M85,'Tabla Fijos'!N90))</f>
        <v>0</v>
      </c>
      <c r="N145" s="364"/>
      <c r="O145" s="362">
        <f>IF($B145="","",IF(Sheet1!$Z$1=2,'Tabla de Pagos Crecientes'!O85,'Tabla Fijos'!Q90))</f>
        <v>0</v>
      </c>
      <c r="P145" s="362">
        <f ca="1">IF(B145="","",G145+H145+I145+J145+K145+L145-M145-'Tabla Fijos'!P90)</f>
        <v>10421.884210717652</v>
      </c>
      <c r="Q145" s="362">
        <f t="shared" ca="1" si="3"/>
        <v>868758.87835530052</v>
      </c>
      <c r="R145" s="272">
        <f t="shared" ca="1" si="4"/>
        <v>1</v>
      </c>
    </row>
    <row r="146" spans="1:18" ht="15.5" x14ac:dyDescent="0.35">
      <c r="A146" s="272"/>
      <c r="B146" s="360">
        <f t="shared" si="5"/>
        <v>80</v>
      </c>
      <c r="C146" s="361">
        <f ca="1">IF($B146="","",'Fecha Pago'!K83)</f>
        <v>48582</v>
      </c>
      <c r="D146" s="362">
        <f>IF($B$67="","",'Fecha Pago'!L83)</f>
        <v>30.4</v>
      </c>
      <c r="E146" s="363">
        <f>IF(B146="","",IF(Sheet1!$Z$1=2,'Tabla de Pagos Crecientes'!E86,$F$62))</f>
        <v>0.11</v>
      </c>
      <c r="F146" s="362">
        <f ca="1">IF($B146="","",IF(Sheet1!$Z$1=2,'Tabla de Pagos Crecientes'!F86,'Tabla Fijos'!F91))</f>
        <v>868758.87835530052</v>
      </c>
      <c r="G146" s="362">
        <f ca="1">IF($B146="","",IF(Sheet1!$Z$1=2,'Tabla de Pagos Crecientes'!G86,'Tabla Fijos'!G91))</f>
        <v>2352.0795184395274</v>
      </c>
      <c r="H146" s="362">
        <f ca="1">IF($B146="","",IF(Sheet1!$Z$1=2,'Tabla de Pagos Crecientes'!H86,'Tabla Fijos'!H91))</f>
        <v>8069.8046922781241</v>
      </c>
      <c r="I146" s="362">
        <f>IF($B146=0,0,IF(B146="","",VLOOKUP($B146,'Tabla Fijos'!$B$12:$S$311,8,0)))</f>
        <v>0</v>
      </c>
      <c r="J146" s="362">
        <f ca="1">IF($B146="","",IF(Sheet1!$Z$1=2,'Tabla de Pagos Crecientes'!J86,'Tabla Fijos'!K91))</f>
        <v>0</v>
      </c>
      <c r="K146" s="362">
        <f ca="1">IF($B146="","",IF(Sheet1!$Z$1=2,'Tabla de Pagos Crecientes'!K86,'Tabla Fijos'!L91))</f>
        <v>0</v>
      </c>
      <c r="L146" s="362">
        <f ca="1">IF($B146="","",IF(Sheet1!$Z$1=2,'Tabla de Pagos Crecientes'!L86,'Tabla Fijos'!M91))</f>
        <v>0</v>
      </c>
      <c r="M146" s="362">
        <f ca="1">IF($B146="","",IF(Sheet1!$Z$1=2,'Tabla de Pagos Crecientes'!M86,'Tabla Fijos'!N91))</f>
        <v>0</v>
      </c>
      <c r="N146" s="364"/>
      <c r="O146" s="362">
        <f>IF($B146="","",IF(Sheet1!$Z$1=2,'Tabla de Pagos Crecientes'!O86,'Tabla Fijos'!Q91))</f>
        <v>0</v>
      </c>
      <c r="P146" s="362">
        <f ca="1">IF(B146="","",G146+H146+I146+J146+K146+L146-M146-'Tabla Fijos'!P91)</f>
        <v>10421.884210717652</v>
      </c>
      <c r="Q146" s="362">
        <f t="shared" ca="1" si="3"/>
        <v>866406.79883686104</v>
      </c>
      <c r="R146" s="272">
        <f t="shared" ca="1" si="4"/>
        <v>1</v>
      </c>
    </row>
    <row r="147" spans="1:18" ht="15.5" x14ac:dyDescent="0.35">
      <c r="A147" s="272"/>
      <c r="B147" s="360">
        <f t="shared" si="5"/>
        <v>81</v>
      </c>
      <c r="C147" s="361">
        <f ca="1">IF($B147="","",'Fecha Pago'!K84)</f>
        <v>48613</v>
      </c>
      <c r="D147" s="362">
        <f>IF($B$67="","",'Fecha Pago'!L84)</f>
        <v>30.4</v>
      </c>
      <c r="E147" s="363">
        <f>IF(B147="","",IF(Sheet1!$Z$1=2,'Tabla de Pagos Crecientes'!E87,$F$62))</f>
        <v>0.11</v>
      </c>
      <c r="F147" s="362">
        <f ca="1">IF($B147="","",IF(Sheet1!$Z$1=2,'Tabla de Pagos Crecientes'!F87,'Tabla Fijos'!F92))</f>
        <v>866406.79883686104</v>
      </c>
      <c r="G147" s="362">
        <f ca="1">IF($B147="","",IF(Sheet1!$Z$1=2,'Tabla de Pagos Crecientes'!G87,'Tabla Fijos'!G92))</f>
        <v>2373.9277237441429</v>
      </c>
      <c r="H147" s="362">
        <f ca="1">IF($B147="","",IF(Sheet1!$Z$1=2,'Tabla de Pagos Crecientes'!H87,'Tabla Fijos'!H92))</f>
        <v>8047.9564869735086</v>
      </c>
      <c r="I147" s="362">
        <f>IF($B147=0,0,IF(B147="","",VLOOKUP($B147,'Tabla Fijos'!$B$12:$S$311,8,0)))</f>
        <v>0</v>
      </c>
      <c r="J147" s="362">
        <f ca="1">IF($B147="","",IF(Sheet1!$Z$1=2,'Tabla de Pagos Crecientes'!J87,'Tabla Fijos'!K92))</f>
        <v>0</v>
      </c>
      <c r="K147" s="362">
        <f ca="1">IF($B147="","",IF(Sheet1!$Z$1=2,'Tabla de Pagos Crecientes'!K87,'Tabla Fijos'!L92))</f>
        <v>0</v>
      </c>
      <c r="L147" s="362">
        <f ca="1">IF($B147="","",IF(Sheet1!$Z$1=2,'Tabla de Pagos Crecientes'!L87,'Tabla Fijos'!M92))</f>
        <v>0</v>
      </c>
      <c r="M147" s="362">
        <f ca="1">IF($B147="","",IF(Sheet1!$Z$1=2,'Tabla de Pagos Crecientes'!M87,'Tabla Fijos'!N92))</f>
        <v>0</v>
      </c>
      <c r="N147" s="364"/>
      <c r="O147" s="362">
        <f>IF($B147="","",IF(Sheet1!$Z$1=2,'Tabla de Pagos Crecientes'!O87,'Tabla Fijos'!Q92))</f>
        <v>0</v>
      </c>
      <c r="P147" s="362">
        <f ca="1">IF(B147="","",G147+H147+I147+J147+K147+L147-M147-'Tabla Fijos'!P92)</f>
        <v>10421.884210717652</v>
      </c>
      <c r="Q147" s="362">
        <f t="shared" ca="1" si="3"/>
        <v>864032.87111311685</v>
      </c>
      <c r="R147" s="272">
        <f t="shared" ca="1" si="4"/>
        <v>1</v>
      </c>
    </row>
    <row r="148" spans="1:18" ht="15.5" x14ac:dyDescent="0.35">
      <c r="A148" s="272"/>
      <c r="B148" s="360">
        <f t="shared" si="5"/>
        <v>82</v>
      </c>
      <c r="C148" s="361">
        <f ca="1">IF($B148="","",'Fecha Pago'!K85)</f>
        <v>48641</v>
      </c>
      <c r="D148" s="362">
        <f>IF($B$67="","",'Fecha Pago'!L85)</f>
        <v>30.4</v>
      </c>
      <c r="E148" s="363">
        <f>IF(B148="","",IF(Sheet1!$Z$1=2,'Tabla de Pagos Crecientes'!E88,$F$62))</f>
        <v>0.11</v>
      </c>
      <c r="F148" s="362">
        <f ca="1">IF($B148="","",IF(Sheet1!$Z$1=2,'Tabla de Pagos Crecientes'!F88,'Tabla Fijos'!F93))</f>
        <v>864032.87111311685</v>
      </c>
      <c r="G148" s="362">
        <f ca="1">IF($B148="","",IF(Sheet1!$Z$1=2,'Tabla de Pagos Crecientes'!G88,'Tabla Fijos'!G93))</f>
        <v>2395.9788746002559</v>
      </c>
      <c r="H148" s="362">
        <f ca="1">IF($B148="","",IF(Sheet1!$Z$1=2,'Tabla de Pagos Crecientes'!H88,'Tabla Fijos'!H93))</f>
        <v>8025.9053361173956</v>
      </c>
      <c r="I148" s="362">
        <f>IF($B148=0,0,IF(B148="","",VLOOKUP($B148,'Tabla Fijos'!$B$12:$S$311,8,0)))</f>
        <v>0</v>
      </c>
      <c r="J148" s="362">
        <f ca="1">IF($B148="","",IF(Sheet1!$Z$1=2,'Tabla de Pagos Crecientes'!J88,'Tabla Fijos'!K93))</f>
        <v>0</v>
      </c>
      <c r="K148" s="362">
        <f ca="1">IF($B148="","",IF(Sheet1!$Z$1=2,'Tabla de Pagos Crecientes'!K88,'Tabla Fijos'!L93))</f>
        <v>0</v>
      </c>
      <c r="L148" s="362">
        <f ca="1">IF($B148="","",IF(Sheet1!$Z$1=2,'Tabla de Pagos Crecientes'!L88,'Tabla Fijos'!M93))</f>
        <v>0</v>
      </c>
      <c r="M148" s="362">
        <f ca="1">IF($B148="","",IF(Sheet1!$Z$1=2,'Tabla de Pagos Crecientes'!M88,'Tabla Fijos'!N93))</f>
        <v>0</v>
      </c>
      <c r="N148" s="364"/>
      <c r="O148" s="362">
        <f>IF($B148="","",IF(Sheet1!$Z$1=2,'Tabla de Pagos Crecientes'!O88,'Tabla Fijos'!Q93))</f>
        <v>0</v>
      </c>
      <c r="P148" s="362">
        <f ca="1">IF(B148="","",G148+H148+I148+J148+K148+L148-M148-'Tabla Fijos'!P93)</f>
        <v>10421.884210717652</v>
      </c>
      <c r="Q148" s="362">
        <f t="shared" ca="1" si="3"/>
        <v>861636.89223851659</v>
      </c>
      <c r="R148" s="272">
        <f t="shared" ca="1" si="4"/>
        <v>1</v>
      </c>
    </row>
    <row r="149" spans="1:18" ht="15.5" x14ac:dyDescent="0.35">
      <c r="A149" s="272"/>
      <c r="B149" s="360">
        <f t="shared" si="5"/>
        <v>83</v>
      </c>
      <c r="C149" s="361">
        <f ca="1">IF($B149="","",'Fecha Pago'!K86)</f>
        <v>48672</v>
      </c>
      <c r="D149" s="362">
        <f>IF($B$67="","",'Fecha Pago'!L86)</f>
        <v>30.4</v>
      </c>
      <c r="E149" s="363">
        <f>IF(B149="","",IF(Sheet1!$Z$1=2,'Tabla de Pagos Crecientes'!E89,$F$62))</f>
        <v>0.11</v>
      </c>
      <c r="F149" s="362">
        <f ca="1">IF($B149="","",IF(Sheet1!$Z$1=2,'Tabla de Pagos Crecientes'!F89,'Tabla Fijos'!F94))</f>
        <v>861636.89223851659</v>
      </c>
      <c r="G149" s="362">
        <f ca="1">IF($B149="","",IF(Sheet1!$Z$1=2,'Tabla de Pagos Crecientes'!G89,'Tabla Fijos'!G94))</f>
        <v>2418.2348561465424</v>
      </c>
      <c r="H149" s="362">
        <f ca="1">IF($B149="","",IF(Sheet1!$Z$1=2,'Tabla de Pagos Crecientes'!H89,'Tabla Fijos'!H94))</f>
        <v>8003.6493545711091</v>
      </c>
      <c r="I149" s="362">
        <f>IF($B149=0,0,IF(B149="","",VLOOKUP($B149,'Tabla Fijos'!$B$12:$S$311,8,0)))</f>
        <v>0</v>
      </c>
      <c r="J149" s="362">
        <f ca="1">IF($B149="","",IF(Sheet1!$Z$1=2,'Tabla de Pagos Crecientes'!J89,'Tabla Fijos'!K94))</f>
        <v>0</v>
      </c>
      <c r="K149" s="362">
        <f ca="1">IF($B149="","",IF(Sheet1!$Z$1=2,'Tabla de Pagos Crecientes'!K89,'Tabla Fijos'!L94))</f>
        <v>0</v>
      </c>
      <c r="L149" s="362">
        <f ca="1">IF($B149="","",IF(Sheet1!$Z$1=2,'Tabla de Pagos Crecientes'!L89,'Tabla Fijos'!M94))</f>
        <v>0</v>
      </c>
      <c r="M149" s="362">
        <f ca="1">IF($B149="","",IF(Sheet1!$Z$1=2,'Tabla de Pagos Crecientes'!M89,'Tabla Fijos'!N94))</f>
        <v>0</v>
      </c>
      <c r="N149" s="364"/>
      <c r="O149" s="362">
        <f>IF($B149="","",IF(Sheet1!$Z$1=2,'Tabla de Pagos Crecientes'!O89,'Tabla Fijos'!Q94))</f>
        <v>0</v>
      </c>
      <c r="P149" s="362">
        <f ca="1">IF(B149="","",G149+H149+I149+J149+K149+L149-M149-'Tabla Fijos'!P94)</f>
        <v>10421.884210717652</v>
      </c>
      <c r="Q149" s="362">
        <f t="shared" ca="1" si="3"/>
        <v>859218.65738237009</v>
      </c>
      <c r="R149" s="272">
        <f t="shared" ca="1" si="4"/>
        <v>1</v>
      </c>
    </row>
    <row r="150" spans="1:18" ht="15.5" x14ac:dyDescent="0.35">
      <c r="A150" s="272"/>
      <c r="B150" s="360">
        <f t="shared" si="5"/>
        <v>84</v>
      </c>
      <c r="C150" s="361">
        <f ca="1">IF($B150="","",'Fecha Pago'!K87)</f>
        <v>48702</v>
      </c>
      <c r="D150" s="362">
        <f>IF($B$67="","",'Fecha Pago'!L87)</f>
        <v>30.4</v>
      </c>
      <c r="E150" s="363">
        <f>IF(B150="","",IF(Sheet1!$Z$1=2,'Tabla de Pagos Crecientes'!E90,$F$62))</f>
        <v>0.11</v>
      </c>
      <c r="F150" s="362">
        <f ca="1">IF($B150="","",IF(Sheet1!$Z$1=2,'Tabla de Pagos Crecientes'!F90,'Tabla Fijos'!F95))</f>
        <v>859218.65738237009</v>
      </c>
      <c r="G150" s="362">
        <f ca="1">IF($B150="","",IF(Sheet1!$Z$1=2,'Tabla de Pagos Crecientes'!G90,'Tabla Fijos'!G95))</f>
        <v>2440.697571032526</v>
      </c>
      <c r="H150" s="362">
        <f ca="1">IF($B150="","",IF(Sheet1!$Z$1=2,'Tabla de Pagos Crecientes'!H90,'Tabla Fijos'!H95))</f>
        <v>7981.1866396851256</v>
      </c>
      <c r="I150" s="362">
        <f>IF($B150=0,0,IF(B150="","",VLOOKUP($B150,'Tabla Fijos'!$B$12:$S$311,8,0)))</f>
        <v>0</v>
      </c>
      <c r="J150" s="362">
        <f ca="1">IF($B150="","",IF(Sheet1!$Z$1=2,'Tabla de Pagos Crecientes'!J90,'Tabla Fijos'!K95))</f>
        <v>0</v>
      </c>
      <c r="K150" s="362">
        <f ca="1">IF($B150="","",IF(Sheet1!$Z$1=2,'Tabla de Pagos Crecientes'!K90,'Tabla Fijos'!L95))</f>
        <v>0</v>
      </c>
      <c r="L150" s="362">
        <f ca="1">IF($B150="","",IF(Sheet1!$Z$1=2,'Tabla de Pagos Crecientes'!L90,'Tabla Fijos'!M95))</f>
        <v>0</v>
      </c>
      <c r="M150" s="362">
        <f ca="1">IF($B150="","",IF(Sheet1!$Z$1=2,'Tabla de Pagos Crecientes'!M90,'Tabla Fijos'!N95))</f>
        <v>0</v>
      </c>
      <c r="N150" s="364"/>
      <c r="O150" s="362">
        <f>IF($B150="","",IF(Sheet1!$Z$1=2,'Tabla de Pagos Crecientes'!O90,'Tabla Fijos'!Q95))</f>
        <v>0</v>
      </c>
      <c r="P150" s="362">
        <f ca="1">IF(B150="","",G150+H150+I150+J150+K150+L150-M150-'Tabla Fijos'!P95)</f>
        <v>10421.884210717652</v>
      </c>
      <c r="Q150" s="362">
        <f t="shared" ca="1" si="3"/>
        <v>856777.95981133753</v>
      </c>
      <c r="R150" s="272">
        <f t="shared" ca="1" si="4"/>
        <v>1</v>
      </c>
    </row>
    <row r="151" spans="1:18" ht="15.5" x14ac:dyDescent="0.35">
      <c r="A151" s="272"/>
      <c r="B151" s="360">
        <f t="shared" si="5"/>
        <v>85</v>
      </c>
      <c r="C151" s="361">
        <f ca="1">IF($B151="","",'Fecha Pago'!K88)</f>
        <v>48733</v>
      </c>
      <c r="D151" s="362">
        <f>IF($B$67="","",'Fecha Pago'!L88)</f>
        <v>30.4</v>
      </c>
      <c r="E151" s="363">
        <f>IF(B151="","",IF(Sheet1!$Z$1=2,'Tabla de Pagos Crecientes'!E91,$F$62))</f>
        <v>0.11</v>
      </c>
      <c r="F151" s="362">
        <f ca="1">IF($B151="","",IF(Sheet1!$Z$1=2,'Tabla de Pagos Crecientes'!F91,'Tabla Fijos'!F96))</f>
        <v>856777.95981133753</v>
      </c>
      <c r="G151" s="362">
        <f ca="1">IF($B151="","",IF(Sheet1!$Z$1=2,'Tabla de Pagos Crecientes'!G91,'Tabla Fijos'!G96))</f>
        <v>2463.368939581228</v>
      </c>
      <c r="H151" s="362">
        <f ca="1">IF($B151="","",IF(Sheet1!$Z$1=2,'Tabla de Pagos Crecientes'!H91,'Tabla Fijos'!H96))</f>
        <v>7958.5152711364235</v>
      </c>
      <c r="I151" s="362">
        <f>IF($B151=0,0,IF(B151="","",VLOOKUP($B151,'Tabla Fijos'!$B$12:$S$311,8,0)))</f>
        <v>0</v>
      </c>
      <c r="J151" s="362">
        <f ca="1">IF($B151="","",IF(Sheet1!$Z$1=2,'Tabla de Pagos Crecientes'!J91,'Tabla Fijos'!K96))</f>
        <v>0</v>
      </c>
      <c r="K151" s="362">
        <f ca="1">IF($B151="","",IF(Sheet1!$Z$1=2,'Tabla de Pagos Crecientes'!K91,'Tabla Fijos'!L96))</f>
        <v>0</v>
      </c>
      <c r="L151" s="362">
        <f ca="1">IF($B151="","",IF(Sheet1!$Z$1=2,'Tabla de Pagos Crecientes'!L91,'Tabla Fijos'!M96))</f>
        <v>0</v>
      </c>
      <c r="M151" s="362">
        <f ca="1">IF($B151="","",IF(Sheet1!$Z$1=2,'Tabla de Pagos Crecientes'!M91,'Tabla Fijos'!N96))</f>
        <v>0</v>
      </c>
      <c r="N151" s="364"/>
      <c r="O151" s="362">
        <f>IF($B151="","",IF(Sheet1!$Z$1=2,'Tabla de Pagos Crecientes'!O91,'Tabla Fijos'!Q96))</f>
        <v>0</v>
      </c>
      <c r="P151" s="362">
        <f ca="1">IF(B151="","",G151+H151+I151+J151+K151+L151-M151-'Tabla Fijos'!P96)</f>
        <v>10421.884210717652</v>
      </c>
      <c r="Q151" s="362">
        <f t="shared" ca="1" si="3"/>
        <v>854314.59087175631</v>
      </c>
      <c r="R151" s="272">
        <f t="shared" ca="1" si="4"/>
        <v>1</v>
      </c>
    </row>
    <row r="152" spans="1:18" ht="15.5" x14ac:dyDescent="0.35">
      <c r="A152" s="272"/>
      <c r="B152" s="360">
        <f t="shared" si="5"/>
        <v>86</v>
      </c>
      <c r="C152" s="361">
        <f ca="1">IF($B152="","",'Fecha Pago'!K89)</f>
        <v>48763</v>
      </c>
      <c r="D152" s="362">
        <f>IF($B$67="","",'Fecha Pago'!L89)</f>
        <v>30.4</v>
      </c>
      <c r="E152" s="363">
        <f>IF(B152="","",IF(Sheet1!$Z$1=2,'Tabla de Pagos Crecientes'!E92,$F$62))</f>
        <v>0.11</v>
      </c>
      <c r="F152" s="362">
        <f ca="1">IF($B152="","",IF(Sheet1!$Z$1=2,'Tabla de Pagos Crecientes'!F92,'Tabla Fijos'!F97))</f>
        <v>854314.59087175631</v>
      </c>
      <c r="G152" s="362">
        <f ca="1">IF($B152="","",IF(Sheet1!$Z$1=2,'Tabla de Pagos Crecientes'!G92,'Tabla Fijos'!G97))</f>
        <v>2486.2508999533375</v>
      </c>
      <c r="H152" s="362">
        <f ca="1">IF($B152="","",IF(Sheet1!$Z$1=2,'Tabla de Pagos Crecientes'!H92,'Tabla Fijos'!H97))</f>
        <v>7935.633310764314</v>
      </c>
      <c r="I152" s="362">
        <f>IF($B152=0,0,IF(B152="","",VLOOKUP($B152,'Tabla Fijos'!$B$12:$S$311,8,0)))</f>
        <v>0</v>
      </c>
      <c r="J152" s="362">
        <f ca="1">IF($B152="","",IF(Sheet1!$Z$1=2,'Tabla de Pagos Crecientes'!J92,'Tabla Fijos'!K97))</f>
        <v>0</v>
      </c>
      <c r="K152" s="362">
        <f ca="1">IF($B152="","",IF(Sheet1!$Z$1=2,'Tabla de Pagos Crecientes'!K92,'Tabla Fijos'!L97))</f>
        <v>0</v>
      </c>
      <c r="L152" s="362">
        <f ca="1">IF($B152="","",IF(Sheet1!$Z$1=2,'Tabla de Pagos Crecientes'!L92,'Tabla Fijos'!M97))</f>
        <v>0</v>
      </c>
      <c r="M152" s="362">
        <f ca="1">IF($B152="","",IF(Sheet1!$Z$1=2,'Tabla de Pagos Crecientes'!M92,'Tabla Fijos'!N97))</f>
        <v>0</v>
      </c>
      <c r="N152" s="364"/>
      <c r="O152" s="362">
        <f>IF($B152="","",IF(Sheet1!$Z$1=2,'Tabla de Pagos Crecientes'!O92,'Tabla Fijos'!Q97))</f>
        <v>0</v>
      </c>
      <c r="P152" s="362">
        <f ca="1">IF(B152="","",G152+H152+I152+J152+K152+L152-M152-'Tabla Fijos'!P97)</f>
        <v>10421.884210717652</v>
      </c>
      <c r="Q152" s="362">
        <f t="shared" ca="1" si="3"/>
        <v>851828.33997180301</v>
      </c>
      <c r="R152" s="272">
        <f t="shared" ca="1" si="4"/>
        <v>1</v>
      </c>
    </row>
    <row r="153" spans="1:18" ht="15.5" x14ac:dyDescent="0.35">
      <c r="A153" s="272"/>
      <c r="B153" s="360">
        <f t="shared" si="5"/>
        <v>87</v>
      </c>
      <c r="C153" s="361">
        <f ca="1">IF($B153="","",'Fecha Pago'!K90)</f>
        <v>48794</v>
      </c>
      <c r="D153" s="362">
        <f>IF($B$67="","",'Fecha Pago'!L90)</f>
        <v>30.4</v>
      </c>
      <c r="E153" s="363">
        <f>IF(B153="","",IF(Sheet1!$Z$1=2,'Tabla de Pagos Crecientes'!E93,$F$62))</f>
        <v>0.11</v>
      </c>
      <c r="F153" s="362">
        <f ca="1">IF($B153="","",IF(Sheet1!$Z$1=2,'Tabla de Pagos Crecientes'!F93,'Tabla Fijos'!F98))</f>
        <v>851828.33997180301</v>
      </c>
      <c r="G153" s="362">
        <f ca="1">IF($B153="","",IF(Sheet1!$Z$1=2,'Tabla de Pagos Crecientes'!G93,'Tabla Fijos'!G98))</f>
        <v>2509.3454083129063</v>
      </c>
      <c r="H153" s="362">
        <f ca="1">IF($B153="","",IF(Sheet1!$Z$1=2,'Tabla de Pagos Crecientes'!H93,'Tabla Fijos'!H98))</f>
        <v>7912.538802404747</v>
      </c>
      <c r="I153" s="362">
        <f>IF($B153=0,0,IF(B153="","",VLOOKUP($B153,'Tabla Fijos'!$B$12:$S$311,8,0)))</f>
        <v>0</v>
      </c>
      <c r="J153" s="362">
        <f ca="1">IF($B153="","",IF(Sheet1!$Z$1=2,'Tabla de Pagos Crecientes'!J93,'Tabla Fijos'!K98))</f>
        <v>0</v>
      </c>
      <c r="K153" s="362">
        <f ca="1">IF($B153="","",IF(Sheet1!$Z$1=2,'Tabla de Pagos Crecientes'!K93,'Tabla Fijos'!L98))</f>
        <v>0</v>
      </c>
      <c r="L153" s="362">
        <f ca="1">IF($B153="","",IF(Sheet1!$Z$1=2,'Tabla de Pagos Crecientes'!L93,'Tabla Fijos'!M98))</f>
        <v>0</v>
      </c>
      <c r="M153" s="362">
        <f ca="1">IF($B153="","",IF(Sheet1!$Z$1=2,'Tabla de Pagos Crecientes'!M93,'Tabla Fijos'!N98))</f>
        <v>0</v>
      </c>
      <c r="N153" s="364"/>
      <c r="O153" s="362">
        <f>IF($B153="","",IF(Sheet1!$Z$1=2,'Tabla de Pagos Crecientes'!O93,'Tabla Fijos'!Q98))</f>
        <v>0</v>
      </c>
      <c r="P153" s="362">
        <f ca="1">IF(B153="","",G153+H153+I153+J153+K153+L153-M153-'Tabla Fijos'!P98)</f>
        <v>10421.884210717653</v>
      </c>
      <c r="Q153" s="362">
        <f t="shared" ca="1" si="3"/>
        <v>849318.99456349015</v>
      </c>
      <c r="R153" s="272">
        <f t="shared" ca="1" si="4"/>
        <v>1</v>
      </c>
    </row>
    <row r="154" spans="1:18" ht="15.5" x14ac:dyDescent="0.35">
      <c r="A154" s="272"/>
      <c r="B154" s="360">
        <f t="shared" si="5"/>
        <v>88</v>
      </c>
      <c r="C154" s="361">
        <f ca="1">IF($B154="","",'Fecha Pago'!K91)</f>
        <v>48825</v>
      </c>
      <c r="D154" s="362">
        <f>IF($B$67="","",'Fecha Pago'!L91)</f>
        <v>30.4</v>
      </c>
      <c r="E154" s="363">
        <f>IF(B154="","",IF(Sheet1!$Z$1=2,'Tabla de Pagos Crecientes'!E94,$F$62))</f>
        <v>0.11</v>
      </c>
      <c r="F154" s="362">
        <f ca="1">IF($B154="","",IF(Sheet1!$Z$1=2,'Tabla de Pagos Crecientes'!F94,'Tabla Fijos'!F99))</f>
        <v>849318.99456349015</v>
      </c>
      <c r="G154" s="362">
        <f ca="1">IF($B154="","",IF(Sheet1!$Z$1=2,'Tabla de Pagos Crecientes'!G94,'Tabla Fijos'!G99))</f>
        <v>2532.6544389945675</v>
      </c>
      <c r="H154" s="362">
        <f ca="1">IF($B154="","",IF(Sheet1!$Z$1=2,'Tabla de Pagos Crecientes'!H94,'Tabla Fijos'!H99))</f>
        <v>7889.2297717230858</v>
      </c>
      <c r="I154" s="362">
        <f>IF($B154=0,0,IF(B154="","",VLOOKUP($B154,'Tabla Fijos'!$B$12:$S$311,8,0)))</f>
        <v>0</v>
      </c>
      <c r="J154" s="362">
        <f ca="1">IF($B154="","",IF(Sheet1!$Z$1=2,'Tabla de Pagos Crecientes'!J94,'Tabla Fijos'!K99))</f>
        <v>0</v>
      </c>
      <c r="K154" s="362">
        <f ca="1">IF($B154="","",IF(Sheet1!$Z$1=2,'Tabla de Pagos Crecientes'!K94,'Tabla Fijos'!L99))</f>
        <v>0</v>
      </c>
      <c r="L154" s="362">
        <f ca="1">IF($B154="","",IF(Sheet1!$Z$1=2,'Tabla de Pagos Crecientes'!L94,'Tabla Fijos'!M99))</f>
        <v>0</v>
      </c>
      <c r="M154" s="362">
        <f ca="1">IF($B154="","",IF(Sheet1!$Z$1=2,'Tabla de Pagos Crecientes'!M94,'Tabla Fijos'!N99))</f>
        <v>0</v>
      </c>
      <c r="N154" s="364"/>
      <c r="O154" s="362">
        <f>IF($B154="","",IF(Sheet1!$Z$1=2,'Tabla de Pagos Crecientes'!O94,'Tabla Fijos'!Q99))</f>
        <v>0</v>
      </c>
      <c r="P154" s="362">
        <f ca="1">IF(B154="","",G154+H154+I154+J154+K154+L154-M154-'Tabla Fijos'!P99)</f>
        <v>10421.884210717653</v>
      </c>
      <c r="Q154" s="362">
        <f t="shared" ca="1" si="3"/>
        <v>846786.34012449556</v>
      </c>
      <c r="R154" s="272">
        <f t="shared" ca="1" si="4"/>
        <v>1</v>
      </c>
    </row>
    <row r="155" spans="1:18" ht="15.5" x14ac:dyDescent="0.35">
      <c r="A155" s="272"/>
      <c r="B155" s="360">
        <f t="shared" si="5"/>
        <v>89</v>
      </c>
      <c r="C155" s="361">
        <f ca="1">IF($B155="","",'Fecha Pago'!K92)</f>
        <v>48855</v>
      </c>
      <c r="D155" s="362">
        <f>IF($B$67="","",'Fecha Pago'!L92)</f>
        <v>30.4</v>
      </c>
      <c r="E155" s="363">
        <f>IF(B155="","",IF(Sheet1!$Z$1=2,'Tabla de Pagos Crecientes'!E95,$F$62))</f>
        <v>0.11</v>
      </c>
      <c r="F155" s="362">
        <f ca="1">IF($B155="","",IF(Sheet1!$Z$1=2,'Tabla de Pagos Crecientes'!F95,'Tabla Fijos'!F100))</f>
        <v>846786.34012449556</v>
      </c>
      <c r="G155" s="362">
        <f ca="1">IF($B155="","",IF(Sheet1!$Z$1=2,'Tabla de Pagos Crecientes'!G95,'Tabla Fijos'!G100))</f>
        <v>2556.1799846723379</v>
      </c>
      <c r="H155" s="362">
        <f ca="1">IF($B155="","",IF(Sheet1!$Z$1=2,'Tabla de Pagos Crecientes'!H95,'Tabla Fijos'!H100))</f>
        <v>7865.7042260453136</v>
      </c>
      <c r="I155" s="362">
        <f>IF($B155=0,0,IF(B155="","",VLOOKUP($B155,'Tabla Fijos'!$B$12:$S$311,8,0)))</f>
        <v>0</v>
      </c>
      <c r="J155" s="362">
        <f ca="1">IF($B155="","",IF(Sheet1!$Z$1=2,'Tabla de Pagos Crecientes'!J95,'Tabla Fijos'!K100))</f>
        <v>0</v>
      </c>
      <c r="K155" s="362">
        <f ca="1">IF($B155="","",IF(Sheet1!$Z$1=2,'Tabla de Pagos Crecientes'!K95,'Tabla Fijos'!L100))</f>
        <v>0</v>
      </c>
      <c r="L155" s="362">
        <f ca="1">IF($B155="","",IF(Sheet1!$Z$1=2,'Tabla de Pagos Crecientes'!L95,'Tabla Fijos'!M100))</f>
        <v>0</v>
      </c>
      <c r="M155" s="362">
        <f ca="1">IF($B155="","",IF(Sheet1!$Z$1=2,'Tabla de Pagos Crecientes'!M95,'Tabla Fijos'!N100))</f>
        <v>0</v>
      </c>
      <c r="N155" s="364"/>
      <c r="O155" s="362">
        <f>IF($B155="","",IF(Sheet1!$Z$1=2,'Tabla de Pagos Crecientes'!O95,'Tabla Fijos'!Q100))</f>
        <v>0</v>
      </c>
      <c r="P155" s="362">
        <f ca="1">IF(B155="","",G155+H155+I155+J155+K155+L155-M155-'Tabla Fijos'!P100)</f>
        <v>10421.884210717652</v>
      </c>
      <c r="Q155" s="362">
        <f t="shared" ca="1" si="3"/>
        <v>844230.16013982322</v>
      </c>
      <c r="R155" s="272">
        <f t="shared" ca="1" si="4"/>
        <v>1</v>
      </c>
    </row>
    <row r="156" spans="1:18" ht="15.5" x14ac:dyDescent="0.35">
      <c r="A156" s="272"/>
      <c r="B156" s="360">
        <f t="shared" si="5"/>
        <v>90</v>
      </c>
      <c r="C156" s="361">
        <f ca="1">IF($B156="","",'Fecha Pago'!K93)</f>
        <v>48886</v>
      </c>
      <c r="D156" s="362">
        <f>IF($B$67="","",'Fecha Pago'!L93)</f>
        <v>30.4</v>
      </c>
      <c r="E156" s="363">
        <f>IF(B156="","",IF(Sheet1!$Z$1=2,'Tabla de Pagos Crecientes'!E96,$F$62))</f>
        <v>0.11</v>
      </c>
      <c r="F156" s="362">
        <f ca="1">IF($B156="","",IF(Sheet1!$Z$1=2,'Tabla de Pagos Crecientes'!F96,'Tabla Fijos'!F101))</f>
        <v>844230.16013982322</v>
      </c>
      <c r="G156" s="362">
        <f ca="1">IF($B156="","",IF(Sheet1!$Z$1=2,'Tabla de Pagos Crecientes'!G96,'Tabla Fijos'!G101))</f>
        <v>2579.9240565299606</v>
      </c>
      <c r="H156" s="362">
        <f ca="1">IF($B156="","",IF(Sheet1!$Z$1=2,'Tabla de Pagos Crecientes'!H96,'Tabla Fijos'!H101))</f>
        <v>7841.9601541876909</v>
      </c>
      <c r="I156" s="362">
        <f>IF($B156=0,0,IF(B156="","",VLOOKUP($B156,'Tabla Fijos'!$B$12:$S$311,8,0)))</f>
        <v>0</v>
      </c>
      <c r="J156" s="362">
        <f ca="1">IF($B156="","",IF(Sheet1!$Z$1=2,'Tabla de Pagos Crecientes'!J96,'Tabla Fijos'!K101))</f>
        <v>0</v>
      </c>
      <c r="K156" s="362">
        <f ca="1">IF($B156="","",IF(Sheet1!$Z$1=2,'Tabla de Pagos Crecientes'!K96,'Tabla Fijos'!L101))</f>
        <v>0</v>
      </c>
      <c r="L156" s="362">
        <f ca="1">IF($B156="","",IF(Sheet1!$Z$1=2,'Tabla de Pagos Crecientes'!L96,'Tabla Fijos'!M101))</f>
        <v>0</v>
      </c>
      <c r="M156" s="362">
        <f ca="1">IF($B156="","",IF(Sheet1!$Z$1=2,'Tabla de Pagos Crecientes'!M96,'Tabla Fijos'!N101))</f>
        <v>0</v>
      </c>
      <c r="N156" s="364"/>
      <c r="O156" s="362">
        <f>IF($B156="","",IF(Sheet1!$Z$1=2,'Tabla de Pagos Crecientes'!O96,'Tabla Fijos'!Q101))</f>
        <v>0</v>
      </c>
      <c r="P156" s="362">
        <f ca="1">IF(B156="","",G156+H156+I156+J156+K156+L156-M156-'Tabla Fijos'!P101)</f>
        <v>10421.884210717652</v>
      </c>
      <c r="Q156" s="362">
        <f t="shared" ca="1" si="3"/>
        <v>841650.23608329322</v>
      </c>
      <c r="R156" s="272">
        <f t="shared" ca="1" si="4"/>
        <v>1</v>
      </c>
    </row>
    <row r="157" spans="1:18" ht="15.5" x14ac:dyDescent="0.35">
      <c r="A157" s="272"/>
      <c r="B157" s="360">
        <f t="shared" si="5"/>
        <v>91</v>
      </c>
      <c r="C157" s="361">
        <f ca="1">IF($B157="","",'Fecha Pago'!K94)</f>
        <v>48916</v>
      </c>
      <c r="D157" s="362">
        <f>IF($B$67="","",'Fecha Pago'!L94)</f>
        <v>30.4</v>
      </c>
      <c r="E157" s="363">
        <f>IF(B157="","",IF(Sheet1!$Z$1=2,'Tabla de Pagos Crecientes'!E97,$F$62))</f>
        <v>0.11</v>
      </c>
      <c r="F157" s="362">
        <f ca="1">IF($B157="","",IF(Sheet1!$Z$1=2,'Tabla de Pagos Crecientes'!F97,'Tabla Fijos'!F102))</f>
        <v>841650.23608329322</v>
      </c>
      <c r="G157" s="362">
        <f ca="1">IF($B157="","",IF(Sheet1!$Z$1=2,'Tabla de Pagos Crecientes'!G97,'Tabla Fijos'!G102))</f>
        <v>2603.8886844328399</v>
      </c>
      <c r="H157" s="362">
        <f ca="1">IF($B157="","",IF(Sheet1!$Z$1=2,'Tabla de Pagos Crecientes'!H97,'Tabla Fijos'!H102))</f>
        <v>7817.9955262848116</v>
      </c>
      <c r="I157" s="362">
        <f>IF($B157=0,0,IF(B157="","",VLOOKUP($B157,'Tabla Fijos'!$B$12:$S$311,8,0)))</f>
        <v>0</v>
      </c>
      <c r="J157" s="362">
        <f ca="1">IF($B157="","",IF(Sheet1!$Z$1=2,'Tabla de Pagos Crecientes'!J97,'Tabla Fijos'!K102))</f>
        <v>0</v>
      </c>
      <c r="K157" s="362">
        <f ca="1">IF($B157="","",IF(Sheet1!$Z$1=2,'Tabla de Pagos Crecientes'!K97,'Tabla Fijos'!L102))</f>
        <v>0</v>
      </c>
      <c r="L157" s="362">
        <f ca="1">IF($B157="","",IF(Sheet1!$Z$1=2,'Tabla de Pagos Crecientes'!L97,'Tabla Fijos'!M102))</f>
        <v>0</v>
      </c>
      <c r="M157" s="362">
        <f ca="1">IF($B157="","",IF(Sheet1!$Z$1=2,'Tabla de Pagos Crecientes'!M97,'Tabla Fijos'!N102))</f>
        <v>0</v>
      </c>
      <c r="N157" s="364"/>
      <c r="O157" s="362">
        <f>IF($B157="","",IF(Sheet1!$Z$1=2,'Tabla de Pagos Crecientes'!O97,'Tabla Fijos'!Q102))</f>
        <v>0</v>
      </c>
      <c r="P157" s="362">
        <f ca="1">IF(B157="","",G157+H157+I157+J157+K157+L157-M157-'Tabla Fijos'!P102)</f>
        <v>10421.884210717652</v>
      </c>
      <c r="Q157" s="362">
        <f t="shared" ca="1" si="3"/>
        <v>839046.34739886038</v>
      </c>
      <c r="R157" s="272">
        <f t="shared" ca="1" si="4"/>
        <v>1</v>
      </c>
    </row>
    <row r="158" spans="1:18" ht="15.5" x14ac:dyDescent="0.35">
      <c r="A158" s="272"/>
      <c r="B158" s="360">
        <f t="shared" si="5"/>
        <v>92</v>
      </c>
      <c r="C158" s="361">
        <f ca="1">IF($B158="","",'Fecha Pago'!K95)</f>
        <v>48947</v>
      </c>
      <c r="D158" s="362">
        <f>IF($B$67="","",'Fecha Pago'!L95)</f>
        <v>30.4</v>
      </c>
      <c r="E158" s="363">
        <f>IF(B158="","",IF(Sheet1!$Z$1=2,'Tabla de Pagos Crecientes'!E98,$F$62))</f>
        <v>0.11</v>
      </c>
      <c r="F158" s="362">
        <f ca="1">IF($B158="","",IF(Sheet1!$Z$1=2,'Tabla de Pagos Crecientes'!F98,'Tabla Fijos'!F103))</f>
        <v>839046.34739886038</v>
      </c>
      <c r="G158" s="362">
        <f ca="1">IF($B158="","",IF(Sheet1!$Z$1=2,'Tabla de Pagos Crecientes'!G98,'Tabla Fijos'!G103))</f>
        <v>2628.0759171015716</v>
      </c>
      <c r="H158" s="362">
        <f ca="1">IF($B158="","",IF(Sheet1!$Z$1=2,'Tabla de Pagos Crecientes'!H98,'Tabla Fijos'!H103))</f>
        <v>7793.8082936160799</v>
      </c>
      <c r="I158" s="362">
        <f>IF($B158=0,0,IF(B158="","",VLOOKUP($B158,'Tabla Fijos'!$B$12:$S$311,8,0)))</f>
        <v>0</v>
      </c>
      <c r="J158" s="362">
        <f ca="1">IF($B158="","",IF(Sheet1!$Z$1=2,'Tabla de Pagos Crecientes'!J98,'Tabla Fijos'!K103))</f>
        <v>0</v>
      </c>
      <c r="K158" s="362">
        <f ca="1">IF($B158="","",IF(Sheet1!$Z$1=2,'Tabla de Pagos Crecientes'!K98,'Tabla Fijos'!L103))</f>
        <v>0</v>
      </c>
      <c r="L158" s="362">
        <f ca="1">IF($B158="","",IF(Sheet1!$Z$1=2,'Tabla de Pagos Crecientes'!L98,'Tabla Fijos'!M103))</f>
        <v>0</v>
      </c>
      <c r="M158" s="362">
        <f ca="1">IF($B158="","",IF(Sheet1!$Z$1=2,'Tabla de Pagos Crecientes'!M98,'Tabla Fijos'!N103))</f>
        <v>0</v>
      </c>
      <c r="N158" s="364"/>
      <c r="O158" s="362">
        <f>IF($B158="","",IF(Sheet1!$Z$1=2,'Tabla de Pagos Crecientes'!O98,'Tabla Fijos'!Q103))</f>
        <v>0</v>
      </c>
      <c r="P158" s="362">
        <f ca="1">IF(B158="","",G158+H158+I158+J158+K158+L158-M158-'Tabla Fijos'!P103)</f>
        <v>10421.884210717652</v>
      </c>
      <c r="Q158" s="362">
        <f t="shared" ca="1" si="3"/>
        <v>836418.2714817588</v>
      </c>
      <c r="R158" s="272">
        <f t="shared" ca="1" si="4"/>
        <v>1</v>
      </c>
    </row>
    <row r="159" spans="1:18" ht="15.5" x14ac:dyDescent="0.35">
      <c r="A159" s="272"/>
      <c r="B159" s="360">
        <f t="shared" si="5"/>
        <v>93</v>
      </c>
      <c r="C159" s="361">
        <f ca="1">IF($B159="","",'Fecha Pago'!K96)</f>
        <v>48978</v>
      </c>
      <c r="D159" s="362">
        <f>IF($B$67="","",'Fecha Pago'!L96)</f>
        <v>30.4</v>
      </c>
      <c r="E159" s="363">
        <f>IF(B159="","",IF(Sheet1!$Z$1=2,'Tabla de Pagos Crecientes'!E99,$F$62))</f>
        <v>0.11</v>
      </c>
      <c r="F159" s="362">
        <f ca="1">IF($B159="","",IF(Sheet1!$Z$1=2,'Tabla de Pagos Crecientes'!F99,'Tabla Fijos'!F104))</f>
        <v>836418.2714817588</v>
      </c>
      <c r="G159" s="362">
        <f ca="1">IF($B159="","",IF(Sheet1!$Z$1=2,'Tabla de Pagos Crecientes'!G99,'Tabla Fijos'!G104))</f>
        <v>2652.4878222870948</v>
      </c>
      <c r="H159" s="362">
        <f ca="1">IF($B159="","",IF(Sheet1!$Z$1=2,'Tabla de Pagos Crecientes'!H99,'Tabla Fijos'!H104))</f>
        <v>7769.3963884305585</v>
      </c>
      <c r="I159" s="362">
        <f>IF($B159=0,0,IF(B159="","",VLOOKUP($B159,'Tabla Fijos'!$B$12:$S$311,8,0)))</f>
        <v>0</v>
      </c>
      <c r="J159" s="362">
        <f ca="1">IF($B159="","",IF(Sheet1!$Z$1=2,'Tabla de Pagos Crecientes'!J99,'Tabla Fijos'!K104))</f>
        <v>0</v>
      </c>
      <c r="K159" s="362">
        <f ca="1">IF($B159="","",IF(Sheet1!$Z$1=2,'Tabla de Pagos Crecientes'!K99,'Tabla Fijos'!L104))</f>
        <v>0</v>
      </c>
      <c r="L159" s="362">
        <f ca="1">IF($B159="","",IF(Sheet1!$Z$1=2,'Tabla de Pagos Crecientes'!L99,'Tabla Fijos'!M104))</f>
        <v>0</v>
      </c>
      <c r="M159" s="362">
        <f ca="1">IF($B159="","",IF(Sheet1!$Z$1=2,'Tabla de Pagos Crecientes'!M99,'Tabla Fijos'!N104))</f>
        <v>0</v>
      </c>
      <c r="N159" s="364"/>
      <c r="O159" s="362">
        <f>IF($B159="","",IF(Sheet1!$Z$1=2,'Tabla de Pagos Crecientes'!O99,'Tabla Fijos'!Q104))</f>
        <v>0</v>
      </c>
      <c r="P159" s="362">
        <f ca="1">IF(B159="","",G159+H159+I159+J159+K159+L159-M159-'Tabla Fijos'!P104)</f>
        <v>10421.884210717653</v>
      </c>
      <c r="Q159" s="362">
        <f t="shared" ca="1" si="3"/>
        <v>833765.78365947166</v>
      </c>
      <c r="R159" s="272">
        <f t="shared" ca="1" si="4"/>
        <v>1</v>
      </c>
    </row>
    <row r="160" spans="1:18" ht="15.5" x14ac:dyDescent="0.35">
      <c r="A160" s="272"/>
      <c r="B160" s="360">
        <f t="shared" si="5"/>
        <v>94</v>
      </c>
      <c r="C160" s="361">
        <f ca="1">IF($B160="","",'Fecha Pago'!K97)</f>
        <v>49006</v>
      </c>
      <c r="D160" s="362">
        <f>IF($B$67="","",'Fecha Pago'!L97)</f>
        <v>30.4</v>
      </c>
      <c r="E160" s="363">
        <f>IF(B160="","",IF(Sheet1!$Z$1=2,'Tabla de Pagos Crecientes'!E100,$F$62))</f>
        <v>0.11</v>
      </c>
      <c r="F160" s="362">
        <f ca="1">IF($B160="","",IF(Sheet1!$Z$1=2,'Tabla de Pagos Crecientes'!F100,'Tabla Fijos'!F105))</f>
        <v>833765.78365947166</v>
      </c>
      <c r="G160" s="362">
        <f ca="1">IF($B160="","",IF(Sheet1!$Z$1=2,'Tabla de Pagos Crecientes'!G100,'Tabla Fijos'!G105))</f>
        <v>2677.1264869474489</v>
      </c>
      <c r="H160" s="362">
        <f ca="1">IF($B160="","",IF(Sheet1!$Z$1=2,'Tabla de Pagos Crecientes'!H100,'Tabla Fijos'!H105))</f>
        <v>7744.7577237702026</v>
      </c>
      <c r="I160" s="362">
        <f>IF($B160=0,0,IF(B160="","",VLOOKUP($B160,'Tabla Fijos'!$B$12:$S$311,8,0)))</f>
        <v>0</v>
      </c>
      <c r="J160" s="362">
        <f ca="1">IF($B160="","",IF(Sheet1!$Z$1=2,'Tabla de Pagos Crecientes'!J100,'Tabla Fijos'!K105))</f>
        <v>0</v>
      </c>
      <c r="K160" s="362">
        <f ca="1">IF($B160="","",IF(Sheet1!$Z$1=2,'Tabla de Pagos Crecientes'!K100,'Tabla Fijos'!L105))</f>
        <v>0</v>
      </c>
      <c r="L160" s="362">
        <f ca="1">IF($B160="","",IF(Sheet1!$Z$1=2,'Tabla de Pagos Crecientes'!L100,'Tabla Fijos'!M105))</f>
        <v>0</v>
      </c>
      <c r="M160" s="362">
        <f ca="1">IF($B160="","",IF(Sheet1!$Z$1=2,'Tabla de Pagos Crecientes'!M100,'Tabla Fijos'!N105))</f>
        <v>0</v>
      </c>
      <c r="N160" s="364"/>
      <c r="O160" s="362">
        <f>IF($B160="","",IF(Sheet1!$Z$1=2,'Tabla de Pagos Crecientes'!O100,'Tabla Fijos'!Q105))</f>
        <v>0</v>
      </c>
      <c r="P160" s="362">
        <f ca="1">IF(B160="","",G160+H160+I160+J160+K160+L160-M160-'Tabla Fijos'!P105)</f>
        <v>10421.884210717652</v>
      </c>
      <c r="Q160" s="362">
        <f t="shared" ca="1" si="3"/>
        <v>831088.65717252425</v>
      </c>
      <c r="R160" s="272">
        <f t="shared" ca="1" si="4"/>
        <v>1</v>
      </c>
    </row>
    <row r="161" spans="1:18" ht="15.5" x14ac:dyDescent="0.35">
      <c r="A161" s="272"/>
      <c r="B161" s="360">
        <f t="shared" si="5"/>
        <v>95</v>
      </c>
      <c r="C161" s="361">
        <f ca="1">IF($B161="","",'Fecha Pago'!K98)</f>
        <v>49037</v>
      </c>
      <c r="D161" s="362">
        <f>IF($B$67="","",'Fecha Pago'!L98)</f>
        <v>30.4</v>
      </c>
      <c r="E161" s="363">
        <f>IF(B161="","",IF(Sheet1!$Z$1=2,'Tabla de Pagos Crecientes'!E101,$F$62))</f>
        <v>0.11</v>
      </c>
      <c r="F161" s="362">
        <f ca="1">IF($B161="","",IF(Sheet1!$Z$1=2,'Tabla de Pagos Crecientes'!F101,'Tabla Fijos'!F106))</f>
        <v>831088.65717252425</v>
      </c>
      <c r="G161" s="362">
        <f ca="1">IF($B161="","",IF(Sheet1!$Z$1=2,'Tabla de Pagos Crecientes'!G101,'Tabla Fijos'!G106))</f>
        <v>2701.9940174262065</v>
      </c>
      <c r="H161" s="362">
        <f ca="1">IF($B161="","",IF(Sheet1!$Z$1=2,'Tabla de Pagos Crecientes'!H101,'Tabla Fijos'!H106))</f>
        <v>7719.8901932914468</v>
      </c>
      <c r="I161" s="362">
        <f>IF($B161=0,0,IF(B161="","",VLOOKUP($B161,'Tabla Fijos'!$B$12:$S$311,8,0)))</f>
        <v>0</v>
      </c>
      <c r="J161" s="362">
        <f ca="1">IF($B161="","",IF(Sheet1!$Z$1=2,'Tabla de Pagos Crecientes'!J101,'Tabla Fijos'!K106))</f>
        <v>0</v>
      </c>
      <c r="K161" s="362">
        <f ca="1">IF($B161="","",IF(Sheet1!$Z$1=2,'Tabla de Pagos Crecientes'!K101,'Tabla Fijos'!L106))</f>
        <v>0</v>
      </c>
      <c r="L161" s="362">
        <f ca="1">IF($B161="","",IF(Sheet1!$Z$1=2,'Tabla de Pagos Crecientes'!L101,'Tabla Fijos'!M106))</f>
        <v>0</v>
      </c>
      <c r="M161" s="362">
        <f ca="1">IF($B161="","",IF(Sheet1!$Z$1=2,'Tabla de Pagos Crecientes'!M101,'Tabla Fijos'!N106))</f>
        <v>0</v>
      </c>
      <c r="N161" s="364"/>
      <c r="O161" s="362">
        <f>IF($B161="","",IF(Sheet1!$Z$1=2,'Tabla de Pagos Crecientes'!O101,'Tabla Fijos'!Q106))</f>
        <v>0</v>
      </c>
      <c r="P161" s="362">
        <f ca="1">IF(B161="","",G161+H161+I161+J161+K161+L161-M161-'Tabla Fijos'!P106)</f>
        <v>10421.884210717653</v>
      </c>
      <c r="Q161" s="362">
        <f t="shared" ca="1" si="3"/>
        <v>828386.6631550981</v>
      </c>
      <c r="R161" s="272">
        <f t="shared" ca="1" si="4"/>
        <v>1</v>
      </c>
    </row>
    <row r="162" spans="1:18" ht="15.5" x14ac:dyDescent="0.35">
      <c r="A162" s="272"/>
      <c r="B162" s="360">
        <f t="shared" si="5"/>
        <v>96</v>
      </c>
      <c r="C162" s="361">
        <f ca="1">IF($B162="","",'Fecha Pago'!K99)</f>
        <v>49067</v>
      </c>
      <c r="D162" s="362">
        <f>IF($B$67="","",'Fecha Pago'!L99)</f>
        <v>30.4</v>
      </c>
      <c r="E162" s="363">
        <f>IF(B162="","",IF(Sheet1!$Z$1=2,'Tabla de Pagos Crecientes'!E102,$F$62))</f>
        <v>0.11</v>
      </c>
      <c r="F162" s="362">
        <f ca="1">IF($B162="","",IF(Sheet1!$Z$1=2,'Tabla de Pagos Crecientes'!F102,'Tabla Fijos'!F107))</f>
        <v>828386.6631550981</v>
      </c>
      <c r="G162" s="362">
        <f ca="1">IF($B162="","",IF(Sheet1!$Z$1=2,'Tabla de Pagos Crecientes'!G102,'Tabla Fijos'!G107))</f>
        <v>2727.0925396325201</v>
      </c>
      <c r="H162" s="362">
        <f ca="1">IF($B162="","",IF(Sheet1!$Z$1=2,'Tabla de Pagos Crecientes'!H102,'Tabla Fijos'!H107))</f>
        <v>7694.7916710851332</v>
      </c>
      <c r="I162" s="362">
        <f>IF($B162=0,0,IF(B162="","",VLOOKUP($B162,'Tabla Fijos'!$B$12:$S$311,8,0)))</f>
        <v>0</v>
      </c>
      <c r="J162" s="362">
        <f ca="1">IF($B162="","",IF(Sheet1!$Z$1=2,'Tabla de Pagos Crecientes'!J102,'Tabla Fijos'!K107))</f>
        <v>0</v>
      </c>
      <c r="K162" s="362">
        <f ca="1">IF($B162="","",IF(Sheet1!$Z$1=2,'Tabla de Pagos Crecientes'!K102,'Tabla Fijos'!L107))</f>
        <v>0</v>
      </c>
      <c r="L162" s="362">
        <f ca="1">IF($B162="","",IF(Sheet1!$Z$1=2,'Tabla de Pagos Crecientes'!L102,'Tabla Fijos'!M107))</f>
        <v>0</v>
      </c>
      <c r="M162" s="362">
        <f ca="1">IF($B162="","",IF(Sheet1!$Z$1=2,'Tabla de Pagos Crecientes'!M102,'Tabla Fijos'!N107))</f>
        <v>0</v>
      </c>
      <c r="N162" s="364"/>
      <c r="O162" s="362">
        <f>IF($B162="","",IF(Sheet1!$Z$1=2,'Tabla de Pagos Crecientes'!O102,'Tabla Fijos'!Q107))</f>
        <v>0</v>
      </c>
      <c r="P162" s="362">
        <f ca="1">IF(B162="","",G162+H162+I162+J162+K162+L162-M162-'Tabla Fijos'!P107)</f>
        <v>10421.884210717653</v>
      </c>
      <c r="Q162" s="362">
        <f t="shared" ca="1" si="3"/>
        <v>825659.57061546552</v>
      </c>
      <c r="R162" s="272">
        <f t="shared" ca="1" si="4"/>
        <v>1</v>
      </c>
    </row>
    <row r="163" spans="1:18" ht="15.5" x14ac:dyDescent="0.35">
      <c r="A163" s="272"/>
      <c r="B163" s="360">
        <f t="shared" si="5"/>
        <v>97</v>
      </c>
      <c r="C163" s="361">
        <f ca="1">IF($B163="","",'Fecha Pago'!K100)</f>
        <v>49098</v>
      </c>
      <c r="D163" s="362">
        <f>IF($B$67="","",'Fecha Pago'!L100)</f>
        <v>30.4</v>
      </c>
      <c r="E163" s="363">
        <f>IF(B163="","",IF(Sheet1!$Z$1=2,'Tabla de Pagos Crecientes'!E103,$F$62))</f>
        <v>0.11</v>
      </c>
      <c r="F163" s="362">
        <f ca="1">IF($B163="","",IF(Sheet1!$Z$1=2,'Tabla de Pagos Crecientes'!F103,'Tabla Fijos'!F108))</f>
        <v>825659.57061546552</v>
      </c>
      <c r="G163" s="362">
        <f ca="1">IF($B163="","",IF(Sheet1!$Z$1=2,'Tabla de Pagos Crecientes'!G103,'Tabla Fijos'!G108))</f>
        <v>2752.4241992228835</v>
      </c>
      <c r="H163" s="362">
        <f ca="1">IF($B163="","",IF(Sheet1!$Z$1=2,'Tabla de Pagos Crecientes'!H103,'Tabla Fijos'!H108))</f>
        <v>7669.460011494768</v>
      </c>
      <c r="I163" s="362">
        <f>IF($B163=0,0,IF(B163="","",VLOOKUP($B163,'Tabla Fijos'!$B$12:$S$311,8,0)))</f>
        <v>0</v>
      </c>
      <c r="J163" s="362">
        <f ca="1">IF($B163="","",IF(Sheet1!$Z$1=2,'Tabla de Pagos Crecientes'!J103,'Tabla Fijos'!K108))</f>
        <v>0</v>
      </c>
      <c r="K163" s="362">
        <f ca="1">IF($B163="","",IF(Sheet1!$Z$1=2,'Tabla de Pagos Crecientes'!K103,'Tabla Fijos'!L108))</f>
        <v>0</v>
      </c>
      <c r="L163" s="362">
        <f ca="1">IF($B163="","",IF(Sheet1!$Z$1=2,'Tabla de Pagos Crecientes'!L103,'Tabla Fijos'!M108))</f>
        <v>0</v>
      </c>
      <c r="M163" s="362">
        <f ca="1">IF($B163="","",IF(Sheet1!$Z$1=2,'Tabla de Pagos Crecientes'!M103,'Tabla Fijos'!N108))</f>
        <v>0</v>
      </c>
      <c r="N163" s="364"/>
      <c r="O163" s="362">
        <f>IF($B163="","",IF(Sheet1!$Z$1=2,'Tabla de Pagos Crecientes'!O103,'Tabla Fijos'!Q108))</f>
        <v>0</v>
      </c>
      <c r="P163" s="362">
        <f ca="1">IF(B163="","",G163+H163+I163+J163+K163+L163-M163-'Tabla Fijos'!P108)</f>
        <v>10421.884210717652</v>
      </c>
      <c r="Q163" s="362">
        <f t="shared" ca="1" si="3"/>
        <v>822907.14641624258</v>
      </c>
      <c r="R163" s="272">
        <f t="shared" ca="1" si="4"/>
        <v>1</v>
      </c>
    </row>
    <row r="164" spans="1:18" ht="15.5" x14ac:dyDescent="0.35">
      <c r="A164" s="272"/>
      <c r="B164" s="360">
        <f t="shared" si="5"/>
        <v>98</v>
      </c>
      <c r="C164" s="361">
        <f ca="1">IF($B164="","",'Fecha Pago'!K101)</f>
        <v>49128</v>
      </c>
      <c r="D164" s="362">
        <f>IF($B$67="","",'Fecha Pago'!L101)</f>
        <v>30.4</v>
      </c>
      <c r="E164" s="363">
        <f>IF(B164="","",IF(Sheet1!$Z$1=2,'Tabla de Pagos Crecientes'!E104,$F$62))</f>
        <v>0.11</v>
      </c>
      <c r="F164" s="362">
        <f ca="1">IF($B164="","",IF(Sheet1!$Z$1=2,'Tabla de Pagos Crecientes'!F104,'Tabla Fijos'!F109))</f>
        <v>822907.14641624258</v>
      </c>
      <c r="G164" s="362">
        <f ca="1">IF($B164="","",IF(Sheet1!$Z$1=2,'Tabla de Pagos Crecientes'!G104,'Tabla Fijos'!G109))</f>
        <v>2777.9911617845546</v>
      </c>
      <c r="H164" s="362">
        <f ca="1">IF($B164="","",IF(Sheet1!$Z$1=2,'Tabla de Pagos Crecientes'!H104,'Tabla Fijos'!H109))</f>
        <v>7643.8930489330969</v>
      </c>
      <c r="I164" s="362">
        <f>IF($B164=0,0,IF(B164="","",VLOOKUP($B164,'Tabla Fijos'!$B$12:$S$311,8,0)))</f>
        <v>0</v>
      </c>
      <c r="J164" s="362">
        <f ca="1">IF($B164="","",IF(Sheet1!$Z$1=2,'Tabla de Pagos Crecientes'!J104,'Tabla Fijos'!K109))</f>
        <v>0</v>
      </c>
      <c r="K164" s="362">
        <f ca="1">IF($B164="","",IF(Sheet1!$Z$1=2,'Tabla de Pagos Crecientes'!K104,'Tabla Fijos'!L109))</f>
        <v>0</v>
      </c>
      <c r="L164" s="362">
        <f ca="1">IF($B164="","",IF(Sheet1!$Z$1=2,'Tabla de Pagos Crecientes'!L104,'Tabla Fijos'!M109))</f>
        <v>0</v>
      </c>
      <c r="M164" s="362">
        <f ca="1">IF($B164="","",IF(Sheet1!$Z$1=2,'Tabla de Pagos Crecientes'!M104,'Tabla Fijos'!N109))</f>
        <v>0</v>
      </c>
      <c r="N164" s="364"/>
      <c r="O164" s="362">
        <f>IF($B164="","",IF(Sheet1!$Z$1=2,'Tabla de Pagos Crecientes'!O104,'Tabla Fijos'!Q109))</f>
        <v>0</v>
      </c>
      <c r="P164" s="362">
        <f ca="1">IF(B164="","",G164+H164+I164+J164+K164+L164-M164-'Tabla Fijos'!P109)</f>
        <v>10421.884210717652</v>
      </c>
      <c r="Q164" s="362">
        <f t="shared" ca="1" si="3"/>
        <v>820129.15525445808</v>
      </c>
      <c r="R164" s="272">
        <f t="shared" ca="1" si="4"/>
        <v>1</v>
      </c>
    </row>
    <row r="165" spans="1:18" ht="15.5" x14ac:dyDescent="0.35">
      <c r="A165" s="272"/>
      <c r="B165" s="360">
        <f t="shared" si="5"/>
        <v>99</v>
      </c>
      <c r="C165" s="361">
        <f ca="1">IF($B165="","",'Fecha Pago'!K102)</f>
        <v>49159</v>
      </c>
      <c r="D165" s="362">
        <f>IF($B$67="","",'Fecha Pago'!L102)</f>
        <v>30.4</v>
      </c>
      <c r="E165" s="363">
        <f>IF(B165="","",IF(Sheet1!$Z$1=2,'Tabla de Pagos Crecientes'!E105,$F$62))</f>
        <v>0.11</v>
      </c>
      <c r="F165" s="362">
        <f ca="1">IF($B165="","",IF(Sheet1!$Z$1=2,'Tabla de Pagos Crecientes'!F105,'Tabla Fijos'!F110))</f>
        <v>820129.15525445808</v>
      </c>
      <c r="G165" s="362">
        <f ca="1">IF($B165="","",IF(Sheet1!$Z$1=2,'Tabla de Pagos Crecientes'!G105,'Tabla Fijos'!G110))</f>
        <v>2803.7956130206858</v>
      </c>
      <c r="H165" s="362">
        <f ca="1">IF($B165="","",IF(Sheet1!$Z$1=2,'Tabla de Pagos Crecientes'!H105,'Tabla Fijos'!H110))</f>
        <v>7618.0885976969657</v>
      </c>
      <c r="I165" s="362">
        <f>IF($B165=0,0,IF(B165="","",VLOOKUP($B165,'Tabla Fijos'!$B$12:$S$311,8,0)))</f>
        <v>0</v>
      </c>
      <c r="J165" s="362">
        <f ca="1">IF($B165="","",IF(Sheet1!$Z$1=2,'Tabla de Pagos Crecientes'!J105,'Tabla Fijos'!K110))</f>
        <v>0</v>
      </c>
      <c r="K165" s="362">
        <f ca="1">IF($B165="","",IF(Sheet1!$Z$1=2,'Tabla de Pagos Crecientes'!K105,'Tabla Fijos'!L110))</f>
        <v>0</v>
      </c>
      <c r="L165" s="362">
        <f ca="1">IF($B165="","",IF(Sheet1!$Z$1=2,'Tabla de Pagos Crecientes'!L105,'Tabla Fijos'!M110))</f>
        <v>0</v>
      </c>
      <c r="M165" s="362">
        <f ca="1">IF($B165="","",IF(Sheet1!$Z$1=2,'Tabla de Pagos Crecientes'!M105,'Tabla Fijos'!N110))</f>
        <v>0</v>
      </c>
      <c r="N165" s="364"/>
      <c r="O165" s="362">
        <f>IF($B165="","",IF(Sheet1!$Z$1=2,'Tabla de Pagos Crecientes'!O105,'Tabla Fijos'!Q110))</f>
        <v>0</v>
      </c>
      <c r="P165" s="362">
        <f ca="1">IF(B165="","",G165+H165+I165+J165+K165+L165-M165-'Tabla Fijos'!P110)</f>
        <v>10421.884210717652</v>
      </c>
      <c r="Q165" s="362">
        <f t="shared" ca="1" si="3"/>
        <v>817325.35964143742</v>
      </c>
      <c r="R165" s="272">
        <f t="shared" ca="1" si="4"/>
        <v>1</v>
      </c>
    </row>
    <row r="166" spans="1:18" ht="15.5" x14ac:dyDescent="0.35">
      <c r="A166" s="272"/>
      <c r="B166" s="360">
        <f t="shared" si="5"/>
        <v>100</v>
      </c>
      <c r="C166" s="361">
        <f ca="1">IF($B166="","",'Fecha Pago'!K103)</f>
        <v>49190</v>
      </c>
      <c r="D166" s="362">
        <f>IF($B$67="","",'Fecha Pago'!L103)</f>
        <v>30.4</v>
      </c>
      <c r="E166" s="363">
        <f>IF(B166="","",IF(Sheet1!$Z$1=2,'Tabla de Pagos Crecientes'!E106,$F$62))</f>
        <v>0.11</v>
      </c>
      <c r="F166" s="362">
        <f ca="1">IF($B166="","",IF(Sheet1!$Z$1=2,'Tabla de Pagos Crecientes'!F106,'Tabla Fijos'!F111))</f>
        <v>817325.35964143742</v>
      </c>
      <c r="G166" s="362">
        <f ca="1">IF($B166="","",IF(Sheet1!$Z$1=2,'Tabla de Pagos Crecientes'!G106,'Tabla Fijos'!G111))</f>
        <v>2829.8397589371907</v>
      </c>
      <c r="H166" s="362">
        <f ca="1">IF($B166="","",IF(Sheet1!$Z$1=2,'Tabla de Pagos Crecientes'!H106,'Tabla Fijos'!H111))</f>
        <v>7592.0444517804626</v>
      </c>
      <c r="I166" s="362">
        <f>IF($B166=0,0,IF(B166="","",VLOOKUP($B166,'Tabla Fijos'!$B$12:$S$311,8,0)))</f>
        <v>0</v>
      </c>
      <c r="J166" s="362">
        <f ca="1">IF($B166="","",IF(Sheet1!$Z$1=2,'Tabla de Pagos Crecientes'!J106,'Tabla Fijos'!K111))</f>
        <v>0</v>
      </c>
      <c r="K166" s="362">
        <f ca="1">IF($B166="","",IF(Sheet1!$Z$1=2,'Tabla de Pagos Crecientes'!K106,'Tabla Fijos'!L111))</f>
        <v>0</v>
      </c>
      <c r="L166" s="362">
        <f ca="1">IF($B166="","",IF(Sheet1!$Z$1=2,'Tabla de Pagos Crecientes'!L106,'Tabla Fijos'!M111))</f>
        <v>0</v>
      </c>
      <c r="M166" s="362">
        <f ca="1">IF($B166="","",IF(Sheet1!$Z$1=2,'Tabla de Pagos Crecientes'!M106,'Tabla Fijos'!N111))</f>
        <v>0</v>
      </c>
      <c r="N166" s="364"/>
      <c r="O166" s="362">
        <f>IF($B166="","",IF(Sheet1!$Z$1=2,'Tabla de Pagos Crecientes'!O106,'Tabla Fijos'!Q111))</f>
        <v>0</v>
      </c>
      <c r="P166" s="362">
        <f ca="1">IF(B166="","",G166+H166+I166+J166+K166+L166-M166-'Tabla Fijos'!P111)</f>
        <v>10421.884210717653</v>
      </c>
      <c r="Q166" s="362">
        <f t="shared" ca="1" si="3"/>
        <v>814495.51988250017</v>
      </c>
      <c r="R166" s="272">
        <f t="shared" ca="1" si="4"/>
        <v>1</v>
      </c>
    </row>
    <row r="167" spans="1:18" ht="15.5" x14ac:dyDescent="0.35">
      <c r="A167" s="272"/>
      <c r="B167" s="360">
        <f t="shared" si="5"/>
        <v>101</v>
      </c>
      <c r="C167" s="361">
        <f ca="1">IF($B167="","",'Fecha Pago'!K104)</f>
        <v>49220</v>
      </c>
      <c r="D167" s="362">
        <f>IF($B$67="","",'Fecha Pago'!L104)</f>
        <v>30.4</v>
      </c>
      <c r="E167" s="363">
        <f>IF(B167="","",IF(Sheet1!$Z$1=2,'Tabla de Pagos Crecientes'!E107,$F$62))</f>
        <v>0.11</v>
      </c>
      <c r="F167" s="362">
        <f ca="1">IF($B167="","",IF(Sheet1!$Z$1=2,'Tabla de Pagos Crecientes'!F107,'Tabla Fijos'!F112))</f>
        <v>814495.51988250017</v>
      </c>
      <c r="G167" s="362">
        <f ca="1">IF($B167="","",IF(Sheet1!$Z$1=2,'Tabla de Pagos Crecientes'!G107,'Tabla Fijos'!G112))</f>
        <v>2856.1258260313152</v>
      </c>
      <c r="H167" s="362">
        <f ca="1">IF($B167="","",IF(Sheet1!$Z$1=2,'Tabla de Pagos Crecientes'!H107,'Tabla Fijos'!H112))</f>
        <v>7565.7583846863345</v>
      </c>
      <c r="I167" s="362">
        <f>IF($B167=0,0,IF(B167="","",VLOOKUP($B167,'Tabla Fijos'!$B$12:$S$311,8,0)))</f>
        <v>0</v>
      </c>
      <c r="J167" s="362">
        <f ca="1">IF($B167="","",IF(Sheet1!$Z$1=2,'Tabla de Pagos Crecientes'!J107,'Tabla Fijos'!K112))</f>
        <v>0</v>
      </c>
      <c r="K167" s="362">
        <f ca="1">IF($B167="","",IF(Sheet1!$Z$1=2,'Tabla de Pagos Crecientes'!K107,'Tabla Fijos'!L112))</f>
        <v>0</v>
      </c>
      <c r="L167" s="362">
        <f ca="1">IF($B167="","",IF(Sheet1!$Z$1=2,'Tabla de Pagos Crecientes'!L107,'Tabla Fijos'!M112))</f>
        <v>0</v>
      </c>
      <c r="M167" s="362">
        <f ca="1">IF($B167="","",IF(Sheet1!$Z$1=2,'Tabla de Pagos Crecientes'!M107,'Tabla Fijos'!N112))</f>
        <v>0</v>
      </c>
      <c r="N167" s="364"/>
      <c r="O167" s="362">
        <f>IF($B167="","",IF(Sheet1!$Z$1=2,'Tabla de Pagos Crecientes'!O107,'Tabla Fijos'!Q112))</f>
        <v>0</v>
      </c>
      <c r="P167" s="362">
        <f ca="1">IF(B167="","",G167+H167+I167+J167+K167+L167-M167-'Tabla Fijos'!P112)</f>
        <v>10421.88421071765</v>
      </c>
      <c r="Q167" s="362">
        <f t="shared" ca="1" si="3"/>
        <v>811639.39405646885</v>
      </c>
      <c r="R167" s="272">
        <f t="shared" ca="1" si="4"/>
        <v>1</v>
      </c>
    </row>
    <row r="168" spans="1:18" ht="15.5" x14ac:dyDescent="0.35">
      <c r="A168" s="272"/>
      <c r="B168" s="360">
        <f t="shared" si="5"/>
        <v>102</v>
      </c>
      <c r="C168" s="361">
        <f ca="1">IF($B168="","",'Fecha Pago'!K105)</f>
        <v>49251</v>
      </c>
      <c r="D168" s="362">
        <f>IF($B$67="","",'Fecha Pago'!L105)</f>
        <v>30.4</v>
      </c>
      <c r="E168" s="363">
        <f>IF(B168="","",IF(Sheet1!$Z$1=2,'Tabla de Pagos Crecientes'!E108,$F$62))</f>
        <v>0.11</v>
      </c>
      <c r="F168" s="362">
        <f ca="1">IF($B168="","",IF(Sheet1!$Z$1=2,'Tabla de Pagos Crecientes'!F108,'Tabla Fijos'!F113))</f>
        <v>811639.39405646885</v>
      </c>
      <c r="G168" s="362">
        <f ca="1">IF($B168="","",IF(Sheet1!$Z$1=2,'Tabla de Pagos Crecientes'!G108,'Tabla Fijos'!G113))</f>
        <v>2882.65606148201</v>
      </c>
      <c r="H168" s="362">
        <f ca="1">IF($B168="","",IF(Sheet1!$Z$1=2,'Tabla de Pagos Crecientes'!H108,'Tabla Fijos'!H113))</f>
        <v>7539.2281492356433</v>
      </c>
      <c r="I168" s="362">
        <f>IF($B168=0,0,IF(B168="","",VLOOKUP($B168,'Tabla Fijos'!$B$12:$S$311,8,0)))</f>
        <v>0</v>
      </c>
      <c r="J168" s="362">
        <f ca="1">IF($B168="","",IF(Sheet1!$Z$1=2,'Tabla de Pagos Crecientes'!J108,'Tabla Fijos'!K113))</f>
        <v>0</v>
      </c>
      <c r="K168" s="362">
        <f ca="1">IF($B168="","",IF(Sheet1!$Z$1=2,'Tabla de Pagos Crecientes'!K108,'Tabla Fijos'!L113))</f>
        <v>0</v>
      </c>
      <c r="L168" s="362">
        <f ca="1">IF($B168="","",IF(Sheet1!$Z$1=2,'Tabla de Pagos Crecientes'!L108,'Tabla Fijos'!M113))</f>
        <v>0</v>
      </c>
      <c r="M168" s="362">
        <f ca="1">IF($B168="","",IF(Sheet1!$Z$1=2,'Tabla de Pagos Crecientes'!M108,'Tabla Fijos'!N113))</f>
        <v>0</v>
      </c>
      <c r="N168" s="364"/>
      <c r="O168" s="362">
        <f>IF($B168="","",IF(Sheet1!$Z$1=2,'Tabla de Pagos Crecientes'!O108,'Tabla Fijos'!Q113))</f>
        <v>0</v>
      </c>
      <c r="P168" s="362">
        <f ca="1">IF(B168="","",G168+H168+I168+J168+K168+L168-M168-'Tabla Fijos'!P113)</f>
        <v>10421.884210717653</v>
      </c>
      <c r="Q168" s="362">
        <f t="shared" ca="1" si="3"/>
        <v>808756.73799498682</v>
      </c>
      <c r="R168" s="272">
        <f t="shared" ca="1" si="4"/>
        <v>1</v>
      </c>
    </row>
    <row r="169" spans="1:18" ht="15.5" x14ac:dyDescent="0.35">
      <c r="A169" s="272"/>
      <c r="B169" s="360">
        <f t="shared" si="5"/>
        <v>103</v>
      </c>
      <c r="C169" s="361">
        <f ca="1">IF($B169="","",'Fecha Pago'!K106)</f>
        <v>49281</v>
      </c>
      <c r="D169" s="362">
        <f>IF($B$67="","",'Fecha Pago'!L106)</f>
        <v>30.4</v>
      </c>
      <c r="E169" s="363">
        <f>IF(B169="","",IF(Sheet1!$Z$1=2,'Tabla de Pagos Crecientes'!E109,$F$62))</f>
        <v>0.11</v>
      </c>
      <c r="F169" s="362">
        <f ca="1">IF($B169="","",IF(Sheet1!$Z$1=2,'Tabla de Pagos Crecientes'!F109,'Tabla Fijos'!F114))</f>
        <v>808756.73799498682</v>
      </c>
      <c r="G169" s="362">
        <f ca="1">IF($B169="","",IF(Sheet1!$Z$1=2,'Tabla de Pagos Crecientes'!G109,'Tabla Fijos'!G114))</f>
        <v>2909.4327333419969</v>
      </c>
      <c r="H169" s="362">
        <f ca="1">IF($B169="","",IF(Sheet1!$Z$1=2,'Tabla de Pagos Crecientes'!H109,'Tabla Fijos'!H114))</f>
        <v>7512.4514773756546</v>
      </c>
      <c r="I169" s="362">
        <f>IF($B169=0,0,IF(B169="","",VLOOKUP($B169,'Tabla Fijos'!$B$12:$S$311,8,0)))</f>
        <v>0</v>
      </c>
      <c r="J169" s="362">
        <f ca="1">IF($B169="","",IF(Sheet1!$Z$1=2,'Tabla de Pagos Crecientes'!J109,'Tabla Fijos'!K114))</f>
        <v>0</v>
      </c>
      <c r="K169" s="362">
        <f ca="1">IF($B169="","",IF(Sheet1!$Z$1=2,'Tabla de Pagos Crecientes'!K109,'Tabla Fijos'!L114))</f>
        <v>0</v>
      </c>
      <c r="L169" s="362">
        <f ca="1">IF($B169="","",IF(Sheet1!$Z$1=2,'Tabla de Pagos Crecientes'!L109,'Tabla Fijos'!M114))</f>
        <v>0</v>
      </c>
      <c r="M169" s="362">
        <f ca="1">IF($B169="","",IF(Sheet1!$Z$1=2,'Tabla de Pagos Crecientes'!M109,'Tabla Fijos'!N114))</f>
        <v>0</v>
      </c>
      <c r="N169" s="364"/>
      <c r="O169" s="362">
        <f>IF($B169="","",IF(Sheet1!$Z$1=2,'Tabla de Pagos Crecientes'!O109,'Tabla Fijos'!Q114))</f>
        <v>0</v>
      </c>
      <c r="P169" s="362">
        <f ca="1">IF(B169="","",G169+H169+I169+J169+K169+L169-M169-'Tabla Fijos'!P114)</f>
        <v>10421.884210717652</v>
      </c>
      <c r="Q169" s="362">
        <f t="shared" ca="1" si="3"/>
        <v>805847.30526164477</v>
      </c>
      <c r="R169" s="272">
        <f t="shared" ca="1" si="4"/>
        <v>1</v>
      </c>
    </row>
    <row r="170" spans="1:18" ht="15.5" x14ac:dyDescent="0.35">
      <c r="A170" s="272"/>
      <c r="B170" s="360">
        <f t="shared" si="5"/>
        <v>104</v>
      </c>
      <c r="C170" s="361">
        <f ca="1">IF($B170="","",'Fecha Pago'!K107)</f>
        <v>49312</v>
      </c>
      <c r="D170" s="362">
        <f>IF($B$67="","",'Fecha Pago'!L107)</f>
        <v>30.4</v>
      </c>
      <c r="E170" s="363">
        <f>IF(B170="","",IF(Sheet1!$Z$1=2,'Tabla de Pagos Crecientes'!E110,$F$62))</f>
        <v>0.11</v>
      </c>
      <c r="F170" s="362">
        <f ca="1">IF($B170="","",IF(Sheet1!$Z$1=2,'Tabla de Pagos Crecientes'!F110,'Tabla Fijos'!F115))</f>
        <v>805847.30526164477</v>
      </c>
      <c r="G170" s="362">
        <f ca="1">IF($B170="","",IF(Sheet1!$Z$1=2,'Tabla de Pagos Crecientes'!G110,'Tabla Fijos'!G115))</f>
        <v>2936.4581307317076</v>
      </c>
      <c r="H170" s="362">
        <f ca="1">IF($B170="","",IF(Sheet1!$Z$1=2,'Tabla de Pagos Crecientes'!H110,'Tabla Fijos'!H115))</f>
        <v>7485.4260799859439</v>
      </c>
      <c r="I170" s="362">
        <f>IF($B170=0,0,IF(B170="","",VLOOKUP($B170,'Tabla Fijos'!$B$12:$S$311,8,0)))</f>
        <v>0</v>
      </c>
      <c r="J170" s="362">
        <f ca="1">IF($B170="","",IF(Sheet1!$Z$1=2,'Tabla de Pagos Crecientes'!J110,'Tabla Fijos'!K115))</f>
        <v>0</v>
      </c>
      <c r="K170" s="362">
        <f ca="1">IF($B170="","",IF(Sheet1!$Z$1=2,'Tabla de Pagos Crecientes'!K110,'Tabla Fijos'!L115))</f>
        <v>0</v>
      </c>
      <c r="L170" s="362">
        <f ca="1">IF($B170="","",IF(Sheet1!$Z$1=2,'Tabla de Pagos Crecientes'!L110,'Tabla Fijos'!M115))</f>
        <v>0</v>
      </c>
      <c r="M170" s="362">
        <f ca="1">IF($B170="","",IF(Sheet1!$Z$1=2,'Tabla de Pagos Crecientes'!M110,'Tabla Fijos'!N115))</f>
        <v>0</v>
      </c>
      <c r="N170" s="364"/>
      <c r="O170" s="362">
        <f>IF($B170="","",IF(Sheet1!$Z$1=2,'Tabla de Pagos Crecientes'!O110,'Tabla Fijos'!Q115))</f>
        <v>0</v>
      </c>
      <c r="P170" s="362">
        <f ca="1">IF(B170="","",G170+H170+I170+J170+K170+L170-M170-'Tabla Fijos'!P115)</f>
        <v>10421.884210717652</v>
      </c>
      <c r="Q170" s="362">
        <f t="shared" ca="1" si="3"/>
        <v>802910.84713091305</v>
      </c>
      <c r="R170" s="272">
        <f t="shared" ca="1" si="4"/>
        <v>1</v>
      </c>
    </row>
    <row r="171" spans="1:18" ht="15.5" x14ac:dyDescent="0.35">
      <c r="A171" s="272"/>
      <c r="B171" s="360">
        <f t="shared" si="5"/>
        <v>105</v>
      </c>
      <c r="C171" s="361">
        <f ca="1">IF($B171="","",'Fecha Pago'!K108)</f>
        <v>49343</v>
      </c>
      <c r="D171" s="362">
        <f>IF($B$67="","",'Fecha Pago'!L108)</f>
        <v>30.4</v>
      </c>
      <c r="E171" s="363">
        <f>IF(B171="","",IF(Sheet1!$Z$1=2,'Tabla de Pagos Crecientes'!E111,$F$62))</f>
        <v>0.11</v>
      </c>
      <c r="F171" s="362">
        <f ca="1">IF($B171="","",IF(Sheet1!$Z$1=2,'Tabla de Pagos Crecientes'!F111,'Tabla Fijos'!F116))</f>
        <v>802910.84713091305</v>
      </c>
      <c r="G171" s="362">
        <f ca="1">IF($B171="","",IF(Sheet1!$Z$1=2,'Tabla de Pagos Crecientes'!G111,'Tabla Fijos'!G116))</f>
        <v>2963.7345640349486</v>
      </c>
      <c r="H171" s="362">
        <f ca="1">IF($B171="","",IF(Sheet1!$Z$1=2,'Tabla de Pagos Crecientes'!H111,'Tabla Fijos'!H116))</f>
        <v>7458.149646682703</v>
      </c>
      <c r="I171" s="362">
        <f>IF($B171=0,0,IF(B171="","",VLOOKUP($B171,'Tabla Fijos'!$B$12:$S$311,8,0)))</f>
        <v>0</v>
      </c>
      <c r="J171" s="362">
        <f ca="1">IF($B171="","",IF(Sheet1!$Z$1=2,'Tabla de Pagos Crecientes'!J111,'Tabla Fijos'!K116))</f>
        <v>0</v>
      </c>
      <c r="K171" s="362">
        <f ca="1">IF($B171="","",IF(Sheet1!$Z$1=2,'Tabla de Pagos Crecientes'!K111,'Tabla Fijos'!L116))</f>
        <v>0</v>
      </c>
      <c r="L171" s="362">
        <f ca="1">IF($B171="","",IF(Sheet1!$Z$1=2,'Tabla de Pagos Crecientes'!L111,'Tabla Fijos'!M116))</f>
        <v>0</v>
      </c>
      <c r="M171" s="362">
        <f ca="1">IF($B171="","",IF(Sheet1!$Z$1=2,'Tabla de Pagos Crecientes'!M111,'Tabla Fijos'!N116))</f>
        <v>0</v>
      </c>
      <c r="N171" s="364"/>
      <c r="O171" s="362">
        <f>IF($B171="","",IF(Sheet1!$Z$1=2,'Tabla de Pagos Crecientes'!O111,'Tabla Fijos'!Q116))</f>
        <v>0</v>
      </c>
      <c r="P171" s="362">
        <f ca="1">IF(B171="","",G171+H171+I171+J171+K171+L171-M171-'Tabla Fijos'!P116)</f>
        <v>10421.884210717652</v>
      </c>
      <c r="Q171" s="362">
        <f t="shared" ca="1" si="3"/>
        <v>799947.11256687809</v>
      </c>
      <c r="R171" s="272">
        <f t="shared" ca="1" si="4"/>
        <v>1</v>
      </c>
    </row>
    <row r="172" spans="1:18" ht="15.5" x14ac:dyDescent="0.35">
      <c r="A172" s="272"/>
      <c r="B172" s="360">
        <f t="shared" si="5"/>
        <v>106</v>
      </c>
      <c r="C172" s="361">
        <f ca="1">IF($B172="","",'Fecha Pago'!K109)</f>
        <v>49371</v>
      </c>
      <c r="D172" s="362">
        <f>IF($B$67="","",'Fecha Pago'!L109)</f>
        <v>30.4</v>
      </c>
      <c r="E172" s="363">
        <f>IF(B172="","",IF(Sheet1!$Z$1=2,'Tabla de Pagos Crecientes'!E112,$F$62))</f>
        <v>0.11</v>
      </c>
      <c r="F172" s="362">
        <f ca="1">IF($B172="","",IF(Sheet1!$Z$1=2,'Tabla de Pagos Crecientes'!F112,'Tabla Fijos'!F117))</f>
        <v>799947.11256687809</v>
      </c>
      <c r="G172" s="362">
        <f ca="1">IF($B172="","",IF(Sheet1!$Z$1=2,'Tabla de Pagos Crecientes'!G112,'Tabla Fijos'!G117))</f>
        <v>2991.2643650964274</v>
      </c>
      <c r="H172" s="362">
        <f ca="1">IF($B172="","",IF(Sheet1!$Z$1=2,'Tabla de Pagos Crecientes'!H112,'Tabla Fijos'!H117))</f>
        <v>7430.6198456212223</v>
      </c>
      <c r="I172" s="362">
        <f>IF($B172=0,0,IF(B172="","",VLOOKUP($B172,'Tabla Fijos'!$B$12:$S$311,8,0)))</f>
        <v>0</v>
      </c>
      <c r="J172" s="362">
        <f ca="1">IF($B172="","",IF(Sheet1!$Z$1=2,'Tabla de Pagos Crecientes'!J112,'Tabla Fijos'!K117))</f>
        <v>0</v>
      </c>
      <c r="K172" s="362">
        <f ca="1">IF($B172="","",IF(Sheet1!$Z$1=2,'Tabla de Pagos Crecientes'!K112,'Tabla Fijos'!L117))</f>
        <v>0</v>
      </c>
      <c r="L172" s="362">
        <f ca="1">IF($B172="","",IF(Sheet1!$Z$1=2,'Tabla de Pagos Crecientes'!L112,'Tabla Fijos'!M117))</f>
        <v>0</v>
      </c>
      <c r="M172" s="362">
        <f ca="1">IF($B172="","",IF(Sheet1!$Z$1=2,'Tabla de Pagos Crecientes'!M112,'Tabla Fijos'!N117))</f>
        <v>0</v>
      </c>
      <c r="N172" s="364"/>
      <c r="O172" s="362">
        <f>IF($B172="","",IF(Sheet1!$Z$1=2,'Tabla de Pagos Crecientes'!O112,'Tabla Fijos'!Q117))</f>
        <v>0</v>
      </c>
      <c r="P172" s="362">
        <f ca="1">IF(B172="","",G172+H172+I172+J172+K172+L172-M172-'Tabla Fijos'!P117)</f>
        <v>10421.88421071765</v>
      </c>
      <c r="Q172" s="362">
        <f t="shared" ca="1" si="3"/>
        <v>796955.84820178163</v>
      </c>
      <c r="R172" s="272">
        <f t="shared" ca="1" si="4"/>
        <v>1</v>
      </c>
    </row>
    <row r="173" spans="1:18" ht="15.5" x14ac:dyDescent="0.35">
      <c r="A173" s="272"/>
      <c r="B173" s="360">
        <f t="shared" si="5"/>
        <v>107</v>
      </c>
      <c r="C173" s="361">
        <f ca="1">IF($B173="","",'Fecha Pago'!K110)</f>
        <v>49402</v>
      </c>
      <c r="D173" s="362">
        <f>IF($B$67="","",'Fecha Pago'!L110)</f>
        <v>30.4</v>
      </c>
      <c r="E173" s="363">
        <f>IF(B173="","",IF(Sheet1!$Z$1=2,'Tabla de Pagos Crecientes'!E113,$F$62))</f>
        <v>0.11</v>
      </c>
      <c r="F173" s="362">
        <f ca="1">IF($B173="","",IF(Sheet1!$Z$1=2,'Tabla de Pagos Crecientes'!F113,'Tabla Fijos'!F118))</f>
        <v>796955.84820178163</v>
      </c>
      <c r="G173" s="362">
        <f ca="1">IF($B173="","",IF(Sheet1!$Z$1=2,'Tabla de Pagos Crecientes'!G113,'Tabla Fijos'!G118))</f>
        <v>3019.0498874211007</v>
      </c>
      <c r="H173" s="362">
        <f ca="1">IF($B173="","",IF(Sheet1!$Z$1=2,'Tabla de Pagos Crecientes'!H113,'Tabla Fijos'!H118))</f>
        <v>7402.834323296549</v>
      </c>
      <c r="I173" s="362">
        <f>IF($B173=0,0,IF(B173="","",VLOOKUP($B173,'Tabla Fijos'!$B$12:$S$311,8,0)))</f>
        <v>0</v>
      </c>
      <c r="J173" s="362">
        <f ca="1">IF($B173="","",IF(Sheet1!$Z$1=2,'Tabla de Pagos Crecientes'!J113,'Tabla Fijos'!K118))</f>
        <v>0</v>
      </c>
      <c r="K173" s="362">
        <f ca="1">IF($B173="","",IF(Sheet1!$Z$1=2,'Tabla de Pagos Crecientes'!K113,'Tabla Fijos'!L118))</f>
        <v>0</v>
      </c>
      <c r="L173" s="362">
        <f ca="1">IF($B173="","",IF(Sheet1!$Z$1=2,'Tabla de Pagos Crecientes'!L113,'Tabla Fijos'!M118))</f>
        <v>0</v>
      </c>
      <c r="M173" s="362">
        <f ca="1">IF($B173="","",IF(Sheet1!$Z$1=2,'Tabla de Pagos Crecientes'!M113,'Tabla Fijos'!N118))</f>
        <v>0</v>
      </c>
      <c r="N173" s="364"/>
      <c r="O173" s="362">
        <f>IF($B173="","",IF(Sheet1!$Z$1=2,'Tabla de Pagos Crecientes'!O113,'Tabla Fijos'!Q118))</f>
        <v>0</v>
      </c>
      <c r="P173" s="362">
        <f ca="1">IF(B173="","",G173+H173+I173+J173+K173+L173-M173-'Tabla Fijos'!P118)</f>
        <v>10421.88421071765</v>
      </c>
      <c r="Q173" s="362">
        <f t="shared" ca="1" si="3"/>
        <v>793936.79831436055</v>
      </c>
      <c r="R173" s="272">
        <f t="shared" ca="1" si="4"/>
        <v>1</v>
      </c>
    </row>
    <row r="174" spans="1:18" ht="15.5" x14ac:dyDescent="0.35">
      <c r="A174" s="272"/>
      <c r="B174" s="360">
        <f t="shared" si="5"/>
        <v>108</v>
      </c>
      <c r="C174" s="361">
        <f ca="1">IF($B174="","",'Fecha Pago'!K111)</f>
        <v>49432</v>
      </c>
      <c r="D174" s="362">
        <f>IF($B$67="","",'Fecha Pago'!L111)</f>
        <v>30.4</v>
      </c>
      <c r="E174" s="363">
        <f>IF(B174="","",IF(Sheet1!$Z$1=2,'Tabla de Pagos Crecientes'!E114,$F$62))</f>
        <v>0.11</v>
      </c>
      <c r="F174" s="362">
        <f ca="1">IF($B174="","",IF(Sheet1!$Z$1=2,'Tabla de Pagos Crecientes'!F114,'Tabla Fijos'!F119))</f>
        <v>793936.79831436055</v>
      </c>
      <c r="G174" s="362">
        <f ca="1">IF($B174="","",IF(Sheet1!$Z$1=2,'Tabla de Pagos Crecientes'!G114,'Tabla Fijos'!G119))</f>
        <v>3047.0935063753677</v>
      </c>
      <c r="H174" s="362">
        <f ca="1">IF($B174="","",IF(Sheet1!$Z$1=2,'Tabla de Pagos Crecientes'!H114,'Tabla Fijos'!H119))</f>
        <v>7374.790704342282</v>
      </c>
      <c r="I174" s="362">
        <f>IF($B174=0,0,IF(B174="","",VLOOKUP($B174,'Tabla Fijos'!$B$12:$S$311,8,0)))</f>
        <v>0</v>
      </c>
      <c r="J174" s="362">
        <f ca="1">IF($B174="","",IF(Sheet1!$Z$1=2,'Tabla de Pagos Crecientes'!J114,'Tabla Fijos'!K119))</f>
        <v>0</v>
      </c>
      <c r="K174" s="362">
        <f ca="1">IF($B174="","",IF(Sheet1!$Z$1=2,'Tabla de Pagos Crecientes'!K114,'Tabla Fijos'!L119))</f>
        <v>0</v>
      </c>
      <c r="L174" s="362">
        <f ca="1">IF($B174="","",IF(Sheet1!$Z$1=2,'Tabla de Pagos Crecientes'!L114,'Tabla Fijos'!M119))</f>
        <v>0</v>
      </c>
      <c r="M174" s="362">
        <f ca="1">IF($B174="","",IF(Sheet1!$Z$1=2,'Tabla de Pagos Crecientes'!M114,'Tabla Fijos'!N119))</f>
        <v>0</v>
      </c>
      <c r="N174" s="364"/>
      <c r="O174" s="362">
        <f>IF($B174="","",IF(Sheet1!$Z$1=2,'Tabla de Pagos Crecientes'!O114,'Tabla Fijos'!Q119))</f>
        <v>0</v>
      </c>
      <c r="P174" s="362">
        <f ca="1">IF(B174="","",G174+H174+I174+J174+K174+L174-M174-'Tabla Fijos'!P119)</f>
        <v>10421.88421071765</v>
      </c>
      <c r="Q174" s="362">
        <f t="shared" ca="1" si="3"/>
        <v>790889.70480798522</v>
      </c>
      <c r="R174" s="272">
        <f t="shared" ca="1" si="4"/>
        <v>1</v>
      </c>
    </row>
    <row r="175" spans="1:18" ht="15.5" x14ac:dyDescent="0.35">
      <c r="A175" s="272"/>
      <c r="B175" s="360">
        <f t="shared" si="5"/>
        <v>109</v>
      </c>
      <c r="C175" s="361">
        <f ca="1">IF($B175="","",'Fecha Pago'!K112)</f>
        <v>49463</v>
      </c>
      <c r="D175" s="362">
        <f>IF($B$67="","",'Fecha Pago'!L112)</f>
        <v>30.4</v>
      </c>
      <c r="E175" s="363">
        <f>IF(B175="","",IF(Sheet1!$Z$1=2,'Tabla de Pagos Crecientes'!E115,$F$62))</f>
        <v>0.11</v>
      </c>
      <c r="F175" s="362">
        <f ca="1">IF($B175="","",IF(Sheet1!$Z$1=2,'Tabla de Pagos Crecientes'!F115,'Tabla Fijos'!F120))</f>
        <v>790889.70480798522</v>
      </c>
      <c r="G175" s="362">
        <f ca="1">IF($B175="","",IF(Sheet1!$Z$1=2,'Tabla de Pagos Crecientes'!G115,'Tabla Fijos'!G120))</f>
        <v>3075.3976193901462</v>
      </c>
      <c r="H175" s="362">
        <f ca="1">IF($B175="","",IF(Sheet1!$Z$1=2,'Tabla de Pagos Crecientes'!H115,'Tabla Fijos'!H120))</f>
        <v>7346.4865913275071</v>
      </c>
      <c r="I175" s="362">
        <f>IF($B175=0,0,IF(B175="","",VLOOKUP($B175,'Tabla Fijos'!$B$12:$S$311,8,0)))</f>
        <v>0</v>
      </c>
      <c r="J175" s="362">
        <f ca="1">IF($B175="","",IF(Sheet1!$Z$1=2,'Tabla de Pagos Crecientes'!J115,'Tabla Fijos'!K120))</f>
        <v>0</v>
      </c>
      <c r="K175" s="362">
        <f ca="1">IF($B175="","",IF(Sheet1!$Z$1=2,'Tabla de Pagos Crecientes'!K115,'Tabla Fijos'!L120))</f>
        <v>0</v>
      </c>
      <c r="L175" s="362">
        <f ca="1">IF($B175="","",IF(Sheet1!$Z$1=2,'Tabla de Pagos Crecientes'!L115,'Tabla Fijos'!M120))</f>
        <v>0</v>
      </c>
      <c r="M175" s="362">
        <f ca="1">IF($B175="","",IF(Sheet1!$Z$1=2,'Tabla de Pagos Crecientes'!M115,'Tabla Fijos'!N120))</f>
        <v>0</v>
      </c>
      <c r="N175" s="364"/>
      <c r="O175" s="362">
        <f>IF($B175="","",IF(Sheet1!$Z$1=2,'Tabla de Pagos Crecientes'!O115,'Tabla Fijos'!Q120))</f>
        <v>0</v>
      </c>
      <c r="P175" s="362">
        <f ca="1">IF(B175="","",G175+H175+I175+J175+K175+L175-M175-'Tabla Fijos'!P120)</f>
        <v>10421.884210717653</v>
      </c>
      <c r="Q175" s="362">
        <f t="shared" ca="1" si="3"/>
        <v>787814.30718859506</v>
      </c>
      <c r="R175" s="272">
        <f t="shared" ca="1" si="4"/>
        <v>1</v>
      </c>
    </row>
    <row r="176" spans="1:18" ht="15.5" x14ac:dyDescent="0.35">
      <c r="A176" s="272"/>
      <c r="B176" s="360">
        <f t="shared" si="5"/>
        <v>110</v>
      </c>
      <c r="C176" s="361">
        <f ca="1">IF($B176="","",'Fecha Pago'!K113)</f>
        <v>49493</v>
      </c>
      <c r="D176" s="362">
        <f>IF($B$67="","",'Fecha Pago'!L113)</f>
        <v>30.4</v>
      </c>
      <c r="E176" s="363">
        <f>IF(B176="","",IF(Sheet1!$Z$1=2,'Tabla de Pagos Crecientes'!E116,$F$62))</f>
        <v>0.11</v>
      </c>
      <c r="F176" s="362">
        <f ca="1">IF($B176="","",IF(Sheet1!$Z$1=2,'Tabla de Pagos Crecientes'!F116,'Tabla Fijos'!F121))</f>
        <v>787814.30718859506</v>
      </c>
      <c r="G176" s="362">
        <f ca="1">IF($B176="","",IF(Sheet1!$Z$1=2,'Tabla de Pagos Crecientes'!G116,'Tabla Fijos'!G121))</f>
        <v>3103.9646461658131</v>
      </c>
      <c r="H176" s="362">
        <f ca="1">IF($B176="","",IF(Sheet1!$Z$1=2,'Tabla de Pagos Crecientes'!H116,'Tabla Fijos'!H121))</f>
        <v>7317.9195645518384</v>
      </c>
      <c r="I176" s="362">
        <f>IF($B176=0,0,IF(B176="","",VLOOKUP($B176,'Tabla Fijos'!$B$12:$S$311,8,0)))</f>
        <v>0</v>
      </c>
      <c r="J176" s="362">
        <f ca="1">IF($B176="","",IF(Sheet1!$Z$1=2,'Tabla de Pagos Crecientes'!J116,'Tabla Fijos'!K121))</f>
        <v>0</v>
      </c>
      <c r="K176" s="362">
        <f ca="1">IF($B176="","",IF(Sheet1!$Z$1=2,'Tabla de Pagos Crecientes'!K116,'Tabla Fijos'!L121))</f>
        <v>0</v>
      </c>
      <c r="L176" s="362">
        <f ca="1">IF($B176="","",IF(Sheet1!$Z$1=2,'Tabla de Pagos Crecientes'!L116,'Tabla Fijos'!M121))</f>
        <v>0</v>
      </c>
      <c r="M176" s="362">
        <f ca="1">IF($B176="","",IF(Sheet1!$Z$1=2,'Tabla de Pagos Crecientes'!M116,'Tabla Fijos'!N121))</f>
        <v>0</v>
      </c>
      <c r="N176" s="364"/>
      <c r="O176" s="362">
        <f>IF($B176="","",IF(Sheet1!$Z$1=2,'Tabla de Pagos Crecientes'!O116,'Tabla Fijos'!Q121))</f>
        <v>0</v>
      </c>
      <c r="P176" s="362">
        <f ca="1">IF(B176="","",G176+H176+I176+J176+K176+L176-M176-'Tabla Fijos'!P121)</f>
        <v>10421.884210717652</v>
      </c>
      <c r="Q176" s="362">
        <f t="shared" ca="1" si="3"/>
        <v>784710.34254242922</v>
      </c>
      <c r="R176" s="272">
        <f t="shared" ca="1" si="4"/>
        <v>1</v>
      </c>
    </row>
    <row r="177" spans="1:18" ht="15.5" x14ac:dyDescent="0.35">
      <c r="A177" s="272"/>
      <c r="B177" s="360">
        <f t="shared" si="5"/>
        <v>111</v>
      </c>
      <c r="C177" s="361">
        <f ca="1">IF($B177="","",'Fecha Pago'!K114)</f>
        <v>49524</v>
      </c>
      <c r="D177" s="362">
        <f>IF($B$67="","",'Fecha Pago'!L114)</f>
        <v>30.4</v>
      </c>
      <c r="E177" s="363">
        <f>IF(B177="","",IF(Sheet1!$Z$1=2,'Tabla de Pagos Crecientes'!E117,$F$62))</f>
        <v>0.11</v>
      </c>
      <c r="F177" s="362">
        <f ca="1">IF($B177="","",IF(Sheet1!$Z$1=2,'Tabla de Pagos Crecientes'!F117,'Tabla Fijos'!F122))</f>
        <v>784710.34254242922</v>
      </c>
      <c r="G177" s="362">
        <f ca="1">IF($B177="","",IF(Sheet1!$Z$1=2,'Tabla de Pagos Crecientes'!G117,'Tabla Fijos'!G122))</f>
        <v>3132.7970288790875</v>
      </c>
      <c r="H177" s="362">
        <f ca="1">IF($B177="","",IF(Sheet1!$Z$1=2,'Tabla de Pagos Crecientes'!H117,'Tabla Fijos'!H122))</f>
        <v>7289.087181838564</v>
      </c>
      <c r="I177" s="362">
        <f>IF($B177=0,0,IF(B177="","",VLOOKUP($B177,'Tabla Fijos'!$B$12:$S$311,8,0)))</f>
        <v>0</v>
      </c>
      <c r="J177" s="362">
        <f ca="1">IF($B177="","",IF(Sheet1!$Z$1=2,'Tabla de Pagos Crecientes'!J117,'Tabla Fijos'!K122))</f>
        <v>0</v>
      </c>
      <c r="K177" s="362">
        <f ca="1">IF($B177="","",IF(Sheet1!$Z$1=2,'Tabla de Pagos Crecientes'!K117,'Tabla Fijos'!L122))</f>
        <v>0</v>
      </c>
      <c r="L177" s="362">
        <f ca="1">IF($B177="","",IF(Sheet1!$Z$1=2,'Tabla de Pagos Crecientes'!L117,'Tabla Fijos'!M122))</f>
        <v>0</v>
      </c>
      <c r="M177" s="362">
        <f ca="1">IF($B177="","",IF(Sheet1!$Z$1=2,'Tabla de Pagos Crecientes'!M117,'Tabla Fijos'!N122))</f>
        <v>0</v>
      </c>
      <c r="N177" s="364"/>
      <c r="O177" s="362">
        <f>IF($B177="","",IF(Sheet1!$Z$1=2,'Tabla de Pagos Crecientes'!O117,'Tabla Fijos'!Q122))</f>
        <v>0</v>
      </c>
      <c r="P177" s="362">
        <f ca="1">IF(B177="","",G177+H177+I177+J177+K177+L177-M177-'Tabla Fijos'!P122)</f>
        <v>10421.884210717652</v>
      </c>
      <c r="Q177" s="362">
        <f t="shared" ca="1" si="3"/>
        <v>781577.54551355017</v>
      </c>
      <c r="R177" s="272">
        <f t="shared" ca="1" si="4"/>
        <v>1</v>
      </c>
    </row>
    <row r="178" spans="1:18" ht="15.5" x14ac:dyDescent="0.35">
      <c r="A178" s="272"/>
      <c r="B178" s="360">
        <f t="shared" si="5"/>
        <v>112</v>
      </c>
      <c r="C178" s="361">
        <f ca="1">IF($B178="","",'Fecha Pago'!K115)</f>
        <v>49555</v>
      </c>
      <c r="D178" s="362">
        <f>IF($B$67="","",'Fecha Pago'!L115)</f>
        <v>30.4</v>
      </c>
      <c r="E178" s="363">
        <f>IF(B178="","",IF(Sheet1!$Z$1=2,'Tabla de Pagos Crecientes'!E118,$F$62))</f>
        <v>0.11</v>
      </c>
      <c r="F178" s="362">
        <f ca="1">IF($B178="","",IF(Sheet1!$Z$1=2,'Tabla de Pagos Crecientes'!F118,'Tabla Fijos'!F123))</f>
        <v>781577.54551355017</v>
      </c>
      <c r="G178" s="362">
        <f ca="1">IF($B178="","",IF(Sheet1!$Z$1=2,'Tabla de Pagos Crecientes'!G118,'Tabla Fijos'!G123))</f>
        <v>3161.897232391786</v>
      </c>
      <c r="H178" s="362">
        <f ca="1">IF($B178="","",IF(Sheet1!$Z$1=2,'Tabla de Pagos Crecientes'!H118,'Tabla Fijos'!H123))</f>
        <v>7259.9869783258655</v>
      </c>
      <c r="I178" s="362">
        <f>IF($B178=0,0,IF(B178="","",VLOOKUP($B178,'Tabla Fijos'!$B$12:$S$311,8,0)))</f>
        <v>0</v>
      </c>
      <c r="J178" s="362">
        <f ca="1">IF($B178="","",IF(Sheet1!$Z$1=2,'Tabla de Pagos Crecientes'!J118,'Tabla Fijos'!K123))</f>
        <v>0</v>
      </c>
      <c r="K178" s="362">
        <f ca="1">IF($B178="","",IF(Sheet1!$Z$1=2,'Tabla de Pagos Crecientes'!K118,'Tabla Fijos'!L123))</f>
        <v>0</v>
      </c>
      <c r="L178" s="362">
        <f ca="1">IF($B178="","",IF(Sheet1!$Z$1=2,'Tabla de Pagos Crecientes'!L118,'Tabla Fijos'!M123))</f>
        <v>0</v>
      </c>
      <c r="M178" s="362">
        <f ca="1">IF($B178="","",IF(Sheet1!$Z$1=2,'Tabla de Pagos Crecientes'!M118,'Tabla Fijos'!N123))</f>
        <v>0</v>
      </c>
      <c r="N178" s="364"/>
      <c r="O178" s="362">
        <f>IF($B178="","",IF(Sheet1!$Z$1=2,'Tabla de Pagos Crecientes'!O118,'Tabla Fijos'!Q123))</f>
        <v>0</v>
      </c>
      <c r="P178" s="362">
        <f ca="1">IF(B178="","",G178+H178+I178+J178+K178+L178-M178-'Tabla Fijos'!P123)</f>
        <v>10421.884210717652</v>
      </c>
      <c r="Q178" s="362">
        <f t="shared" ca="1" si="3"/>
        <v>778415.64828115841</v>
      </c>
      <c r="R178" s="272">
        <f t="shared" ca="1" si="4"/>
        <v>1</v>
      </c>
    </row>
    <row r="179" spans="1:18" ht="15.5" x14ac:dyDescent="0.35">
      <c r="A179" s="272"/>
      <c r="B179" s="360">
        <f t="shared" si="5"/>
        <v>113</v>
      </c>
      <c r="C179" s="361">
        <f ca="1">IF($B179="","",'Fecha Pago'!K116)</f>
        <v>49585</v>
      </c>
      <c r="D179" s="362">
        <f>IF($B$67="","",'Fecha Pago'!L116)</f>
        <v>30.4</v>
      </c>
      <c r="E179" s="363">
        <f>IF(B179="","",IF(Sheet1!$Z$1=2,'Tabla de Pagos Crecientes'!E119,$F$62))</f>
        <v>0.11</v>
      </c>
      <c r="F179" s="362">
        <f ca="1">IF($B179="","",IF(Sheet1!$Z$1=2,'Tabla de Pagos Crecientes'!F119,'Tabla Fijos'!F124))</f>
        <v>778415.64828115841</v>
      </c>
      <c r="G179" s="362">
        <f ca="1">IF($B179="","",IF(Sheet1!$Z$1=2,'Tabla de Pagos Crecientes'!G119,'Tabla Fijos'!G124))</f>
        <v>3191.2677444615583</v>
      </c>
      <c r="H179" s="362">
        <f ca="1">IF($B179="","",IF(Sheet1!$Z$1=2,'Tabla de Pagos Crecientes'!H119,'Tabla Fijos'!H124))</f>
        <v>7230.6164662560932</v>
      </c>
      <c r="I179" s="362">
        <f>IF($B179=0,0,IF(B179="","",VLOOKUP($B179,'Tabla Fijos'!$B$12:$S$311,8,0)))</f>
        <v>0</v>
      </c>
      <c r="J179" s="362">
        <f ca="1">IF($B179="","",IF(Sheet1!$Z$1=2,'Tabla de Pagos Crecientes'!J119,'Tabla Fijos'!K124))</f>
        <v>0</v>
      </c>
      <c r="K179" s="362">
        <f ca="1">IF($B179="","",IF(Sheet1!$Z$1=2,'Tabla de Pagos Crecientes'!K119,'Tabla Fijos'!L124))</f>
        <v>0</v>
      </c>
      <c r="L179" s="362">
        <f ca="1">IF($B179="","",IF(Sheet1!$Z$1=2,'Tabla de Pagos Crecientes'!L119,'Tabla Fijos'!M124))</f>
        <v>0</v>
      </c>
      <c r="M179" s="362">
        <f ca="1">IF($B179="","",IF(Sheet1!$Z$1=2,'Tabla de Pagos Crecientes'!M119,'Tabla Fijos'!N124))</f>
        <v>0</v>
      </c>
      <c r="N179" s="364"/>
      <c r="O179" s="362">
        <f>IF($B179="","",IF(Sheet1!$Z$1=2,'Tabla de Pagos Crecientes'!O119,'Tabla Fijos'!Q124))</f>
        <v>0</v>
      </c>
      <c r="P179" s="362">
        <f ca="1">IF(B179="","",G179+H179+I179+J179+K179+L179-M179-'Tabla Fijos'!P124)</f>
        <v>10421.884210717652</v>
      </c>
      <c r="Q179" s="362">
        <f t="shared" ca="1" si="3"/>
        <v>775224.38053669687</v>
      </c>
      <c r="R179" s="272">
        <f t="shared" ca="1" si="4"/>
        <v>1</v>
      </c>
    </row>
    <row r="180" spans="1:18" ht="15.5" x14ac:dyDescent="0.35">
      <c r="A180" s="272"/>
      <c r="B180" s="360">
        <f t="shared" si="5"/>
        <v>114</v>
      </c>
      <c r="C180" s="361">
        <f ca="1">IF($B180="","",'Fecha Pago'!K117)</f>
        <v>49616</v>
      </c>
      <c r="D180" s="362">
        <f>IF($B$67="","",'Fecha Pago'!L117)</f>
        <v>30.4</v>
      </c>
      <c r="E180" s="363">
        <f>IF(B180="","",IF(Sheet1!$Z$1=2,'Tabla de Pagos Crecientes'!E120,$F$62))</f>
        <v>0.11</v>
      </c>
      <c r="F180" s="362">
        <f ca="1">IF($B180="","",IF(Sheet1!$Z$1=2,'Tabla de Pagos Crecientes'!F120,'Tabla Fijos'!F125))</f>
        <v>775224.38053669687</v>
      </c>
      <c r="G180" s="362">
        <f ca="1">IF($B180="","",IF(Sheet1!$Z$1=2,'Tabla de Pagos Crecientes'!G120,'Tabla Fijos'!G125))</f>
        <v>3220.9110759545547</v>
      </c>
      <c r="H180" s="362">
        <f ca="1">IF($B180="","",IF(Sheet1!$Z$1=2,'Tabla de Pagos Crecientes'!H120,'Tabla Fijos'!H125))</f>
        <v>7200.973134763095</v>
      </c>
      <c r="I180" s="362">
        <f>IF($B180=0,0,IF(B180="","",VLOOKUP($B180,'Tabla Fijos'!$B$12:$S$311,8,0)))</f>
        <v>0</v>
      </c>
      <c r="J180" s="362">
        <f ca="1">IF($B180="","",IF(Sheet1!$Z$1=2,'Tabla de Pagos Crecientes'!J120,'Tabla Fijos'!K125))</f>
        <v>0</v>
      </c>
      <c r="K180" s="362">
        <f ca="1">IF($B180="","",IF(Sheet1!$Z$1=2,'Tabla de Pagos Crecientes'!K120,'Tabla Fijos'!L125))</f>
        <v>0</v>
      </c>
      <c r="L180" s="362">
        <f ca="1">IF($B180="","",IF(Sheet1!$Z$1=2,'Tabla de Pagos Crecientes'!L120,'Tabla Fijos'!M125))</f>
        <v>0</v>
      </c>
      <c r="M180" s="362">
        <f ca="1">IF($B180="","",IF(Sheet1!$Z$1=2,'Tabla de Pagos Crecientes'!M120,'Tabla Fijos'!N125))</f>
        <v>0</v>
      </c>
      <c r="N180" s="364"/>
      <c r="O180" s="362">
        <f>IF($B180="","",IF(Sheet1!$Z$1=2,'Tabla de Pagos Crecientes'!O120,'Tabla Fijos'!Q125))</f>
        <v>0</v>
      </c>
      <c r="P180" s="362">
        <f ca="1">IF(B180="","",G180+H180+I180+J180+K180+L180-M180-'Tabla Fijos'!P125)</f>
        <v>10421.88421071765</v>
      </c>
      <c r="Q180" s="362">
        <f t="shared" ca="1" si="3"/>
        <v>772003.46946074232</v>
      </c>
      <c r="R180" s="272">
        <f t="shared" ca="1" si="4"/>
        <v>1</v>
      </c>
    </row>
    <row r="181" spans="1:18" ht="15.5" x14ac:dyDescent="0.35">
      <c r="A181" s="272"/>
      <c r="B181" s="360">
        <f t="shared" si="5"/>
        <v>115</v>
      </c>
      <c r="C181" s="361">
        <f ca="1">IF($B181="","",'Fecha Pago'!K118)</f>
        <v>49646</v>
      </c>
      <c r="D181" s="362">
        <f>IF($B$67="","",'Fecha Pago'!L118)</f>
        <v>30.4</v>
      </c>
      <c r="E181" s="363">
        <f>IF(B181="","",IF(Sheet1!$Z$1=2,'Tabla de Pagos Crecientes'!E121,$F$62))</f>
        <v>0.11</v>
      </c>
      <c r="F181" s="362">
        <f ca="1">IF($B181="","",IF(Sheet1!$Z$1=2,'Tabla de Pagos Crecientes'!F121,'Tabla Fijos'!F126))</f>
        <v>772003.46946074232</v>
      </c>
      <c r="G181" s="362">
        <f ca="1">IF($B181="","",IF(Sheet1!$Z$1=2,'Tabla de Pagos Crecientes'!G121,'Tabla Fijos'!G126))</f>
        <v>3250.8297610600885</v>
      </c>
      <c r="H181" s="362">
        <f ca="1">IF($B181="","",IF(Sheet1!$Z$1=2,'Tabla de Pagos Crecientes'!H121,'Tabla Fijos'!H126))</f>
        <v>7171.0544496575612</v>
      </c>
      <c r="I181" s="362">
        <f>IF($B181=0,0,IF(B181="","",VLOOKUP($B181,'Tabla Fijos'!$B$12:$S$311,8,0)))</f>
        <v>0</v>
      </c>
      <c r="J181" s="362">
        <f ca="1">IF($B181="","",IF(Sheet1!$Z$1=2,'Tabla de Pagos Crecientes'!J121,'Tabla Fijos'!K126))</f>
        <v>0</v>
      </c>
      <c r="K181" s="362">
        <f ca="1">IF($B181="","",IF(Sheet1!$Z$1=2,'Tabla de Pagos Crecientes'!K121,'Tabla Fijos'!L126))</f>
        <v>0</v>
      </c>
      <c r="L181" s="362">
        <f ca="1">IF($B181="","",IF(Sheet1!$Z$1=2,'Tabla de Pagos Crecientes'!L121,'Tabla Fijos'!M126))</f>
        <v>0</v>
      </c>
      <c r="M181" s="362">
        <f ca="1">IF($B181="","",IF(Sheet1!$Z$1=2,'Tabla de Pagos Crecientes'!M121,'Tabla Fijos'!N126))</f>
        <v>0</v>
      </c>
      <c r="N181" s="364"/>
      <c r="O181" s="362">
        <f>IF($B181="","",IF(Sheet1!$Z$1=2,'Tabla de Pagos Crecientes'!O121,'Tabla Fijos'!Q126))</f>
        <v>0</v>
      </c>
      <c r="P181" s="362">
        <f ca="1">IF(B181="","",G181+H181+I181+J181+K181+L181-M181-'Tabla Fijos'!P126)</f>
        <v>10421.88421071765</v>
      </c>
      <c r="Q181" s="362">
        <f t="shared" ca="1" si="3"/>
        <v>768752.63969968224</v>
      </c>
      <c r="R181" s="272">
        <f t="shared" ca="1" si="4"/>
        <v>1</v>
      </c>
    </row>
    <row r="182" spans="1:18" ht="15.5" x14ac:dyDescent="0.35">
      <c r="A182" s="272"/>
      <c r="B182" s="360">
        <f t="shared" si="5"/>
        <v>116</v>
      </c>
      <c r="C182" s="361">
        <f ca="1">IF($B182="","",'Fecha Pago'!K119)</f>
        <v>49677</v>
      </c>
      <c r="D182" s="362">
        <f>IF($B$67="","",'Fecha Pago'!L119)</f>
        <v>30.4</v>
      </c>
      <c r="E182" s="363">
        <f>IF(B182="","",IF(Sheet1!$Z$1=2,'Tabla de Pagos Crecientes'!E122,$F$62))</f>
        <v>0.11</v>
      </c>
      <c r="F182" s="362">
        <f ca="1">IF($B182="","",IF(Sheet1!$Z$1=2,'Tabla de Pagos Crecientes'!F122,'Tabla Fijos'!F127))</f>
        <v>768752.63969968224</v>
      </c>
      <c r="G182" s="362">
        <f ca="1">IF($B182="","",IF(Sheet1!$Z$1=2,'Tabla de Pagos Crecientes'!G122,'Tabla Fijos'!G127))</f>
        <v>3281.0263575072704</v>
      </c>
      <c r="H182" s="362">
        <f ca="1">IF($B182="","",IF(Sheet1!$Z$1=2,'Tabla de Pagos Crecientes'!H122,'Tabla Fijos'!H127))</f>
        <v>7140.8578532103811</v>
      </c>
      <c r="I182" s="362">
        <f>IF($B182=0,0,IF(B182="","",VLOOKUP($B182,'Tabla Fijos'!$B$12:$S$311,8,0)))</f>
        <v>0</v>
      </c>
      <c r="J182" s="362">
        <f ca="1">IF($B182="","",IF(Sheet1!$Z$1=2,'Tabla de Pagos Crecientes'!J122,'Tabla Fijos'!K127))</f>
        <v>0</v>
      </c>
      <c r="K182" s="362">
        <f ca="1">IF($B182="","",IF(Sheet1!$Z$1=2,'Tabla de Pagos Crecientes'!K122,'Tabla Fijos'!L127))</f>
        <v>0</v>
      </c>
      <c r="L182" s="362">
        <f ca="1">IF($B182="","",IF(Sheet1!$Z$1=2,'Tabla de Pagos Crecientes'!L122,'Tabla Fijos'!M127))</f>
        <v>0</v>
      </c>
      <c r="M182" s="362">
        <f ca="1">IF($B182="","",IF(Sheet1!$Z$1=2,'Tabla de Pagos Crecientes'!M122,'Tabla Fijos'!N127))</f>
        <v>0</v>
      </c>
      <c r="N182" s="364"/>
      <c r="O182" s="362">
        <f>IF($B182="","",IF(Sheet1!$Z$1=2,'Tabla de Pagos Crecientes'!O122,'Tabla Fijos'!Q127))</f>
        <v>0</v>
      </c>
      <c r="P182" s="362">
        <f ca="1">IF(B182="","",G182+H182+I182+J182+K182+L182-M182-'Tabla Fijos'!P127)</f>
        <v>10421.884210717652</v>
      </c>
      <c r="Q182" s="362">
        <f t="shared" ca="1" si="3"/>
        <v>765471.61334217503</v>
      </c>
      <c r="R182" s="272">
        <f t="shared" ca="1" si="4"/>
        <v>1</v>
      </c>
    </row>
    <row r="183" spans="1:18" ht="15.5" x14ac:dyDescent="0.35">
      <c r="A183" s="272"/>
      <c r="B183" s="360">
        <f t="shared" si="5"/>
        <v>117</v>
      </c>
      <c r="C183" s="361">
        <f ca="1">IF($B183="","",'Fecha Pago'!K120)</f>
        <v>49708</v>
      </c>
      <c r="D183" s="362">
        <f>IF($B$67="","",'Fecha Pago'!L120)</f>
        <v>30.4</v>
      </c>
      <c r="E183" s="363">
        <f>IF(B183="","",IF(Sheet1!$Z$1=2,'Tabla de Pagos Crecientes'!E123,$F$62))</f>
        <v>0.11</v>
      </c>
      <c r="F183" s="362">
        <f ca="1">IF($B183="","",IF(Sheet1!$Z$1=2,'Tabla de Pagos Crecientes'!F123,'Tabla Fijos'!F128))</f>
        <v>765471.61334217503</v>
      </c>
      <c r="G183" s="362">
        <f ca="1">IF($B183="","",IF(Sheet1!$Z$1=2,'Tabla de Pagos Crecientes'!G123,'Tabla Fijos'!G128))</f>
        <v>3311.5034467836704</v>
      </c>
      <c r="H183" s="362">
        <f ca="1">IF($B183="","",IF(Sheet1!$Z$1=2,'Tabla de Pagos Crecientes'!H123,'Tabla Fijos'!H128))</f>
        <v>7110.3807639339811</v>
      </c>
      <c r="I183" s="362">
        <f>IF($B183=0,0,IF(B183="","",VLOOKUP($B183,'Tabla Fijos'!$B$12:$S$311,8,0)))</f>
        <v>0</v>
      </c>
      <c r="J183" s="362">
        <f ca="1">IF($B183="","",IF(Sheet1!$Z$1=2,'Tabla de Pagos Crecientes'!J123,'Tabla Fijos'!K128))</f>
        <v>0</v>
      </c>
      <c r="K183" s="362">
        <f ca="1">IF($B183="","",IF(Sheet1!$Z$1=2,'Tabla de Pagos Crecientes'!K123,'Tabla Fijos'!L128))</f>
        <v>0</v>
      </c>
      <c r="L183" s="362">
        <f ca="1">IF($B183="","",IF(Sheet1!$Z$1=2,'Tabla de Pagos Crecientes'!L123,'Tabla Fijos'!M128))</f>
        <v>0</v>
      </c>
      <c r="M183" s="362">
        <f ca="1">IF($B183="","",IF(Sheet1!$Z$1=2,'Tabla de Pagos Crecientes'!M123,'Tabla Fijos'!N128))</f>
        <v>0</v>
      </c>
      <c r="N183" s="364"/>
      <c r="O183" s="362">
        <f>IF($B183="","",IF(Sheet1!$Z$1=2,'Tabla de Pagos Crecientes'!O123,'Tabla Fijos'!Q128))</f>
        <v>0</v>
      </c>
      <c r="P183" s="362">
        <f ca="1">IF(B183="","",G183+H183+I183+J183+K183+L183-M183-'Tabla Fijos'!P128)</f>
        <v>10421.884210717652</v>
      </c>
      <c r="Q183" s="362">
        <f t="shared" ca="1" si="3"/>
        <v>762160.10989539139</v>
      </c>
      <c r="R183" s="272">
        <f t="shared" ca="1" si="4"/>
        <v>1</v>
      </c>
    </row>
    <row r="184" spans="1:18" ht="15.5" x14ac:dyDescent="0.35">
      <c r="A184" s="272"/>
      <c r="B184" s="360">
        <f t="shared" si="5"/>
        <v>118</v>
      </c>
      <c r="C184" s="361">
        <f ca="1">IF($B184="","",'Fecha Pago'!K121)</f>
        <v>49737</v>
      </c>
      <c r="D184" s="362">
        <f>IF($B$67="","",'Fecha Pago'!L121)</f>
        <v>30.4</v>
      </c>
      <c r="E184" s="363">
        <f>IF(B184="","",IF(Sheet1!$Z$1=2,'Tabla de Pagos Crecientes'!E124,$F$62))</f>
        <v>0.11</v>
      </c>
      <c r="F184" s="362">
        <f ca="1">IF($B184="","",IF(Sheet1!$Z$1=2,'Tabla de Pagos Crecientes'!F124,'Tabla Fijos'!F129))</f>
        <v>762160.10989539139</v>
      </c>
      <c r="G184" s="362">
        <f ca="1">IF($B184="","",IF(Sheet1!$Z$1=2,'Tabla de Pagos Crecientes'!G124,'Tabla Fijos'!G129))</f>
        <v>3342.263634356018</v>
      </c>
      <c r="H184" s="362">
        <f ca="1">IF($B184="","",IF(Sheet1!$Z$1=2,'Tabla de Pagos Crecientes'!H124,'Tabla Fijos'!H129))</f>
        <v>7079.6205763616354</v>
      </c>
      <c r="I184" s="362">
        <f>IF($B184=0,0,IF(B184="","",VLOOKUP($B184,'Tabla Fijos'!$B$12:$S$311,8,0)))</f>
        <v>0</v>
      </c>
      <c r="J184" s="362">
        <f ca="1">IF($B184="","",IF(Sheet1!$Z$1=2,'Tabla de Pagos Crecientes'!J124,'Tabla Fijos'!K129))</f>
        <v>0</v>
      </c>
      <c r="K184" s="362">
        <f ca="1">IF($B184="","",IF(Sheet1!$Z$1=2,'Tabla de Pagos Crecientes'!K124,'Tabla Fijos'!L129))</f>
        <v>0</v>
      </c>
      <c r="L184" s="362">
        <f ca="1">IF($B184="","",IF(Sheet1!$Z$1=2,'Tabla de Pagos Crecientes'!L124,'Tabla Fijos'!M129))</f>
        <v>0</v>
      </c>
      <c r="M184" s="362">
        <f ca="1">IF($B184="","",IF(Sheet1!$Z$1=2,'Tabla de Pagos Crecientes'!M124,'Tabla Fijos'!N129))</f>
        <v>0</v>
      </c>
      <c r="N184" s="364"/>
      <c r="O184" s="362">
        <f>IF($B184="","",IF(Sheet1!$Z$1=2,'Tabla de Pagos Crecientes'!O124,'Tabla Fijos'!Q129))</f>
        <v>0</v>
      </c>
      <c r="P184" s="362">
        <f ca="1">IF(B184="","",G184+H184+I184+J184+K184+L184-M184-'Tabla Fijos'!P129)</f>
        <v>10421.884210717653</v>
      </c>
      <c r="Q184" s="362">
        <f t="shared" ca="1" si="3"/>
        <v>758817.84626103542</v>
      </c>
      <c r="R184" s="272">
        <f t="shared" ca="1" si="4"/>
        <v>1</v>
      </c>
    </row>
    <row r="185" spans="1:18" ht="15.5" x14ac:dyDescent="0.35">
      <c r="A185" s="272"/>
      <c r="B185" s="360">
        <f t="shared" si="5"/>
        <v>119</v>
      </c>
      <c r="C185" s="361">
        <f ca="1">IF($B185="","",'Fecha Pago'!K122)</f>
        <v>49768</v>
      </c>
      <c r="D185" s="362">
        <f>IF($B$67="","",'Fecha Pago'!L122)</f>
        <v>30.4</v>
      </c>
      <c r="E185" s="363">
        <f>IF(B185="","",IF(Sheet1!$Z$1=2,'Tabla de Pagos Crecientes'!E125,$F$62))</f>
        <v>0.11</v>
      </c>
      <c r="F185" s="362">
        <f ca="1">IF($B185="","",IF(Sheet1!$Z$1=2,'Tabla de Pagos Crecientes'!F125,'Tabla Fijos'!F130))</f>
        <v>758817.84626103542</v>
      </c>
      <c r="G185" s="362">
        <f ca="1">IF($B185="","",IF(Sheet1!$Z$1=2,'Tabla de Pagos Crecientes'!G125,'Tabla Fijos'!G130))</f>
        <v>3373.3095498929251</v>
      </c>
      <c r="H185" s="362">
        <f ca="1">IF($B185="","",IF(Sheet1!$Z$1=2,'Tabla de Pagos Crecientes'!H125,'Tabla Fijos'!H130))</f>
        <v>7048.5746608247282</v>
      </c>
      <c r="I185" s="362">
        <f>IF($B185=0,0,IF(B185="","",VLOOKUP($B185,'Tabla Fijos'!$B$12:$S$311,8,0)))</f>
        <v>0</v>
      </c>
      <c r="J185" s="362">
        <f ca="1">IF($B185="","",IF(Sheet1!$Z$1=2,'Tabla de Pagos Crecientes'!J125,'Tabla Fijos'!K130))</f>
        <v>0</v>
      </c>
      <c r="K185" s="362">
        <f ca="1">IF($B185="","",IF(Sheet1!$Z$1=2,'Tabla de Pagos Crecientes'!K125,'Tabla Fijos'!L130))</f>
        <v>0</v>
      </c>
      <c r="L185" s="362">
        <f ca="1">IF($B185="","",IF(Sheet1!$Z$1=2,'Tabla de Pagos Crecientes'!L125,'Tabla Fijos'!M130))</f>
        <v>0</v>
      </c>
      <c r="M185" s="362">
        <f ca="1">IF($B185="","",IF(Sheet1!$Z$1=2,'Tabla de Pagos Crecientes'!M125,'Tabla Fijos'!N130))</f>
        <v>0</v>
      </c>
      <c r="N185" s="364"/>
      <c r="O185" s="362">
        <f>IF($B185="","",IF(Sheet1!$Z$1=2,'Tabla de Pagos Crecientes'!O125,'Tabla Fijos'!Q130))</f>
        <v>0</v>
      </c>
      <c r="P185" s="362">
        <f ca="1">IF(B185="","",G185+H185+I185+J185+K185+L185-M185-'Tabla Fijos'!P130)</f>
        <v>10421.884210717653</v>
      </c>
      <c r="Q185" s="362">
        <f t="shared" ca="1" si="3"/>
        <v>755444.53671114251</v>
      </c>
      <c r="R185" s="272">
        <f t="shared" ca="1" si="4"/>
        <v>1</v>
      </c>
    </row>
    <row r="186" spans="1:18" ht="15.5" x14ac:dyDescent="0.35">
      <c r="A186" s="272"/>
      <c r="B186" s="360">
        <f t="shared" si="5"/>
        <v>120</v>
      </c>
      <c r="C186" s="361">
        <f ca="1">IF($B186="","",'Fecha Pago'!K123)</f>
        <v>49798</v>
      </c>
      <c r="D186" s="362">
        <f>IF($B$67="","",'Fecha Pago'!L123)</f>
        <v>30.4</v>
      </c>
      <c r="E186" s="363">
        <f>IF(B186="","",IF(Sheet1!$Z$1=2,'Tabla de Pagos Crecientes'!E126,$F$62))</f>
        <v>0.11</v>
      </c>
      <c r="F186" s="362">
        <f ca="1">IF($B186="","",IF(Sheet1!$Z$1=2,'Tabla de Pagos Crecientes'!F126,'Tabla Fijos'!F131))</f>
        <v>755444.53671114251</v>
      </c>
      <c r="G186" s="362">
        <f ca="1">IF($B186="","",IF(Sheet1!$Z$1=2,'Tabla de Pagos Crecientes'!G126,'Tabla Fijos'!G131))</f>
        <v>3404.6438474897077</v>
      </c>
      <c r="H186" s="362">
        <f ca="1">IF($B186="","",IF(Sheet1!$Z$1=2,'Tabla de Pagos Crecientes'!H126,'Tabla Fijos'!H131))</f>
        <v>7017.2403632279456</v>
      </c>
      <c r="I186" s="362">
        <f>IF($B186=0,0,IF(B186="","",VLOOKUP($B186,'Tabla Fijos'!$B$12:$S$311,8,0)))</f>
        <v>0</v>
      </c>
      <c r="J186" s="362">
        <f ca="1">IF($B186="","",IF(Sheet1!$Z$1=2,'Tabla de Pagos Crecientes'!J126,'Tabla Fijos'!K131))</f>
        <v>0</v>
      </c>
      <c r="K186" s="362">
        <f ca="1">IF($B186="","",IF(Sheet1!$Z$1=2,'Tabla de Pagos Crecientes'!K126,'Tabla Fijos'!L131))</f>
        <v>0</v>
      </c>
      <c r="L186" s="362">
        <f ca="1">IF($B186="","",IF(Sheet1!$Z$1=2,'Tabla de Pagos Crecientes'!L126,'Tabla Fijos'!M131))</f>
        <v>0</v>
      </c>
      <c r="M186" s="362">
        <f ca="1">IF($B186="","",IF(Sheet1!$Z$1=2,'Tabla de Pagos Crecientes'!M126,'Tabla Fijos'!N131))</f>
        <v>0</v>
      </c>
      <c r="N186" s="364"/>
      <c r="O186" s="362">
        <f>IF($B186="","",IF(Sheet1!$Z$1=2,'Tabla de Pagos Crecientes'!O126,'Tabla Fijos'!Q131))</f>
        <v>0</v>
      </c>
      <c r="P186" s="362">
        <f ca="1">IF(B186="","",G186+H186+I186+J186+K186+L186-M186-'Tabla Fijos'!P131)</f>
        <v>10421.884210717653</v>
      </c>
      <c r="Q186" s="362">
        <f t="shared" ca="1" si="3"/>
        <v>752039.89286365279</v>
      </c>
      <c r="R186" s="272">
        <f t="shared" ca="1" si="4"/>
        <v>1</v>
      </c>
    </row>
    <row r="187" spans="1:18" ht="15.5" x14ac:dyDescent="0.35">
      <c r="A187" s="272"/>
      <c r="B187" s="360">
        <f t="shared" si="5"/>
        <v>121</v>
      </c>
      <c r="C187" s="361">
        <f ca="1">IF($B187="","",'Fecha Pago'!K124)</f>
        <v>49829</v>
      </c>
      <c r="D187" s="362">
        <f>IF($B$67="","",'Fecha Pago'!L124)</f>
        <v>30.4</v>
      </c>
      <c r="E187" s="363">
        <f>IF(B187="","",IF(Sheet1!$Z$1=2,'Tabla de Pagos Crecientes'!E127,$F$62))</f>
        <v>0.11</v>
      </c>
      <c r="F187" s="362">
        <f ca="1">IF($B187="","",IF(Sheet1!$Z$1=2,'Tabla de Pagos Crecientes'!F127,'Tabla Fijos'!F132))</f>
        <v>752039.89286365279</v>
      </c>
      <c r="G187" s="362">
        <f ca="1">IF($B187="","",IF(Sheet1!$Z$1=2,'Tabla de Pagos Crecientes'!G127,'Tabla Fijos'!G132))</f>
        <v>3436.2692058952789</v>
      </c>
      <c r="H187" s="362">
        <f ca="1">IF($B187="","",IF(Sheet1!$Z$1=2,'Tabla de Pagos Crecientes'!H127,'Tabla Fijos'!H132))</f>
        <v>6985.6150048223744</v>
      </c>
      <c r="I187" s="362">
        <f>IF($B187=0,0,IF(B187="","",VLOOKUP($B187,'Tabla Fijos'!$B$12:$S$311,8,0)))</f>
        <v>0</v>
      </c>
      <c r="J187" s="362">
        <f ca="1">IF($B187="","",IF(Sheet1!$Z$1=2,'Tabla de Pagos Crecientes'!J127,'Tabla Fijos'!K132))</f>
        <v>0</v>
      </c>
      <c r="K187" s="362">
        <f ca="1">IF($B187="","",IF(Sheet1!$Z$1=2,'Tabla de Pagos Crecientes'!K127,'Tabla Fijos'!L132))</f>
        <v>0</v>
      </c>
      <c r="L187" s="362">
        <f ca="1">IF($B187="","",IF(Sheet1!$Z$1=2,'Tabla de Pagos Crecientes'!L127,'Tabla Fijos'!M132))</f>
        <v>0</v>
      </c>
      <c r="M187" s="362">
        <f ca="1">IF($B187="","",IF(Sheet1!$Z$1=2,'Tabla de Pagos Crecientes'!M127,'Tabla Fijos'!N132))</f>
        <v>0</v>
      </c>
      <c r="N187" s="364"/>
      <c r="O187" s="362">
        <f>IF($B187="","",IF(Sheet1!$Z$1=2,'Tabla de Pagos Crecientes'!O127,'Tabla Fijos'!Q132))</f>
        <v>0</v>
      </c>
      <c r="P187" s="362">
        <f ca="1">IF(B187="","",G187+H187+I187+J187+K187+L187-M187-'Tabla Fijos'!P132)</f>
        <v>10421.884210717653</v>
      </c>
      <c r="Q187" s="362">
        <f t="shared" ca="1" si="3"/>
        <v>748603.62365775753</v>
      </c>
      <c r="R187" s="272">
        <f t="shared" ca="1" si="4"/>
        <v>1</v>
      </c>
    </row>
    <row r="188" spans="1:18" ht="15.5" x14ac:dyDescent="0.35">
      <c r="A188" s="272"/>
      <c r="B188" s="360">
        <f t="shared" si="5"/>
        <v>122</v>
      </c>
      <c r="C188" s="361">
        <f ca="1">IF($B188="","",'Fecha Pago'!K125)</f>
        <v>49859</v>
      </c>
      <c r="D188" s="362">
        <f>IF($B$67="","",'Fecha Pago'!L125)</f>
        <v>30.4</v>
      </c>
      <c r="E188" s="363">
        <f>IF(B188="","",IF(Sheet1!$Z$1=2,'Tabla de Pagos Crecientes'!E128,$F$62))</f>
        <v>0.11</v>
      </c>
      <c r="F188" s="362">
        <f ca="1">IF($B188="","",IF(Sheet1!$Z$1=2,'Tabla de Pagos Crecientes'!F128,'Tabla Fijos'!F133))</f>
        <v>748603.62365775753</v>
      </c>
      <c r="G188" s="362">
        <f ca="1">IF($B188="","",IF(Sheet1!$Z$1=2,'Tabla de Pagos Crecientes'!G128,'Tabla Fijos'!G133))</f>
        <v>3468.1883287411501</v>
      </c>
      <c r="H188" s="362">
        <f ca="1">IF($B188="","",IF(Sheet1!$Z$1=2,'Tabla de Pagos Crecientes'!H128,'Tabla Fijos'!H133))</f>
        <v>6953.6958819765032</v>
      </c>
      <c r="I188" s="362">
        <f>IF($B188=0,0,IF(B188="","",VLOOKUP($B188,'Tabla Fijos'!$B$12:$S$311,8,0)))</f>
        <v>0</v>
      </c>
      <c r="J188" s="362">
        <f ca="1">IF($B188="","",IF(Sheet1!$Z$1=2,'Tabla de Pagos Crecientes'!J128,'Tabla Fijos'!K133))</f>
        <v>0</v>
      </c>
      <c r="K188" s="362">
        <f ca="1">IF($B188="","",IF(Sheet1!$Z$1=2,'Tabla de Pagos Crecientes'!K128,'Tabla Fijos'!L133))</f>
        <v>0</v>
      </c>
      <c r="L188" s="362">
        <f ca="1">IF($B188="","",IF(Sheet1!$Z$1=2,'Tabla de Pagos Crecientes'!L128,'Tabla Fijos'!M133))</f>
        <v>0</v>
      </c>
      <c r="M188" s="362">
        <f ca="1">IF($B188="","",IF(Sheet1!$Z$1=2,'Tabla de Pagos Crecientes'!M128,'Tabla Fijos'!N133))</f>
        <v>0</v>
      </c>
      <c r="N188" s="364"/>
      <c r="O188" s="362">
        <f>IF($B188="","",IF(Sheet1!$Z$1=2,'Tabla de Pagos Crecientes'!O128,'Tabla Fijos'!Q133))</f>
        <v>0</v>
      </c>
      <c r="P188" s="362">
        <f ca="1">IF(B188="","",G188+H188+I188+J188+K188+L188-M188-'Tabla Fijos'!P133)</f>
        <v>10421.884210717653</v>
      </c>
      <c r="Q188" s="362">
        <f t="shared" ca="1" si="3"/>
        <v>745135.43532901641</v>
      </c>
      <c r="R188" s="272">
        <f t="shared" ca="1" si="4"/>
        <v>1</v>
      </c>
    </row>
    <row r="189" spans="1:18" ht="15.5" x14ac:dyDescent="0.35">
      <c r="A189" s="272"/>
      <c r="B189" s="360">
        <f t="shared" si="5"/>
        <v>123</v>
      </c>
      <c r="C189" s="361">
        <f ca="1">IF($B189="","",'Fecha Pago'!K126)</f>
        <v>49890</v>
      </c>
      <c r="D189" s="362">
        <f>IF($B$67="","",'Fecha Pago'!L126)</f>
        <v>30.4</v>
      </c>
      <c r="E189" s="363">
        <f>IF(B189="","",IF(Sheet1!$Z$1=2,'Tabla de Pagos Crecientes'!E129,$F$62))</f>
        <v>0.11</v>
      </c>
      <c r="F189" s="362">
        <f ca="1">IF($B189="","",IF(Sheet1!$Z$1=2,'Tabla de Pagos Crecientes'!F129,'Tabla Fijos'!F134))</f>
        <v>745135.43532901641</v>
      </c>
      <c r="G189" s="362">
        <f ca="1">IF($B189="","",IF(Sheet1!$Z$1=2,'Tabla de Pagos Crecientes'!G129,'Tabla Fijos'!G134))</f>
        <v>3500.4039447725681</v>
      </c>
      <c r="H189" s="362">
        <f ca="1">IF($B189="","",IF(Sheet1!$Z$1=2,'Tabla de Pagos Crecientes'!H129,'Tabla Fijos'!H134))</f>
        <v>6921.4802659450852</v>
      </c>
      <c r="I189" s="362">
        <f>IF($B189=0,0,IF(B189="","",VLOOKUP($B189,'Tabla Fijos'!$B$12:$S$311,8,0)))</f>
        <v>0</v>
      </c>
      <c r="J189" s="362">
        <f ca="1">IF($B189="","",IF(Sheet1!$Z$1=2,'Tabla de Pagos Crecientes'!J129,'Tabla Fijos'!K134))</f>
        <v>0</v>
      </c>
      <c r="K189" s="362">
        <f ca="1">IF($B189="","",IF(Sheet1!$Z$1=2,'Tabla de Pagos Crecientes'!K129,'Tabla Fijos'!L134))</f>
        <v>0</v>
      </c>
      <c r="L189" s="362">
        <f ca="1">IF($B189="","",IF(Sheet1!$Z$1=2,'Tabla de Pagos Crecientes'!L129,'Tabla Fijos'!M134))</f>
        <v>0</v>
      </c>
      <c r="M189" s="362">
        <f ca="1">IF($B189="","",IF(Sheet1!$Z$1=2,'Tabla de Pagos Crecientes'!M129,'Tabla Fijos'!N134))</f>
        <v>0</v>
      </c>
      <c r="N189" s="364"/>
      <c r="O189" s="362">
        <f>IF($B189="","",IF(Sheet1!$Z$1=2,'Tabla de Pagos Crecientes'!O129,'Tabla Fijos'!Q134))</f>
        <v>0</v>
      </c>
      <c r="P189" s="362">
        <f ca="1">IF(B189="","",G189+H189+I189+J189+K189+L189-M189-'Tabla Fijos'!P134)</f>
        <v>10421.884210717653</v>
      </c>
      <c r="Q189" s="362">
        <f t="shared" ca="1" si="3"/>
        <v>741635.03138424386</v>
      </c>
      <c r="R189" s="272">
        <f t="shared" ca="1" si="4"/>
        <v>1</v>
      </c>
    </row>
    <row r="190" spans="1:18" ht="15.5" x14ac:dyDescent="0.35">
      <c r="A190" s="272"/>
      <c r="B190" s="360">
        <f t="shared" si="5"/>
        <v>124</v>
      </c>
      <c r="C190" s="361">
        <f ca="1">IF($B190="","",'Fecha Pago'!K127)</f>
        <v>49921</v>
      </c>
      <c r="D190" s="362">
        <f>IF($B$67="","",'Fecha Pago'!L127)</f>
        <v>30.4</v>
      </c>
      <c r="E190" s="363">
        <f>IF(B190="","",IF(Sheet1!$Z$1=2,'Tabla de Pagos Crecientes'!E130,$F$62))</f>
        <v>0.11</v>
      </c>
      <c r="F190" s="362">
        <f ca="1">IF($B190="","",IF(Sheet1!$Z$1=2,'Tabla de Pagos Crecientes'!F130,'Tabla Fijos'!F135))</f>
        <v>741635.03138424386</v>
      </c>
      <c r="G190" s="362">
        <f ca="1">IF($B190="","",IF(Sheet1!$Z$1=2,'Tabla de Pagos Crecientes'!G130,'Tabla Fijos'!G135))</f>
        <v>3532.9188080817921</v>
      </c>
      <c r="H190" s="362">
        <f ca="1">IF($B190="","",IF(Sheet1!$Z$1=2,'Tabla de Pagos Crecientes'!H130,'Tabla Fijos'!H135))</f>
        <v>6888.9654026358648</v>
      </c>
      <c r="I190" s="362">
        <f>IF($B190=0,0,IF(B190="","",VLOOKUP($B190,'Tabla Fijos'!$B$12:$S$311,8,0)))</f>
        <v>0</v>
      </c>
      <c r="J190" s="362">
        <f ca="1">IF($B190="","",IF(Sheet1!$Z$1=2,'Tabla de Pagos Crecientes'!J130,'Tabla Fijos'!K135))</f>
        <v>0</v>
      </c>
      <c r="K190" s="362">
        <f ca="1">IF($B190="","",IF(Sheet1!$Z$1=2,'Tabla de Pagos Crecientes'!K130,'Tabla Fijos'!L135))</f>
        <v>0</v>
      </c>
      <c r="L190" s="362">
        <f ca="1">IF($B190="","",IF(Sheet1!$Z$1=2,'Tabla de Pagos Crecientes'!L130,'Tabla Fijos'!M135))</f>
        <v>0</v>
      </c>
      <c r="M190" s="362">
        <f ca="1">IF($B190="","",IF(Sheet1!$Z$1=2,'Tabla de Pagos Crecientes'!M130,'Tabla Fijos'!N135))</f>
        <v>0</v>
      </c>
      <c r="N190" s="364"/>
      <c r="O190" s="362">
        <f>IF($B190="","",IF(Sheet1!$Z$1=2,'Tabla de Pagos Crecientes'!O130,'Tabla Fijos'!Q135))</f>
        <v>0</v>
      </c>
      <c r="P190" s="362">
        <f ca="1">IF(B190="","",G190+H190+I190+J190+K190+L190-M190-'Tabla Fijos'!P135)</f>
        <v>10421.884210717657</v>
      </c>
      <c r="Q190" s="362">
        <f t="shared" ca="1" si="3"/>
        <v>738102.11257616209</v>
      </c>
      <c r="R190" s="272">
        <f t="shared" ca="1" si="4"/>
        <v>1</v>
      </c>
    </row>
    <row r="191" spans="1:18" ht="15.5" x14ac:dyDescent="0.35">
      <c r="A191" s="272"/>
      <c r="B191" s="360">
        <f t="shared" si="5"/>
        <v>125</v>
      </c>
      <c r="C191" s="361">
        <f ca="1">IF($B191="","",'Fecha Pago'!K128)</f>
        <v>49951</v>
      </c>
      <c r="D191" s="362">
        <f>IF($B$67="","",'Fecha Pago'!L128)</f>
        <v>30.4</v>
      </c>
      <c r="E191" s="363">
        <f>IF(B191="","",IF(Sheet1!$Z$1=2,'Tabla de Pagos Crecientes'!E131,$F$62))</f>
        <v>0.11</v>
      </c>
      <c r="F191" s="362">
        <f ca="1">IF($B191="","",IF(Sheet1!$Z$1=2,'Tabla de Pagos Crecientes'!F131,'Tabla Fijos'!F136))</f>
        <v>738102.11257616209</v>
      </c>
      <c r="G191" s="362">
        <f ca="1">IF($B191="","",IF(Sheet1!$Z$1=2,'Tabla de Pagos Crecientes'!G131,'Tabla Fijos'!G136))</f>
        <v>3565.7356983435293</v>
      </c>
      <c r="H191" s="362">
        <f ca="1">IF($B191="","",IF(Sheet1!$Z$1=2,'Tabla de Pagos Crecientes'!H131,'Tabla Fijos'!H136))</f>
        <v>6856.1485123741277</v>
      </c>
      <c r="I191" s="362">
        <f>IF($B191=0,0,IF(B191="","",VLOOKUP($B191,'Tabla Fijos'!$B$12:$S$311,8,0)))</f>
        <v>0</v>
      </c>
      <c r="J191" s="362">
        <f ca="1">IF($B191="","",IF(Sheet1!$Z$1=2,'Tabla de Pagos Crecientes'!J131,'Tabla Fijos'!K136))</f>
        <v>0</v>
      </c>
      <c r="K191" s="362">
        <f ca="1">IF($B191="","",IF(Sheet1!$Z$1=2,'Tabla de Pagos Crecientes'!K131,'Tabla Fijos'!L136))</f>
        <v>0</v>
      </c>
      <c r="L191" s="362">
        <f ca="1">IF($B191="","",IF(Sheet1!$Z$1=2,'Tabla de Pagos Crecientes'!L131,'Tabla Fijos'!M136))</f>
        <v>0</v>
      </c>
      <c r="M191" s="362">
        <f ca="1">IF($B191="","",IF(Sheet1!$Z$1=2,'Tabla de Pagos Crecientes'!M131,'Tabla Fijos'!N136))</f>
        <v>0</v>
      </c>
      <c r="N191" s="364"/>
      <c r="O191" s="362">
        <f>IF($B191="","",IF(Sheet1!$Z$1=2,'Tabla de Pagos Crecientes'!O131,'Tabla Fijos'!Q136))</f>
        <v>0</v>
      </c>
      <c r="P191" s="362">
        <f ca="1">IF(B191="","",G191+H191+I191+J191+K191+L191-M191-'Tabla Fijos'!P136)</f>
        <v>10421.884210717657</v>
      </c>
      <c r="Q191" s="362">
        <f t="shared" ca="1" si="3"/>
        <v>734536.37687781861</v>
      </c>
      <c r="R191" s="272">
        <f t="shared" ca="1" si="4"/>
        <v>1</v>
      </c>
    </row>
    <row r="192" spans="1:18" ht="15.5" x14ac:dyDescent="0.35">
      <c r="A192" s="272"/>
      <c r="B192" s="360">
        <f t="shared" si="5"/>
        <v>126</v>
      </c>
      <c r="C192" s="361">
        <f ca="1">IF($B192="","",'Fecha Pago'!K129)</f>
        <v>49982</v>
      </c>
      <c r="D192" s="362">
        <f>IF($B$67="","",'Fecha Pago'!L129)</f>
        <v>30.4</v>
      </c>
      <c r="E192" s="363">
        <f>IF(B192="","",IF(Sheet1!$Z$1=2,'Tabla de Pagos Crecientes'!E132,$F$62))</f>
        <v>0.11</v>
      </c>
      <c r="F192" s="362">
        <f ca="1">IF($B192="","",IF(Sheet1!$Z$1=2,'Tabla de Pagos Crecientes'!F132,'Tabla Fijos'!F137))</f>
        <v>734536.37687781861</v>
      </c>
      <c r="G192" s="362">
        <f ca="1">IF($B192="","",IF(Sheet1!$Z$1=2,'Tabla de Pagos Crecientes'!G132,'Tabla Fijos'!G137))</f>
        <v>3598.8574210525867</v>
      </c>
      <c r="H192" s="362">
        <f ca="1">IF($B192="","",IF(Sheet1!$Z$1=2,'Tabla de Pagos Crecientes'!H132,'Tabla Fijos'!H137))</f>
        <v>6823.0267896650703</v>
      </c>
      <c r="I192" s="362">
        <f>IF($B192=0,0,IF(B192="","",VLOOKUP($B192,'Tabla Fijos'!$B$12:$S$311,8,0)))</f>
        <v>0</v>
      </c>
      <c r="J192" s="362">
        <f ca="1">IF($B192="","",IF(Sheet1!$Z$1=2,'Tabla de Pagos Crecientes'!J132,'Tabla Fijos'!K137))</f>
        <v>0</v>
      </c>
      <c r="K192" s="362">
        <f ca="1">IF($B192="","",IF(Sheet1!$Z$1=2,'Tabla de Pagos Crecientes'!K132,'Tabla Fijos'!L137))</f>
        <v>0</v>
      </c>
      <c r="L192" s="362">
        <f ca="1">IF($B192="","",IF(Sheet1!$Z$1=2,'Tabla de Pagos Crecientes'!L132,'Tabla Fijos'!M137))</f>
        <v>0</v>
      </c>
      <c r="M192" s="362">
        <f ca="1">IF($B192="","",IF(Sheet1!$Z$1=2,'Tabla de Pagos Crecientes'!M132,'Tabla Fijos'!N137))</f>
        <v>0</v>
      </c>
      <c r="N192" s="364"/>
      <c r="O192" s="362">
        <f>IF($B192="","",IF(Sheet1!$Z$1=2,'Tabla de Pagos Crecientes'!O132,'Tabla Fijos'!Q137))</f>
        <v>0</v>
      </c>
      <c r="P192" s="362">
        <f ca="1">IF(B192="","",G192+H192+I192+J192+K192+L192-M192-'Tabla Fijos'!P137)</f>
        <v>10421.884210717657</v>
      </c>
      <c r="Q192" s="362">
        <f t="shared" ca="1" si="3"/>
        <v>730937.51945676596</v>
      </c>
      <c r="R192" s="272">
        <f t="shared" ca="1" si="4"/>
        <v>1</v>
      </c>
    </row>
    <row r="193" spans="1:18" ht="15.5" x14ac:dyDescent="0.35">
      <c r="A193" s="272"/>
      <c r="B193" s="360">
        <f t="shared" si="5"/>
        <v>127</v>
      </c>
      <c r="C193" s="361">
        <f ca="1">IF($B193="","",'Fecha Pago'!K130)</f>
        <v>50012</v>
      </c>
      <c r="D193" s="362">
        <f>IF($B$67="","",'Fecha Pago'!L130)</f>
        <v>30.4</v>
      </c>
      <c r="E193" s="363">
        <f>IF(B193="","",IF(Sheet1!$Z$1=2,'Tabla de Pagos Crecientes'!E133,$F$62))</f>
        <v>0.11</v>
      </c>
      <c r="F193" s="362">
        <f ca="1">IF($B193="","",IF(Sheet1!$Z$1=2,'Tabla de Pagos Crecientes'!F133,'Tabla Fijos'!F138))</f>
        <v>730937.51945676596</v>
      </c>
      <c r="G193" s="362">
        <f ca="1">IF($B193="","",IF(Sheet1!$Z$1=2,'Tabla de Pagos Crecientes'!G133,'Tabla Fijos'!G138))</f>
        <v>3632.286807763694</v>
      </c>
      <c r="H193" s="362">
        <f ca="1">IF($B193="","",IF(Sheet1!$Z$1=2,'Tabla de Pagos Crecientes'!H133,'Tabla Fijos'!H138))</f>
        <v>6789.5974029539593</v>
      </c>
      <c r="I193" s="362">
        <f>IF($B193=0,0,IF(B193="","",VLOOKUP($B193,'Tabla Fijos'!$B$12:$S$311,8,0)))</f>
        <v>0</v>
      </c>
      <c r="J193" s="362">
        <f ca="1">IF($B193="","",IF(Sheet1!$Z$1=2,'Tabla de Pagos Crecientes'!J133,'Tabla Fijos'!K138))</f>
        <v>0</v>
      </c>
      <c r="K193" s="362">
        <f ca="1">IF($B193="","",IF(Sheet1!$Z$1=2,'Tabla de Pagos Crecientes'!K133,'Tabla Fijos'!L138))</f>
        <v>0</v>
      </c>
      <c r="L193" s="362">
        <f ca="1">IF($B193="","",IF(Sheet1!$Z$1=2,'Tabla de Pagos Crecientes'!L133,'Tabla Fijos'!M138))</f>
        <v>0</v>
      </c>
      <c r="M193" s="362">
        <f ca="1">IF($B193="","",IF(Sheet1!$Z$1=2,'Tabla de Pagos Crecientes'!M133,'Tabla Fijos'!N138))</f>
        <v>0</v>
      </c>
      <c r="N193" s="364"/>
      <c r="O193" s="362">
        <f>IF($B193="","",IF(Sheet1!$Z$1=2,'Tabla de Pagos Crecientes'!O133,'Tabla Fijos'!Q138))</f>
        <v>0</v>
      </c>
      <c r="P193" s="362">
        <f ca="1">IF(B193="","",G193+H193+I193+J193+K193+L193-M193-'Tabla Fijos'!P138)</f>
        <v>10421.884210717653</v>
      </c>
      <c r="Q193" s="362">
        <f t="shared" ca="1" si="3"/>
        <v>727305.23264900222</v>
      </c>
      <c r="R193" s="272">
        <f t="shared" ca="1" si="4"/>
        <v>1</v>
      </c>
    </row>
    <row r="194" spans="1:18" ht="15.5" x14ac:dyDescent="0.35">
      <c r="A194" s="272"/>
      <c r="B194" s="360">
        <f t="shared" si="5"/>
        <v>128</v>
      </c>
      <c r="C194" s="361">
        <f ca="1">IF($B194="","",'Fecha Pago'!K131)</f>
        <v>50043</v>
      </c>
      <c r="D194" s="362">
        <f>IF($B$67="","",'Fecha Pago'!L131)</f>
        <v>30.4</v>
      </c>
      <c r="E194" s="363">
        <f>IF(B194="","",IF(Sheet1!$Z$1=2,'Tabla de Pagos Crecientes'!E134,$F$62))</f>
        <v>0.11</v>
      </c>
      <c r="F194" s="362">
        <f ca="1">IF($B194="","",IF(Sheet1!$Z$1=2,'Tabla de Pagos Crecientes'!F134,'Tabla Fijos'!F139))</f>
        <v>727305.23264900222</v>
      </c>
      <c r="G194" s="362">
        <f ca="1">IF($B194="","",IF(Sheet1!$Z$1=2,'Tabla de Pagos Crecientes'!G134,'Tabla Fijos'!G139))</f>
        <v>3666.026716333592</v>
      </c>
      <c r="H194" s="362">
        <f ca="1">IF($B194="","",IF(Sheet1!$Z$1=2,'Tabla de Pagos Crecientes'!H134,'Tabla Fijos'!H139))</f>
        <v>6755.8574943840649</v>
      </c>
      <c r="I194" s="362">
        <f>IF($B194=0,0,IF(B194="","",VLOOKUP($B194,'Tabla Fijos'!$B$12:$S$311,8,0)))</f>
        <v>0</v>
      </c>
      <c r="J194" s="362">
        <f ca="1">IF($B194="","",IF(Sheet1!$Z$1=2,'Tabla de Pagos Crecientes'!J134,'Tabla Fijos'!K139))</f>
        <v>0</v>
      </c>
      <c r="K194" s="362">
        <f ca="1">IF($B194="","",IF(Sheet1!$Z$1=2,'Tabla de Pagos Crecientes'!K134,'Tabla Fijos'!L139))</f>
        <v>0</v>
      </c>
      <c r="L194" s="362">
        <f ca="1">IF($B194="","",IF(Sheet1!$Z$1=2,'Tabla de Pagos Crecientes'!L134,'Tabla Fijos'!M139))</f>
        <v>0</v>
      </c>
      <c r="M194" s="362">
        <f ca="1">IF($B194="","",IF(Sheet1!$Z$1=2,'Tabla de Pagos Crecientes'!M134,'Tabla Fijos'!N139))</f>
        <v>0</v>
      </c>
      <c r="N194" s="364"/>
      <c r="O194" s="362">
        <f>IF($B194="","",IF(Sheet1!$Z$1=2,'Tabla de Pagos Crecientes'!O134,'Tabla Fijos'!Q139))</f>
        <v>0</v>
      </c>
      <c r="P194" s="362">
        <f ca="1">IF(B194="","",G194+H194+I194+J194+K194+L194-M194-'Tabla Fijos'!P139)</f>
        <v>10421.884210717657</v>
      </c>
      <c r="Q194" s="362">
        <f t="shared" ca="1" si="3"/>
        <v>723639.20593266864</v>
      </c>
      <c r="R194" s="272">
        <f t="shared" ca="1" si="4"/>
        <v>1</v>
      </c>
    </row>
    <row r="195" spans="1:18" ht="15.5" x14ac:dyDescent="0.35">
      <c r="A195" s="272"/>
      <c r="B195" s="360">
        <f t="shared" si="5"/>
        <v>129</v>
      </c>
      <c r="C195" s="361">
        <f ca="1">IF($B195="","",'Fecha Pago'!K132)</f>
        <v>50074</v>
      </c>
      <c r="D195" s="362">
        <f>IF($B$67="","",'Fecha Pago'!L132)</f>
        <v>30.4</v>
      </c>
      <c r="E195" s="363">
        <f>IF(B195="","",IF(Sheet1!$Z$1=2,'Tabla de Pagos Crecientes'!E135,$F$62))</f>
        <v>0.11</v>
      </c>
      <c r="F195" s="362">
        <f ca="1">IF($B195="","",IF(Sheet1!$Z$1=2,'Tabla de Pagos Crecientes'!F135,'Tabla Fijos'!F140))</f>
        <v>723639.20593266864</v>
      </c>
      <c r="G195" s="362">
        <f ca="1">IF($B195="","",IF(Sheet1!$Z$1=2,'Tabla de Pagos Crecientes'!G135,'Tabla Fijos'!G140))</f>
        <v>3700.0800311653093</v>
      </c>
      <c r="H195" s="362">
        <f ca="1">IF($B195="","",IF(Sheet1!$Z$1=2,'Tabla de Pagos Crecientes'!H135,'Tabla Fijos'!H140))</f>
        <v>6721.8041795523441</v>
      </c>
      <c r="I195" s="362">
        <f>IF($B195=0,0,IF(B195="","",VLOOKUP($B195,'Tabla Fijos'!$B$12:$S$311,8,0)))</f>
        <v>0</v>
      </c>
      <c r="J195" s="362">
        <f ca="1">IF($B195="","",IF(Sheet1!$Z$1=2,'Tabla de Pagos Crecientes'!J135,'Tabla Fijos'!K140))</f>
        <v>0</v>
      </c>
      <c r="K195" s="362">
        <f ca="1">IF($B195="","",IF(Sheet1!$Z$1=2,'Tabla de Pagos Crecientes'!K135,'Tabla Fijos'!L140))</f>
        <v>0</v>
      </c>
      <c r="L195" s="362">
        <f ca="1">IF($B195="","",IF(Sheet1!$Z$1=2,'Tabla de Pagos Crecientes'!L135,'Tabla Fijos'!M140))</f>
        <v>0</v>
      </c>
      <c r="M195" s="362">
        <f ca="1">IF($B195="","",IF(Sheet1!$Z$1=2,'Tabla de Pagos Crecientes'!M135,'Tabla Fijos'!N140))</f>
        <v>0</v>
      </c>
      <c r="N195" s="364"/>
      <c r="O195" s="362">
        <f>IF($B195="","",IF(Sheet1!$Z$1=2,'Tabla de Pagos Crecientes'!O135,'Tabla Fijos'!Q140))</f>
        <v>0</v>
      </c>
      <c r="P195" s="362">
        <f ca="1">IF(B195="","",G195+H195+I195+J195+K195+L195-M195-'Tabla Fijos'!P140)</f>
        <v>10421.884210717653</v>
      </c>
      <c r="Q195" s="362">
        <f t="shared" ref="Q195:Q258" ca="1" si="6">IF(B195="","",F195-G195)</f>
        <v>719939.12590150337</v>
      </c>
      <c r="R195" s="272">
        <f t="shared" ca="1" si="4"/>
        <v>1</v>
      </c>
    </row>
    <row r="196" spans="1:18" ht="15.5" x14ac:dyDescent="0.35">
      <c r="A196" s="272"/>
      <c r="B196" s="360">
        <f t="shared" si="5"/>
        <v>130</v>
      </c>
      <c r="C196" s="361">
        <f ca="1">IF($B196="","",'Fecha Pago'!K133)</f>
        <v>50102</v>
      </c>
      <c r="D196" s="362">
        <f>IF($B$67="","",'Fecha Pago'!L133)</f>
        <v>30.4</v>
      </c>
      <c r="E196" s="363">
        <f>IF(B196="","",IF(Sheet1!$Z$1=2,'Tabla de Pagos Crecientes'!E136,$F$62))</f>
        <v>0.11</v>
      </c>
      <c r="F196" s="362">
        <f ca="1">IF($B196="","",IF(Sheet1!$Z$1=2,'Tabla de Pagos Crecientes'!F136,'Tabla Fijos'!F141))</f>
        <v>719939.12590150337</v>
      </c>
      <c r="G196" s="362">
        <f ca="1">IF($B196="","",IF(Sheet1!$Z$1=2,'Tabla de Pagos Crecientes'!G136,'Tabla Fijos'!G141))</f>
        <v>3734.4496634548004</v>
      </c>
      <c r="H196" s="362">
        <f ca="1">IF($B196="","",IF(Sheet1!$Z$1=2,'Tabla de Pagos Crecientes'!H136,'Tabla Fijos'!H141))</f>
        <v>6687.4345472628529</v>
      </c>
      <c r="I196" s="362">
        <f>IF($B196=0,0,IF(B196="","",VLOOKUP($B196,'Tabla Fijos'!$B$12:$S$311,8,0)))</f>
        <v>0</v>
      </c>
      <c r="J196" s="362">
        <f ca="1">IF($B196="","",IF(Sheet1!$Z$1=2,'Tabla de Pagos Crecientes'!J136,'Tabla Fijos'!K141))</f>
        <v>0</v>
      </c>
      <c r="K196" s="362">
        <f ca="1">IF($B196="","",IF(Sheet1!$Z$1=2,'Tabla de Pagos Crecientes'!K136,'Tabla Fijos'!L141))</f>
        <v>0</v>
      </c>
      <c r="L196" s="362">
        <f ca="1">IF($B196="","",IF(Sheet1!$Z$1=2,'Tabla de Pagos Crecientes'!L136,'Tabla Fijos'!M141))</f>
        <v>0</v>
      </c>
      <c r="M196" s="362">
        <f ca="1">IF($B196="","",IF(Sheet1!$Z$1=2,'Tabla de Pagos Crecientes'!M136,'Tabla Fijos'!N141))</f>
        <v>0</v>
      </c>
      <c r="N196" s="364"/>
      <c r="O196" s="362">
        <f>IF($B196="","",IF(Sheet1!$Z$1=2,'Tabla de Pagos Crecientes'!O136,'Tabla Fijos'!Q141))</f>
        <v>0</v>
      </c>
      <c r="P196" s="362">
        <f ca="1">IF(B196="","",G196+H196+I196+J196+K196+L196-M196-'Tabla Fijos'!P141)</f>
        <v>10421.884210717653</v>
      </c>
      <c r="Q196" s="362">
        <f t="shared" ca="1" si="6"/>
        <v>716204.67623804859</v>
      </c>
      <c r="R196" s="272">
        <f t="shared" ref="R196:R259" ca="1" si="7">IF(OR($B196="",$F196&lt;=0),0,1)</f>
        <v>1</v>
      </c>
    </row>
    <row r="197" spans="1:18" ht="15.5" x14ac:dyDescent="0.35">
      <c r="A197" s="272"/>
      <c r="B197" s="360">
        <f t="shared" ref="B197:B260" si="8">IF(B196="","",IF(B196=$H$49,"",B196+1))</f>
        <v>131</v>
      </c>
      <c r="C197" s="361">
        <f ca="1">IF($B197="","",'Fecha Pago'!K134)</f>
        <v>50133</v>
      </c>
      <c r="D197" s="362">
        <f>IF($B$67="","",'Fecha Pago'!L134)</f>
        <v>30.4</v>
      </c>
      <c r="E197" s="363">
        <f>IF(B197="","",IF(Sheet1!$Z$1=2,'Tabla de Pagos Crecientes'!E137,$F$62))</f>
        <v>0.11</v>
      </c>
      <c r="F197" s="362">
        <f ca="1">IF($B197="","",IF(Sheet1!$Z$1=2,'Tabla de Pagos Crecientes'!F137,'Tabla Fijos'!F142))</f>
        <v>716204.67623804859</v>
      </c>
      <c r="G197" s="362">
        <f ca="1">IF($B197="","",IF(Sheet1!$Z$1=2,'Tabla de Pagos Crecientes'!G137,'Tabla Fijos'!G142))</f>
        <v>3769.1385514397844</v>
      </c>
      <c r="H197" s="362">
        <f ca="1">IF($B197="","",IF(Sheet1!$Z$1=2,'Tabla de Pagos Crecientes'!H137,'Tabla Fijos'!H142))</f>
        <v>6652.7456592778726</v>
      </c>
      <c r="I197" s="362">
        <f>IF($B197=0,0,IF(B197="","",VLOOKUP($B197,'Tabla Fijos'!$B$12:$S$311,8,0)))</f>
        <v>0</v>
      </c>
      <c r="J197" s="362">
        <f ca="1">IF($B197="","",IF(Sheet1!$Z$1=2,'Tabla de Pagos Crecientes'!J137,'Tabla Fijos'!K142))</f>
        <v>0</v>
      </c>
      <c r="K197" s="362">
        <f ca="1">IF($B197="","",IF(Sheet1!$Z$1=2,'Tabla de Pagos Crecientes'!K137,'Tabla Fijos'!L142))</f>
        <v>0</v>
      </c>
      <c r="L197" s="362">
        <f ca="1">IF($B197="","",IF(Sheet1!$Z$1=2,'Tabla de Pagos Crecientes'!L137,'Tabla Fijos'!M142))</f>
        <v>0</v>
      </c>
      <c r="M197" s="362">
        <f ca="1">IF($B197="","",IF(Sheet1!$Z$1=2,'Tabla de Pagos Crecientes'!M137,'Tabla Fijos'!N142))</f>
        <v>0</v>
      </c>
      <c r="N197" s="364"/>
      <c r="O197" s="362">
        <f>IF($B197="","",IF(Sheet1!$Z$1=2,'Tabla de Pagos Crecientes'!O137,'Tabla Fijos'!Q142))</f>
        <v>0</v>
      </c>
      <c r="P197" s="362">
        <f ca="1">IF(B197="","",G197+H197+I197+J197+K197+L197-M197-'Tabla Fijos'!P142)</f>
        <v>10421.884210717657</v>
      </c>
      <c r="Q197" s="362">
        <f t="shared" ca="1" si="6"/>
        <v>712435.53768660885</v>
      </c>
      <c r="R197" s="272">
        <f t="shared" ca="1" si="7"/>
        <v>1</v>
      </c>
    </row>
    <row r="198" spans="1:18" ht="15.5" x14ac:dyDescent="0.35">
      <c r="A198" s="272"/>
      <c r="B198" s="360">
        <f t="shared" si="8"/>
        <v>132</v>
      </c>
      <c r="C198" s="361">
        <f ca="1">IF($B198="","",'Fecha Pago'!K135)</f>
        <v>50163</v>
      </c>
      <c r="D198" s="362">
        <f>IF($B$67="","",'Fecha Pago'!L135)</f>
        <v>30.4</v>
      </c>
      <c r="E198" s="363">
        <f>IF(B198="","",IF(Sheet1!$Z$1=2,'Tabla de Pagos Crecientes'!E138,$F$62))</f>
        <v>0.11</v>
      </c>
      <c r="F198" s="362">
        <f ca="1">IF($B198="","",IF(Sheet1!$Z$1=2,'Tabla de Pagos Crecientes'!F138,'Tabla Fijos'!F143))</f>
        <v>712435.53768660885</v>
      </c>
      <c r="G198" s="362">
        <f ca="1">IF($B198="","",IF(Sheet1!$Z$1=2,'Tabla de Pagos Crecientes'!G138,'Tabla Fijos'!G143))</f>
        <v>3804.1496606509354</v>
      </c>
      <c r="H198" s="362">
        <f ca="1">IF($B198="","",IF(Sheet1!$Z$1=2,'Tabla de Pagos Crecientes'!H138,'Tabla Fijos'!H143))</f>
        <v>6617.7345500667216</v>
      </c>
      <c r="I198" s="362">
        <f>IF($B198=0,0,IF(B198="","",VLOOKUP($B198,'Tabla Fijos'!$B$12:$S$311,8,0)))</f>
        <v>0</v>
      </c>
      <c r="J198" s="362">
        <f ca="1">IF($B198="","",IF(Sheet1!$Z$1=2,'Tabla de Pagos Crecientes'!J138,'Tabla Fijos'!K143))</f>
        <v>0</v>
      </c>
      <c r="K198" s="362">
        <f ca="1">IF($B198="","",IF(Sheet1!$Z$1=2,'Tabla de Pagos Crecientes'!K138,'Tabla Fijos'!L143))</f>
        <v>0</v>
      </c>
      <c r="L198" s="362">
        <f ca="1">IF($B198="","",IF(Sheet1!$Z$1=2,'Tabla de Pagos Crecientes'!L138,'Tabla Fijos'!M143))</f>
        <v>0</v>
      </c>
      <c r="M198" s="362">
        <f ca="1">IF($B198="","",IF(Sheet1!$Z$1=2,'Tabla de Pagos Crecientes'!M138,'Tabla Fijos'!N143))</f>
        <v>0</v>
      </c>
      <c r="N198" s="364"/>
      <c r="O198" s="362">
        <f>IF($B198="","",IF(Sheet1!$Z$1=2,'Tabla de Pagos Crecientes'!O138,'Tabla Fijos'!Q143))</f>
        <v>0</v>
      </c>
      <c r="P198" s="362">
        <f ca="1">IF(B198="","",G198+H198+I198+J198+K198+L198-M198-'Tabla Fijos'!P143)</f>
        <v>10421.884210717657</v>
      </c>
      <c r="Q198" s="362">
        <f t="shared" ca="1" si="6"/>
        <v>708631.38802595786</v>
      </c>
      <c r="R198" s="272">
        <f t="shared" ca="1" si="7"/>
        <v>1</v>
      </c>
    </row>
    <row r="199" spans="1:18" ht="15.5" x14ac:dyDescent="0.35">
      <c r="A199" s="272"/>
      <c r="B199" s="360">
        <f t="shared" si="8"/>
        <v>133</v>
      </c>
      <c r="C199" s="361">
        <f ca="1">IF($B199="","",'Fecha Pago'!K136)</f>
        <v>50194</v>
      </c>
      <c r="D199" s="362">
        <f>IF($B$67="","",'Fecha Pago'!L136)</f>
        <v>30.4</v>
      </c>
      <c r="E199" s="363">
        <f>IF(B199="","",IF(Sheet1!$Z$1=2,'Tabla de Pagos Crecientes'!E139,$F$62))</f>
        <v>0.11</v>
      </c>
      <c r="F199" s="362">
        <f ca="1">IF($B199="","",IF(Sheet1!$Z$1=2,'Tabla de Pagos Crecientes'!F139,'Tabla Fijos'!F144))</f>
        <v>708631.38802595786</v>
      </c>
      <c r="G199" s="362">
        <f ca="1">IF($B199="","",IF(Sheet1!$Z$1=2,'Tabla de Pagos Crecientes'!G139,'Tabla Fijos'!G144))</f>
        <v>3839.485984165427</v>
      </c>
      <c r="H199" s="362">
        <f ca="1">IF($B199="","",IF(Sheet1!$Z$1=2,'Tabla de Pagos Crecientes'!H139,'Tabla Fijos'!H144))</f>
        <v>6582.39822655223</v>
      </c>
      <c r="I199" s="362">
        <f>IF($B199=0,0,IF(B199="","",VLOOKUP($B199,'Tabla Fijos'!$B$12:$S$311,8,0)))</f>
        <v>0</v>
      </c>
      <c r="J199" s="362">
        <f ca="1">IF($B199="","",IF(Sheet1!$Z$1=2,'Tabla de Pagos Crecientes'!J139,'Tabla Fijos'!K144))</f>
        <v>0</v>
      </c>
      <c r="K199" s="362">
        <f ca="1">IF($B199="","",IF(Sheet1!$Z$1=2,'Tabla de Pagos Crecientes'!K139,'Tabla Fijos'!L144))</f>
        <v>0</v>
      </c>
      <c r="L199" s="362">
        <f ca="1">IF($B199="","",IF(Sheet1!$Z$1=2,'Tabla de Pagos Crecientes'!L139,'Tabla Fijos'!M144))</f>
        <v>0</v>
      </c>
      <c r="M199" s="362">
        <f ca="1">IF($B199="","",IF(Sheet1!$Z$1=2,'Tabla de Pagos Crecientes'!M139,'Tabla Fijos'!N144))</f>
        <v>0</v>
      </c>
      <c r="N199" s="364"/>
      <c r="O199" s="362">
        <f>IF($B199="","",IF(Sheet1!$Z$1=2,'Tabla de Pagos Crecientes'!O139,'Tabla Fijos'!Q144))</f>
        <v>0</v>
      </c>
      <c r="P199" s="362">
        <f ca="1">IF(B199="","",G199+H199+I199+J199+K199+L199-M199-'Tabla Fijos'!P144)</f>
        <v>10421.884210717657</v>
      </c>
      <c r="Q199" s="362">
        <f t="shared" ca="1" si="6"/>
        <v>704791.9020417924</v>
      </c>
      <c r="R199" s="272">
        <f t="shared" ca="1" si="7"/>
        <v>1</v>
      </c>
    </row>
    <row r="200" spans="1:18" ht="15.5" x14ac:dyDescent="0.35">
      <c r="A200" s="272"/>
      <c r="B200" s="360">
        <f t="shared" si="8"/>
        <v>134</v>
      </c>
      <c r="C200" s="361">
        <f ca="1">IF($B200="","",'Fecha Pago'!K137)</f>
        <v>50224</v>
      </c>
      <c r="D200" s="362">
        <f>IF($B$67="","",'Fecha Pago'!L137)</f>
        <v>30.4</v>
      </c>
      <c r="E200" s="363">
        <f>IF(B200="","",IF(Sheet1!$Z$1=2,'Tabla de Pagos Crecientes'!E140,$F$62))</f>
        <v>0.11</v>
      </c>
      <c r="F200" s="362">
        <f ca="1">IF($B200="","",IF(Sheet1!$Z$1=2,'Tabla de Pagos Crecientes'!F140,'Tabla Fijos'!F145))</f>
        <v>704791.9020417924</v>
      </c>
      <c r="G200" s="362">
        <f ca="1">IF($B200="","",IF(Sheet1!$Z$1=2,'Tabla de Pagos Crecientes'!G140,'Tabla Fijos'!G145))</f>
        <v>3875.1505428627825</v>
      </c>
      <c r="H200" s="362">
        <f ca="1">IF($B200="","",IF(Sheet1!$Z$1=2,'Tabla de Pagos Crecientes'!H140,'Tabla Fijos'!H145))</f>
        <v>6546.7336678548709</v>
      </c>
      <c r="I200" s="362">
        <f>IF($B200=0,0,IF(B200="","",VLOOKUP($B200,'Tabla Fijos'!$B$12:$S$311,8,0)))</f>
        <v>0</v>
      </c>
      <c r="J200" s="362">
        <f ca="1">IF($B200="","",IF(Sheet1!$Z$1=2,'Tabla de Pagos Crecientes'!J140,'Tabla Fijos'!K145))</f>
        <v>0</v>
      </c>
      <c r="K200" s="362">
        <f ca="1">IF($B200="","",IF(Sheet1!$Z$1=2,'Tabla de Pagos Crecientes'!K140,'Tabla Fijos'!L145))</f>
        <v>0</v>
      </c>
      <c r="L200" s="362">
        <f ca="1">IF($B200="","",IF(Sheet1!$Z$1=2,'Tabla de Pagos Crecientes'!L140,'Tabla Fijos'!M145))</f>
        <v>0</v>
      </c>
      <c r="M200" s="362">
        <f ca="1">IF($B200="","",IF(Sheet1!$Z$1=2,'Tabla de Pagos Crecientes'!M140,'Tabla Fijos'!N145))</f>
        <v>0</v>
      </c>
      <c r="N200" s="364"/>
      <c r="O200" s="362">
        <f>IF($B200="","",IF(Sheet1!$Z$1=2,'Tabla de Pagos Crecientes'!O140,'Tabla Fijos'!Q145))</f>
        <v>0</v>
      </c>
      <c r="P200" s="362">
        <f ca="1">IF(B200="","",G200+H200+I200+J200+K200+L200-M200-'Tabla Fijos'!P145)</f>
        <v>10421.884210717653</v>
      </c>
      <c r="Q200" s="362">
        <f t="shared" ca="1" si="6"/>
        <v>700916.75149892957</v>
      </c>
      <c r="R200" s="272">
        <f t="shared" ca="1" si="7"/>
        <v>1</v>
      </c>
    </row>
    <row r="201" spans="1:18" ht="15.5" x14ac:dyDescent="0.35">
      <c r="A201" s="272"/>
      <c r="B201" s="360">
        <f t="shared" si="8"/>
        <v>135</v>
      </c>
      <c r="C201" s="361">
        <f ca="1">IF($B201="","",'Fecha Pago'!K138)</f>
        <v>50255</v>
      </c>
      <c r="D201" s="362">
        <f>IF($B$67="","",'Fecha Pago'!L138)</f>
        <v>30.4</v>
      </c>
      <c r="E201" s="363">
        <f>IF(B201="","",IF(Sheet1!$Z$1=2,'Tabla de Pagos Crecientes'!E141,$F$62))</f>
        <v>0.11</v>
      </c>
      <c r="F201" s="362">
        <f ca="1">IF($B201="","",IF(Sheet1!$Z$1=2,'Tabla de Pagos Crecientes'!F141,'Tabla Fijos'!F146))</f>
        <v>700916.75149892957</v>
      </c>
      <c r="G201" s="362">
        <f ca="1">IF($B201="","",IF(Sheet1!$Z$1=2,'Tabla de Pagos Crecientes'!G141,'Tabla Fijos'!G146))</f>
        <v>3911.1463856831524</v>
      </c>
      <c r="H201" s="362">
        <f ca="1">IF($B201="","",IF(Sheet1!$Z$1=2,'Tabla de Pagos Crecientes'!H141,'Tabla Fijos'!H146))</f>
        <v>6510.7378250345009</v>
      </c>
      <c r="I201" s="362">
        <f>IF($B201=0,0,IF(B201="","",VLOOKUP($B201,'Tabla Fijos'!$B$12:$S$311,8,0)))</f>
        <v>0</v>
      </c>
      <c r="J201" s="362">
        <f ca="1">IF($B201="","",IF(Sheet1!$Z$1=2,'Tabla de Pagos Crecientes'!J141,'Tabla Fijos'!K146))</f>
        <v>0</v>
      </c>
      <c r="K201" s="362">
        <f ca="1">IF($B201="","",IF(Sheet1!$Z$1=2,'Tabla de Pagos Crecientes'!K141,'Tabla Fijos'!L146))</f>
        <v>0</v>
      </c>
      <c r="L201" s="362">
        <f ca="1">IF($B201="","",IF(Sheet1!$Z$1=2,'Tabla de Pagos Crecientes'!L141,'Tabla Fijos'!M146))</f>
        <v>0</v>
      </c>
      <c r="M201" s="362">
        <f ca="1">IF($B201="","",IF(Sheet1!$Z$1=2,'Tabla de Pagos Crecientes'!M141,'Tabla Fijos'!N146))</f>
        <v>0</v>
      </c>
      <c r="N201" s="364"/>
      <c r="O201" s="362">
        <f>IF($B201="","",IF(Sheet1!$Z$1=2,'Tabla de Pagos Crecientes'!O141,'Tabla Fijos'!Q146))</f>
        <v>0</v>
      </c>
      <c r="P201" s="362">
        <f ca="1">IF(B201="","",G201+H201+I201+J201+K201+L201-M201-'Tabla Fijos'!P146)</f>
        <v>10421.884210717653</v>
      </c>
      <c r="Q201" s="362">
        <f t="shared" ca="1" si="6"/>
        <v>697005.60511324648</v>
      </c>
      <c r="R201" s="272">
        <f t="shared" ca="1" si="7"/>
        <v>1</v>
      </c>
    </row>
    <row r="202" spans="1:18" ht="15.5" x14ac:dyDescent="0.35">
      <c r="A202" s="272"/>
      <c r="B202" s="360">
        <f t="shared" si="8"/>
        <v>136</v>
      </c>
      <c r="C202" s="361">
        <f ca="1">IF($B202="","",'Fecha Pago'!K139)</f>
        <v>50286</v>
      </c>
      <c r="D202" s="362">
        <f>IF($B$67="","",'Fecha Pago'!L139)</f>
        <v>30.4</v>
      </c>
      <c r="E202" s="363">
        <f>IF(B202="","",IF(Sheet1!$Z$1=2,'Tabla de Pagos Crecientes'!E142,$F$62))</f>
        <v>0.11</v>
      </c>
      <c r="F202" s="362">
        <f ca="1">IF($B202="","",IF(Sheet1!$Z$1=2,'Tabla de Pagos Crecientes'!F142,'Tabla Fijos'!F147))</f>
        <v>697005.60511324648</v>
      </c>
      <c r="G202" s="362">
        <f ca="1">IF($B202="","",IF(Sheet1!$Z$1=2,'Tabla de Pagos Crecientes'!G142,'Tabla Fijos'!G147))</f>
        <v>3947.4765898879459</v>
      </c>
      <c r="H202" s="362">
        <f ca="1">IF($B202="","",IF(Sheet1!$Z$1=2,'Tabla de Pagos Crecientes'!H142,'Tabla Fijos'!H147))</f>
        <v>6474.407620829711</v>
      </c>
      <c r="I202" s="362">
        <f>IF($B202=0,0,IF(B202="","",VLOOKUP($B202,'Tabla Fijos'!$B$12:$S$311,8,0)))</f>
        <v>0</v>
      </c>
      <c r="J202" s="362">
        <f ca="1">IF($B202="","",IF(Sheet1!$Z$1=2,'Tabla de Pagos Crecientes'!J142,'Tabla Fijos'!K147))</f>
        <v>0</v>
      </c>
      <c r="K202" s="362">
        <f ca="1">IF($B202="","",IF(Sheet1!$Z$1=2,'Tabla de Pagos Crecientes'!K142,'Tabla Fijos'!L147))</f>
        <v>0</v>
      </c>
      <c r="L202" s="362">
        <f ca="1">IF($B202="","",IF(Sheet1!$Z$1=2,'Tabla de Pagos Crecientes'!L142,'Tabla Fijos'!M147))</f>
        <v>0</v>
      </c>
      <c r="M202" s="362">
        <f ca="1">IF($B202="","",IF(Sheet1!$Z$1=2,'Tabla de Pagos Crecientes'!M142,'Tabla Fijos'!N147))</f>
        <v>0</v>
      </c>
      <c r="N202" s="364"/>
      <c r="O202" s="362">
        <f>IF($B202="","",IF(Sheet1!$Z$1=2,'Tabla de Pagos Crecientes'!O142,'Tabla Fijos'!Q147))</f>
        <v>0</v>
      </c>
      <c r="P202" s="362">
        <f ca="1">IF(B202="","",G202+H202+I202+J202+K202+L202-M202-'Tabla Fijos'!P147)</f>
        <v>10421.884210717657</v>
      </c>
      <c r="Q202" s="362">
        <f t="shared" ca="1" si="6"/>
        <v>693058.12852335849</v>
      </c>
      <c r="R202" s="272">
        <f t="shared" ca="1" si="7"/>
        <v>1</v>
      </c>
    </row>
    <row r="203" spans="1:18" ht="15.5" x14ac:dyDescent="0.35">
      <c r="A203" s="272"/>
      <c r="B203" s="360">
        <f t="shared" si="8"/>
        <v>137</v>
      </c>
      <c r="C203" s="361">
        <f ca="1">IF($B203="","",'Fecha Pago'!K140)</f>
        <v>50316</v>
      </c>
      <c r="D203" s="362">
        <f>IF($B$67="","",'Fecha Pago'!L140)</f>
        <v>30.4</v>
      </c>
      <c r="E203" s="363">
        <f>IF(B203="","",IF(Sheet1!$Z$1=2,'Tabla de Pagos Crecientes'!E143,$F$62))</f>
        <v>0.11</v>
      </c>
      <c r="F203" s="362">
        <f ca="1">IF($B203="","",IF(Sheet1!$Z$1=2,'Tabla de Pagos Crecientes'!F143,'Tabla Fijos'!F148))</f>
        <v>693058.12852335849</v>
      </c>
      <c r="G203" s="362">
        <f ca="1">IF($B203="","",IF(Sheet1!$Z$1=2,'Tabla de Pagos Crecientes'!G143,'Tabla Fijos'!G148))</f>
        <v>3984.1442613229001</v>
      </c>
      <c r="H203" s="362">
        <f ca="1">IF($B203="","",IF(Sheet1!$Z$1=2,'Tabla de Pagos Crecientes'!H143,'Tabla Fijos'!H148))</f>
        <v>6437.7399493947514</v>
      </c>
      <c r="I203" s="362">
        <f>IF($B203=0,0,IF(B203="","",VLOOKUP($B203,'Tabla Fijos'!$B$12:$S$311,8,0)))</f>
        <v>0</v>
      </c>
      <c r="J203" s="362">
        <f ca="1">IF($B203="","",IF(Sheet1!$Z$1=2,'Tabla de Pagos Crecientes'!J143,'Tabla Fijos'!K148))</f>
        <v>0</v>
      </c>
      <c r="K203" s="362">
        <f ca="1">IF($B203="","",IF(Sheet1!$Z$1=2,'Tabla de Pagos Crecientes'!K143,'Tabla Fijos'!L148))</f>
        <v>0</v>
      </c>
      <c r="L203" s="362">
        <f ca="1">IF($B203="","",IF(Sheet1!$Z$1=2,'Tabla de Pagos Crecientes'!L143,'Tabla Fijos'!M148))</f>
        <v>0</v>
      </c>
      <c r="M203" s="362">
        <f ca="1">IF($B203="","",IF(Sheet1!$Z$1=2,'Tabla de Pagos Crecientes'!M143,'Tabla Fijos'!N148))</f>
        <v>0</v>
      </c>
      <c r="N203" s="364"/>
      <c r="O203" s="362">
        <f>IF($B203="","",IF(Sheet1!$Z$1=2,'Tabla de Pagos Crecientes'!O143,'Tabla Fijos'!Q148))</f>
        <v>0</v>
      </c>
      <c r="P203" s="362">
        <f ca="1">IF(B203="","",G203+H203+I203+J203+K203+L203-M203-'Tabla Fijos'!P148)</f>
        <v>10421.884210717652</v>
      </c>
      <c r="Q203" s="362">
        <f t="shared" ca="1" si="6"/>
        <v>689073.98426203558</v>
      </c>
      <c r="R203" s="272">
        <f t="shared" ca="1" si="7"/>
        <v>1</v>
      </c>
    </row>
    <row r="204" spans="1:18" ht="15.5" x14ac:dyDescent="0.35">
      <c r="A204" s="272"/>
      <c r="B204" s="360">
        <f t="shared" si="8"/>
        <v>138</v>
      </c>
      <c r="C204" s="361">
        <f ca="1">IF($B204="","",'Fecha Pago'!K141)</f>
        <v>50347</v>
      </c>
      <c r="D204" s="362">
        <f>IF($B$67="","",'Fecha Pago'!L141)</f>
        <v>30.4</v>
      </c>
      <c r="E204" s="363">
        <f>IF(B204="","",IF(Sheet1!$Z$1=2,'Tabla de Pagos Crecientes'!E144,$F$62))</f>
        <v>0.11</v>
      </c>
      <c r="F204" s="362">
        <f ca="1">IF($B204="","",IF(Sheet1!$Z$1=2,'Tabla de Pagos Crecientes'!F144,'Tabla Fijos'!F149))</f>
        <v>689073.98426203558</v>
      </c>
      <c r="G204" s="362">
        <f ca="1">IF($B204="","",IF(Sheet1!$Z$1=2,'Tabla de Pagos Crecientes'!G144,'Tabla Fijos'!G149))</f>
        <v>4021.1525346836343</v>
      </c>
      <c r="H204" s="362">
        <f ca="1">IF($B204="","",IF(Sheet1!$Z$1=2,'Tabla de Pagos Crecientes'!H144,'Tabla Fijos'!H149))</f>
        <v>6400.7316760340191</v>
      </c>
      <c r="I204" s="362">
        <f>IF($B204=0,0,IF(B204="","",VLOOKUP($B204,'Tabla Fijos'!$B$12:$S$311,8,0)))</f>
        <v>0</v>
      </c>
      <c r="J204" s="362">
        <f ca="1">IF($B204="","",IF(Sheet1!$Z$1=2,'Tabla de Pagos Crecientes'!J144,'Tabla Fijos'!K149))</f>
        <v>0</v>
      </c>
      <c r="K204" s="362">
        <f ca="1">IF($B204="","",IF(Sheet1!$Z$1=2,'Tabla de Pagos Crecientes'!K144,'Tabla Fijos'!L149))</f>
        <v>0</v>
      </c>
      <c r="L204" s="362">
        <f ca="1">IF($B204="","",IF(Sheet1!$Z$1=2,'Tabla de Pagos Crecientes'!L144,'Tabla Fijos'!M149))</f>
        <v>0</v>
      </c>
      <c r="M204" s="362">
        <f ca="1">IF($B204="","",IF(Sheet1!$Z$1=2,'Tabla de Pagos Crecientes'!M144,'Tabla Fijos'!N149))</f>
        <v>0</v>
      </c>
      <c r="N204" s="364"/>
      <c r="O204" s="362">
        <f>IF($B204="","",IF(Sheet1!$Z$1=2,'Tabla de Pagos Crecientes'!O144,'Tabla Fijos'!Q149))</f>
        <v>0</v>
      </c>
      <c r="P204" s="362">
        <f ca="1">IF(B204="","",G204+H204+I204+J204+K204+L204-M204-'Tabla Fijos'!P149)</f>
        <v>10421.884210717653</v>
      </c>
      <c r="Q204" s="362">
        <f t="shared" ca="1" si="6"/>
        <v>685052.83172735199</v>
      </c>
      <c r="R204" s="272">
        <f t="shared" ca="1" si="7"/>
        <v>1</v>
      </c>
    </row>
    <row r="205" spans="1:18" ht="15.5" x14ac:dyDescent="0.35">
      <c r="A205" s="272"/>
      <c r="B205" s="360">
        <f t="shared" si="8"/>
        <v>139</v>
      </c>
      <c r="C205" s="361">
        <f ca="1">IF($B205="","",'Fecha Pago'!K142)</f>
        <v>50377</v>
      </c>
      <c r="D205" s="362">
        <f>IF($B$67="","",'Fecha Pago'!L142)</f>
        <v>30.4</v>
      </c>
      <c r="E205" s="363">
        <f>IF(B205="","",IF(Sheet1!$Z$1=2,'Tabla de Pagos Crecientes'!E145,$F$62))</f>
        <v>0.11</v>
      </c>
      <c r="F205" s="362">
        <f ca="1">IF($B205="","",IF(Sheet1!$Z$1=2,'Tabla de Pagos Crecientes'!F145,'Tabla Fijos'!F150))</f>
        <v>685052.83172735199</v>
      </c>
      <c r="G205" s="362">
        <f ca="1">IF($B205="","",IF(Sheet1!$Z$1=2,'Tabla de Pagos Crecientes'!G145,'Tabla Fijos'!G150))</f>
        <v>4058.5045737835881</v>
      </c>
      <c r="H205" s="362">
        <f ca="1">IF($B205="","",IF(Sheet1!$Z$1=2,'Tabla de Pagos Crecientes'!H145,'Tabla Fijos'!H150))</f>
        <v>6363.3796369340689</v>
      </c>
      <c r="I205" s="362">
        <f>IF($B205=0,0,IF(B205="","",VLOOKUP($B205,'Tabla Fijos'!$B$12:$S$311,8,0)))</f>
        <v>0</v>
      </c>
      <c r="J205" s="362">
        <f ca="1">IF($B205="","",IF(Sheet1!$Z$1=2,'Tabla de Pagos Crecientes'!J145,'Tabla Fijos'!K150))</f>
        <v>0</v>
      </c>
      <c r="K205" s="362">
        <f ca="1">IF($B205="","",IF(Sheet1!$Z$1=2,'Tabla de Pagos Crecientes'!K145,'Tabla Fijos'!L150))</f>
        <v>0</v>
      </c>
      <c r="L205" s="362">
        <f ca="1">IF($B205="","",IF(Sheet1!$Z$1=2,'Tabla de Pagos Crecientes'!L145,'Tabla Fijos'!M150))</f>
        <v>0</v>
      </c>
      <c r="M205" s="362">
        <f ca="1">IF($B205="","",IF(Sheet1!$Z$1=2,'Tabla de Pagos Crecientes'!M145,'Tabla Fijos'!N150))</f>
        <v>0</v>
      </c>
      <c r="N205" s="364"/>
      <c r="O205" s="362">
        <f>IF($B205="","",IF(Sheet1!$Z$1=2,'Tabla de Pagos Crecientes'!O145,'Tabla Fijos'!Q150))</f>
        <v>0</v>
      </c>
      <c r="P205" s="362">
        <f ca="1">IF(B205="","",G205+H205+I205+J205+K205+L205-M205-'Tabla Fijos'!P150)</f>
        <v>10421.884210717657</v>
      </c>
      <c r="Q205" s="362">
        <f t="shared" ca="1" si="6"/>
        <v>680994.32715356839</v>
      </c>
      <c r="R205" s="272">
        <f t="shared" ca="1" si="7"/>
        <v>1</v>
      </c>
    </row>
    <row r="206" spans="1:18" ht="15.5" x14ac:dyDescent="0.35">
      <c r="A206" s="272"/>
      <c r="B206" s="360">
        <f t="shared" si="8"/>
        <v>140</v>
      </c>
      <c r="C206" s="361">
        <f ca="1">IF($B206="","",'Fecha Pago'!K143)</f>
        <v>50408</v>
      </c>
      <c r="D206" s="362">
        <f>IF($B$67="","",'Fecha Pago'!L143)</f>
        <v>30.4</v>
      </c>
      <c r="E206" s="363">
        <f>IF(B206="","",IF(Sheet1!$Z$1=2,'Tabla de Pagos Crecientes'!E146,$F$62))</f>
        <v>0.11</v>
      </c>
      <c r="F206" s="362">
        <f ca="1">IF($B206="","",IF(Sheet1!$Z$1=2,'Tabla de Pagos Crecientes'!F146,'Tabla Fijos'!F151))</f>
        <v>680994.32715356839</v>
      </c>
      <c r="G206" s="362">
        <f ca="1">IF($B206="","",IF(Sheet1!$Z$1=2,'Tabla de Pagos Crecientes'!G146,'Tabla Fijos'!G151))</f>
        <v>4096.2035718245115</v>
      </c>
      <c r="H206" s="362">
        <f ca="1">IF($B206="","",IF(Sheet1!$Z$1=2,'Tabla de Pagos Crecientes'!H146,'Tabla Fijos'!H151))</f>
        <v>6325.6806388931454</v>
      </c>
      <c r="I206" s="362">
        <f>IF($B206=0,0,IF(B206="","",VLOOKUP($B206,'Tabla Fijos'!$B$12:$S$311,8,0)))</f>
        <v>0</v>
      </c>
      <c r="J206" s="362">
        <f ca="1">IF($B206="","",IF(Sheet1!$Z$1=2,'Tabla de Pagos Crecientes'!J146,'Tabla Fijos'!K151))</f>
        <v>0</v>
      </c>
      <c r="K206" s="362">
        <f ca="1">IF($B206="","",IF(Sheet1!$Z$1=2,'Tabla de Pagos Crecientes'!K146,'Tabla Fijos'!L151))</f>
        <v>0</v>
      </c>
      <c r="L206" s="362">
        <f ca="1">IF($B206="","",IF(Sheet1!$Z$1=2,'Tabla de Pagos Crecientes'!L146,'Tabla Fijos'!M151))</f>
        <v>0</v>
      </c>
      <c r="M206" s="362">
        <f ca="1">IF($B206="","",IF(Sheet1!$Z$1=2,'Tabla de Pagos Crecientes'!M146,'Tabla Fijos'!N151))</f>
        <v>0</v>
      </c>
      <c r="N206" s="364"/>
      <c r="O206" s="362">
        <f>IF($B206="","",IF(Sheet1!$Z$1=2,'Tabla de Pagos Crecientes'!O146,'Tabla Fijos'!Q151))</f>
        <v>0</v>
      </c>
      <c r="P206" s="362">
        <f ca="1">IF(B206="","",G206+H206+I206+J206+K206+L206-M206-'Tabla Fijos'!P151)</f>
        <v>10421.884210717657</v>
      </c>
      <c r="Q206" s="362">
        <f t="shared" ca="1" si="6"/>
        <v>676898.12358174392</v>
      </c>
      <c r="R206" s="272">
        <f t="shared" ca="1" si="7"/>
        <v>1</v>
      </c>
    </row>
    <row r="207" spans="1:18" ht="15.5" x14ac:dyDescent="0.35">
      <c r="A207" s="272"/>
      <c r="B207" s="360">
        <f t="shared" si="8"/>
        <v>141</v>
      </c>
      <c r="C207" s="361">
        <f ca="1">IF($B207="","",'Fecha Pago'!K144)</f>
        <v>50439</v>
      </c>
      <c r="D207" s="362">
        <f>IF($B$67="","",'Fecha Pago'!L144)</f>
        <v>30.4</v>
      </c>
      <c r="E207" s="363">
        <f>IF(B207="","",IF(Sheet1!$Z$1=2,'Tabla de Pagos Crecientes'!E147,$F$62))</f>
        <v>0.11</v>
      </c>
      <c r="F207" s="362">
        <f ca="1">IF($B207="","",IF(Sheet1!$Z$1=2,'Tabla de Pagos Crecientes'!F147,'Tabla Fijos'!F152))</f>
        <v>676898.12358174392</v>
      </c>
      <c r="G207" s="362">
        <f ca="1">IF($B207="","",IF(Sheet1!$Z$1=2,'Tabla de Pagos Crecientes'!G147,'Tabla Fijos'!G152))</f>
        <v>4134.2527516694581</v>
      </c>
      <c r="H207" s="362">
        <f ca="1">IF($B207="","",IF(Sheet1!$Z$1=2,'Tabla de Pagos Crecientes'!H147,'Tabla Fijos'!H152))</f>
        <v>6287.6314590481988</v>
      </c>
      <c r="I207" s="362">
        <f>IF($B207=0,0,IF(B207="","",VLOOKUP($B207,'Tabla Fijos'!$B$12:$S$311,8,0)))</f>
        <v>0</v>
      </c>
      <c r="J207" s="362">
        <f ca="1">IF($B207="","",IF(Sheet1!$Z$1=2,'Tabla de Pagos Crecientes'!J147,'Tabla Fijos'!K152))</f>
        <v>0</v>
      </c>
      <c r="K207" s="362">
        <f ca="1">IF($B207="","",IF(Sheet1!$Z$1=2,'Tabla de Pagos Crecientes'!K147,'Tabla Fijos'!L152))</f>
        <v>0</v>
      </c>
      <c r="L207" s="362">
        <f ca="1">IF($B207="","",IF(Sheet1!$Z$1=2,'Tabla de Pagos Crecientes'!L147,'Tabla Fijos'!M152))</f>
        <v>0</v>
      </c>
      <c r="M207" s="362">
        <f ca="1">IF($B207="","",IF(Sheet1!$Z$1=2,'Tabla de Pagos Crecientes'!M147,'Tabla Fijos'!N152))</f>
        <v>0</v>
      </c>
      <c r="N207" s="364"/>
      <c r="O207" s="362">
        <f>IF($B207="","",IF(Sheet1!$Z$1=2,'Tabla de Pagos Crecientes'!O147,'Tabla Fijos'!Q152))</f>
        <v>0</v>
      </c>
      <c r="P207" s="362">
        <f ca="1">IF(B207="","",G207+H207+I207+J207+K207+L207-M207-'Tabla Fijos'!P152)</f>
        <v>10421.884210717657</v>
      </c>
      <c r="Q207" s="362">
        <f t="shared" ca="1" si="6"/>
        <v>672763.87083007442</v>
      </c>
      <c r="R207" s="272">
        <f t="shared" ca="1" si="7"/>
        <v>1</v>
      </c>
    </row>
    <row r="208" spans="1:18" ht="15.5" x14ac:dyDescent="0.35">
      <c r="A208" s="272"/>
      <c r="B208" s="360">
        <f t="shared" si="8"/>
        <v>142</v>
      </c>
      <c r="C208" s="361">
        <f ca="1">IF($B208="","",'Fecha Pago'!K145)</f>
        <v>50467</v>
      </c>
      <c r="D208" s="362">
        <f>IF($B$67="","",'Fecha Pago'!L145)</f>
        <v>30.4</v>
      </c>
      <c r="E208" s="363">
        <f>IF(B208="","",IF(Sheet1!$Z$1=2,'Tabla de Pagos Crecientes'!E148,$F$62))</f>
        <v>0.11</v>
      </c>
      <c r="F208" s="362">
        <f ca="1">IF($B208="","",IF(Sheet1!$Z$1=2,'Tabla de Pagos Crecientes'!F148,'Tabla Fijos'!F153))</f>
        <v>672763.87083007442</v>
      </c>
      <c r="G208" s="362">
        <f ca="1">IF($B208="","",IF(Sheet1!$Z$1=2,'Tabla de Pagos Crecientes'!G148,'Tabla Fijos'!G153))</f>
        <v>4172.6553661182998</v>
      </c>
      <c r="H208" s="362">
        <f ca="1">IF($B208="","",IF(Sheet1!$Z$1=2,'Tabla de Pagos Crecientes'!H148,'Tabla Fijos'!H153))</f>
        <v>6249.2288445993572</v>
      </c>
      <c r="I208" s="362">
        <f>IF($B208=0,0,IF(B208="","",VLOOKUP($B208,'Tabla Fijos'!$B$12:$S$311,8,0)))</f>
        <v>0</v>
      </c>
      <c r="J208" s="362">
        <f ca="1">IF($B208="","",IF(Sheet1!$Z$1=2,'Tabla de Pagos Crecientes'!J148,'Tabla Fijos'!K153))</f>
        <v>0</v>
      </c>
      <c r="K208" s="362">
        <f ca="1">IF($B208="","",IF(Sheet1!$Z$1=2,'Tabla de Pagos Crecientes'!K148,'Tabla Fijos'!L153))</f>
        <v>0</v>
      </c>
      <c r="L208" s="362">
        <f ca="1">IF($B208="","",IF(Sheet1!$Z$1=2,'Tabla de Pagos Crecientes'!L148,'Tabla Fijos'!M153))</f>
        <v>0</v>
      </c>
      <c r="M208" s="362">
        <f ca="1">IF($B208="","",IF(Sheet1!$Z$1=2,'Tabla de Pagos Crecientes'!M148,'Tabla Fijos'!N153))</f>
        <v>0</v>
      </c>
      <c r="N208" s="364"/>
      <c r="O208" s="362">
        <f>IF($B208="","",IF(Sheet1!$Z$1=2,'Tabla de Pagos Crecientes'!O148,'Tabla Fijos'!Q153))</f>
        <v>0</v>
      </c>
      <c r="P208" s="362">
        <f ca="1">IF(B208="","",G208+H208+I208+J208+K208+L208-M208-'Tabla Fijos'!P153)</f>
        <v>10421.884210717657</v>
      </c>
      <c r="Q208" s="362">
        <f t="shared" ca="1" si="6"/>
        <v>668591.21546395612</v>
      </c>
      <c r="R208" s="272">
        <f t="shared" ca="1" si="7"/>
        <v>1</v>
      </c>
    </row>
    <row r="209" spans="1:18" ht="15.5" x14ac:dyDescent="0.35">
      <c r="A209" s="272"/>
      <c r="B209" s="360">
        <f t="shared" si="8"/>
        <v>143</v>
      </c>
      <c r="C209" s="361">
        <f ca="1">IF($B209="","",'Fecha Pago'!K146)</f>
        <v>50498</v>
      </c>
      <c r="D209" s="362">
        <f>IF($B$67="","",'Fecha Pago'!L146)</f>
        <v>30.4</v>
      </c>
      <c r="E209" s="363">
        <f>IF(B209="","",IF(Sheet1!$Z$1=2,'Tabla de Pagos Crecientes'!E149,$F$62))</f>
        <v>0.11</v>
      </c>
      <c r="F209" s="362">
        <f ca="1">IF($B209="","",IF(Sheet1!$Z$1=2,'Tabla de Pagos Crecientes'!F149,'Tabla Fijos'!F154))</f>
        <v>668591.21546395612</v>
      </c>
      <c r="G209" s="362">
        <f ca="1">IF($B209="","",IF(Sheet1!$Z$1=2,'Tabla de Pagos Crecientes'!G149,'Tabla Fijos'!G154))</f>
        <v>4211.4146981857948</v>
      </c>
      <c r="H209" s="362">
        <f ca="1">IF($B209="","",IF(Sheet1!$Z$1=2,'Tabla de Pagos Crecientes'!H149,'Tabla Fijos'!H154))</f>
        <v>6210.4695125318585</v>
      </c>
      <c r="I209" s="362">
        <f>IF($B209=0,0,IF(B209="","",VLOOKUP($B209,'Tabla Fijos'!$B$12:$S$311,8,0)))</f>
        <v>0</v>
      </c>
      <c r="J209" s="362">
        <f ca="1">IF($B209="","",IF(Sheet1!$Z$1=2,'Tabla de Pagos Crecientes'!J149,'Tabla Fijos'!K154))</f>
        <v>0</v>
      </c>
      <c r="K209" s="362">
        <f ca="1">IF($B209="","",IF(Sheet1!$Z$1=2,'Tabla de Pagos Crecientes'!K149,'Tabla Fijos'!L154))</f>
        <v>0</v>
      </c>
      <c r="L209" s="362">
        <f ca="1">IF($B209="","",IF(Sheet1!$Z$1=2,'Tabla de Pagos Crecientes'!L149,'Tabla Fijos'!M154))</f>
        <v>0</v>
      </c>
      <c r="M209" s="362">
        <f ca="1">IF($B209="","",IF(Sheet1!$Z$1=2,'Tabla de Pagos Crecientes'!M149,'Tabla Fijos'!N154))</f>
        <v>0</v>
      </c>
      <c r="N209" s="364"/>
      <c r="O209" s="362">
        <f>IF($B209="","",IF(Sheet1!$Z$1=2,'Tabla de Pagos Crecientes'!O149,'Tabla Fijos'!Q154))</f>
        <v>0</v>
      </c>
      <c r="P209" s="362">
        <f ca="1">IF(B209="","",G209+H209+I209+J209+K209+L209-M209-'Tabla Fijos'!P154)</f>
        <v>10421.884210717653</v>
      </c>
      <c r="Q209" s="362">
        <f t="shared" ca="1" si="6"/>
        <v>664379.80076577037</v>
      </c>
      <c r="R209" s="272">
        <f t="shared" ca="1" si="7"/>
        <v>1</v>
      </c>
    </row>
    <row r="210" spans="1:18" ht="15.5" x14ac:dyDescent="0.35">
      <c r="A210" s="272"/>
      <c r="B210" s="360">
        <f t="shared" si="8"/>
        <v>144</v>
      </c>
      <c r="C210" s="361">
        <f ca="1">IF($B210="","",'Fecha Pago'!K147)</f>
        <v>50528</v>
      </c>
      <c r="D210" s="362">
        <f>IF($B$67="","",'Fecha Pago'!L147)</f>
        <v>30.4</v>
      </c>
      <c r="E210" s="363">
        <f>IF(B210="","",IF(Sheet1!$Z$1=2,'Tabla de Pagos Crecientes'!E150,$F$62))</f>
        <v>0.11</v>
      </c>
      <c r="F210" s="362">
        <f ca="1">IF($B210="","",IF(Sheet1!$Z$1=2,'Tabla de Pagos Crecientes'!F150,'Tabla Fijos'!F155))</f>
        <v>664379.80076577037</v>
      </c>
      <c r="G210" s="362">
        <f ca="1">IF($B210="","",IF(Sheet1!$Z$1=2,'Tabla de Pagos Crecientes'!G150,'Tabla Fijos'!G155))</f>
        <v>4250.5340613822755</v>
      </c>
      <c r="H210" s="362">
        <f ca="1">IF($B210="","",IF(Sheet1!$Z$1=2,'Tabla de Pagos Crecientes'!H150,'Tabla Fijos'!H155))</f>
        <v>6171.3501493353779</v>
      </c>
      <c r="I210" s="362">
        <f>IF($B210=0,0,IF(B210="","",VLOOKUP($B210,'Tabla Fijos'!$B$12:$S$311,8,0)))</f>
        <v>0</v>
      </c>
      <c r="J210" s="362">
        <f ca="1">IF($B210="","",IF(Sheet1!$Z$1=2,'Tabla de Pagos Crecientes'!J150,'Tabla Fijos'!K155))</f>
        <v>0</v>
      </c>
      <c r="K210" s="362">
        <f ca="1">IF($B210="","",IF(Sheet1!$Z$1=2,'Tabla de Pagos Crecientes'!K150,'Tabla Fijos'!L155))</f>
        <v>0</v>
      </c>
      <c r="L210" s="362">
        <f ca="1">IF($B210="","",IF(Sheet1!$Z$1=2,'Tabla de Pagos Crecientes'!L150,'Tabla Fijos'!M155))</f>
        <v>0</v>
      </c>
      <c r="M210" s="362">
        <f ca="1">IF($B210="","",IF(Sheet1!$Z$1=2,'Tabla de Pagos Crecientes'!M150,'Tabla Fijos'!N155))</f>
        <v>0</v>
      </c>
      <c r="N210" s="364"/>
      <c r="O210" s="362">
        <f>IF($B210="","",IF(Sheet1!$Z$1=2,'Tabla de Pagos Crecientes'!O150,'Tabla Fijos'!Q155))</f>
        <v>0</v>
      </c>
      <c r="P210" s="362">
        <f ca="1">IF(B210="","",G210+H210+I210+J210+K210+L210-M210-'Tabla Fijos'!P155)</f>
        <v>10421.884210717653</v>
      </c>
      <c r="Q210" s="362">
        <f t="shared" ca="1" si="6"/>
        <v>660129.26670438808</v>
      </c>
      <c r="R210" s="272">
        <f t="shared" ca="1" si="7"/>
        <v>1</v>
      </c>
    </row>
    <row r="211" spans="1:18" ht="15.5" x14ac:dyDescent="0.35">
      <c r="A211" s="272"/>
      <c r="B211" s="360">
        <f t="shared" si="8"/>
        <v>145</v>
      </c>
      <c r="C211" s="361">
        <f ca="1">IF($B211="","",'Fecha Pago'!K148)</f>
        <v>50559</v>
      </c>
      <c r="D211" s="362">
        <f>IF($B$67="","",'Fecha Pago'!L148)</f>
        <v>30.4</v>
      </c>
      <c r="E211" s="363">
        <f>IF(B211="","",IF(Sheet1!$Z$1=2,'Tabla de Pagos Crecientes'!E151,$F$62))</f>
        <v>0.11</v>
      </c>
      <c r="F211" s="362">
        <f ca="1">IF($B211="","",IF(Sheet1!$Z$1=2,'Tabla de Pagos Crecientes'!F151,'Tabla Fijos'!F156))</f>
        <v>660129.26670438808</v>
      </c>
      <c r="G211" s="362">
        <f ca="1">IF($B211="","",IF(Sheet1!$Z$1=2,'Tabla de Pagos Crecientes'!G151,'Tabla Fijos'!G156))</f>
        <v>4290.0167999968971</v>
      </c>
      <c r="H211" s="362">
        <f ca="1">IF($B211="","",IF(Sheet1!$Z$1=2,'Tabla de Pagos Crecientes'!H151,'Tabla Fijos'!H156))</f>
        <v>6131.8674107207598</v>
      </c>
      <c r="I211" s="362">
        <f>IF($B211=0,0,IF(B211="","",VLOOKUP($B211,'Tabla Fijos'!$B$12:$S$311,8,0)))</f>
        <v>0</v>
      </c>
      <c r="J211" s="362">
        <f ca="1">IF($B211="","",IF(Sheet1!$Z$1=2,'Tabla de Pagos Crecientes'!J151,'Tabla Fijos'!K156))</f>
        <v>0</v>
      </c>
      <c r="K211" s="362">
        <f ca="1">IF($B211="","",IF(Sheet1!$Z$1=2,'Tabla de Pagos Crecientes'!K151,'Tabla Fijos'!L156))</f>
        <v>0</v>
      </c>
      <c r="L211" s="362">
        <f ca="1">IF($B211="","",IF(Sheet1!$Z$1=2,'Tabla de Pagos Crecientes'!L151,'Tabla Fijos'!M156))</f>
        <v>0</v>
      </c>
      <c r="M211" s="362">
        <f ca="1">IF($B211="","",IF(Sheet1!$Z$1=2,'Tabla de Pagos Crecientes'!M151,'Tabla Fijos'!N156))</f>
        <v>0</v>
      </c>
      <c r="N211" s="364"/>
      <c r="O211" s="362">
        <f>IF($B211="","",IF(Sheet1!$Z$1=2,'Tabla de Pagos Crecientes'!O151,'Tabla Fijos'!Q156))</f>
        <v>0</v>
      </c>
      <c r="P211" s="362">
        <f ca="1">IF(B211="","",G211+H211+I211+J211+K211+L211-M211-'Tabla Fijos'!P156)</f>
        <v>10421.884210717657</v>
      </c>
      <c r="Q211" s="362">
        <f t="shared" ca="1" si="6"/>
        <v>655839.24990439124</v>
      </c>
      <c r="R211" s="272">
        <f t="shared" ca="1" si="7"/>
        <v>1</v>
      </c>
    </row>
    <row r="212" spans="1:18" ht="15.5" x14ac:dyDescent="0.35">
      <c r="A212" s="272"/>
      <c r="B212" s="360">
        <f t="shared" si="8"/>
        <v>146</v>
      </c>
      <c r="C212" s="361">
        <f ca="1">IF($B212="","",'Fecha Pago'!K149)</f>
        <v>50589</v>
      </c>
      <c r="D212" s="362">
        <f>IF($B$67="","",'Fecha Pago'!L149)</f>
        <v>30.4</v>
      </c>
      <c r="E212" s="363">
        <f>IF(B212="","",IF(Sheet1!$Z$1=2,'Tabla de Pagos Crecientes'!E152,$F$62))</f>
        <v>0.11</v>
      </c>
      <c r="F212" s="362">
        <f ca="1">IF($B212="","",IF(Sheet1!$Z$1=2,'Tabla de Pagos Crecientes'!F152,'Tabla Fijos'!F157))</f>
        <v>655839.24990439124</v>
      </c>
      <c r="G212" s="362">
        <f ca="1">IF($B212="","",IF(Sheet1!$Z$1=2,'Tabla de Pagos Crecientes'!G152,'Tabla Fijos'!G157))</f>
        <v>4329.8662893835308</v>
      </c>
      <c r="H212" s="362">
        <f ca="1">IF($B212="","",IF(Sheet1!$Z$1=2,'Tabla de Pagos Crecientes'!H152,'Tabla Fijos'!H157))</f>
        <v>6092.0179213341225</v>
      </c>
      <c r="I212" s="362">
        <f>IF($B212=0,0,IF(B212="","",VLOOKUP($B212,'Tabla Fijos'!$B$12:$S$311,8,0)))</f>
        <v>0</v>
      </c>
      <c r="J212" s="362">
        <f ca="1">IF($B212="","",IF(Sheet1!$Z$1=2,'Tabla de Pagos Crecientes'!J152,'Tabla Fijos'!K157))</f>
        <v>0</v>
      </c>
      <c r="K212" s="362">
        <f ca="1">IF($B212="","",IF(Sheet1!$Z$1=2,'Tabla de Pagos Crecientes'!K152,'Tabla Fijos'!L157))</f>
        <v>0</v>
      </c>
      <c r="L212" s="362">
        <f ca="1">IF($B212="","",IF(Sheet1!$Z$1=2,'Tabla de Pagos Crecientes'!L152,'Tabla Fijos'!M157))</f>
        <v>0</v>
      </c>
      <c r="M212" s="362">
        <f ca="1">IF($B212="","",IF(Sheet1!$Z$1=2,'Tabla de Pagos Crecientes'!M152,'Tabla Fijos'!N157))</f>
        <v>0</v>
      </c>
      <c r="N212" s="364"/>
      <c r="O212" s="362">
        <f>IF($B212="","",IF(Sheet1!$Z$1=2,'Tabla de Pagos Crecientes'!O152,'Tabla Fijos'!Q157))</f>
        <v>0</v>
      </c>
      <c r="P212" s="362">
        <f ca="1">IF(B212="","",G212+H212+I212+J212+K212+L212-M212-'Tabla Fijos'!P157)</f>
        <v>10421.884210717653</v>
      </c>
      <c r="Q212" s="362">
        <f t="shared" ca="1" si="6"/>
        <v>651509.38361500774</v>
      </c>
      <c r="R212" s="272">
        <f t="shared" ca="1" si="7"/>
        <v>1</v>
      </c>
    </row>
    <row r="213" spans="1:18" ht="15.5" x14ac:dyDescent="0.35">
      <c r="A213" s="272"/>
      <c r="B213" s="360">
        <f t="shared" si="8"/>
        <v>147</v>
      </c>
      <c r="C213" s="361">
        <f ca="1">IF($B213="","",'Fecha Pago'!K150)</f>
        <v>50620</v>
      </c>
      <c r="D213" s="362">
        <f>IF($B$67="","",'Fecha Pago'!L150)</f>
        <v>30.4</v>
      </c>
      <c r="E213" s="363">
        <f>IF(B213="","",IF(Sheet1!$Z$1=2,'Tabla de Pagos Crecientes'!E153,$F$62))</f>
        <v>0.11</v>
      </c>
      <c r="F213" s="362">
        <f ca="1">IF($B213="","",IF(Sheet1!$Z$1=2,'Tabla de Pagos Crecientes'!F153,'Tabla Fijos'!F158))</f>
        <v>651509.38361500774</v>
      </c>
      <c r="G213" s="362">
        <f ca="1">IF($B213="","",IF(Sheet1!$Z$1=2,'Tabla de Pagos Crecientes'!G153,'Tabla Fijos'!G158))</f>
        <v>4370.0859362493629</v>
      </c>
      <c r="H213" s="362">
        <f ca="1">IF($B213="","",IF(Sheet1!$Z$1=2,'Tabla de Pagos Crecientes'!H153,'Tabla Fijos'!H158))</f>
        <v>6051.798274468294</v>
      </c>
      <c r="I213" s="362">
        <f>IF($B213=0,0,IF(B213="","",VLOOKUP($B213,'Tabla Fijos'!$B$12:$S$311,8,0)))</f>
        <v>0</v>
      </c>
      <c r="J213" s="362">
        <f ca="1">IF($B213="","",IF(Sheet1!$Z$1=2,'Tabla de Pagos Crecientes'!J153,'Tabla Fijos'!K158))</f>
        <v>0</v>
      </c>
      <c r="K213" s="362">
        <f ca="1">IF($B213="","",IF(Sheet1!$Z$1=2,'Tabla de Pagos Crecientes'!K153,'Tabla Fijos'!L158))</f>
        <v>0</v>
      </c>
      <c r="L213" s="362">
        <f ca="1">IF($B213="","",IF(Sheet1!$Z$1=2,'Tabla de Pagos Crecientes'!L153,'Tabla Fijos'!M158))</f>
        <v>0</v>
      </c>
      <c r="M213" s="362">
        <f ca="1">IF($B213="","",IF(Sheet1!$Z$1=2,'Tabla de Pagos Crecientes'!M153,'Tabla Fijos'!N158))</f>
        <v>0</v>
      </c>
      <c r="N213" s="364"/>
      <c r="O213" s="362">
        <f>IF($B213="","",IF(Sheet1!$Z$1=2,'Tabla de Pagos Crecientes'!O153,'Tabla Fijos'!Q158))</f>
        <v>0</v>
      </c>
      <c r="P213" s="362">
        <f ca="1">IF(B213="","",G213+H213+I213+J213+K213+L213-M213-'Tabla Fijos'!P158)</f>
        <v>10421.884210717657</v>
      </c>
      <c r="Q213" s="362">
        <f t="shared" ca="1" si="6"/>
        <v>647139.29767875839</v>
      </c>
      <c r="R213" s="272">
        <f t="shared" ca="1" si="7"/>
        <v>1</v>
      </c>
    </row>
    <row r="214" spans="1:18" ht="15.5" x14ac:dyDescent="0.35">
      <c r="A214" s="272"/>
      <c r="B214" s="360">
        <f t="shared" si="8"/>
        <v>148</v>
      </c>
      <c r="C214" s="361">
        <f ca="1">IF($B214="","",'Fecha Pago'!K151)</f>
        <v>50651</v>
      </c>
      <c r="D214" s="362">
        <f>IF($B$67="","",'Fecha Pago'!L151)</f>
        <v>30.4</v>
      </c>
      <c r="E214" s="363">
        <f>IF(B214="","",IF(Sheet1!$Z$1=2,'Tabla de Pagos Crecientes'!E154,$F$62))</f>
        <v>0.11</v>
      </c>
      <c r="F214" s="362">
        <f ca="1">IF($B214="","",IF(Sheet1!$Z$1=2,'Tabla de Pagos Crecientes'!F154,'Tabla Fijos'!F159))</f>
        <v>647139.29767875839</v>
      </c>
      <c r="G214" s="362">
        <f ca="1">IF($B214="","",IF(Sheet1!$Z$1=2,'Tabla de Pagos Crecientes'!G154,'Tabla Fijos'!G159))</f>
        <v>4410.6791789460794</v>
      </c>
      <c r="H214" s="362">
        <f ca="1">IF($B214="","",IF(Sheet1!$Z$1=2,'Tabla de Pagos Crecientes'!H154,'Tabla Fijos'!H159))</f>
        <v>6011.2050317715775</v>
      </c>
      <c r="I214" s="362">
        <f>IF($B214=0,0,IF(B214="","",VLOOKUP($B214,'Tabla Fijos'!$B$12:$S$311,8,0)))</f>
        <v>0</v>
      </c>
      <c r="J214" s="362">
        <f ca="1">IF($B214="","",IF(Sheet1!$Z$1=2,'Tabla de Pagos Crecientes'!J154,'Tabla Fijos'!K159))</f>
        <v>0</v>
      </c>
      <c r="K214" s="362">
        <f ca="1">IF($B214="","",IF(Sheet1!$Z$1=2,'Tabla de Pagos Crecientes'!K154,'Tabla Fijos'!L159))</f>
        <v>0</v>
      </c>
      <c r="L214" s="362">
        <f ca="1">IF($B214="","",IF(Sheet1!$Z$1=2,'Tabla de Pagos Crecientes'!L154,'Tabla Fijos'!M159))</f>
        <v>0</v>
      </c>
      <c r="M214" s="362">
        <f ca="1">IF($B214="","",IF(Sheet1!$Z$1=2,'Tabla de Pagos Crecientes'!M154,'Tabla Fijos'!N159))</f>
        <v>0</v>
      </c>
      <c r="N214" s="364"/>
      <c r="O214" s="362">
        <f>IF($B214="","",IF(Sheet1!$Z$1=2,'Tabla de Pagos Crecientes'!O154,'Tabla Fijos'!Q159))</f>
        <v>0</v>
      </c>
      <c r="P214" s="362">
        <f ca="1">IF(B214="","",G214+H214+I214+J214+K214+L214-M214-'Tabla Fijos'!P159)</f>
        <v>10421.884210717657</v>
      </c>
      <c r="Q214" s="362">
        <f t="shared" ca="1" si="6"/>
        <v>642728.61849981232</v>
      </c>
      <c r="R214" s="272">
        <f t="shared" ca="1" si="7"/>
        <v>1</v>
      </c>
    </row>
    <row r="215" spans="1:18" ht="15.5" x14ac:dyDescent="0.35">
      <c r="A215" s="272"/>
      <c r="B215" s="360">
        <f t="shared" si="8"/>
        <v>149</v>
      </c>
      <c r="C215" s="361">
        <f ca="1">IF($B215="","",'Fecha Pago'!K152)</f>
        <v>50681</v>
      </c>
      <c r="D215" s="362">
        <f>IF($B$67="","",'Fecha Pago'!L152)</f>
        <v>30.4</v>
      </c>
      <c r="E215" s="363">
        <f>IF(B215="","",IF(Sheet1!$Z$1=2,'Tabla de Pagos Crecientes'!E155,$F$62))</f>
        <v>0.11</v>
      </c>
      <c r="F215" s="362">
        <f ca="1">IF($B215="","",IF(Sheet1!$Z$1=2,'Tabla de Pagos Crecientes'!F155,'Tabla Fijos'!F160))</f>
        <v>642728.61849981232</v>
      </c>
      <c r="G215" s="362">
        <f ca="1">IF($B215="","",IF(Sheet1!$Z$1=2,'Tabla de Pagos Crecientes'!G155,'Tabla Fijos'!G160))</f>
        <v>4451.649487763847</v>
      </c>
      <c r="H215" s="362">
        <f ca="1">IF($B215="","",IF(Sheet1!$Z$1=2,'Tabla de Pagos Crecientes'!H155,'Tabla Fijos'!H160))</f>
        <v>5970.2347229538118</v>
      </c>
      <c r="I215" s="362">
        <f>IF($B215=0,0,IF(B215="","",VLOOKUP($B215,'Tabla Fijos'!$B$12:$S$311,8,0)))</f>
        <v>0</v>
      </c>
      <c r="J215" s="362">
        <f ca="1">IF($B215="","",IF(Sheet1!$Z$1=2,'Tabla de Pagos Crecientes'!J155,'Tabla Fijos'!K160))</f>
        <v>0</v>
      </c>
      <c r="K215" s="362">
        <f ca="1">IF($B215="","",IF(Sheet1!$Z$1=2,'Tabla de Pagos Crecientes'!K155,'Tabla Fijos'!L160))</f>
        <v>0</v>
      </c>
      <c r="L215" s="362">
        <f ca="1">IF($B215="","",IF(Sheet1!$Z$1=2,'Tabla de Pagos Crecientes'!L155,'Tabla Fijos'!M160))</f>
        <v>0</v>
      </c>
      <c r="M215" s="362">
        <f ca="1">IF($B215="","",IF(Sheet1!$Z$1=2,'Tabla de Pagos Crecientes'!M155,'Tabla Fijos'!N160))</f>
        <v>0</v>
      </c>
      <c r="N215" s="364"/>
      <c r="O215" s="362">
        <f>IF($B215="","",IF(Sheet1!$Z$1=2,'Tabla de Pagos Crecientes'!O155,'Tabla Fijos'!Q160))</f>
        <v>0</v>
      </c>
      <c r="P215" s="362">
        <f ca="1">IF(B215="","",G215+H215+I215+J215+K215+L215-M215-'Tabla Fijos'!P160)</f>
        <v>10421.884210717659</v>
      </c>
      <c r="Q215" s="362">
        <f t="shared" ca="1" si="6"/>
        <v>638276.96901204844</v>
      </c>
      <c r="R215" s="272">
        <f t="shared" ca="1" si="7"/>
        <v>1</v>
      </c>
    </row>
    <row r="216" spans="1:18" ht="15.5" x14ac:dyDescent="0.35">
      <c r="A216" s="272"/>
      <c r="B216" s="360">
        <f t="shared" si="8"/>
        <v>150</v>
      </c>
      <c r="C216" s="361">
        <f ca="1">IF($B216="","",'Fecha Pago'!K153)</f>
        <v>50712</v>
      </c>
      <c r="D216" s="362">
        <f>IF($B$67="","",'Fecha Pago'!L153)</f>
        <v>30.4</v>
      </c>
      <c r="E216" s="363">
        <f>IF(B216="","",IF(Sheet1!$Z$1=2,'Tabla de Pagos Crecientes'!E156,$F$62))</f>
        <v>0.11</v>
      </c>
      <c r="F216" s="362">
        <f ca="1">IF($B216="","",IF(Sheet1!$Z$1=2,'Tabla de Pagos Crecientes'!F156,'Tabla Fijos'!F161))</f>
        <v>638276.96901204844</v>
      </c>
      <c r="G216" s="362">
        <f ca="1">IF($B216="","",IF(Sheet1!$Z$1=2,'Tabla de Pagos Crecientes'!G156,'Tabla Fijos'!G161))</f>
        <v>4493.0003652279629</v>
      </c>
      <c r="H216" s="362">
        <f ca="1">IF($B216="","",IF(Sheet1!$Z$1=2,'Tabla de Pagos Crecientes'!H156,'Tabla Fijos'!H161))</f>
        <v>5928.8838454896941</v>
      </c>
      <c r="I216" s="362">
        <f>IF($B216=0,0,IF(B216="","",VLOOKUP($B216,'Tabla Fijos'!$B$12:$S$311,8,0)))</f>
        <v>0</v>
      </c>
      <c r="J216" s="362">
        <f ca="1">IF($B216="","",IF(Sheet1!$Z$1=2,'Tabla de Pagos Crecientes'!J156,'Tabla Fijos'!K161))</f>
        <v>0</v>
      </c>
      <c r="K216" s="362">
        <f ca="1">IF($B216="","",IF(Sheet1!$Z$1=2,'Tabla de Pagos Crecientes'!K156,'Tabla Fijos'!L161))</f>
        <v>0</v>
      </c>
      <c r="L216" s="362">
        <f ca="1">IF($B216="","",IF(Sheet1!$Z$1=2,'Tabla de Pagos Crecientes'!L156,'Tabla Fijos'!M161))</f>
        <v>0</v>
      </c>
      <c r="M216" s="362">
        <f ca="1">IF($B216="","",IF(Sheet1!$Z$1=2,'Tabla de Pagos Crecientes'!M156,'Tabla Fijos'!N161))</f>
        <v>0</v>
      </c>
      <c r="N216" s="364"/>
      <c r="O216" s="362">
        <f>IF($B216="","",IF(Sheet1!$Z$1=2,'Tabla de Pagos Crecientes'!O156,'Tabla Fijos'!Q161))</f>
        <v>0</v>
      </c>
      <c r="P216" s="362">
        <f ca="1">IF(B216="","",G216+H216+I216+J216+K216+L216-M216-'Tabla Fijos'!P161)</f>
        <v>10421.884210717657</v>
      </c>
      <c r="Q216" s="362">
        <f t="shared" ca="1" si="6"/>
        <v>633783.96864682052</v>
      </c>
      <c r="R216" s="272">
        <f t="shared" ca="1" si="7"/>
        <v>1</v>
      </c>
    </row>
    <row r="217" spans="1:18" ht="15.5" x14ac:dyDescent="0.35">
      <c r="A217" s="272"/>
      <c r="B217" s="360">
        <f t="shared" si="8"/>
        <v>151</v>
      </c>
      <c r="C217" s="361">
        <f ca="1">IF($B217="","",'Fecha Pago'!K154)</f>
        <v>50742</v>
      </c>
      <c r="D217" s="362">
        <f>IF($B$67="","",'Fecha Pago'!L154)</f>
        <v>30.4</v>
      </c>
      <c r="E217" s="363">
        <f>IF(B217="","",IF(Sheet1!$Z$1=2,'Tabla de Pagos Crecientes'!E157,$F$62))</f>
        <v>0.11</v>
      </c>
      <c r="F217" s="362">
        <f ca="1">IF($B217="","",IF(Sheet1!$Z$1=2,'Tabla de Pagos Crecientes'!F157,'Tabla Fijos'!F162))</f>
        <v>633783.96864682052</v>
      </c>
      <c r="G217" s="362">
        <f ca="1">IF($B217="","",IF(Sheet1!$Z$1=2,'Tabla de Pagos Crecientes'!G157,'Tabla Fijos'!G162))</f>
        <v>4534.7353463983027</v>
      </c>
      <c r="H217" s="362">
        <f ca="1">IF($B217="","",IF(Sheet1!$Z$1=2,'Tabla de Pagos Crecientes'!H157,'Tabla Fijos'!H162))</f>
        <v>5887.1488643193543</v>
      </c>
      <c r="I217" s="362">
        <f>IF($B217=0,0,IF(B217="","",VLOOKUP($B217,'Tabla Fijos'!$B$12:$S$311,8,0)))</f>
        <v>0</v>
      </c>
      <c r="J217" s="362">
        <f ca="1">IF($B217="","",IF(Sheet1!$Z$1=2,'Tabla de Pagos Crecientes'!J157,'Tabla Fijos'!K162))</f>
        <v>0</v>
      </c>
      <c r="K217" s="362">
        <f ca="1">IF($B217="","",IF(Sheet1!$Z$1=2,'Tabla de Pagos Crecientes'!K157,'Tabla Fijos'!L162))</f>
        <v>0</v>
      </c>
      <c r="L217" s="362">
        <f ca="1">IF($B217="","",IF(Sheet1!$Z$1=2,'Tabla de Pagos Crecientes'!L157,'Tabla Fijos'!M162))</f>
        <v>0</v>
      </c>
      <c r="M217" s="362">
        <f ca="1">IF($B217="","",IF(Sheet1!$Z$1=2,'Tabla de Pagos Crecientes'!M157,'Tabla Fijos'!N162))</f>
        <v>0</v>
      </c>
      <c r="N217" s="364"/>
      <c r="O217" s="362">
        <f>IF($B217="","",IF(Sheet1!$Z$1=2,'Tabla de Pagos Crecientes'!O157,'Tabla Fijos'!Q162))</f>
        <v>0</v>
      </c>
      <c r="P217" s="362">
        <f ca="1">IF(B217="","",G217+H217+I217+J217+K217+L217-M217-'Tabla Fijos'!P162)</f>
        <v>10421.884210717657</v>
      </c>
      <c r="Q217" s="362">
        <f t="shared" ca="1" si="6"/>
        <v>629249.2333004222</v>
      </c>
      <c r="R217" s="272">
        <f t="shared" ca="1" si="7"/>
        <v>1</v>
      </c>
    </row>
    <row r="218" spans="1:18" ht="15.5" x14ac:dyDescent="0.35">
      <c r="A218" s="272"/>
      <c r="B218" s="360">
        <f t="shared" si="8"/>
        <v>152</v>
      </c>
      <c r="C218" s="361">
        <f ca="1">IF($B218="","",'Fecha Pago'!K155)</f>
        <v>50773</v>
      </c>
      <c r="D218" s="362">
        <f>IF($B$67="","",'Fecha Pago'!L155)</f>
        <v>30.4</v>
      </c>
      <c r="E218" s="363">
        <f>IF(B218="","",IF(Sheet1!$Z$1=2,'Tabla de Pagos Crecientes'!E158,$F$62))</f>
        <v>0.11</v>
      </c>
      <c r="F218" s="362">
        <f ca="1">IF($B218="","",IF(Sheet1!$Z$1=2,'Tabla de Pagos Crecientes'!F158,'Tabla Fijos'!F163))</f>
        <v>629249.2333004222</v>
      </c>
      <c r="G218" s="362">
        <f ca="1">IF($B218="","",IF(Sheet1!$Z$1=2,'Tabla de Pagos Crecientes'!G158,'Tabla Fijos'!G163))</f>
        <v>4576.8579991715151</v>
      </c>
      <c r="H218" s="362">
        <f ca="1">IF($B218="","",IF(Sheet1!$Z$1=2,'Tabla de Pagos Crecientes'!H158,'Tabla Fijos'!H163))</f>
        <v>5845.0262115461437</v>
      </c>
      <c r="I218" s="362">
        <f>IF($B218=0,0,IF(B218="","",VLOOKUP($B218,'Tabla Fijos'!$B$12:$S$311,8,0)))</f>
        <v>0</v>
      </c>
      <c r="J218" s="362">
        <f ca="1">IF($B218="","",IF(Sheet1!$Z$1=2,'Tabla de Pagos Crecientes'!J158,'Tabla Fijos'!K163))</f>
        <v>0</v>
      </c>
      <c r="K218" s="362">
        <f ca="1">IF($B218="","",IF(Sheet1!$Z$1=2,'Tabla de Pagos Crecientes'!K158,'Tabla Fijos'!L163))</f>
        <v>0</v>
      </c>
      <c r="L218" s="362">
        <f ca="1">IF($B218="","",IF(Sheet1!$Z$1=2,'Tabla de Pagos Crecientes'!L158,'Tabla Fijos'!M163))</f>
        <v>0</v>
      </c>
      <c r="M218" s="362">
        <f ca="1">IF($B218="","",IF(Sheet1!$Z$1=2,'Tabla de Pagos Crecientes'!M158,'Tabla Fijos'!N163))</f>
        <v>0</v>
      </c>
      <c r="N218" s="364"/>
      <c r="O218" s="362">
        <f>IF($B218="","",IF(Sheet1!$Z$1=2,'Tabla de Pagos Crecientes'!O158,'Tabla Fijos'!Q163))</f>
        <v>0</v>
      </c>
      <c r="P218" s="362">
        <f ca="1">IF(B218="","",G218+H218+I218+J218+K218+L218-M218-'Tabla Fijos'!P163)</f>
        <v>10421.884210717659</v>
      </c>
      <c r="Q218" s="362">
        <f t="shared" ca="1" si="6"/>
        <v>624672.37530125072</v>
      </c>
      <c r="R218" s="272">
        <f t="shared" ca="1" si="7"/>
        <v>1</v>
      </c>
    </row>
    <row r="219" spans="1:18" ht="15.5" x14ac:dyDescent="0.35">
      <c r="A219" s="272"/>
      <c r="B219" s="360">
        <f t="shared" si="8"/>
        <v>153</v>
      </c>
      <c r="C219" s="361">
        <f ca="1">IF($B219="","",'Fecha Pago'!K156)</f>
        <v>50804</v>
      </c>
      <c r="D219" s="362">
        <f>IF($B$67="","",'Fecha Pago'!L156)</f>
        <v>30.4</v>
      </c>
      <c r="E219" s="363">
        <f>IF(B219="","",IF(Sheet1!$Z$1=2,'Tabla de Pagos Crecientes'!E159,$F$62))</f>
        <v>0.11</v>
      </c>
      <c r="F219" s="362">
        <f ca="1">IF($B219="","",IF(Sheet1!$Z$1=2,'Tabla de Pagos Crecientes'!F159,'Tabla Fijos'!F164))</f>
        <v>624672.37530125072</v>
      </c>
      <c r="G219" s="362">
        <f ca="1">IF($B219="","",IF(Sheet1!$Z$1=2,'Tabla de Pagos Crecientes'!G159,'Tabla Fijos'!G164))</f>
        <v>4619.3719245860411</v>
      </c>
      <c r="H219" s="362">
        <f ca="1">IF($B219="","",IF(Sheet1!$Z$1=2,'Tabla de Pagos Crecientes'!H159,'Tabla Fijos'!H164))</f>
        <v>5802.5122861316177</v>
      </c>
      <c r="I219" s="362">
        <f>IF($B219=0,0,IF(B219="","",VLOOKUP($B219,'Tabla Fijos'!$B$12:$S$311,8,0)))</f>
        <v>0</v>
      </c>
      <c r="J219" s="362">
        <f ca="1">IF($B219="","",IF(Sheet1!$Z$1=2,'Tabla de Pagos Crecientes'!J159,'Tabla Fijos'!K164))</f>
        <v>0</v>
      </c>
      <c r="K219" s="362">
        <f ca="1">IF($B219="","",IF(Sheet1!$Z$1=2,'Tabla de Pagos Crecientes'!K159,'Tabla Fijos'!L164))</f>
        <v>0</v>
      </c>
      <c r="L219" s="362">
        <f ca="1">IF($B219="","",IF(Sheet1!$Z$1=2,'Tabla de Pagos Crecientes'!L159,'Tabla Fijos'!M164))</f>
        <v>0</v>
      </c>
      <c r="M219" s="362">
        <f ca="1">IF($B219="","",IF(Sheet1!$Z$1=2,'Tabla de Pagos Crecientes'!M159,'Tabla Fijos'!N164))</f>
        <v>0</v>
      </c>
      <c r="N219" s="364"/>
      <c r="O219" s="362">
        <f>IF($B219="","",IF(Sheet1!$Z$1=2,'Tabla de Pagos Crecientes'!O159,'Tabla Fijos'!Q164))</f>
        <v>0</v>
      </c>
      <c r="P219" s="362">
        <f ca="1">IF(B219="","",G219+H219+I219+J219+K219+L219-M219-'Tabla Fijos'!P164)</f>
        <v>10421.884210717659</v>
      </c>
      <c r="Q219" s="362">
        <f t="shared" ca="1" si="6"/>
        <v>620053.00337666471</v>
      </c>
      <c r="R219" s="272">
        <f t="shared" ca="1" si="7"/>
        <v>1</v>
      </c>
    </row>
    <row r="220" spans="1:18" ht="15.5" x14ac:dyDescent="0.35">
      <c r="A220" s="272"/>
      <c r="B220" s="360">
        <f t="shared" si="8"/>
        <v>154</v>
      </c>
      <c r="C220" s="361">
        <f ca="1">IF($B220="","",'Fecha Pago'!K157)</f>
        <v>50832</v>
      </c>
      <c r="D220" s="362">
        <f>IF($B$67="","",'Fecha Pago'!L157)</f>
        <v>30.4</v>
      </c>
      <c r="E220" s="363">
        <f>IF(B220="","",IF(Sheet1!$Z$1=2,'Tabla de Pagos Crecientes'!E160,$F$62))</f>
        <v>0.11</v>
      </c>
      <c r="F220" s="362">
        <f ca="1">IF($B220="","",IF(Sheet1!$Z$1=2,'Tabla de Pagos Crecientes'!F160,'Tabla Fijos'!F165))</f>
        <v>620053.00337666471</v>
      </c>
      <c r="G220" s="362">
        <f ca="1">IF($B220="","",IF(Sheet1!$Z$1=2,'Tabla de Pagos Crecientes'!G160,'Tabla Fijos'!G165))</f>
        <v>4662.2807571299736</v>
      </c>
      <c r="H220" s="362">
        <f ca="1">IF($B220="","",IF(Sheet1!$Z$1=2,'Tabla de Pagos Crecientes'!H160,'Tabla Fijos'!H165))</f>
        <v>5759.6034535876852</v>
      </c>
      <c r="I220" s="362">
        <f>IF($B220=0,0,IF(B220="","",VLOOKUP($B220,'Tabla Fijos'!$B$12:$S$311,8,0)))</f>
        <v>0</v>
      </c>
      <c r="J220" s="362">
        <f ca="1">IF($B220="","",IF(Sheet1!$Z$1=2,'Tabla de Pagos Crecientes'!J160,'Tabla Fijos'!K165))</f>
        <v>0</v>
      </c>
      <c r="K220" s="362">
        <f ca="1">IF($B220="","",IF(Sheet1!$Z$1=2,'Tabla de Pagos Crecientes'!K160,'Tabla Fijos'!L165))</f>
        <v>0</v>
      </c>
      <c r="L220" s="362">
        <f ca="1">IF($B220="","",IF(Sheet1!$Z$1=2,'Tabla de Pagos Crecientes'!L160,'Tabla Fijos'!M165))</f>
        <v>0</v>
      </c>
      <c r="M220" s="362">
        <f ca="1">IF($B220="","",IF(Sheet1!$Z$1=2,'Tabla de Pagos Crecientes'!M160,'Tabla Fijos'!N165))</f>
        <v>0</v>
      </c>
      <c r="N220" s="364"/>
      <c r="O220" s="362">
        <f>IF($B220="","",IF(Sheet1!$Z$1=2,'Tabla de Pagos Crecientes'!O160,'Tabla Fijos'!Q165))</f>
        <v>0</v>
      </c>
      <c r="P220" s="362">
        <f ca="1">IF(B220="","",G220+H220+I220+J220+K220+L220-M220-'Tabla Fijos'!P165)</f>
        <v>10421.884210717659</v>
      </c>
      <c r="Q220" s="362">
        <f t="shared" ca="1" si="6"/>
        <v>615390.7226195347</v>
      </c>
      <c r="R220" s="272">
        <f t="shared" ca="1" si="7"/>
        <v>1</v>
      </c>
    </row>
    <row r="221" spans="1:18" ht="15.5" x14ac:dyDescent="0.35">
      <c r="A221" s="272"/>
      <c r="B221" s="360">
        <f t="shared" si="8"/>
        <v>155</v>
      </c>
      <c r="C221" s="361">
        <f ca="1">IF($B221="","",'Fecha Pago'!K158)</f>
        <v>50863</v>
      </c>
      <c r="D221" s="362">
        <f>IF($B$67="","",'Fecha Pago'!L158)</f>
        <v>30.4</v>
      </c>
      <c r="E221" s="363">
        <f>IF(B221="","",IF(Sheet1!$Z$1=2,'Tabla de Pagos Crecientes'!E161,$F$62))</f>
        <v>0.11</v>
      </c>
      <c r="F221" s="362">
        <f ca="1">IF($B221="","",IF(Sheet1!$Z$1=2,'Tabla de Pagos Crecientes'!F161,'Tabla Fijos'!F166))</f>
        <v>615390.7226195347</v>
      </c>
      <c r="G221" s="362">
        <f ca="1">IF($B221="","",IF(Sheet1!$Z$1=2,'Tabla de Pagos Crecientes'!G161,'Tabla Fijos'!G166))</f>
        <v>4705.5881650517576</v>
      </c>
      <c r="H221" s="362">
        <f ca="1">IF($B221="","",IF(Sheet1!$Z$1=2,'Tabla de Pagos Crecientes'!H161,'Tabla Fijos'!H166))</f>
        <v>5716.2960456658993</v>
      </c>
      <c r="I221" s="362">
        <f>IF($B221=0,0,IF(B221="","",VLOOKUP($B221,'Tabla Fijos'!$B$12:$S$311,8,0)))</f>
        <v>0</v>
      </c>
      <c r="J221" s="362">
        <f ca="1">IF($B221="","",IF(Sheet1!$Z$1=2,'Tabla de Pagos Crecientes'!J161,'Tabla Fijos'!K166))</f>
        <v>0</v>
      </c>
      <c r="K221" s="362">
        <f ca="1">IF($B221="","",IF(Sheet1!$Z$1=2,'Tabla de Pagos Crecientes'!K161,'Tabla Fijos'!L166))</f>
        <v>0</v>
      </c>
      <c r="L221" s="362">
        <f ca="1">IF($B221="","",IF(Sheet1!$Z$1=2,'Tabla de Pagos Crecientes'!L161,'Tabla Fijos'!M166))</f>
        <v>0</v>
      </c>
      <c r="M221" s="362">
        <f ca="1">IF($B221="","",IF(Sheet1!$Z$1=2,'Tabla de Pagos Crecientes'!M161,'Tabla Fijos'!N166))</f>
        <v>0</v>
      </c>
      <c r="N221" s="364"/>
      <c r="O221" s="362">
        <f>IF($B221="","",IF(Sheet1!$Z$1=2,'Tabla de Pagos Crecientes'!O161,'Tabla Fijos'!Q166))</f>
        <v>0</v>
      </c>
      <c r="P221" s="362">
        <f ca="1">IF(B221="","",G221+H221+I221+J221+K221+L221-M221-'Tabla Fijos'!P166)</f>
        <v>10421.884210717657</v>
      </c>
      <c r="Q221" s="362">
        <f t="shared" ca="1" si="6"/>
        <v>610685.13445448293</v>
      </c>
      <c r="R221" s="272">
        <f t="shared" ca="1" si="7"/>
        <v>1</v>
      </c>
    </row>
    <row r="222" spans="1:18" ht="15.5" x14ac:dyDescent="0.35">
      <c r="A222" s="272"/>
      <c r="B222" s="360">
        <f t="shared" si="8"/>
        <v>156</v>
      </c>
      <c r="C222" s="361">
        <f ca="1">IF($B222="","",'Fecha Pago'!K159)</f>
        <v>50893</v>
      </c>
      <c r="D222" s="362">
        <f>IF($B$67="","",'Fecha Pago'!L159)</f>
        <v>30.4</v>
      </c>
      <c r="E222" s="363">
        <f>IF(B222="","",IF(Sheet1!$Z$1=2,'Tabla de Pagos Crecientes'!E162,$F$62))</f>
        <v>0.11</v>
      </c>
      <c r="F222" s="362">
        <f ca="1">IF($B222="","",IF(Sheet1!$Z$1=2,'Tabla de Pagos Crecientes'!F162,'Tabla Fijos'!F167))</f>
        <v>610685.13445448293</v>
      </c>
      <c r="G222" s="362">
        <f ca="1">IF($B222="","",IF(Sheet1!$Z$1=2,'Tabla de Pagos Crecientes'!G162,'Tabla Fijos'!G167))</f>
        <v>4749.2978506737954</v>
      </c>
      <c r="H222" s="362">
        <f ca="1">IF($B222="","",IF(Sheet1!$Z$1=2,'Tabla de Pagos Crecientes'!H162,'Tabla Fijos'!H167))</f>
        <v>5672.5863600438634</v>
      </c>
      <c r="I222" s="362">
        <f>IF($B222=0,0,IF(B222="","",VLOOKUP($B222,'Tabla Fijos'!$B$12:$S$311,8,0)))</f>
        <v>0</v>
      </c>
      <c r="J222" s="362">
        <f ca="1">IF($B222="","",IF(Sheet1!$Z$1=2,'Tabla de Pagos Crecientes'!J162,'Tabla Fijos'!K167))</f>
        <v>0</v>
      </c>
      <c r="K222" s="362">
        <f ca="1">IF($B222="","",IF(Sheet1!$Z$1=2,'Tabla de Pagos Crecientes'!K162,'Tabla Fijos'!L167))</f>
        <v>0</v>
      </c>
      <c r="L222" s="362">
        <f ca="1">IF($B222="","",IF(Sheet1!$Z$1=2,'Tabla de Pagos Crecientes'!L162,'Tabla Fijos'!M167))</f>
        <v>0</v>
      </c>
      <c r="M222" s="362">
        <f ca="1">IF($B222="","",IF(Sheet1!$Z$1=2,'Tabla de Pagos Crecientes'!M162,'Tabla Fijos'!N167))</f>
        <v>0</v>
      </c>
      <c r="N222" s="364"/>
      <c r="O222" s="362">
        <f>IF($B222="","",IF(Sheet1!$Z$1=2,'Tabla de Pagos Crecientes'!O162,'Tabla Fijos'!Q167))</f>
        <v>0</v>
      </c>
      <c r="P222" s="362">
        <f ca="1">IF(B222="","",G222+H222+I222+J222+K222+L222-M222-'Tabla Fijos'!P167)</f>
        <v>10421.884210717659</v>
      </c>
      <c r="Q222" s="362">
        <f t="shared" ca="1" si="6"/>
        <v>605935.83660380915</v>
      </c>
      <c r="R222" s="272">
        <f t="shared" ca="1" si="7"/>
        <v>1</v>
      </c>
    </row>
    <row r="223" spans="1:18" ht="15.5" x14ac:dyDescent="0.35">
      <c r="A223" s="272"/>
      <c r="B223" s="360">
        <f t="shared" si="8"/>
        <v>157</v>
      </c>
      <c r="C223" s="361">
        <f ca="1">IF($B223="","",'Fecha Pago'!K160)</f>
        <v>50924</v>
      </c>
      <c r="D223" s="362">
        <f>IF($B$67="","",'Fecha Pago'!L160)</f>
        <v>30.4</v>
      </c>
      <c r="E223" s="363">
        <f>IF(B223="","",IF(Sheet1!$Z$1=2,'Tabla de Pagos Crecientes'!E163,$F$62))</f>
        <v>0.11</v>
      </c>
      <c r="F223" s="362">
        <f ca="1">IF($B223="","",IF(Sheet1!$Z$1=2,'Tabla de Pagos Crecientes'!F163,'Tabla Fijos'!F168))</f>
        <v>605935.83660380915</v>
      </c>
      <c r="G223" s="362">
        <f ca="1">IF($B223="","",IF(Sheet1!$Z$1=2,'Tabla de Pagos Crecientes'!G163,'Tabla Fijos'!G168))</f>
        <v>4793.4135507089431</v>
      </c>
      <c r="H223" s="362">
        <f ca="1">IF($B223="","",IF(Sheet1!$Z$1=2,'Tabla de Pagos Crecientes'!H163,'Tabla Fijos'!H168))</f>
        <v>5628.4706600087156</v>
      </c>
      <c r="I223" s="362">
        <f>IF($B223=0,0,IF(B223="","",VLOOKUP($B223,'Tabla Fijos'!$B$12:$S$311,8,0)))</f>
        <v>0</v>
      </c>
      <c r="J223" s="362">
        <f ca="1">IF($B223="","",IF(Sheet1!$Z$1=2,'Tabla de Pagos Crecientes'!J163,'Tabla Fijos'!K168))</f>
        <v>0</v>
      </c>
      <c r="K223" s="362">
        <f ca="1">IF($B223="","",IF(Sheet1!$Z$1=2,'Tabla de Pagos Crecientes'!K163,'Tabla Fijos'!L168))</f>
        <v>0</v>
      </c>
      <c r="L223" s="362">
        <f ca="1">IF($B223="","",IF(Sheet1!$Z$1=2,'Tabla de Pagos Crecientes'!L163,'Tabla Fijos'!M168))</f>
        <v>0</v>
      </c>
      <c r="M223" s="362">
        <f ca="1">IF($B223="","",IF(Sheet1!$Z$1=2,'Tabla de Pagos Crecientes'!M163,'Tabla Fijos'!N168))</f>
        <v>0</v>
      </c>
      <c r="N223" s="364"/>
      <c r="O223" s="362">
        <f>IF($B223="","",IF(Sheet1!$Z$1=2,'Tabla de Pagos Crecientes'!O163,'Tabla Fijos'!Q168))</f>
        <v>0</v>
      </c>
      <c r="P223" s="362">
        <f ca="1">IF(B223="","",G223+H223+I223+J223+K223+L223-M223-'Tabla Fijos'!P168)</f>
        <v>10421.884210717659</v>
      </c>
      <c r="Q223" s="362">
        <f t="shared" ca="1" si="6"/>
        <v>601142.42305310024</v>
      </c>
      <c r="R223" s="272">
        <f t="shared" ca="1" si="7"/>
        <v>1</v>
      </c>
    </row>
    <row r="224" spans="1:18" ht="15.5" x14ac:dyDescent="0.35">
      <c r="A224" s="272"/>
      <c r="B224" s="360">
        <f t="shared" si="8"/>
        <v>158</v>
      </c>
      <c r="C224" s="361">
        <f ca="1">IF($B224="","",'Fecha Pago'!K161)</f>
        <v>50954</v>
      </c>
      <c r="D224" s="362">
        <f>IF($B$67="","",'Fecha Pago'!L161)</f>
        <v>30.4</v>
      </c>
      <c r="E224" s="363">
        <f>IF(B224="","",IF(Sheet1!$Z$1=2,'Tabla de Pagos Crecientes'!E164,$F$62))</f>
        <v>0.11</v>
      </c>
      <c r="F224" s="362">
        <f ca="1">IF($B224="","",IF(Sheet1!$Z$1=2,'Tabla de Pagos Crecientes'!F164,'Tabla Fijos'!F169))</f>
        <v>601142.42305310024</v>
      </c>
      <c r="G224" s="362">
        <f ca="1">IF($B224="","",IF(Sheet1!$Z$1=2,'Tabla de Pagos Crecientes'!G164,'Tabla Fijos'!G169))</f>
        <v>4837.9390365799727</v>
      </c>
      <c r="H224" s="362">
        <f ca="1">IF($B224="","",IF(Sheet1!$Z$1=2,'Tabla de Pagos Crecientes'!H164,'Tabla Fijos'!H169))</f>
        <v>5583.9451741376861</v>
      </c>
      <c r="I224" s="362">
        <f>IF($B224=0,0,IF(B224="","",VLOOKUP($B224,'Tabla Fijos'!$B$12:$S$311,8,0)))</f>
        <v>0</v>
      </c>
      <c r="J224" s="362">
        <f ca="1">IF($B224="","",IF(Sheet1!$Z$1=2,'Tabla de Pagos Crecientes'!J164,'Tabla Fijos'!K169))</f>
        <v>0</v>
      </c>
      <c r="K224" s="362">
        <f ca="1">IF($B224="","",IF(Sheet1!$Z$1=2,'Tabla de Pagos Crecientes'!K164,'Tabla Fijos'!L169))</f>
        <v>0</v>
      </c>
      <c r="L224" s="362">
        <f ca="1">IF($B224="","",IF(Sheet1!$Z$1=2,'Tabla de Pagos Crecientes'!L164,'Tabla Fijos'!M169))</f>
        <v>0</v>
      </c>
      <c r="M224" s="362">
        <f ca="1">IF($B224="","",IF(Sheet1!$Z$1=2,'Tabla de Pagos Crecientes'!M164,'Tabla Fijos'!N169))</f>
        <v>0</v>
      </c>
      <c r="N224" s="364"/>
      <c r="O224" s="362">
        <f>IF($B224="","",IF(Sheet1!$Z$1=2,'Tabla de Pagos Crecientes'!O164,'Tabla Fijos'!Q169))</f>
        <v>0</v>
      </c>
      <c r="P224" s="362">
        <f ca="1">IF(B224="","",G224+H224+I224+J224+K224+L224-M224-'Tabla Fijos'!P169)</f>
        <v>10421.884210717659</v>
      </c>
      <c r="Q224" s="362">
        <f t="shared" ca="1" si="6"/>
        <v>596304.48401652032</v>
      </c>
      <c r="R224" s="272">
        <f t="shared" ca="1" si="7"/>
        <v>1</v>
      </c>
    </row>
    <row r="225" spans="1:18" ht="15.5" x14ac:dyDescent="0.35">
      <c r="A225" s="272"/>
      <c r="B225" s="360">
        <f t="shared" si="8"/>
        <v>159</v>
      </c>
      <c r="C225" s="361">
        <f ca="1">IF($B225="","",'Fecha Pago'!K162)</f>
        <v>50985</v>
      </c>
      <c r="D225" s="362">
        <f>IF($B$67="","",'Fecha Pago'!L162)</f>
        <v>30.4</v>
      </c>
      <c r="E225" s="363">
        <f>IF(B225="","",IF(Sheet1!$Z$1=2,'Tabla de Pagos Crecientes'!E165,$F$62))</f>
        <v>0.11</v>
      </c>
      <c r="F225" s="362">
        <f ca="1">IF($B225="","",IF(Sheet1!$Z$1=2,'Tabla de Pagos Crecientes'!F165,'Tabla Fijos'!F170))</f>
        <v>596304.48401652032</v>
      </c>
      <c r="G225" s="362">
        <f ca="1">IF($B225="","",IF(Sheet1!$Z$1=2,'Tabla de Pagos Crecientes'!G165,'Tabla Fijos'!G170))</f>
        <v>4882.8781147419813</v>
      </c>
      <c r="H225" s="362">
        <f ca="1">IF($B225="","",IF(Sheet1!$Z$1=2,'Tabla de Pagos Crecientes'!H165,'Tabla Fijos'!H170))</f>
        <v>5539.0060959756775</v>
      </c>
      <c r="I225" s="362">
        <f>IF($B225=0,0,IF(B225="","",VLOOKUP($B225,'Tabla Fijos'!$B$12:$S$311,8,0)))</f>
        <v>0</v>
      </c>
      <c r="J225" s="362">
        <f ca="1">IF($B225="","",IF(Sheet1!$Z$1=2,'Tabla de Pagos Crecientes'!J165,'Tabla Fijos'!K170))</f>
        <v>0</v>
      </c>
      <c r="K225" s="362">
        <f ca="1">IF($B225="","",IF(Sheet1!$Z$1=2,'Tabla de Pagos Crecientes'!K165,'Tabla Fijos'!L170))</f>
        <v>0</v>
      </c>
      <c r="L225" s="362">
        <f ca="1">IF($B225="","",IF(Sheet1!$Z$1=2,'Tabla de Pagos Crecientes'!L165,'Tabla Fijos'!M170))</f>
        <v>0</v>
      </c>
      <c r="M225" s="362">
        <f ca="1">IF($B225="","",IF(Sheet1!$Z$1=2,'Tabla de Pagos Crecientes'!M165,'Tabla Fijos'!N170))</f>
        <v>0</v>
      </c>
      <c r="N225" s="364"/>
      <c r="O225" s="362">
        <f>IF($B225="","",IF(Sheet1!$Z$1=2,'Tabla de Pagos Crecientes'!O165,'Tabla Fijos'!Q170))</f>
        <v>0</v>
      </c>
      <c r="P225" s="362">
        <f ca="1">IF(B225="","",G225+H225+I225+J225+K225+L225-M225-'Tabla Fijos'!P170)</f>
        <v>10421.884210717659</v>
      </c>
      <c r="Q225" s="362">
        <f t="shared" ca="1" si="6"/>
        <v>591421.60590177833</v>
      </c>
      <c r="R225" s="272">
        <f t="shared" ca="1" si="7"/>
        <v>1</v>
      </c>
    </row>
    <row r="226" spans="1:18" ht="15.5" x14ac:dyDescent="0.35">
      <c r="A226" s="272"/>
      <c r="B226" s="360">
        <f t="shared" si="8"/>
        <v>160</v>
      </c>
      <c r="C226" s="361">
        <f ca="1">IF($B226="","",'Fecha Pago'!K163)</f>
        <v>51016</v>
      </c>
      <c r="D226" s="362">
        <f>IF($B$67="","",'Fecha Pago'!L163)</f>
        <v>30.4</v>
      </c>
      <c r="E226" s="363">
        <f>IF(B226="","",IF(Sheet1!$Z$1=2,'Tabla de Pagos Crecientes'!E166,$F$62))</f>
        <v>0.11</v>
      </c>
      <c r="F226" s="362">
        <f ca="1">IF($B226="","",IF(Sheet1!$Z$1=2,'Tabla de Pagos Crecientes'!F166,'Tabla Fijos'!F171))</f>
        <v>591421.60590177833</v>
      </c>
      <c r="G226" s="362">
        <f ca="1">IF($B226="","",IF(Sheet1!$Z$1=2,'Tabla de Pagos Crecientes'!G166,'Tabla Fijos'!G171))</f>
        <v>4928.2346270078069</v>
      </c>
      <c r="H226" s="362">
        <f ca="1">IF($B226="","",IF(Sheet1!$Z$1=2,'Tabla de Pagos Crecientes'!H166,'Tabla Fijos'!H171))</f>
        <v>5493.6495837098519</v>
      </c>
      <c r="I226" s="362">
        <f>IF($B226=0,0,IF(B226="","",VLOOKUP($B226,'Tabla Fijos'!$B$12:$S$311,8,0)))</f>
        <v>0</v>
      </c>
      <c r="J226" s="362">
        <f ca="1">IF($B226="","",IF(Sheet1!$Z$1=2,'Tabla de Pagos Crecientes'!J166,'Tabla Fijos'!K171))</f>
        <v>0</v>
      </c>
      <c r="K226" s="362">
        <f ca="1">IF($B226="","",IF(Sheet1!$Z$1=2,'Tabla de Pagos Crecientes'!K166,'Tabla Fijos'!L171))</f>
        <v>0</v>
      </c>
      <c r="L226" s="362">
        <f ca="1">IF($B226="","",IF(Sheet1!$Z$1=2,'Tabla de Pagos Crecientes'!L166,'Tabla Fijos'!M171))</f>
        <v>0</v>
      </c>
      <c r="M226" s="362">
        <f ca="1">IF($B226="","",IF(Sheet1!$Z$1=2,'Tabla de Pagos Crecientes'!M166,'Tabla Fijos'!N171))</f>
        <v>0</v>
      </c>
      <c r="N226" s="364"/>
      <c r="O226" s="362">
        <f>IF($B226="","",IF(Sheet1!$Z$1=2,'Tabla de Pagos Crecientes'!O166,'Tabla Fijos'!Q171))</f>
        <v>0</v>
      </c>
      <c r="P226" s="362">
        <f ca="1">IF(B226="","",G226+H226+I226+J226+K226+L226-M226-'Tabla Fijos'!P171)</f>
        <v>10421.884210717659</v>
      </c>
      <c r="Q226" s="362">
        <f t="shared" ca="1" si="6"/>
        <v>586493.37127477047</v>
      </c>
      <c r="R226" s="272">
        <f t="shared" ca="1" si="7"/>
        <v>1</v>
      </c>
    </row>
    <row r="227" spans="1:18" ht="15.5" x14ac:dyDescent="0.35">
      <c r="A227" s="272"/>
      <c r="B227" s="360">
        <f t="shared" si="8"/>
        <v>161</v>
      </c>
      <c r="C227" s="361">
        <f ca="1">IF($B227="","",'Fecha Pago'!K164)</f>
        <v>51046</v>
      </c>
      <c r="D227" s="362">
        <f>IF($B$67="","",'Fecha Pago'!L164)</f>
        <v>30.4</v>
      </c>
      <c r="E227" s="363">
        <f>IF(B227="","",IF(Sheet1!$Z$1=2,'Tabla de Pagos Crecientes'!E167,$F$62))</f>
        <v>0.11</v>
      </c>
      <c r="F227" s="362">
        <f ca="1">IF($B227="","",IF(Sheet1!$Z$1=2,'Tabla de Pagos Crecientes'!F167,'Tabla Fijos'!F172))</f>
        <v>586493.37127477047</v>
      </c>
      <c r="G227" s="362">
        <f ca="1">IF($B227="","",IF(Sheet1!$Z$1=2,'Tabla de Pagos Crecientes'!G167,'Tabla Fijos'!G172))</f>
        <v>4974.0124508764584</v>
      </c>
      <c r="H227" s="362">
        <f ca="1">IF($B227="","",IF(Sheet1!$Z$1=2,'Tabla de Pagos Crecientes'!H167,'Tabla Fijos'!H172))</f>
        <v>5447.8717598412004</v>
      </c>
      <c r="I227" s="362">
        <f>IF($B227=0,0,IF(B227="","",VLOOKUP($B227,'Tabla Fijos'!$B$12:$S$311,8,0)))</f>
        <v>0</v>
      </c>
      <c r="J227" s="362">
        <f ca="1">IF($B227="","",IF(Sheet1!$Z$1=2,'Tabla de Pagos Crecientes'!J167,'Tabla Fijos'!K172))</f>
        <v>0</v>
      </c>
      <c r="K227" s="362">
        <f ca="1">IF($B227="","",IF(Sheet1!$Z$1=2,'Tabla de Pagos Crecientes'!K167,'Tabla Fijos'!L172))</f>
        <v>0</v>
      </c>
      <c r="L227" s="362">
        <f ca="1">IF($B227="","",IF(Sheet1!$Z$1=2,'Tabla de Pagos Crecientes'!L167,'Tabla Fijos'!M172))</f>
        <v>0</v>
      </c>
      <c r="M227" s="362">
        <f ca="1">IF($B227="","",IF(Sheet1!$Z$1=2,'Tabla de Pagos Crecientes'!M167,'Tabla Fijos'!N172))</f>
        <v>0</v>
      </c>
      <c r="N227" s="364"/>
      <c r="O227" s="362">
        <f>IF($B227="","",IF(Sheet1!$Z$1=2,'Tabla de Pagos Crecientes'!O167,'Tabla Fijos'!Q172))</f>
        <v>0</v>
      </c>
      <c r="P227" s="362">
        <f ca="1">IF(B227="","",G227+H227+I227+J227+K227+L227-M227-'Tabla Fijos'!P172)</f>
        <v>10421.884210717659</v>
      </c>
      <c r="Q227" s="362">
        <f t="shared" ca="1" si="6"/>
        <v>581519.35882389406</v>
      </c>
      <c r="R227" s="272">
        <f t="shared" ca="1" si="7"/>
        <v>1</v>
      </c>
    </row>
    <row r="228" spans="1:18" ht="15.5" x14ac:dyDescent="0.35">
      <c r="A228" s="272"/>
      <c r="B228" s="360">
        <f t="shared" si="8"/>
        <v>162</v>
      </c>
      <c r="C228" s="361">
        <f ca="1">IF($B228="","",'Fecha Pago'!K165)</f>
        <v>51077</v>
      </c>
      <c r="D228" s="362">
        <f>IF($B$67="","",'Fecha Pago'!L165)</f>
        <v>30.4</v>
      </c>
      <c r="E228" s="363">
        <f>IF(B228="","",IF(Sheet1!$Z$1=2,'Tabla de Pagos Crecientes'!E168,$F$62))</f>
        <v>0.11</v>
      </c>
      <c r="F228" s="362">
        <f ca="1">IF($B228="","",IF(Sheet1!$Z$1=2,'Tabla de Pagos Crecientes'!F168,'Tabla Fijos'!F173))</f>
        <v>581519.35882389406</v>
      </c>
      <c r="G228" s="362">
        <f ca="1">IF($B228="","",IF(Sheet1!$Z$1=2,'Tabla de Pagos Crecientes'!G168,'Tabla Fijos'!G173))</f>
        <v>5020.2154998645992</v>
      </c>
      <c r="H228" s="362">
        <f ca="1">IF($B228="","",IF(Sheet1!$Z$1=2,'Tabla de Pagos Crecientes'!H168,'Tabla Fijos'!H173))</f>
        <v>5401.6687108530596</v>
      </c>
      <c r="I228" s="362">
        <f>IF($B228=0,0,IF(B228="","",VLOOKUP($B228,'Tabla Fijos'!$B$12:$S$311,8,0)))</f>
        <v>0</v>
      </c>
      <c r="J228" s="362">
        <f ca="1">IF($B228="","",IF(Sheet1!$Z$1=2,'Tabla de Pagos Crecientes'!J168,'Tabla Fijos'!K173))</f>
        <v>0</v>
      </c>
      <c r="K228" s="362">
        <f ca="1">IF($B228="","",IF(Sheet1!$Z$1=2,'Tabla de Pagos Crecientes'!K168,'Tabla Fijos'!L173))</f>
        <v>0</v>
      </c>
      <c r="L228" s="362">
        <f ca="1">IF($B228="","",IF(Sheet1!$Z$1=2,'Tabla de Pagos Crecientes'!L168,'Tabla Fijos'!M173))</f>
        <v>0</v>
      </c>
      <c r="M228" s="362">
        <f ca="1">IF($B228="","",IF(Sheet1!$Z$1=2,'Tabla de Pagos Crecientes'!M168,'Tabla Fijos'!N173))</f>
        <v>0</v>
      </c>
      <c r="N228" s="364"/>
      <c r="O228" s="362">
        <f>IF($B228="","",IF(Sheet1!$Z$1=2,'Tabla de Pagos Crecientes'!O168,'Tabla Fijos'!Q173))</f>
        <v>0</v>
      </c>
      <c r="P228" s="362">
        <f ca="1">IF(B228="","",G228+H228+I228+J228+K228+L228-M228-'Tabla Fijos'!P173)</f>
        <v>10421.884210717659</v>
      </c>
      <c r="Q228" s="362">
        <f t="shared" ca="1" si="6"/>
        <v>576499.14332402952</v>
      </c>
      <c r="R228" s="272">
        <f t="shared" ca="1" si="7"/>
        <v>1</v>
      </c>
    </row>
    <row r="229" spans="1:18" ht="15.5" x14ac:dyDescent="0.35">
      <c r="A229" s="272"/>
      <c r="B229" s="360">
        <f t="shared" si="8"/>
        <v>163</v>
      </c>
      <c r="C229" s="361">
        <f ca="1">IF($B229="","",'Fecha Pago'!K166)</f>
        <v>51107</v>
      </c>
      <c r="D229" s="362">
        <f>IF($B$67="","",'Fecha Pago'!L166)</f>
        <v>30.4</v>
      </c>
      <c r="E229" s="363">
        <f>IF(B229="","",IF(Sheet1!$Z$1=2,'Tabla de Pagos Crecientes'!E169,$F$62))</f>
        <v>0.11</v>
      </c>
      <c r="F229" s="362">
        <f ca="1">IF($B229="","",IF(Sheet1!$Z$1=2,'Tabla de Pagos Crecientes'!F169,'Tabla Fijos'!F174))</f>
        <v>576499.14332402952</v>
      </c>
      <c r="G229" s="362">
        <f ca="1">IF($B229="","",IF(Sheet1!$Z$1=2,'Tabla de Pagos Crecientes'!G169,'Tabla Fijos'!G174))</f>
        <v>5066.8477238411206</v>
      </c>
      <c r="H229" s="362">
        <f ca="1">IF($B229="","",IF(Sheet1!$Z$1=2,'Tabla de Pagos Crecientes'!H169,'Tabla Fijos'!H174))</f>
        <v>5355.03648687654</v>
      </c>
      <c r="I229" s="362">
        <f>IF($B229=0,0,IF(B229="","",VLOOKUP($B229,'Tabla Fijos'!$B$12:$S$311,8,0)))</f>
        <v>0</v>
      </c>
      <c r="J229" s="362">
        <f ca="1">IF($B229="","",IF(Sheet1!$Z$1=2,'Tabla de Pagos Crecientes'!J169,'Tabla Fijos'!K174))</f>
        <v>0</v>
      </c>
      <c r="K229" s="362">
        <f ca="1">IF($B229="","",IF(Sheet1!$Z$1=2,'Tabla de Pagos Crecientes'!K169,'Tabla Fijos'!L174))</f>
        <v>0</v>
      </c>
      <c r="L229" s="362">
        <f ca="1">IF($B229="","",IF(Sheet1!$Z$1=2,'Tabla de Pagos Crecientes'!L169,'Tabla Fijos'!M174))</f>
        <v>0</v>
      </c>
      <c r="M229" s="362">
        <f ca="1">IF($B229="","",IF(Sheet1!$Z$1=2,'Tabla de Pagos Crecientes'!M169,'Tabla Fijos'!N174))</f>
        <v>0</v>
      </c>
      <c r="N229" s="364"/>
      <c r="O229" s="362">
        <f>IF($B229="","",IF(Sheet1!$Z$1=2,'Tabla de Pagos Crecientes'!O169,'Tabla Fijos'!Q174))</f>
        <v>0</v>
      </c>
      <c r="P229" s="362">
        <f ca="1">IF(B229="","",G229+H229+I229+J229+K229+L229-M229-'Tabla Fijos'!P174)</f>
        <v>10421.884210717661</v>
      </c>
      <c r="Q229" s="362">
        <f t="shared" ca="1" si="6"/>
        <v>571432.29560018843</v>
      </c>
      <c r="R229" s="272">
        <f t="shared" ca="1" si="7"/>
        <v>1</v>
      </c>
    </row>
    <row r="230" spans="1:18" ht="15.5" x14ac:dyDescent="0.35">
      <c r="A230" s="272"/>
      <c r="B230" s="360">
        <f t="shared" si="8"/>
        <v>164</v>
      </c>
      <c r="C230" s="361">
        <f ca="1">IF($B230="","",'Fecha Pago'!K167)</f>
        <v>51138</v>
      </c>
      <c r="D230" s="362">
        <f>IF($B$67="","",'Fecha Pago'!L167)</f>
        <v>30.4</v>
      </c>
      <c r="E230" s="363">
        <f>IF(B230="","",IF(Sheet1!$Z$1=2,'Tabla de Pagos Crecientes'!E170,$F$62))</f>
        <v>0.11</v>
      </c>
      <c r="F230" s="362">
        <f ca="1">IF($B230="","",IF(Sheet1!$Z$1=2,'Tabla de Pagos Crecientes'!F170,'Tabla Fijos'!F175))</f>
        <v>571432.29560018843</v>
      </c>
      <c r="G230" s="362">
        <f ca="1">IF($B230="","",IF(Sheet1!$Z$1=2,'Tabla de Pagos Crecientes'!G170,'Tabla Fijos'!G175))</f>
        <v>5113.9131093647993</v>
      </c>
      <c r="H230" s="362">
        <f ca="1">IF($B230="","",IF(Sheet1!$Z$1=2,'Tabla de Pagos Crecientes'!H170,'Tabla Fijos'!H175))</f>
        <v>5307.9711013528613</v>
      </c>
      <c r="I230" s="362">
        <f>IF($B230=0,0,IF(B230="","",VLOOKUP($B230,'Tabla Fijos'!$B$12:$S$311,8,0)))</f>
        <v>0</v>
      </c>
      <c r="J230" s="362">
        <f ca="1">IF($B230="","",IF(Sheet1!$Z$1=2,'Tabla de Pagos Crecientes'!J170,'Tabla Fijos'!K175))</f>
        <v>0</v>
      </c>
      <c r="K230" s="362">
        <f ca="1">IF($B230="","",IF(Sheet1!$Z$1=2,'Tabla de Pagos Crecientes'!K170,'Tabla Fijos'!L175))</f>
        <v>0</v>
      </c>
      <c r="L230" s="362">
        <f ca="1">IF($B230="","",IF(Sheet1!$Z$1=2,'Tabla de Pagos Crecientes'!L170,'Tabla Fijos'!M175))</f>
        <v>0</v>
      </c>
      <c r="M230" s="362">
        <f ca="1">IF($B230="","",IF(Sheet1!$Z$1=2,'Tabla de Pagos Crecientes'!M170,'Tabla Fijos'!N175))</f>
        <v>0</v>
      </c>
      <c r="N230" s="364"/>
      <c r="O230" s="362">
        <f>IF($B230="","",IF(Sheet1!$Z$1=2,'Tabla de Pagos Crecientes'!O170,'Tabla Fijos'!Q175))</f>
        <v>0</v>
      </c>
      <c r="P230" s="362">
        <f ca="1">IF(B230="","",G230+H230+I230+J230+K230+L230-M230-'Tabla Fijos'!P175)</f>
        <v>10421.884210717661</v>
      </c>
      <c r="Q230" s="362">
        <f t="shared" ca="1" si="6"/>
        <v>566318.38249082363</v>
      </c>
      <c r="R230" s="272">
        <f t="shared" ca="1" si="7"/>
        <v>1</v>
      </c>
    </row>
    <row r="231" spans="1:18" ht="15.5" x14ac:dyDescent="0.35">
      <c r="A231" s="272"/>
      <c r="B231" s="360">
        <f t="shared" si="8"/>
        <v>165</v>
      </c>
      <c r="C231" s="361">
        <f ca="1">IF($B231="","",'Fecha Pago'!K168)</f>
        <v>51169</v>
      </c>
      <c r="D231" s="362">
        <f>IF($B$67="","",'Fecha Pago'!L168)</f>
        <v>30.4</v>
      </c>
      <c r="E231" s="363">
        <f>IF(B231="","",IF(Sheet1!$Z$1=2,'Tabla de Pagos Crecientes'!E171,$F$62))</f>
        <v>0.11</v>
      </c>
      <c r="F231" s="362">
        <f ca="1">IF($B231="","",IF(Sheet1!$Z$1=2,'Tabla de Pagos Crecientes'!F171,'Tabla Fijos'!F176))</f>
        <v>566318.38249082363</v>
      </c>
      <c r="G231" s="362">
        <f ca="1">IF($B231="","",IF(Sheet1!$Z$1=2,'Tabla de Pagos Crecientes'!G171,'Tabla Fijos'!G176))</f>
        <v>5161.4156800251194</v>
      </c>
      <c r="H231" s="362">
        <f ca="1">IF($B231="","",IF(Sheet1!$Z$1=2,'Tabla de Pagos Crecientes'!H171,'Tabla Fijos'!H176))</f>
        <v>5260.4685306925394</v>
      </c>
      <c r="I231" s="362">
        <f>IF($B231=0,0,IF(B231="","",VLOOKUP($B231,'Tabla Fijos'!$B$12:$S$311,8,0)))</f>
        <v>0</v>
      </c>
      <c r="J231" s="362">
        <f ca="1">IF($B231="","",IF(Sheet1!$Z$1=2,'Tabla de Pagos Crecientes'!J171,'Tabla Fijos'!K176))</f>
        <v>0</v>
      </c>
      <c r="K231" s="362">
        <f ca="1">IF($B231="","",IF(Sheet1!$Z$1=2,'Tabla de Pagos Crecientes'!K171,'Tabla Fijos'!L176))</f>
        <v>0</v>
      </c>
      <c r="L231" s="362">
        <f ca="1">IF($B231="","",IF(Sheet1!$Z$1=2,'Tabla de Pagos Crecientes'!L171,'Tabla Fijos'!M176))</f>
        <v>0</v>
      </c>
      <c r="M231" s="362">
        <f ca="1">IF($B231="","",IF(Sheet1!$Z$1=2,'Tabla de Pagos Crecientes'!M171,'Tabla Fijos'!N176))</f>
        <v>0</v>
      </c>
      <c r="N231" s="364"/>
      <c r="O231" s="362">
        <f>IF($B231="","",IF(Sheet1!$Z$1=2,'Tabla de Pagos Crecientes'!O171,'Tabla Fijos'!Q176))</f>
        <v>0</v>
      </c>
      <c r="P231" s="362">
        <f ca="1">IF(B231="","",G231+H231+I231+J231+K231+L231-M231-'Tabla Fijos'!P176)</f>
        <v>10421.884210717659</v>
      </c>
      <c r="Q231" s="362">
        <f t="shared" ca="1" si="6"/>
        <v>561156.96681079851</v>
      </c>
      <c r="R231" s="272">
        <f t="shared" ca="1" si="7"/>
        <v>1</v>
      </c>
    </row>
    <row r="232" spans="1:18" ht="15.5" x14ac:dyDescent="0.35">
      <c r="A232" s="272"/>
      <c r="B232" s="360">
        <f t="shared" si="8"/>
        <v>166</v>
      </c>
      <c r="C232" s="361">
        <f ca="1">IF($B232="","",'Fecha Pago'!K169)</f>
        <v>51198</v>
      </c>
      <c r="D232" s="362">
        <f>IF($B$67="","",'Fecha Pago'!L169)</f>
        <v>30.4</v>
      </c>
      <c r="E232" s="363">
        <f>IF(B232="","",IF(Sheet1!$Z$1=2,'Tabla de Pagos Crecientes'!E172,$F$62))</f>
        <v>0.11</v>
      </c>
      <c r="F232" s="362">
        <f ca="1">IF($B232="","",IF(Sheet1!$Z$1=2,'Tabla de Pagos Crecientes'!F172,'Tabla Fijos'!F177))</f>
        <v>561156.96681079851</v>
      </c>
      <c r="G232" s="362">
        <f ca="1">IF($B232="","",IF(Sheet1!$Z$1=2,'Tabla de Pagos Crecientes'!G172,'Tabla Fijos'!G177))</f>
        <v>5209.3594967862437</v>
      </c>
      <c r="H232" s="362">
        <f ca="1">IF($B232="","",IF(Sheet1!$Z$1=2,'Tabla de Pagos Crecientes'!H172,'Tabla Fijos'!H177))</f>
        <v>5212.524713931417</v>
      </c>
      <c r="I232" s="362">
        <f>IF($B232=0,0,IF(B232="","",VLOOKUP($B232,'Tabla Fijos'!$B$12:$S$311,8,0)))</f>
        <v>0</v>
      </c>
      <c r="J232" s="362">
        <f ca="1">IF($B232="","",IF(Sheet1!$Z$1=2,'Tabla de Pagos Crecientes'!J172,'Tabla Fijos'!K177))</f>
        <v>0</v>
      </c>
      <c r="K232" s="362">
        <f ca="1">IF($B232="","",IF(Sheet1!$Z$1=2,'Tabla de Pagos Crecientes'!K172,'Tabla Fijos'!L177))</f>
        <v>0</v>
      </c>
      <c r="L232" s="362">
        <f ca="1">IF($B232="","",IF(Sheet1!$Z$1=2,'Tabla de Pagos Crecientes'!L172,'Tabla Fijos'!M177))</f>
        <v>0</v>
      </c>
      <c r="M232" s="362">
        <f ca="1">IF($B232="","",IF(Sheet1!$Z$1=2,'Tabla de Pagos Crecientes'!M172,'Tabla Fijos'!N177))</f>
        <v>0</v>
      </c>
      <c r="N232" s="364"/>
      <c r="O232" s="362">
        <f>IF($B232="","",IF(Sheet1!$Z$1=2,'Tabla de Pagos Crecientes'!O172,'Tabla Fijos'!Q177))</f>
        <v>0</v>
      </c>
      <c r="P232" s="362">
        <f ca="1">IF(B232="","",G232+H232+I232+J232+K232+L232-M232-'Tabla Fijos'!P177)</f>
        <v>10421.884210717661</v>
      </c>
      <c r="Q232" s="362">
        <f t="shared" ca="1" si="6"/>
        <v>555947.60731401225</v>
      </c>
      <c r="R232" s="272">
        <f t="shared" ca="1" si="7"/>
        <v>1</v>
      </c>
    </row>
    <row r="233" spans="1:18" ht="15.5" x14ac:dyDescent="0.35">
      <c r="A233" s="272"/>
      <c r="B233" s="360">
        <f t="shared" si="8"/>
        <v>167</v>
      </c>
      <c r="C233" s="361">
        <f ca="1">IF($B233="","",'Fecha Pago'!K170)</f>
        <v>51229</v>
      </c>
      <c r="D233" s="362">
        <f>IF($B$67="","",'Fecha Pago'!L170)</f>
        <v>30.4</v>
      </c>
      <c r="E233" s="363">
        <f>IF(B233="","",IF(Sheet1!$Z$1=2,'Tabla de Pagos Crecientes'!E173,$F$62))</f>
        <v>0.11</v>
      </c>
      <c r="F233" s="362">
        <f ca="1">IF($B233="","",IF(Sheet1!$Z$1=2,'Tabla de Pagos Crecientes'!F173,'Tabla Fijos'!F178))</f>
        <v>555947.60731401225</v>
      </c>
      <c r="G233" s="362">
        <f ca="1">IF($B233="","",IF(Sheet1!$Z$1=2,'Tabla de Pagos Crecientes'!G173,'Tabla Fijos'!G178))</f>
        <v>5257.7486583341697</v>
      </c>
      <c r="H233" s="362">
        <f ca="1">IF($B233="","",IF(Sheet1!$Z$1=2,'Tabla de Pagos Crecientes'!H173,'Tabla Fijos'!H178))</f>
        <v>5164.1355523834909</v>
      </c>
      <c r="I233" s="362">
        <f>IF($B233=0,0,IF(B233="","",VLOOKUP($B233,'Tabla Fijos'!$B$12:$S$311,8,0)))</f>
        <v>0</v>
      </c>
      <c r="J233" s="362">
        <f ca="1">IF($B233="","",IF(Sheet1!$Z$1=2,'Tabla de Pagos Crecientes'!J173,'Tabla Fijos'!K178))</f>
        <v>0</v>
      </c>
      <c r="K233" s="362">
        <f ca="1">IF($B233="","",IF(Sheet1!$Z$1=2,'Tabla de Pagos Crecientes'!K173,'Tabla Fijos'!L178))</f>
        <v>0</v>
      </c>
      <c r="L233" s="362">
        <f ca="1">IF($B233="","",IF(Sheet1!$Z$1=2,'Tabla de Pagos Crecientes'!L173,'Tabla Fijos'!M178))</f>
        <v>0</v>
      </c>
      <c r="M233" s="362">
        <f ca="1">IF($B233="","",IF(Sheet1!$Z$1=2,'Tabla de Pagos Crecientes'!M173,'Tabla Fijos'!N178))</f>
        <v>0</v>
      </c>
      <c r="N233" s="364"/>
      <c r="O233" s="362">
        <f>IF($B233="","",IF(Sheet1!$Z$1=2,'Tabla de Pagos Crecientes'!O173,'Tabla Fijos'!Q178))</f>
        <v>0</v>
      </c>
      <c r="P233" s="362">
        <f ca="1">IF(B233="","",G233+H233+I233+J233+K233+L233-M233-'Tabla Fijos'!P178)</f>
        <v>10421.884210717661</v>
      </c>
      <c r="Q233" s="362">
        <f t="shared" ca="1" si="6"/>
        <v>550689.85865567811</v>
      </c>
      <c r="R233" s="272">
        <f t="shared" ca="1" si="7"/>
        <v>1</v>
      </c>
    </row>
    <row r="234" spans="1:18" ht="15.5" x14ac:dyDescent="0.35">
      <c r="A234" s="272"/>
      <c r="B234" s="360">
        <f t="shared" si="8"/>
        <v>168</v>
      </c>
      <c r="C234" s="361">
        <f ca="1">IF($B234="","",'Fecha Pago'!K171)</f>
        <v>51259</v>
      </c>
      <c r="D234" s="362">
        <f>IF($B$67="","",'Fecha Pago'!L171)</f>
        <v>30.4</v>
      </c>
      <c r="E234" s="363">
        <f>IF(B234="","",IF(Sheet1!$Z$1=2,'Tabla de Pagos Crecientes'!E174,$F$62))</f>
        <v>0.11</v>
      </c>
      <c r="F234" s="362">
        <f ca="1">IF($B234="","",IF(Sheet1!$Z$1=2,'Tabla de Pagos Crecientes'!F174,'Tabla Fijos'!F179))</f>
        <v>550689.85865567811</v>
      </c>
      <c r="G234" s="362">
        <f ca="1">IF($B234="","",IF(Sheet1!$Z$1=2,'Tabla de Pagos Crecientes'!G174,'Tabla Fijos'!G179))</f>
        <v>5306.5873014271401</v>
      </c>
      <c r="H234" s="362">
        <f ca="1">IF($B234="","",IF(Sheet1!$Z$1=2,'Tabla de Pagos Crecientes'!H174,'Tabla Fijos'!H179))</f>
        <v>5115.2969092905205</v>
      </c>
      <c r="I234" s="362">
        <f>IF($B234=0,0,IF(B234="","",VLOOKUP($B234,'Tabla Fijos'!$B$12:$S$311,8,0)))</f>
        <v>0</v>
      </c>
      <c r="J234" s="362">
        <f ca="1">IF($B234="","",IF(Sheet1!$Z$1=2,'Tabla de Pagos Crecientes'!J174,'Tabla Fijos'!K179))</f>
        <v>0</v>
      </c>
      <c r="K234" s="362">
        <f ca="1">IF($B234="","",IF(Sheet1!$Z$1=2,'Tabla de Pagos Crecientes'!K174,'Tabla Fijos'!L179))</f>
        <v>0</v>
      </c>
      <c r="L234" s="362">
        <f ca="1">IF($B234="","",IF(Sheet1!$Z$1=2,'Tabla de Pagos Crecientes'!L174,'Tabla Fijos'!M179))</f>
        <v>0</v>
      </c>
      <c r="M234" s="362">
        <f ca="1">IF($B234="","",IF(Sheet1!$Z$1=2,'Tabla de Pagos Crecientes'!M174,'Tabla Fijos'!N179))</f>
        <v>0</v>
      </c>
      <c r="N234" s="364"/>
      <c r="O234" s="362">
        <f>IF($B234="","",IF(Sheet1!$Z$1=2,'Tabla de Pagos Crecientes'!O174,'Tabla Fijos'!Q179))</f>
        <v>0</v>
      </c>
      <c r="P234" s="362">
        <f ca="1">IF(B234="","",G234+H234+I234+J234+K234+L234-M234-'Tabla Fijos'!P179)</f>
        <v>10421.884210717661</v>
      </c>
      <c r="Q234" s="362">
        <f t="shared" ca="1" si="6"/>
        <v>545383.27135425096</v>
      </c>
      <c r="R234" s="272">
        <f t="shared" ca="1" si="7"/>
        <v>1</v>
      </c>
    </row>
    <row r="235" spans="1:18" ht="15.5" x14ac:dyDescent="0.35">
      <c r="A235" s="272"/>
      <c r="B235" s="360">
        <f t="shared" si="8"/>
        <v>169</v>
      </c>
      <c r="C235" s="361">
        <f ca="1">IF($B235="","",'Fecha Pago'!K172)</f>
        <v>51290</v>
      </c>
      <c r="D235" s="362">
        <f>IF($B$67="","",'Fecha Pago'!L172)</f>
        <v>30.4</v>
      </c>
      <c r="E235" s="363">
        <f>IF(B235="","",IF(Sheet1!$Z$1=2,'Tabla de Pagos Crecientes'!E175,$F$62))</f>
        <v>0.11</v>
      </c>
      <c r="F235" s="362">
        <f ca="1">IF($B235="","",IF(Sheet1!$Z$1=2,'Tabla de Pagos Crecientes'!F175,'Tabla Fijos'!F180))</f>
        <v>545383.27135425096</v>
      </c>
      <c r="G235" s="362">
        <f ca="1">IF($B235="","",IF(Sheet1!$Z$1=2,'Tabla de Pagos Crecientes'!G175,'Tabla Fijos'!G180))</f>
        <v>5355.8796012492858</v>
      </c>
      <c r="H235" s="362">
        <f ca="1">IF($B235="","",IF(Sheet1!$Z$1=2,'Tabla de Pagos Crecientes'!H175,'Tabla Fijos'!H180))</f>
        <v>5066.0046094683748</v>
      </c>
      <c r="I235" s="362">
        <f>IF($B235=0,0,IF(B235="","",VLOOKUP($B235,'Tabla Fijos'!$B$12:$S$311,8,0)))</f>
        <v>0</v>
      </c>
      <c r="J235" s="362">
        <f ca="1">IF($B235="","",IF(Sheet1!$Z$1=2,'Tabla de Pagos Crecientes'!J175,'Tabla Fijos'!K180))</f>
        <v>0</v>
      </c>
      <c r="K235" s="362">
        <f ca="1">IF($B235="","",IF(Sheet1!$Z$1=2,'Tabla de Pagos Crecientes'!K175,'Tabla Fijos'!L180))</f>
        <v>0</v>
      </c>
      <c r="L235" s="362">
        <f ca="1">IF($B235="","",IF(Sheet1!$Z$1=2,'Tabla de Pagos Crecientes'!L175,'Tabla Fijos'!M180))</f>
        <v>0</v>
      </c>
      <c r="M235" s="362">
        <f ca="1">IF($B235="","",IF(Sheet1!$Z$1=2,'Tabla de Pagos Crecientes'!M175,'Tabla Fijos'!N180))</f>
        <v>0</v>
      </c>
      <c r="N235" s="364"/>
      <c r="O235" s="362">
        <f>IF($B235="","",IF(Sheet1!$Z$1=2,'Tabla de Pagos Crecientes'!O175,'Tabla Fijos'!Q180))</f>
        <v>0</v>
      </c>
      <c r="P235" s="362">
        <f ca="1">IF(B235="","",G235+H235+I235+J235+K235+L235-M235-'Tabla Fijos'!P180)</f>
        <v>10421.884210717661</v>
      </c>
      <c r="Q235" s="362">
        <f t="shared" ca="1" si="6"/>
        <v>540027.39175300172</v>
      </c>
      <c r="R235" s="272">
        <f t="shared" ca="1" si="7"/>
        <v>1</v>
      </c>
    </row>
    <row r="236" spans="1:18" ht="15.5" x14ac:dyDescent="0.35">
      <c r="A236" s="272"/>
      <c r="B236" s="360">
        <f t="shared" si="8"/>
        <v>170</v>
      </c>
      <c r="C236" s="361">
        <f ca="1">IF($B236="","",'Fecha Pago'!K173)</f>
        <v>51320</v>
      </c>
      <c r="D236" s="362">
        <f>IF($B$67="","",'Fecha Pago'!L173)</f>
        <v>30.4</v>
      </c>
      <c r="E236" s="363">
        <f>IF(B236="","",IF(Sheet1!$Z$1=2,'Tabla de Pagos Crecientes'!E176,$F$62))</f>
        <v>0.11</v>
      </c>
      <c r="F236" s="362">
        <f ca="1">IF($B236="","",IF(Sheet1!$Z$1=2,'Tabla de Pagos Crecientes'!F176,'Tabla Fijos'!F181))</f>
        <v>540027.39175300172</v>
      </c>
      <c r="G236" s="362">
        <f ca="1">IF($B236="","",IF(Sheet1!$Z$1=2,'Tabla de Pagos Crecientes'!G176,'Tabla Fijos'!G181))</f>
        <v>5405.6297717675561</v>
      </c>
      <c r="H236" s="362">
        <f ca="1">IF($B236="","",IF(Sheet1!$Z$1=2,'Tabla de Pagos Crecientes'!H176,'Tabla Fijos'!H181))</f>
        <v>5016.2544389501045</v>
      </c>
      <c r="I236" s="362">
        <f>IF($B236=0,0,IF(B236="","",VLOOKUP($B236,'Tabla Fijos'!$B$12:$S$311,8,0)))</f>
        <v>0</v>
      </c>
      <c r="J236" s="362">
        <f ca="1">IF($B236="","",IF(Sheet1!$Z$1=2,'Tabla de Pagos Crecientes'!J176,'Tabla Fijos'!K181))</f>
        <v>0</v>
      </c>
      <c r="K236" s="362">
        <f ca="1">IF($B236="","",IF(Sheet1!$Z$1=2,'Tabla de Pagos Crecientes'!K176,'Tabla Fijos'!L181))</f>
        <v>0</v>
      </c>
      <c r="L236" s="362">
        <f ca="1">IF($B236="","",IF(Sheet1!$Z$1=2,'Tabla de Pagos Crecientes'!L176,'Tabla Fijos'!M181))</f>
        <v>0</v>
      </c>
      <c r="M236" s="362">
        <f ca="1">IF($B236="","",IF(Sheet1!$Z$1=2,'Tabla de Pagos Crecientes'!M176,'Tabla Fijos'!N181))</f>
        <v>0</v>
      </c>
      <c r="N236" s="364"/>
      <c r="O236" s="362">
        <f>IF($B236="","",IF(Sheet1!$Z$1=2,'Tabla de Pagos Crecientes'!O176,'Tabla Fijos'!Q181))</f>
        <v>0</v>
      </c>
      <c r="P236" s="362">
        <f ca="1">IF(B236="","",G236+H236+I236+J236+K236+L236-M236-'Tabla Fijos'!P181)</f>
        <v>10421.884210717661</v>
      </c>
      <c r="Q236" s="362">
        <f t="shared" ca="1" si="6"/>
        <v>534621.76198123419</v>
      </c>
      <c r="R236" s="272">
        <f t="shared" ca="1" si="7"/>
        <v>1</v>
      </c>
    </row>
    <row r="237" spans="1:18" ht="15.5" x14ac:dyDescent="0.35">
      <c r="A237" s="272"/>
      <c r="B237" s="360">
        <f t="shared" si="8"/>
        <v>171</v>
      </c>
      <c r="C237" s="361">
        <f ca="1">IF($B237="","",'Fecha Pago'!K174)</f>
        <v>51351</v>
      </c>
      <c r="D237" s="362">
        <f>IF($B$67="","",'Fecha Pago'!L174)</f>
        <v>30.4</v>
      </c>
      <c r="E237" s="363">
        <f>IF(B237="","",IF(Sheet1!$Z$1=2,'Tabla de Pagos Crecientes'!E177,$F$62))</f>
        <v>0.11</v>
      </c>
      <c r="F237" s="362">
        <f ca="1">IF($B237="","",IF(Sheet1!$Z$1=2,'Tabla de Pagos Crecientes'!F177,'Tabla Fijos'!F182))</f>
        <v>534621.76198123419</v>
      </c>
      <c r="G237" s="362">
        <f ca="1">IF($B237="","",IF(Sheet1!$Z$1=2,'Tabla de Pagos Crecientes'!G177,'Tabla Fijos'!G182))</f>
        <v>5455.8420660919764</v>
      </c>
      <c r="H237" s="362">
        <f ca="1">IF($B237="","",IF(Sheet1!$Z$1=2,'Tabla de Pagos Crecientes'!H177,'Tabla Fijos'!H182))</f>
        <v>4966.042144625686</v>
      </c>
      <c r="I237" s="362">
        <f>IF($B237=0,0,IF(B237="","",VLOOKUP($B237,'Tabla Fijos'!$B$12:$S$311,8,0)))</f>
        <v>0</v>
      </c>
      <c r="J237" s="362">
        <f ca="1">IF($B237="","",IF(Sheet1!$Z$1=2,'Tabla de Pagos Crecientes'!J177,'Tabla Fijos'!K182))</f>
        <v>0</v>
      </c>
      <c r="K237" s="362">
        <f ca="1">IF($B237="","",IF(Sheet1!$Z$1=2,'Tabla de Pagos Crecientes'!K177,'Tabla Fijos'!L182))</f>
        <v>0</v>
      </c>
      <c r="L237" s="362">
        <f ca="1">IF($B237="","",IF(Sheet1!$Z$1=2,'Tabla de Pagos Crecientes'!L177,'Tabla Fijos'!M182))</f>
        <v>0</v>
      </c>
      <c r="M237" s="362">
        <f ca="1">IF($B237="","",IF(Sheet1!$Z$1=2,'Tabla de Pagos Crecientes'!M177,'Tabla Fijos'!N182))</f>
        <v>0</v>
      </c>
      <c r="N237" s="364"/>
      <c r="O237" s="362">
        <f>IF($B237="","",IF(Sheet1!$Z$1=2,'Tabla de Pagos Crecientes'!O177,'Tabla Fijos'!Q182))</f>
        <v>0</v>
      </c>
      <c r="P237" s="362">
        <f ca="1">IF(B237="","",G237+H237+I237+J237+K237+L237-M237-'Tabla Fijos'!P182)</f>
        <v>10421.884210717662</v>
      </c>
      <c r="Q237" s="362">
        <f t="shared" ca="1" si="6"/>
        <v>529165.91991514224</v>
      </c>
      <c r="R237" s="272">
        <f t="shared" ca="1" si="7"/>
        <v>1</v>
      </c>
    </row>
    <row r="238" spans="1:18" ht="15.5" x14ac:dyDescent="0.35">
      <c r="A238" s="272"/>
      <c r="B238" s="360">
        <f t="shared" si="8"/>
        <v>172</v>
      </c>
      <c r="C238" s="361">
        <f ca="1">IF($B238="","",'Fecha Pago'!K175)</f>
        <v>51382</v>
      </c>
      <c r="D238" s="362">
        <f>IF($B$67="","",'Fecha Pago'!L175)</f>
        <v>30.4</v>
      </c>
      <c r="E238" s="363">
        <f>IF(B238="","",IF(Sheet1!$Z$1=2,'Tabla de Pagos Crecientes'!E178,$F$62))</f>
        <v>0.11</v>
      </c>
      <c r="F238" s="362">
        <f ca="1">IF($B238="","",IF(Sheet1!$Z$1=2,'Tabla de Pagos Crecientes'!F178,'Tabla Fijos'!F183))</f>
        <v>529165.91991514224</v>
      </c>
      <c r="G238" s="362">
        <f ca="1">IF($B238="","",IF(Sheet1!$Z$1=2,'Tabla de Pagos Crecientes'!G178,'Tabla Fijos'!G183))</f>
        <v>5506.5207768392302</v>
      </c>
      <c r="H238" s="362">
        <f ca="1">IF($B238="","",IF(Sheet1!$Z$1=2,'Tabla de Pagos Crecientes'!H178,'Tabla Fijos'!H183))</f>
        <v>4915.3634338784323</v>
      </c>
      <c r="I238" s="362">
        <f>IF($B238=0,0,IF(B238="","",VLOOKUP($B238,'Tabla Fijos'!$B$12:$S$311,8,0)))</f>
        <v>0</v>
      </c>
      <c r="J238" s="362">
        <f ca="1">IF($B238="","",IF(Sheet1!$Z$1=2,'Tabla de Pagos Crecientes'!J178,'Tabla Fijos'!K183))</f>
        <v>0</v>
      </c>
      <c r="K238" s="362">
        <f ca="1">IF($B238="","",IF(Sheet1!$Z$1=2,'Tabla de Pagos Crecientes'!K178,'Tabla Fijos'!L183))</f>
        <v>0</v>
      </c>
      <c r="L238" s="362">
        <f ca="1">IF($B238="","",IF(Sheet1!$Z$1=2,'Tabla de Pagos Crecientes'!L178,'Tabla Fijos'!M183))</f>
        <v>0</v>
      </c>
      <c r="M238" s="362">
        <f ca="1">IF($B238="","",IF(Sheet1!$Z$1=2,'Tabla de Pagos Crecientes'!M178,'Tabla Fijos'!N183))</f>
        <v>0</v>
      </c>
      <c r="N238" s="364"/>
      <c r="O238" s="362">
        <f>IF($B238="","",IF(Sheet1!$Z$1=2,'Tabla de Pagos Crecientes'!O178,'Tabla Fijos'!Q183))</f>
        <v>0</v>
      </c>
      <c r="P238" s="362">
        <f ca="1">IF(B238="","",G238+H238+I238+J238+K238+L238-M238-'Tabla Fijos'!P183)</f>
        <v>10421.884210717662</v>
      </c>
      <c r="Q238" s="362">
        <f t="shared" ca="1" si="6"/>
        <v>523659.39913830301</v>
      </c>
      <c r="R238" s="272">
        <f t="shared" ca="1" si="7"/>
        <v>1</v>
      </c>
    </row>
    <row r="239" spans="1:18" ht="15.5" x14ac:dyDescent="0.35">
      <c r="A239" s="272"/>
      <c r="B239" s="360">
        <f t="shared" si="8"/>
        <v>173</v>
      </c>
      <c r="C239" s="361">
        <f ca="1">IF($B239="","",'Fecha Pago'!K176)</f>
        <v>51412</v>
      </c>
      <c r="D239" s="362">
        <f>IF($B$67="","",'Fecha Pago'!L176)</f>
        <v>30.4</v>
      </c>
      <c r="E239" s="363">
        <f>IF(B239="","",IF(Sheet1!$Z$1=2,'Tabla de Pagos Crecientes'!E179,$F$62))</f>
        <v>0.11</v>
      </c>
      <c r="F239" s="362">
        <f ca="1">IF($B239="","",IF(Sheet1!$Z$1=2,'Tabla de Pagos Crecientes'!F179,'Tabla Fijos'!F184))</f>
        <v>523659.39913830301</v>
      </c>
      <c r="G239" s="362">
        <f ca="1">IF($B239="","",IF(Sheet1!$Z$1=2,'Tabla de Pagos Crecientes'!G179,'Tabla Fijos'!G184))</f>
        <v>5557.6702364996481</v>
      </c>
      <c r="H239" s="362">
        <f ca="1">IF($B239="","",IF(Sheet1!$Z$1=2,'Tabla de Pagos Crecientes'!H179,'Tabla Fijos'!H184))</f>
        <v>4864.2139742180143</v>
      </c>
      <c r="I239" s="362">
        <f>IF($B239=0,0,IF(B239="","",VLOOKUP($B239,'Tabla Fijos'!$B$12:$S$311,8,0)))</f>
        <v>0</v>
      </c>
      <c r="J239" s="362">
        <f ca="1">IF($B239="","",IF(Sheet1!$Z$1=2,'Tabla de Pagos Crecientes'!J179,'Tabla Fijos'!K184))</f>
        <v>0</v>
      </c>
      <c r="K239" s="362">
        <f ca="1">IF($B239="","",IF(Sheet1!$Z$1=2,'Tabla de Pagos Crecientes'!K179,'Tabla Fijos'!L184))</f>
        <v>0</v>
      </c>
      <c r="L239" s="362">
        <f ca="1">IF($B239="","",IF(Sheet1!$Z$1=2,'Tabla de Pagos Crecientes'!L179,'Tabla Fijos'!M184))</f>
        <v>0</v>
      </c>
      <c r="M239" s="362">
        <f ca="1">IF($B239="","",IF(Sheet1!$Z$1=2,'Tabla de Pagos Crecientes'!M179,'Tabla Fijos'!N184))</f>
        <v>0</v>
      </c>
      <c r="N239" s="364"/>
      <c r="O239" s="362">
        <f>IF($B239="","",IF(Sheet1!$Z$1=2,'Tabla de Pagos Crecientes'!O179,'Tabla Fijos'!Q184))</f>
        <v>0</v>
      </c>
      <c r="P239" s="362">
        <f ca="1">IF(B239="","",G239+H239+I239+J239+K239+L239-M239-'Tabla Fijos'!P184)</f>
        <v>10421.884210717662</v>
      </c>
      <c r="Q239" s="362">
        <f t="shared" ca="1" si="6"/>
        <v>518101.72890180338</v>
      </c>
      <c r="R239" s="272">
        <f t="shared" ca="1" si="7"/>
        <v>1</v>
      </c>
    </row>
    <row r="240" spans="1:18" ht="15.5" x14ac:dyDescent="0.35">
      <c r="A240" s="272"/>
      <c r="B240" s="360">
        <f t="shared" si="8"/>
        <v>174</v>
      </c>
      <c r="C240" s="361">
        <f ca="1">IF($B240="","",'Fecha Pago'!K177)</f>
        <v>51443</v>
      </c>
      <c r="D240" s="362">
        <f>IF($B$67="","",'Fecha Pago'!L177)</f>
        <v>30.4</v>
      </c>
      <c r="E240" s="363">
        <f>IF(B240="","",IF(Sheet1!$Z$1=2,'Tabla de Pagos Crecientes'!E180,$F$62))</f>
        <v>0.11</v>
      </c>
      <c r="F240" s="362">
        <f ca="1">IF($B240="","",IF(Sheet1!$Z$1=2,'Tabla de Pagos Crecientes'!F180,'Tabla Fijos'!F185))</f>
        <v>518101.72890180338</v>
      </c>
      <c r="G240" s="362">
        <f ca="1">IF($B240="","",IF(Sheet1!$Z$1=2,'Tabla de Pagos Crecientes'!G180,'Tabla Fijos'!G185))</f>
        <v>5609.2948178075767</v>
      </c>
      <c r="H240" s="362">
        <f ca="1">IF($B240="","",IF(Sheet1!$Z$1=2,'Tabla de Pagos Crecientes'!H180,'Tabla Fijos'!H185))</f>
        <v>4812.5893929100839</v>
      </c>
      <c r="I240" s="362">
        <f>IF($B240=0,0,IF(B240="","",VLOOKUP($B240,'Tabla Fijos'!$B$12:$S$311,8,0)))</f>
        <v>0</v>
      </c>
      <c r="J240" s="362">
        <f ca="1">IF($B240="","",IF(Sheet1!$Z$1=2,'Tabla de Pagos Crecientes'!J180,'Tabla Fijos'!K185))</f>
        <v>0</v>
      </c>
      <c r="K240" s="362">
        <f ca="1">IF($B240="","",IF(Sheet1!$Z$1=2,'Tabla de Pagos Crecientes'!K180,'Tabla Fijos'!L185))</f>
        <v>0</v>
      </c>
      <c r="L240" s="362">
        <f ca="1">IF($B240="","",IF(Sheet1!$Z$1=2,'Tabla de Pagos Crecientes'!L180,'Tabla Fijos'!M185))</f>
        <v>0</v>
      </c>
      <c r="M240" s="362">
        <f ca="1">IF($B240="","",IF(Sheet1!$Z$1=2,'Tabla de Pagos Crecientes'!M180,'Tabla Fijos'!N185))</f>
        <v>0</v>
      </c>
      <c r="N240" s="364"/>
      <c r="O240" s="362">
        <f>IF($B240="","",IF(Sheet1!$Z$1=2,'Tabla de Pagos Crecientes'!O180,'Tabla Fijos'!Q185))</f>
        <v>0</v>
      </c>
      <c r="P240" s="362">
        <f ca="1">IF(B240="","",G240+H240+I240+J240+K240+L240-M240-'Tabla Fijos'!P185)</f>
        <v>10421.884210717661</v>
      </c>
      <c r="Q240" s="362">
        <f t="shared" ca="1" si="6"/>
        <v>512492.43408399582</v>
      </c>
      <c r="R240" s="272">
        <f t="shared" ca="1" si="7"/>
        <v>1</v>
      </c>
    </row>
    <row r="241" spans="1:18" ht="15.5" x14ac:dyDescent="0.35">
      <c r="A241" s="272"/>
      <c r="B241" s="360">
        <f t="shared" si="8"/>
        <v>175</v>
      </c>
      <c r="C241" s="361">
        <f ca="1">IF($B241="","",'Fecha Pago'!K178)</f>
        <v>51473</v>
      </c>
      <c r="D241" s="362">
        <f>IF($B$67="","",'Fecha Pago'!L178)</f>
        <v>30.4</v>
      </c>
      <c r="E241" s="363">
        <f>IF(B241="","",IF(Sheet1!$Z$1=2,'Tabla de Pagos Crecientes'!E181,$F$62))</f>
        <v>0.11</v>
      </c>
      <c r="F241" s="362">
        <f ca="1">IF($B241="","",IF(Sheet1!$Z$1=2,'Tabla de Pagos Crecientes'!F181,'Tabla Fijos'!F186))</f>
        <v>512492.43408399582</v>
      </c>
      <c r="G241" s="362">
        <f ca="1">IF($B241="","",IF(Sheet1!$Z$1=2,'Tabla de Pagos Crecientes'!G181,'Tabla Fijos'!G186))</f>
        <v>5661.3989341152146</v>
      </c>
      <c r="H241" s="362">
        <f ca="1">IF($B241="","",IF(Sheet1!$Z$1=2,'Tabla de Pagos Crecientes'!H181,'Tabla Fijos'!H186))</f>
        <v>4760.4852766024496</v>
      </c>
      <c r="I241" s="362">
        <f>IF($B241=0,0,IF(B241="","",VLOOKUP($B241,'Tabla Fijos'!$B$12:$S$311,8,0)))</f>
        <v>0</v>
      </c>
      <c r="J241" s="362">
        <f ca="1">IF($B241="","",IF(Sheet1!$Z$1=2,'Tabla de Pagos Crecientes'!J181,'Tabla Fijos'!K186))</f>
        <v>0</v>
      </c>
      <c r="K241" s="362">
        <f ca="1">IF($B241="","",IF(Sheet1!$Z$1=2,'Tabla de Pagos Crecientes'!K181,'Tabla Fijos'!L186))</f>
        <v>0</v>
      </c>
      <c r="L241" s="362">
        <f ca="1">IF($B241="","",IF(Sheet1!$Z$1=2,'Tabla de Pagos Crecientes'!L181,'Tabla Fijos'!M186))</f>
        <v>0</v>
      </c>
      <c r="M241" s="362">
        <f ca="1">IF($B241="","",IF(Sheet1!$Z$1=2,'Tabla de Pagos Crecientes'!M181,'Tabla Fijos'!N186))</f>
        <v>0</v>
      </c>
      <c r="N241" s="364"/>
      <c r="O241" s="362">
        <f>IF($B241="","",IF(Sheet1!$Z$1=2,'Tabla de Pagos Crecientes'!O181,'Tabla Fijos'!Q186))</f>
        <v>0</v>
      </c>
      <c r="P241" s="362">
        <f ca="1">IF(B241="","",G241+H241+I241+J241+K241+L241-M241-'Tabla Fijos'!P186)</f>
        <v>10421.884210717664</v>
      </c>
      <c r="Q241" s="362">
        <f t="shared" ca="1" si="6"/>
        <v>506831.03514988063</v>
      </c>
      <c r="R241" s="272">
        <f t="shared" ca="1" si="7"/>
        <v>1</v>
      </c>
    </row>
    <row r="242" spans="1:18" ht="15.5" x14ac:dyDescent="0.35">
      <c r="A242" s="272"/>
      <c r="B242" s="360">
        <f t="shared" si="8"/>
        <v>176</v>
      </c>
      <c r="C242" s="361">
        <f ca="1">IF($B242="","",'Fecha Pago'!K179)</f>
        <v>51504</v>
      </c>
      <c r="D242" s="362">
        <f>IF($B$67="","",'Fecha Pago'!L179)</f>
        <v>30.4</v>
      </c>
      <c r="E242" s="363">
        <f>IF(B242="","",IF(Sheet1!$Z$1=2,'Tabla de Pagos Crecientes'!E182,$F$62))</f>
        <v>0.11</v>
      </c>
      <c r="F242" s="362">
        <f ca="1">IF($B242="","",IF(Sheet1!$Z$1=2,'Tabla de Pagos Crecientes'!F182,'Tabla Fijos'!F187))</f>
        <v>506831.03514988063</v>
      </c>
      <c r="G242" s="362">
        <f ca="1">IF($B242="","",IF(Sheet1!$Z$1=2,'Tabla de Pagos Crecientes'!G182,'Tabla Fijos'!G187))</f>
        <v>5713.9870397698824</v>
      </c>
      <c r="H242" s="362">
        <f ca="1">IF($B242="","",IF(Sheet1!$Z$1=2,'Tabla de Pagos Crecientes'!H182,'Tabla Fijos'!H187))</f>
        <v>4707.8971709477801</v>
      </c>
      <c r="I242" s="362">
        <f>IF($B242=0,0,IF(B242="","",VLOOKUP($B242,'Tabla Fijos'!$B$12:$S$311,8,0)))</f>
        <v>0</v>
      </c>
      <c r="J242" s="362">
        <f ca="1">IF($B242="","",IF(Sheet1!$Z$1=2,'Tabla de Pagos Crecientes'!J182,'Tabla Fijos'!K187))</f>
        <v>0</v>
      </c>
      <c r="K242" s="362">
        <f ca="1">IF($B242="","",IF(Sheet1!$Z$1=2,'Tabla de Pagos Crecientes'!K182,'Tabla Fijos'!L187))</f>
        <v>0</v>
      </c>
      <c r="L242" s="362">
        <f ca="1">IF($B242="","",IF(Sheet1!$Z$1=2,'Tabla de Pagos Crecientes'!L182,'Tabla Fijos'!M187))</f>
        <v>0</v>
      </c>
      <c r="M242" s="362">
        <f ca="1">IF($B242="","",IF(Sheet1!$Z$1=2,'Tabla de Pagos Crecientes'!M182,'Tabla Fijos'!N187))</f>
        <v>0</v>
      </c>
      <c r="N242" s="364"/>
      <c r="O242" s="362">
        <f>IF($B242="","",IF(Sheet1!$Z$1=2,'Tabla de Pagos Crecientes'!O182,'Tabla Fijos'!Q187))</f>
        <v>0</v>
      </c>
      <c r="P242" s="362">
        <f ca="1">IF(B242="","",G242+H242+I242+J242+K242+L242-M242-'Tabla Fijos'!P187)</f>
        <v>10421.884210717662</v>
      </c>
      <c r="Q242" s="362">
        <f t="shared" ca="1" si="6"/>
        <v>501117.04811011074</v>
      </c>
      <c r="R242" s="272">
        <f t="shared" ca="1" si="7"/>
        <v>1</v>
      </c>
    </row>
    <row r="243" spans="1:18" ht="15.5" x14ac:dyDescent="0.35">
      <c r="A243" s="272"/>
      <c r="B243" s="360">
        <f t="shared" si="8"/>
        <v>177</v>
      </c>
      <c r="C243" s="361">
        <f ca="1">IF($B243="","",'Fecha Pago'!K180)</f>
        <v>51535</v>
      </c>
      <c r="D243" s="362">
        <f>IF($B$67="","",'Fecha Pago'!L180)</f>
        <v>30.4</v>
      </c>
      <c r="E243" s="363">
        <f>IF(B243="","",IF(Sheet1!$Z$1=2,'Tabla de Pagos Crecientes'!E183,$F$62))</f>
        <v>0.11</v>
      </c>
      <c r="F243" s="362">
        <f ca="1">IF($B243="","",IF(Sheet1!$Z$1=2,'Tabla de Pagos Crecientes'!F183,'Tabla Fijos'!F188))</f>
        <v>501117.04811011074</v>
      </c>
      <c r="G243" s="362">
        <f ca="1">IF($B243="","",IF(Sheet1!$Z$1=2,'Tabla de Pagos Crecientes'!G183,'Tabla Fijos'!G188))</f>
        <v>5767.0636304948584</v>
      </c>
      <c r="H243" s="362">
        <f ca="1">IF($B243="","",IF(Sheet1!$Z$1=2,'Tabla de Pagos Crecientes'!H183,'Tabla Fijos'!H188))</f>
        <v>4654.8205802228058</v>
      </c>
      <c r="I243" s="362">
        <f>IF($B243=0,0,IF(B243="","",VLOOKUP($B243,'Tabla Fijos'!$B$12:$S$311,8,0)))</f>
        <v>0</v>
      </c>
      <c r="J243" s="362">
        <f ca="1">IF($B243="","",IF(Sheet1!$Z$1=2,'Tabla de Pagos Crecientes'!J183,'Tabla Fijos'!K188))</f>
        <v>0</v>
      </c>
      <c r="K243" s="362">
        <f ca="1">IF($B243="","",IF(Sheet1!$Z$1=2,'Tabla de Pagos Crecientes'!K183,'Tabla Fijos'!L188))</f>
        <v>0</v>
      </c>
      <c r="L243" s="362">
        <f ca="1">IF($B243="","",IF(Sheet1!$Z$1=2,'Tabla de Pagos Crecientes'!L183,'Tabla Fijos'!M188))</f>
        <v>0</v>
      </c>
      <c r="M243" s="362">
        <f ca="1">IF($B243="","",IF(Sheet1!$Z$1=2,'Tabla de Pagos Crecientes'!M183,'Tabla Fijos'!N188))</f>
        <v>0</v>
      </c>
      <c r="N243" s="364"/>
      <c r="O243" s="362">
        <f>IF($B243="","",IF(Sheet1!$Z$1=2,'Tabla de Pagos Crecientes'!O183,'Tabla Fijos'!Q188))</f>
        <v>0</v>
      </c>
      <c r="P243" s="362">
        <f ca="1">IF(B243="","",G243+H243+I243+J243+K243+L243-M243-'Tabla Fijos'!P188)</f>
        <v>10421.884210717664</v>
      </c>
      <c r="Q243" s="362">
        <f t="shared" ca="1" si="6"/>
        <v>495349.98447961587</v>
      </c>
      <c r="R243" s="272">
        <f t="shared" ca="1" si="7"/>
        <v>1</v>
      </c>
    </row>
    <row r="244" spans="1:18" ht="15.5" x14ac:dyDescent="0.35">
      <c r="A244" s="272"/>
      <c r="B244" s="360">
        <f t="shared" si="8"/>
        <v>178</v>
      </c>
      <c r="C244" s="361">
        <f ca="1">IF($B244="","",'Fecha Pago'!K181)</f>
        <v>51563</v>
      </c>
      <c r="D244" s="362">
        <f>IF($B$67="","",'Fecha Pago'!L181)</f>
        <v>30.4</v>
      </c>
      <c r="E244" s="363">
        <f>IF(B244="","",IF(Sheet1!$Z$1=2,'Tabla de Pagos Crecientes'!E184,$F$62))</f>
        <v>0.11</v>
      </c>
      <c r="F244" s="362">
        <f ca="1">IF($B244="","",IF(Sheet1!$Z$1=2,'Tabla de Pagos Crecientes'!F184,'Tabla Fijos'!F189))</f>
        <v>495349.98447961587</v>
      </c>
      <c r="G244" s="362">
        <f ca="1">IF($B244="","",IF(Sheet1!$Z$1=2,'Tabla de Pagos Crecientes'!G184,'Tabla Fijos'!G189))</f>
        <v>5820.6332437736737</v>
      </c>
      <c r="H244" s="362">
        <f ca="1">IF($B244="","",IF(Sheet1!$Z$1=2,'Tabla de Pagos Crecientes'!H184,'Tabla Fijos'!H189))</f>
        <v>4601.2509669439869</v>
      </c>
      <c r="I244" s="362">
        <f>IF($B244=0,0,IF(B244="","",VLOOKUP($B244,'Tabla Fijos'!$B$12:$S$311,8,0)))</f>
        <v>0</v>
      </c>
      <c r="J244" s="362">
        <f ca="1">IF($B244="","",IF(Sheet1!$Z$1=2,'Tabla de Pagos Crecientes'!J184,'Tabla Fijos'!K189))</f>
        <v>0</v>
      </c>
      <c r="K244" s="362">
        <f ca="1">IF($B244="","",IF(Sheet1!$Z$1=2,'Tabla de Pagos Crecientes'!K184,'Tabla Fijos'!L189))</f>
        <v>0</v>
      </c>
      <c r="L244" s="362">
        <f ca="1">IF($B244="","",IF(Sheet1!$Z$1=2,'Tabla de Pagos Crecientes'!L184,'Tabla Fijos'!M189))</f>
        <v>0</v>
      </c>
      <c r="M244" s="362">
        <f ca="1">IF($B244="","",IF(Sheet1!$Z$1=2,'Tabla de Pagos Crecientes'!M184,'Tabla Fijos'!N189))</f>
        <v>0</v>
      </c>
      <c r="N244" s="364"/>
      <c r="O244" s="362">
        <f>IF($B244="","",IF(Sheet1!$Z$1=2,'Tabla de Pagos Crecientes'!O184,'Tabla Fijos'!Q189))</f>
        <v>0</v>
      </c>
      <c r="P244" s="362">
        <f ca="1">IF(B244="","",G244+H244+I244+J244+K244+L244-M244-'Tabla Fijos'!P189)</f>
        <v>10421.884210717661</v>
      </c>
      <c r="Q244" s="362">
        <f t="shared" ca="1" si="6"/>
        <v>489529.35123584222</v>
      </c>
      <c r="R244" s="272">
        <f t="shared" ca="1" si="7"/>
        <v>1</v>
      </c>
    </row>
    <row r="245" spans="1:18" ht="15.5" x14ac:dyDescent="0.35">
      <c r="A245" s="272"/>
      <c r="B245" s="360">
        <f t="shared" si="8"/>
        <v>179</v>
      </c>
      <c r="C245" s="361">
        <f ca="1">IF($B245="","",'Fecha Pago'!K182)</f>
        <v>51594</v>
      </c>
      <c r="D245" s="362">
        <f>IF($B$67="","",'Fecha Pago'!L182)</f>
        <v>30.4</v>
      </c>
      <c r="E245" s="363">
        <f>IF(B245="","",IF(Sheet1!$Z$1=2,'Tabla de Pagos Crecientes'!E185,$F$62))</f>
        <v>0.11</v>
      </c>
      <c r="F245" s="362">
        <f ca="1">IF($B245="","",IF(Sheet1!$Z$1=2,'Tabla de Pagos Crecientes'!F185,'Tabla Fijos'!F190))</f>
        <v>489529.35123584222</v>
      </c>
      <c r="G245" s="362">
        <f ca="1">IF($B245="","",IF(Sheet1!$Z$1=2,'Tabla de Pagos Crecientes'!G185,'Tabla Fijos'!G190))</f>
        <v>5874.7004592380617</v>
      </c>
      <c r="H245" s="362">
        <f ca="1">IF($B245="","",IF(Sheet1!$Z$1=2,'Tabla de Pagos Crecientes'!H185,'Tabla Fijos'!H190))</f>
        <v>4547.1837514796007</v>
      </c>
      <c r="I245" s="362">
        <f>IF($B245=0,0,IF(B245="","",VLOOKUP($B245,'Tabla Fijos'!$B$12:$S$311,8,0)))</f>
        <v>0</v>
      </c>
      <c r="J245" s="362">
        <f ca="1">IF($B245="","",IF(Sheet1!$Z$1=2,'Tabla de Pagos Crecientes'!J185,'Tabla Fijos'!K190))</f>
        <v>0</v>
      </c>
      <c r="K245" s="362">
        <f ca="1">IF($B245="","",IF(Sheet1!$Z$1=2,'Tabla de Pagos Crecientes'!K185,'Tabla Fijos'!L190))</f>
        <v>0</v>
      </c>
      <c r="L245" s="362">
        <f ca="1">IF($B245="","",IF(Sheet1!$Z$1=2,'Tabla de Pagos Crecientes'!L185,'Tabla Fijos'!M190))</f>
        <v>0</v>
      </c>
      <c r="M245" s="362">
        <f ca="1">IF($B245="","",IF(Sheet1!$Z$1=2,'Tabla de Pagos Crecientes'!M185,'Tabla Fijos'!N190))</f>
        <v>0</v>
      </c>
      <c r="N245" s="364"/>
      <c r="O245" s="362">
        <f>IF($B245="","",IF(Sheet1!$Z$1=2,'Tabla de Pagos Crecientes'!O185,'Tabla Fijos'!Q190))</f>
        <v>0</v>
      </c>
      <c r="P245" s="362">
        <f ca="1">IF(B245="","",G245+H245+I245+J245+K245+L245-M245-'Tabla Fijos'!P190)</f>
        <v>10421.884210717662</v>
      </c>
      <c r="Q245" s="362">
        <f t="shared" ca="1" si="6"/>
        <v>483654.65077660413</v>
      </c>
      <c r="R245" s="272">
        <f t="shared" ca="1" si="7"/>
        <v>1</v>
      </c>
    </row>
    <row r="246" spans="1:18" ht="15.5" x14ac:dyDescent="0.35">
      <c r="A246" s="272"/>
      <c r="B246" s="360">
        <f t="shared" si="8"/>
        <v>180</v>
      </c>
      <c r="C246" s="361">
        <f ca="1">IF($B246="","",'Fecha Pago'!K183)</f>
        <v>51624</v>
      </c>
      <c r="D246" s="362">
        <f>IF($B$67="","",'Fecha Pago'!L183)</f>
        <v>30.4</v>
      </c>
      <c r="E246" s="363">
        <f>IF(B246="","",IF(Sheet1!$Z$1=2,'Tabla de Pagos Crecientes'!E186,$F$62))</f>
        <v>0.11</v>
      </c>
      <c r="F246" s="362">
        <f ca="1">IF($B246="","",IF(Sheet1!$Z$1=2,'Tabla de Pagos Crecientes'!F186,'Tabla Fijos'!F191))</f>
        <v>483654.65077660413</v>
      </c>
      <c r="G246" s="362">
        <f ca="1">IF($B246="","",IF(Sheet1!$Z$1=2,'Tabla de Pagos Crecientes'!G186,'Tabla Fijos'!G191))</f>
        <v>5929.2698990594308</v>
      </c>
      <c r="H246" s="362">
        <f ca="1">IF($B246="","",IF(Sheet1!$Z$1=2,'Tabla de Pagos Crecientes'!H186,'Tabla Fijos'!H191))</f>
        <v>4492.6143116582334</v>
      </c>
      <c r="I246" s="362">
        <f>IF($B246=0,0,IF(B246="","",VLOOKUP($B246,'Tabla Fijos'!$B$12:$S$311,8,0)))</f>
        <v>0</v>
      </c>
      <c r="J246" s="362">
        <f ca="1">IF($B246="","",IF(Sheet1!$Z$1=2,'Tabla de Pagos Crecientes'!J186,'Tabla Fijos'!K191))</f>
        <v>0</v>
      </c>
      <c r="K246" s="362">
        <f ca="1">IF($B246="","",IF(Sheet1!$Z$1=2,'Tabla de Pagos Crecientes'!K186,'Tabla Fijos'!L191))</f>
        <v>0</v>
      </c>
      <c r="L246" s="362">
        <f ca="1">IF($B246="","",IF(Sheet1!$Z$1=2,'Tabla de Pagos Crecientes'!L186,'Tabla Fijos'!M191))</f>
        <v>0</v>
      </c>
      <c r="M246" s="362">
        <f ca="1">IF($B246="","",IF(Sheet1!$Z$1=2,'Tabla de Pagos Crecientes'!M186,'Tabla Fijos'!N191))</f>
        <v>0</v>
      </c>
      <c r="N246" s="364"/>
      <c r="O246" s="362">
        <f>IF($B246="","",IF(Sheet1!$Z$1=2,'Tabla de Pagos Crecientes'!O186,'Tabla Fijos'!Q191))</f>
        <v>0</v>
      </c>
      <c r="P246" s="362">
        <f ca="1">IF(B246="","",G246+H246+I246+J246+K246+L246-M246-'Tabla Fijos'!P191)</f>
        <v>10421.884210717664</v>
      </c>
      <c r="Q246" s="362">
        <f t="shared" ca="1" si="6"/>
        <v>477725.3808775447</v>
      </c>
      <c r="R246" s="272">
        <f t="shared" ca="1" si="7"/>
        <v>1</v>
      </c>
    </row>
    <row r="247" spans="1:18" ht="15.5" x14ac:dyDescent="0.35">
      <c r="A247" s="272"/>
      <c r="B247" s="360">
        <f t="shared" si="8"/>
        <v>181</v>
      </c>
      <c r="C247" s="361">
        <f ca="1">IF($B247="","",'Fecha Pago'!K184)</f>
        <v>51655</v>
      </c>
      <c r="D247" s="362">
        <f>IF($B$67="","",'Fecha Pago'!L184)</f>
        <v>30.4</v>
      </c>
      <c r="E247" s="363">
        <f>IF(B247="","",IF(Sheet1!$Z$1=2,'Tabla de Pagos Crecientes'!E187,$F$62))</f>
        <v>0.11</v>
      </c>
      <c r="F247" s="362">
        <f ca="1">IF($B247="","",IF(Sheet1!$Z$1=2,'Tabla de Pagos Crecientes'!F187,'Tabla Fijos'!F192))</f>
        <v>477725.3808775447</v>
      </c>
      <c r="G247" s="362">
        <f ca="1">IF($B247="","",IF(Sheet1!$Z$1=2,'Tabla de Pagos Crecientes'!G187,'Tabla Fijos'!G192))</f>
        <v>5984.3462283440258</v>
      </c>
      <c r="H247" s="362">
        <f ca="1">IF($B247="","",IF(Sheet1!$Z$1=2,'Tabla de Pagos Crecientes'!H187,'Tabla Fijos'!H192))</f>
        <v>4437.5379823736366</v>
      </c>
      <c r="I247" s="362">
        <f>IF($B247=0,0,IF(B247="","",VLOOKUP($B247,'Tabla Fijos'!$B$12:$S$311,8,0)))</f>
        <v>0</v>
      </c>
      <c r="J247" s="362">
        <f ca="1">IF($B247="","",IF(Sheet1!$Z$1=2,'Tabla de Pagos Crecientes'!J187,'Tabla Fijos'!K192))</f>
        <v>0</v>
      </c>
      <c r="K247" s="362">
        <f ca="1">IF($B247="","",IF(Sheet1!$Z$1=2,'Tabla de Pagos Crecientes'!K187,'Tabla Fijos'!L192))</f>
        <v>0</v>
      </c>
      <c r="L247" s="362">
        <f ca="1">IF($B247="","",IF(Sheet1!$Z$1=2,'Tabla de Pagos Crecientes'!L187,'Tabla Fijos'!M192))</f>
        <v>0</v>
      </c>
      <c r="M247" s="362">
        <f ca="1">IF($B247="","",IF(Sheet1!$Z$1=2,'Tabla de Pagos Crecientes'!M187,'Tabla Fijos'!N192))</f>
        <v>0</v>
      </c>
      <c r="N247" s="364"/>
      <c r="O247" s="362">
        <f>IF($B247="","",IF(Sheet1!$Z$1=2,'Tabla de Pagos Crecientes'!O187,'Tabla Fijos'!Q192))</f>
        <v>0</v>
      </c>
      <c r="P247" s="362">
        <f ca="1">IF(B247="","",G247+H247+I247+J247+K247+L247-M247-'Tabla Fijos'!P192)</f>
        <v>10421.884210717662</v>
      </c>
      <c r="Q247" s="362">
        <f t="shared" ca="1" si="6"/>
        <v>471741.03464920068</v>
      </c>
      <c r="R247" s="272">
        <f t="shared" ca="1" si="7"/>
        <v>1</v>
      </c>
    </row>
    <row r="248" spans="1:18" ht="15.5" x14ac:dyDescent="0.35">
      <c r="A248" s="272"/>
      <c r="B248" s="360">
        <f t="shared" si="8"/>
        <v>182</v>
      </c>
      <c r="C248" s="361">
        <f ca="1">IF($B248="","",'Fecha Pago'!K185)</f>
        <v>51685</v>
      </c>
      <c r="D248" s="362">
        <f>IF($B$67="","",'Fecha Pago'!L185)</f>
        <v>30.4</v>
      </c>
      <c r="E248" s="363">
        <f>IF(B248="","",IF(Sheet1!$Z$1=2,'Tabla de Pagos Crecientes'!E188,$F$62))</f>
        <v>0.11</v>
      </c>
      <c r="F248" s="362">
        <f ca="1">IF($B248="","",IF(Sheet1!$Z$1=2,'Tabla de Pagos Crecientes'!F188,'Tabla Fijos'!F193))</f>
        <v>471741.03464920068</v>
      </c>
      <c r="G248" s="362">
        <f ca="1">IF($B248="","",IF(Sheet1!$Z$1=2,'Tabla de Pagos Crecientes'!G188,'Tabla Fijos'!G193))</f>
        <v>6039.934155531756</v>
      </c>
      <c r="H248" s="362">
        <f ca="1">IF($B248="","",IF(Sheet1!$Z$1=2,'Tabla de Pagos Crecientes'!H188,'Tabla Fijos'!H193))</f>
        <v>4381.9500551859082</v>
      </c>
      <c r="I248" s="362">
        <f>IF($B248=0,0,IF(B248="","",VLOOKUP($B248,'Tabla Fijos'!$B$12:$S$311,8,0)))</f>
        <v>0</v>
      </c>
      <c r="J248" s="362">
        <f ca="1">IF($B248="","",IF(Sheet1!$Z$1=2,'Tabla de Pagos Crecientes'!J188,'Tabla Fijos'!K193))</f>
        <v>0</v>
      </c>
      <c r="K248" s="362">
        <f ca="1">IF($B248="","",IF(Sheet1!$Z$1=2,'Tabla de Pagos Crecientes'!K188,'Tabla Fijos'!L193))</f>
        <v>0</v>
      </c>
      <c r="L248" s="362">
        <f ca="1">IF($B248="","",IF(Sheet1!$Z$1=2,'Tabla de Pagos Crecientes'!L188,'Tabla Fijos'!M193))</f>
        <v>0</v>
      </c>
      <c r="M248" s="362">
        <f ca="1">IF($B248="","",IF(Sheet1!$Z$1=2,'Tabla de Pagos Crecientes'!M188,'Tabla Fijos'!N193))</f>
        <v>0</v>
      </c>
      <c r="N248" s="364"/>
      <c r="O248" s="362">
        <f>IF($B248="","",IF(Sheet1!$Z$1=2,'Tabla de Pagos Crecientes'!O188,'Tabla Fijos'!Q193))</f>
        <v>0</v>
      </c>
      <c r="P248" s="362">
        <f ca="1">IF(B248="","",G248+H248+I248+J248+K248+L248-M248-'Tabla Fijos'!P193)</f>
        <v>10421.884210717664</v>
      </c>
      <c r="Q248" s="362">
        <f t="shared" ca="1" si="6"/>
        <v>465701.10049366893</v>
      </c>
      <c r="R248" s="272">
        <f t="shared" ca="1" si="7"/>
        <v>1</v>
      </c>
    </row>
    <row r="249" spans="1:18" ht="15.5" x14ac:dyDescent="0.35">
      <c r="A249" s="272"/>
      <c r="B249" s="360">
        <f t="shared" si="8"/>
        <v>183</v>
      </c>
      <c r="C249" s="361">
        <f ca="1">IF($B249="","",'Fecha Pago'!K186)</f>
        <v>51716</v>
      </c>
      <c r="D249" s="362">
        <f>IF($B$67="","",'Fecha Pago'!L186)</f>
        <v>30.4</v>
      </c>
      <c r="E249" s="363">
        <f>IF(B249="","",IF(Sheet1!$Z$1=2,'Tabla de Pagos Crecientes'!E189,$F$62))</f>
        <v>0.11</v>
      </c>
      <c r="F249" s="362">
        <f ca="1">IF($B249="","",IF(Sheet1!$Z$1=2,'Tabla de Pagos Crecientes'!F189,'Tabla Fijos'!F194))</f>
        <v>465701.10049366893</v>
      </c>
      <c r="G249" s="362">
        <f ca="1">IF($B249="","",IF(Sheet1!$Z$1=2,'Tabla de Pagos Crecientes'!G189,'Tabla Fijos'!G194))</f>
        <v>6096.0384327986958</v>
      </c>
      <c r="H249" s="362">
        <f ca="1">IF($B249="","",IF(Sheet1!$Z$1=2,'Tabla de Pagos Crecientes'!H189,'Tabla Fijos'!H194))</f>
        <v>4325.8457779189685</v>
      </c>
      <c r="I249" s="362">
        <f>IF($B249=0,0,IF(B249="","",VLOOKUP($B249,'Tabla Fijos'!$B$12:$S$311,8,0)))</f>
        <v>0</v>
      </c>
      <c r="J249" s="362">
        <f ca="1">IF($B249="","",IF(Sheet1!$Z$1=2,'Tabla de Pagos Crecientes'!J189,'Tabla Fijos'!K194))</f>
        <v>0</v>
      </c>
      <c r="K249" s="362">
        <f ca="1">IF($B249="","",IF(Sheet1!$Z$1=2,'Tabla de Pagos Crecientes'!K189,'Tabla Fijos'!L194))</f>
        <v>0</v>
      </c>
      <c r="L249" s="362">
        <f ca="1">IF($B249="","",IF(Sheet1!$Z$1=2,'Tabla de Pagos Crecientes'!L189,'Tabla Fijos'!M194))</f>
        <v>0</v>
      </c>
      <c r="M249" s="362">
        <f ca="1">IF($B249="","",IF(Sheet1!$Z$1=2,'Tabla de Pagos Crecientes'!M189,'Tabla Fijos'!N194))</f>
        <v>0</v>
      </c>
      <c r="N249" s="364"/>
      <c r="O249" s="362">
        <f>IF($B249="","",IF(Sheet1!$Z$1=2,'Tabla de Pagos Crecientes'!O189,'Tabla Fijos'!Q194))</f>
        <v>0</v>
      </c>
      <c r="P249" s="362">
        <f ca="1">IF(B249="","",G249+H249+I249+J249+K249+L249-M249-'Tabla Fijos'!P194)</f>
        <v>10421.884210717664</v>
      </c>
      <c r="Q249" s="362">
        <f t="shared" ca="1" si="6"/>
        <v>459605.06206087023</v>
      </c>
      <c r="R249" s="272">
        <f t="shared" ca="1" si="7"/>
        <v>1</v>
      </c>
    </row>
    <row r="250" spans="1:18" ht="15.5" x14ac:dyDescent="0.35">
      <c r="A250" s="272"/>
      <c r="B250" s="360">
        <f t="shared" si="8"/>
        <v>184</v>
      </c>
      <c r="C250" s="361">
        <f ca="1">IF($B250="","",'Fecha Pago'!K187)</f>
        <v>51747</v>
      </c>
      <c r="D250" s="362">
        <f>IF($B$67="","",'Fecha Pago'!L187)</f>
        <v>30.4</v>
      </c>
      <c r="E250" s="363">
        <f>IF(B250="","",IF(Sheet1!$Z$1=2,'Tabla de Pagos Crecientes'!E190,$F$62))</f>
        <v>0.11</v>
      </c>
      <c r="F250" s="362">
        <f ca="1">IF($B250="","",IF(Sheet1!$Z$1=2,'Tabla de Pagos Crecientes'!F190,'Tabla Fijos'!F195))</f>
        <v>459605.06206087023</v>
      </c>
      <c r="G250" s="362">
        <f ca="1">IF($B250="","",IF(Sheet1!$Z$1=2,'Tabla de Pagos Crecientes'!G190,'Tabla Fijos'!G195))</f>
        <v>6152.6638564633568</v>
      </c>
      <c r="H250" s="362">
        <f ca="1">IF($B250="","",IF(Sheet1!$Z$1=2,'Tabla de Pagos Crecientes'!H190,'Tabla Fijos'!H195))</f>
        <v>4269.2203542543057</v>
      </c>
      <c r="I250" s="362">
        <f>IF($B250=0,0,IF(B250="","",VLOOKUP($B250,'Tabla Fijos'!$B$12:$S$311,8,0)))</f>
        <v>0</v>
      </c>
      <c r="J250" s="362">
        <f ca="1">IF($B250="","",IF(Sheet1!$Z$1=2,'Tabla de Pagos Crecientes'!J190,'Tabla Fijos'!K195))</f>
        <v>0</v>
      </c>
      <c r="K250" s="362">
        <f ca="1">IF($B250="","",IF(Sheet1!$Z$1=2,'Tabla de Pagos Crecientes'!K190,'Tabla Fijos'!L195))</f>
        <v>0</v>
      </c>
      <c r="L250" s="362">
        <f ca="1">IF($B250="","",IF(Sheet1!$Z$1=2,'Tabla de Pagos Crecientes'!L190,'Tabla Fijos'!M195))</f>
        <v>0</v>
      </c>
      <c r="M250" s="362">
        <f ca="1">IF($B250="","",IF(Sheet1!$Z$1=2,'Tabla de Pagos Crecientes'!M190,'Tabla Fijos'!N195))</f>
        <v>0</v>
      </c>
      <c r="N250" s="364"/>
      <c r="O250" s="362">
        <f>IF($B250="","",IF(Sheet1!$Z$1=2,'Tabla de Pagos Crecientes'!O190,'Tabla Fijos'!Q195))</f>
        <v>0</v>
      </c>
      <c r="P250" s="362">
        <f ca="1">IF(B250="","",G250+H250+I250+J250+K250+L250-M250-'Tabla Fijos'!P195)</f>
        <v>10421.884210717662</v>
      </c>
      <c r="Q250" s="362">
        <f t="shared" ca="1" si="6"/>
        <v>453452.3982044069</v>
      </c>
      <c r="R250" s="272">
        <f t="shared" ca="1" si="7"/>
        <v>1</v>
      </c>
    </row>
    <row r="251" spans="1:18" ht="15.5" x14ac:dyDescent="0.35">
      <c r="A251" s="272"/>
      <c r="B251" s="360">
        <f t="shared" si="8"/>
        <v>185</v>
      </c>
      <c r="C251" s="361">
        <f ca="1">IF($B251="","",'Fecha Pago'!K188)</f>
        <v>51777</v>
      </c>
      <c r="D251" s="362">
        <f>IF($B$67="","",'Fecha Pago'!L188)</f>
        <v>30.4</v>
      </c>
      <c r="E251" s="363">
        <f>IF(B251="","",IF(Sheet1!$Z$1=2,'Tabla de Pagos Crecientes'!E191,$F$62))</f>
        <v>0.11</v>
      </c>
      <c r="F251" s="362">
        <f ca="1">IF($B251="","",IF(Sheet1!$Z$1=2,'Tabla de Pagos Crecientes'!F191,'Tabla Fijos'!F196))</f>
        <v>453452.3982044069</v>
      </c>
      <c r="G251" s="362">
        <f ca="1">IF($B251="","",IF(Sheet1!$Z$1=2,'Tabla de Pagos Crecientes'!G191,'Tabla Fijos'!G196))</f>
        <v>6209.8152673967297</v>
      </c>
      <c r="H251" s="362">
        <f ca="1">IF($B251="","",IF(Sheet1!$Z$1=2,'Tabla de Pagos Crecientes'!H191,'Tabla Fijos'!H196))</f>
        <v>4212.0689433209345</v>
      </c>
      <c r="I251" s="362">
        <f>IF($B251=0,0,IF(B251="","",VLOOKUP($B251,'Tabla Fijos'!$B$12:$S$311,8,0)))</f>
        <v>0</v>
      </c>
      <c r="J251" s="362">
        <f ca="1">IF($B251="","",IF(Sheet1!$Z$1=2,'Tabla de Pagos Crecientes'!J191,'Tabla Fijos'!K196))</f>
        <v>0</v>
      </c>
      <c r="K251" s="362">
        <f ca="1">IF($B251="","",IF(Sheet1!$Z$1=2,'Tabla de Pagos Crecientes'!K191,'Tabla Fijos'!L196))</f>
        <v>0</v>
      </c>
      <c r="L251" s="362">
        <f ca="1">IF($B251="","",IF(Sheet1!$Z$1=2,'Tabla de Pagos Crecientes'!L191,'Tabla Fijos'!M196))</f>
        <v>0</v>
      </c>
      <c r="M251" s="362">
        <f ca="1">IF($B251="","",IF(Sheet1!$Z$1=2,'Tabla de Pagos Crecientes'!M191,'Tabla Fijos'!N196))</f>
        <v>0</v>
      </c>
      <c r="N251" s="364"/>
      <c r="O251" s="362">
        <f>IF($B251="","",IF(Sheet1!$Z$1=2,'Tabla de Pagos Crecientes'!O191,'Tabla Fijos'!Q196))</f>
        <v>0</v>
      </c>
      <c r="P251" s="362">
        <f ca="1">IF(B251="","",G251+H251+I251+J251+K251+L251-M251-'Tabla Fijos'!P196)</f>
        <v>10421.884210717664</v>
      </c>
      <c r="Q251" s="362">
        <f t="shared" ca="1" si="6"/>
        <v>447242.58293701016</v>
      </c>
      <c r="R251" s="272">
        <f t="shared" ca="1" si="7"/>
        <v>1</v>
      </c>
    </row>
    <row r="252" spans="1:18" ht="15.5" x14ac:dyDescent="0.35">
      <c r="A252" s="272"/>
      <c r="B252" s="360">
        <f t="shared" si="8"/>
        <v>186</v>
      </c>
      <c r="C252" s="361">
        <f ca="1">IF($B252="","",'Fecha Pago'!K189)</f>
        <v>51808</v>
      </c>
      <c r="D252" s="362">
        <f>IF($B$67="","",'Fecha Pago'!L189)</f>
        <v>30.4</v>
      </c>
      <c r="E252" s="363">
        <f>IF(B252="","",IF(Sheet1!$Z$1=2,'Tabla de Pagos Crecientes'!E192,$F$62))</f>
        <v>0.11</v>
      </c>
      <c r="F252" s="362">
        <f ca="1">IF($B252="","",IF(Sheet1!$Z$1=2,'Tabla de Pagos Crecientes'!F192,'Tabla Fijos'!F197))</f>
        <v>447242.58293701016</v>
      </c>
      <c r="G252" s="362">
        <f ca="1">IF($B252="","",IF(Sheet1!$Z$1=2,'Tabla de Pagos Crecientes'!G192,'Tabla Fijos'!G197))</f>
        <v>6267.4975514361031</v>
      </c>
      <c r="H252" s="362">
        <f ca="1">IF($B252="","",IF(Sheet1!$Z$1=2,'Tabla de Pagos Crecientes'!H192,'Tabla Fijos'!H197))</f>
        <v>4154.3866592815612</v>
      </c>
      <c r="I252" s="362">
        <f>IF($B252=0,0,IF(B252="","",VLOOKUP($B252,'Tabla Fijos'!$B$12:$S$311,8,0)))</f>
        <v>0</v>
      </c>
      <c r="J252" s="362">
        <f ca="1">IF($B252="","",IF(Sheet1!$Z$1=2,'Tabla de Pagos Crecientes'!J192,'Tabla Fijos'!K197))</f>
        <v>0</v>
      </c>
      <c r="K252" s="362">
        <f ca="1">IF($B252="","",IF(Sheet1!$Z$1=2,'Tabla de Pagos Crecientes'!K192,'Tabla Fijos'!L197))</f>
        <v>0</v>
      </c>
      <c r="L252" s="362">
        <f ca="1">IF($B252="","",IF(Sheet1!$Z$1=2,'Tabla de Pagos Crecientes'!L192,'Tabla Fijos'!M197))</f>
        <v>0</v>
      </c>
      <c r="M252" s="362">
        <f ca="1">IF($B252="","",IF(Sheet1!$Z$1=2,'Tabla de Pagos Crecientes'!M192,'Tabla Fijos'!N197))</f>
        <v>0</v>
      </c>
      <c r="N252" s="364"/>
      <c r="O252" s="362">
        <f>IF($B252="","",IF(Sheet1!$Z$1=2,'Tabla de Pagos Crecientes'!O192,'Tabla Fijos'!Q197))</f>
        <v>0</v>
      </c>
      <c r="P252" s="362">
        <f ca="1">IF(B252="","",G252+H252+I252+J252+K252+L252-M252-'Tabla Fijos'!P197)</f>
        <v>10421.884210717664</v>
      </c>
      <c r="Q252" s="362">
        <f t="shared" ca="1" si="6"/>
        <v>440975.08538557403</v>
      </c>
      <c r="R252" s="272">
        <f t="shared" ca="1" si="7"/>
        <v>1</v>
      </c>
    </row>
    <row r="253" spans="1:18" ht="15.5" x14ac:dyDescent="0.35">
      <c r="A253" s="272"/>
      <c r="B253" s="360">
        <f t="shared" si="8"/>
        <v>187</v>
      </c>
      <c r="C253" s="361">
        <f ca="1">IF($B253="","",'Fecha Pago'!K190)</f>
        <v>51838</v>
      </c>
      <c r="D253" s="362">
        <f>IF($B$67="","",'Fecha Pago'!L190)</f>
        <v>30.4</v>
      </c>
      <c r="E253" s="363">
        <f>IF(B253="","",IF(Sheet1!$Z$1=2,'Tabla de Pagos Crecientes'!E193,$F$62))</f>
        <v>0.11</v>
      </c>
      <c r="F253" s="362">
        <f ca="1">IF($B253="","",IF(Sheet1!$Z$1=2,'Tabla de Pagos Crecientes'!F193,'Tabla Fijos'!F198))</f>
        <v>440975.08538557403</v>
      </c>
      <c r="G253" s="362">
        <f ca="1">IF($B253="","",IF(Sheet1!$Z$1=2,'Tabla de Pagos Crecientes'!G193,'Tabla Fijos'!G198))</f>
        <v>6325.7156398027773</v>
      </c>
      <c r="H253" s="362">
        <f ca="1">IF($B253="","",IF(Sheet1!$Z$1=2,'Tabla de Pagos Crecientes'!H193,'Tabla Fijos'!H198))</f>
        <v>4096.1685709148869</v>
      </c>
      <c r="I253" s="362">
        <f>IF($B253=0,0,IF(B253="","",VLOOKUP($B253,'Tabla Fijos'!$B$12:$S$311,8,0)))</f>
        <v>0</v>
      </c>
      <c r="J253" s="362">
        <f ca="1">IF($B253="","",IF(Sheet1!$Z$1=2,'Tabla de Pagos Crecientes'!J193,'Tabla Fijos'!K198))</f>
        <v>0</v>
      </c>
      <c r="K253" s="362">
        <f ca="1">IF($B253="","",IF(Sheet1!$Z$1=2,'Tabla de Pagos Crecientes'!K193,'Tabla Fijos'!L198))</f>
        <v>0</v>
      </c>
      <c r="L253" s="362">
        <f ca="1">IF($B253="","",IF(Sheet1!$Z$1=2,'Tabla de Pagos Crecientes'!L193,'Tabla Fijos'!M198))</f>
        <v>0</v>
      </c>
      <c r="M253" s="362">
        <f ca="1">IF($B253="","",IF(Sheet1!$Z$1=2,'Tabla de Pagos Crecientes'!M193,'Tabla Fijos'!N198))</f>
        <v>0</v>
      </c>
      <c r="N253" s="364"/>
      <c r="O253" s="362">
        <f>IF($B253="","",IF(Sheet1!$Z$1=2,'Tabla de Pagos Crecientes'!O193,'Tabla Fijos'!Q198))</f>
        <v>0</v>
      </c>
      <c r="P253" s="362">
        <f ca="1">IF(B253="","",G253+H253+I253+J253+K253+L253-M253-'Tabla Fijos'!P198)</f>
        <v>10421.884210717664</v>
      </c>
      <c r="Q253" s="362">
        <f t="shared" ca="1" si="6"/>
        <v>434649.36974577123</v>
      </c>
      <c r="R253" s="272">
        <f t="shared" ca="1" si="7"/>
        <v>1</v>
      </c>
    </row>
    <row r="254" spans="1:18" ht="15.5" x14ac:dyDescent="0.35">
      <c r="A254" s="272"/>
      <c r="B254" s="360">
        <f t="shared" si="8"/>
        <v>188</v>
      </c>
      <c r="C254" s="361">
        <f ca="1">IF($B254="","",'Fecha Pago'!K191)</f>
        <v>51869</v>
      </c>
      <c r="D254" s="362">
        <f>IF($B$67="","",'Fecha Pago'!L191)</f>
        <v>30.4</v>
      </c>
      <c r="E254" s="363">
        <f>IF(B254="","",IF(Sheet1!$Z$1=2,'Tabla de Pagos Crecientes'!E194,$F$62))</f>
        <v>0.11</v>
      </c>
      <c r="F254" s="362">
        <f ca="1">IF($B254="","",IF(Sheet1!$Z$1=2,'Tabla de Pagos Crecientes'!F194,'Tabla Fijos'!F199))</f>
        <v>434649.36974577123</v>
      </c>
      <c r="G254" s="362">
        <f ca="1">IF($B254="","",IF(Sheet1!$Z$1=2,'Tabla de Pagos Crecientes'!G194,'Tabla Fijos'!G199))</f>
        <v>6384.4745095236121</v>
      </c>
      <c r="H254" s="362">
        <f ca="1">IF($B254="","",IF(Sheet1!$Z$1=2,'Tabla de Pagos Crecientes'!H194,'Tabla Fijos'!H199))</f>
        <v>4037.4097011940526</v>
      </c>
      <c r="I254" s="362">
        <f>IF($B254=0,0,IF(B254="","",VLOOKUP($B254,'Tabla Fijos'!$B$12:$S$311,8,0)))</f>
        <v>0</v>
      </c>
      <c r="J254" s="362">
        <f ca="1">IF($B254="","",IF(Sheet1!$Z$1=2,'Tabla de Pagos Crecientes'!J194,'Tabla Fijos'!K199))</f>
        <v>0</v>
      </c>
      <c r="K254" s="362">
        <f ca="1">IF($B254="","",IF(Sheet1!$Z$1=2,'Tabla de Pagos Crecientes'!K194,'Tabla Fijos'!L199))</f>
        <v>0</v>
      </c>
      <c r="L254" s="362">
        <f ca="1">IF($B254="","",IF(Sheet1!$Z$1=2,'Tabla de Pagos Crecientes'!L194,'Tabla Fijos'!M199))</f>
        <v>0</v>
      </c>
      <c r="M254" s="362">
        <f ca="1">IF($B254="","",IF(Sheet1!$Z$1=2,'Tabla de Pagos Crecientes'!M194,'Tabla Fijos'!N199))</f>
        <v>0</v>
      </c>
      <c r="N254" s="364"/>
      <c r="O254" s="362">
        <f>IF($B254="","",IF(Sheet1!$Z$1=2,'Tabla de Pagos Crecientes'!O194,'Tabla Fijos'!Q199))</f>
        <v>0</v>
      </c>
      <c r="P254" s="362">
        <f ca="1">IF(B254="","",G254+H254+I254+J254+K254+L254-M254-'Tabla Fijos'!P199)</f>
        <v>10421.884210717664</v>
      </c>
      <c r="Q254" s="362">
        <f t="shared" ca="1" si="6"/>
        <v>428264.89523624763</v>
      </c>
      <c r="R254" s="272">
        <f t="shared" ca="1" si="7"/>
        <v>1</v>
      </c>
    </row>
    <row r="255" spans="1:18" ht="15.5" x14ac:dyDescent="0.35">
      <c r="A255" s="272"/>
      <c r="B255" s="360">
        <f t="shared" si="8"/>
        <v>189</v>
      </c>
      <c r="C255" s="361">
        <f ca="1">IF($B255="","",'Fecha Pago'!K192)</f>
        <v>51900</v>
      </c>
      <c r="D255" s="362">
        <f>IF($B$67="","",'Fecha Pago'!L192)</f>
        <v>30.4</v>
      </c>
      <c r="E255" s="363">
        <f>IF(B255="","",IF(Sheet1!$Z$1=2,'Tabla de Pagos Crecientes'!E195,$F$62))</f>
        <v>0.11</v>
      </c>
      <c r="F255" s="362">
        <f ca="1">IF($B255="","",IF(Sheet1!$Z$1=2,'Tabla de Pagos Crecientes'!F195,'Tabla Fijos'!F200))</f>
        <v>428264.89523624763</v>
      </c>
      <c r="G255" s="362">
        <f ca="1">IF($B255="","",IF(Sheet1!$Z$1=2,'Tabla de Pagos Crecientes'!G195,'Tabla Fijos'!G200))</f>
        <v>6443.7791838565181</v>
      </c>
      <c r="H255" s="362">
        <f ca="1">IF($B255="","",IF(Sheet1!$Z$1=2,'Tabla de Pagos Crecientes'!H195,'Tabla Fijos'!H200))</f>
        <v>3978.1050268611443</v>
      </c>
      <c r="I255" s="362">
        <f>IF($B255=0,0,IF(B255="","",VLOOKUP($B255,'Tabla Fijos'!$B$12:$S$311,8,0)))</f>
        <v>0</v>
      </c>
      <c r="J255" s="362">
        <f ca="1">IF($B255="","",IF(Sheet1!$Z$1=2,'Tabla de Pagos Crecientes'!J195,'Tabla Fijos'!K200))</f>
        <v>0</v>
      </c>
      <c r="K255" s="362">
        <f ca="1">IF($B255="","",IF(Sheet1!$Z$1=2,'Tabla de Pagos Crecientes'!K195,'Tabla Fijos'!L200))</f>
        <v>0</v>
      </c>
      <c r="L255" s="362">
        <f ca="1">IF($B255="","",IF(Sheet1!$Z$1=2,'Tabla de Pagos Crecientes'!L195,'Tabla Fijos'!M200))</f>
        <v>0</v>
      </c>
      <c r="M255" s="362">
        <f ca="1">IF($B255="","",IF(Sheet1!$Z$1=2,'Tabla de Pagos Crecientes'!M195,'Tabla Fijos'!N200))</f>
        <v>0</v>
      </c>
      <c r="N255" s="364"/>
      <c r="O255" s="362">
        <f>IF($B255="","",IF(Sheet1!$Z$1=2,'Tabla de Pagos Crecientes'!O195,'Tabla Fijos'!Q200))</f>
        <v>0</v>
      </c>
      <c r="P255" s="362">
        <f ca="1">IF(B255="","",G255+H255+I255+J255+K255+L255-M255-'Tabla Fijos'!P200)</f>
        <v>10421.884210717662</v>
      </c>
      <c r="Q255" s="362">
        <f t="shared" ca="1" si="6"/>
        <v>421821.11605239112</v>
      </c>
      <c r="R255" s="272">
        <f t="shared" ca="1" si="7"/>
        <v>1</v>
      </c>
    </row>
    <row r="256" spans="1:18" ht="15.5" x14ac:dyDescent="0.35">
      <c r="A256" s="272"/>
      <c r="B256" s="360">
        <f t="shared" si="8"/>
        <v>190</v>
      </c>
      <c r="C256" s="361">
        <f ca="1">IF($B256="","",'Fecha Pago'!K193)</f>
        <v>51928</v>
      </c>
      <c r="D256" s="362">
        <f>IF($B$67="","",'Fecha Pago'!L193)</f>
        <v>30.4</v>
      </c>
      <c r="E256" s="363">
        <f>IF(B256="","",IF(Sheet1!$Z$1=2,'Tabla de Pagos Crecientes'!E196,$F$62))</f>
        <v>0.11</v>
      </c>
      <c r="F256" s="362">
        <f ca="1">IF($B256="","",IF(Sheet1!$Z$1=2,'Tabla de Pagos Crecientes'!F196,'Tabla Fijos'!F201))</f>
        <v>421821.11605239112</v>
      </c>
      <c r="G256" s="362">
        <f ca="1">IF($B256="","",IF(Sheet1!$Z$1=2,'Tabla de Pagos Crecientes'!G196,'Tabla Fijos'!G201))</f>
        <v>6503.6347327198964</v>
      </c>
      <c r="H256" s="362">
        <f ca="1">IF($B256="","",IF(Sheet1!$Z$1=2,'Tabla de Pagos Crecientes'!H196,'Tabla Fijos'!H201))</f>
        <v>3918.249477997766</v>
      </c>
      <c r="I256" s="362">
        <f>IF($B256=0,0,IF(B256="","",VLOOKUP($B256,'Tabla Fijos'!$B$12:$S$311,8,0)))</f>
        <v>0</v>
      </c>
      <c r="J256" s="362">
        <f ca="1">IF($B256="","",IF(Sheet1!$Z$1=2,'Tabla de Pagos Crecientes'!J196,'Tabla Fijos'!K201))</f>
        <v>0</v>
      </c>
      <c r="K256" s="362">
        <f ca="1">IF($B256="","",IF(Sheet1!$Z$1=2,'Tabla de Pagos Crecientes'!K196,'Tabla Fijos'!L201))</f>
        <v>0</v>
      </c>
      <c r="L256" s="362">
        <f ca="1">IF($B256="","",IF(Sheet1!$Z$1=2,'Tabla de Pagos Crecientes'!L196,'Tabla Fijos'!M201))</f>
        <v>0</v>
      </c>
      <c r="M256" s="362">
        <f ca="1">IF($B256="","",IF(Sheet1!$Z$1=2,'Tabla de Pagos Crecientes'!M196,'Tabla Fijos'!N201))</f>
        <v>0</v>
      </c>
      <c r="N256" s="364"/>
      <c r="O256" s="362">
        <f>IF($B256="","",IF(Sheet1!$Z$1=2,'Tabla de Pagos Crecientes'!O196,'Tabla Fijos'!Q201))</f>
        <v>0</v>
      </c>
      <c r="P256" s="362">
        <f ca="1">IF(B256="","",G256+H256+I256+J256+K256+L256-M256-'Tabla Fijos'!P201)</f>
        <v>10421.884210717662</v>
      </c>
      <c r="Q256" s="362">
        <f t="shared" ca="1" si="6"/>
        <v>415317.48131967121</v>
      </c>
      <c r="R256" s="272">
        <f t="shared" ca="1" si="7"/>
        <v>1</v>
      </c>
    </row>
    <row r="257" spans="1:18" ht="15.5" x14ac:dyDescent="0.35">
      <c r="A257" s="272"/>
      <c r="B257" s="360">
        <f t="shared" si="8"/>
        <v>191</v>
      </c>
      <c r="C257" s="361">
        <f ca="1">IF($B257="","",'Fecha Pago'!K194)</f>
        <v>51959</v>
      </c>
      <c r="D257" s="362">
        <f>IF($B$67="","",'Fecha Pago'!L194)</f>
        <v>30.4</v>
      </c>
      <c r="E257" s="363">
        <f>IF(B257="","",IF(Sheet1!$Z$1=2,'Tabla de Pagos Crecientes'!E197,$F$62))</f>
        <v>0.11</v>
      </c>
      <c r="F257" s="362">
        <f ca="1">IF($B257="","",IF(Sheet1!$Z$1=2,'Tabla de Pagos Crecientes'!F197,'Tabla Fijos'!F202))</f>
        <v>415317.48131967121</v>
      </c>
      <c r="G257" s="362">
        <f ca="1">IF($B257="","",IF(Sheet1!$Z$1=2,'Tabla de Pagos Crecientes'!G197,'Tabla Fijos'!G202))</f>
        <v>6564.0462731260504</v>
      </c>
      <c r="H257" s="362">
        <f ca="1">IF($B257="","",IF(Sheet1!$Z$1=2,'Tabla de Pagos Crecientes'!H197,'Tabla Fijos'!H202))</f>
        <v>3857.8379375916124</v>
      </c>
      <c r="I257" s="362">
        <f>IF($B257=0,0,IF(B257="","",VLOOKUP($B257,'Tabla Fijos'!$B$12:$S$311,8,0)))</f>
        <v>0</v>
      </c>
      <c r="J257" s="362">
        <f ca="1">IF($B257="","",IF(Sheet1!$Z$1=2,'Tabla de Pagos Crecientes'!J197,'Tabla Fijos'!K202))</f>
        <v>0</v>
      </c>
      <c r="K257" s="362">
        <f ca="1">IF($B257="","",IF(Sheet1!$Z$1=2,'Tabla de Pagos Crecientes'!K197,'Tabla Fijos'!L202))</f>
        <v>0</v>
      </c>
      <c r="L257" s="362">
        <f ca="1">IF($B257="","",IF(Sheet1!$Z$1=2,'Tabla de Pagos Crecientes'!L197,'Tabla Fijos'!M202))</f>
        <v>0</v>
      </c>
      <c r="M257" s="362">
        <f ca="1">IF($B257="","",IF(Sheet1!$Z$1=2,'Tabla de Pagos Crecientes'!M197,'Tabla Fijos'!N202))</f>
        <v>0</v>
      </c>
      <c r="N257" s="364"/>
      <c r="O257" s="362">
        <f>IF($B257="","",IF(Sheet1!$Z$1=2,'Tabla de Pagos Crecientes'!O197,'Tabla Fijos'!Q202))</f>
        <v>0</v>
      </c>
      <c r="P257" s="362">
        <f ca="1">IF(B257="","",G257+H257+I257+J257+K257+L257-M257-'Tabla Fijos'!P202)</f>
        <v>10421.884210717662</v>
      </c>
      <c r="Q257" s="362">
        <f t="shared" ca="1" si="6"/>
        <v>408753.43504654517</v>
      </c>
      <c r="R257" s="272">
        <f t="shared" ca="1" si="7"/>
        <v>1</v>
      </c>
    </row>
    <row r="258" spans="1:18" ht="15.5" x14ac:dyDescent="0.35">
      <c r="A258" s="272"/>
      <c r="B258" s="360">
        <f t="shared" si="8"/>
        <v>192</v>
      </c>
      <c r="C258" s="361">
        <f ca="1">IF($B258="","",'Fecha Pago'!K195)</f>
        <v>51989</v>
      </c>
      <c r="D258" s="362">
        <f>IF($B$67="","",'Fecha Pago'!L195)</f>
        <v>30.4</v>
      </c>
      <c r="E258" s="363">
        <f>IF(B258="","",IF(Sheet1!$Z$1=2,'Tabla de Pagos Crecientes'!E198,$F$62))</f>
        <v>0.11</v>
      </c>
      <c r="F258" s="362">
        <f ca="1">IF($B258="","",IF(Sheet1!$Z$1=2,'Tabla de Pagos Crecientes'!F198,'Tabla Fijos'!F203))</f>
        <v>408753.43504654517</v>
      </c>
      <c r="G258" s="362">
        <f ca="1">IF($B258="","",IF(Sheet1!$Z$1=2,'Tabla de Pagos Crecientes'!G198,'Tabla Fijos'!G203))</f>
        <v>6625.0189696186426</v>
      </c>
      <c r="H258" s="362">
        <f ca="1">IF($B258="","",IF(Sheet1!$Z$1=2,'Tabla de Pagos Crecientes'!H198,'Tabla Fijos'!H203))</f>
        <v>3796.8652410990194</v>
      </c>
      <c r="I258" s="362">
        <f>IF($B258=0,0,IF(B258="","",VLOOKUP($B258,'Tabla Fijos'!$B$12:$S$311,8,0)))</f>
        <v>0</v>
      </c>
      <c r="J258" s="362">
        <f ca="1">IF($B258="","",IF(Sheet1!$Z$1=2,'Tabla de Pagos Crecientes'!J198,'Tabla Fijos'!K203))</f>
        <v>0</v>
      </c>
      <c r="K258" s="362">
        <f ca="1">IF($B258="","",IF(Sheet1!$Z$1=2,'Tabla de Pagos Crecientes'!K198,'Tabla Fijos'!L203))</f>
        <v>0</v>
      </c>
      <c r="L258" s="362">
        <f ca="1">IF($B258="","",IF(Sheet1!$Z$1=2,'Tabla de Pagos Crecientes'!L198,'Tabla Fijos'!M203))</f>
        <v>0</v>
      </c>
      <c r="M258" s="362">
        <f ca="1">IF($B258="","",IF(Sheet1!$Z$1=2,'Tabla de Pagos Crecientes'!M198,'Tabla Fijos'!N203))</f>
        <v>0</v>
      </c>
      <c r="N258" s="364"/>
      <c r="O258" s="362">
        <f>IF($B258="","",IF(Sheet1!$Z$1=2,'Tabla de Pagos Crecientes'!O198,'Tabla Fijos'!Q203))</f>
        <v>0</v>
      </c>
      <c r="P258" s="362">
        <f ca="1">IF(B258="","",G258+H258+I258+J258+K258+L258-M258-'Tabla Fijos'!P203)</f>
        <v>10421.884210717662</v>
      </c>
      <c r="Q258" s="362">
        <f t="shared" ca="1" si="6"/>
        <v>402128.41607692651</v>
      </c>
      <c r="R258" s="272">
        <f t="shared" ca="1" si="7"/>
        <v>1</v>
      </c>
    </row>
    <row r="259" spans="1:18" ht="15.5" x14ac:dyDescent="0.35">
      <c r="A259" s="272"/>
      <c r="B259" s="360">
        <f t="shared" si="8"/>
        <v>193</v>
      </c>
      <c r="C259" s="361">
        <f ca="1">IF($B259="","",'Fecha Pago'!K196)</f>
        <v>52020</v>
      </c>
      <c r="D259" s="362">
        <f>IF($B$67="","",'Fecha Pago'!L196)</f>
        <v>30.4</v>
      </c>
      <c r="E259" s="363">
        <f>IF(B259="","",IF(Sheet1!$Z$1=2,'Tabla de Pagos Crecientes'!E199,$F$62))</f>
        <v>0.11</v>
      </c>
      <c r="F259" s="362">
        <f ca="1">IF($B259="","",IF(Sheet1!$Z$1=2,'Tabla de Pagos Crecientes'!F199,'Tabla Fijos'!F204))</f>
        <v>402128.41607692651</v>
      </c>
      <c r="G259" s="362">
        <f ca="1">IF($B259="","",IF(Sheet1!$Z$1=2,'Tabla de Pagos Crecientes'!G199,'Tabla Fijos'!G204))</f>
        <v>6686.5580347142113</v>
      </c>
      <c r="H259" s="362">
        <f ca="1">IF($B259="","",IF(Sheet1!$Z$1=2,'Tabla de Pagos Crecientes'!H199,'Tabla Fijos'!H204))</f>
        <v>3735.3261760034507</v>
      </c>
      <c r="I259" s="362">
        <f>IF($B259=0,0,IF(B259="","",VLOOKUP($B259,'Tabla Fijos'!$B$12:$S$311,8,0)))</f>
        <v>0</v>
      </c>
      <c r="J259" s="362">
        <f ca="1">IF($B259="","",IF(Sheet1!$Z$1=2,'Tabla de Pagos Crecientes'!J199,'Tabla Fijos'!K204))</f>
        <v>0</v>
      </c>
      <c r="K259" s="362">
        <f ca="1">IF($B259="","",IF(Sheet1!$Z$1=2,'Tabla de Pagos Crecientes'!K199,'Tabla Fijos'!L204))</f>
        <v>0</v>
      </c>
      <c r="L259" s="362">
        <f ca="1">IF($B259="","",IF(Sheet1!$Z$1=2,'Tabla de Pagos Crecientes'!L199,'Tabla Fijos'!M204))</f>
        <v>0</v>
      </c>
      <c r="M259" s="362">
        <f ca="1">IF($B259="","",IF(Sheet1!$Z$1=2,'Tabla de Pagos Crecientes'!M199,'Tabla Fijos'!N204))</f>
        <v>0</v>
      </c>
      <c r="N259" s="364"/>
      <c r="O259" s="362">
        <f>IF($B259="","",IF(Sheet1!$Z$1=2,'Tabla de Pagos Crecientes'!O199,'Tabla Fijos'!Q204))</f>
        <v>0</v>
      </c>
      <c r="P259" s="362">
        <f ca="1">IF(B259="","",G259+H259+I259+J259+K259+L259-M259-'Tabla Fijos'!P204)</f>
        <v>10421.884210717662</v>
      </c>
      <c r="Q259" s="362">
        <f t="shared" ref="Q259:Q305" ca="1" si="9">IF(B259="","",F259-G259)</f>
        <v>395441.85804221232</v>
      </c>
      <c r="R259" s="272">
        <f t="shared" ca="1" si="7"/>
        <v>1</v>
      </c>
    </row>
    <row r="260" spans="1:18" ht="15.5" x14ac:dyDescent="0.35">
      <c r="A260" s="272"/>
      <c r="B260" s="360">
        <f t="shared" si="8"/>
        <v>194</v>
      </c>
      <c r="C260" s="361">
        <f ca="1">IF($B260="","",'Fecha Pago'!K197)</f>
        <v>52050</v>
      </c>
      <c r="D260" s="362">
        <f>IF($B$67="","",'Fecha Pago'!L197)</f>
        <v>30.4</v>
      </c>
      <c r="E260" s="363">
        <f>IF(B260="","",IF(Sheet1!$Z$1=2,'Tabla de Pagos Crecientes'!E200,$F$62))</f>
        <v>0.11</v>
      </c>
      <c r="F260" s="362">
        <f ca="1">IF($B260="","",IF(Sheet1!$Z$1=2,'Tabla de Pagos Crecientes'!F200,'Tabla Fijos'!F205))</f>
        <v>395441.85804221232</v>
      </c>
      <c r="G260" s="362">
        <f ca="1">IF($B260="","",IF(Sheet1!$Z$1=2,'Tabla de Pagos Crecientes'!G200,'Tabla Fijos'!G205))</f>
        <v>6748.6687293477789</v>
      </c>
      <c r="H260" s="362">
        <f ca="1">IF($B260="","",IF(Sheet1!$Z$1=2,'Tabla de Pagos Crecientes'!H200,'Tabla Fijos'!H205))</f>
        <v>3673.215481369883</v>
      </c>
      <c r="I260" s="362">
        <f>IF($B260=0,0,IF(B260="","",VLOOKUP($B260,'Tabla Fijos'!$B$12:$S$311,8,0)))</f>
        <v>0</v>
      </c>
      <c r="J260" s="362">
        <f ca="1">IF($B260="","",IF(Sheet1!$Z$1=2,'Tabla de Pagos Crecientes'!J200,'Tabla Fijos'!K205))</f>
        <v>0</v>
      </c>
      <c r="K260" s="362">
        <f ca="1">IF($B260="","",IF(Sheet1!$Z$1=2,'Tabla de Pagos Crecientes'!K200,'Tabla Fijos'!L205))</f>
        <v>0</v>
      </c>
      <c r="L260" s="362">
        <f ca="1">IF($B260="","",IF(Sheet1!$Z$1=2,'Tabla de Pagos Crecientes'!L200,'Tabla Fijos'!M205))</f>
        <v>0</v>
      </c>
      <c r="M260" s="362">
        <f ca="1">IF($B260="","",IF(Sheet1!$Z$1=2,'Tabla de Pagos Crecientes'!M200,'Tabla Fijos'!N205))</f>
        <v>0</v>
      </c>
      <c r="N260" s="364"/>
      <c r="O260" s="362">
        <f>IF($B260="","",IF(Sheet1!$Z$1=2,'Tabla de Pagos Crecientes'!O200,'Tabla Fijos'!Q205))</f>
        <v>0</v>
      </c>
      <c r="P260" s="362">
        <f ca="1">IF(B260="","",G260+H260+I260+J260+K260+L260-M260-'Tabla Fijos'!P205)</f>
        <v>10421.884210717662</v>
      </c>
      <c r="Q260" s="362">
        <f t="shared" ca="1" si="9"/>
        <v>388693.18931286456</v>
      </c>
      <c r="R260" s="272">
        <f t="shared" ref="R260:R366" ca="1" si="10">IF(OR($B260="",$F260&lt;=0),0,1)</f>
        <v>1</v>
      </c>
    </row>
    <row r="261" spans="1:18" ht="15.5" x14ac:dyDescent="0.35">
      <c r="A261" s="272"/>
      <c r="B261" s="360">
        <f t="shared" ref="B261:B324" si="11">IF(B260="","",IF(B260=$H$49,"",B260+1))</f>
        <v>195</v>
      </c>
      <c r="C261" s="361">
        <f ca="1">IF($B261="","",'Fecha Pago'!K198)</f>
        <v>52081</v>
      </c>
      <c r="D261" s="362">
        <f>IF($B$67="","",'Fecha Pago'!L198)</f>
        <v>30.4</v>
      </c>
      <c r="E261" s="363">
        <f>IF(B261="","",IF(Sheet1!$Z$1=2,'Tabla de Pagos Crecientes'!E201,$F$62))</f>
        <v>0.11</v>
      </c>
      <c r="F261" s="362">
        <f ca="1">IF($B261="","",IF(Sheet1!$Z$1=2,'Tabla de Pagos Crecientes'!F201,'Tabla Fijos'!F206))</f>
        <v>388693.18931286456</v>
      </c>
      <c r="G261" s="362">
        <f ca="1">IF($B261="","",IF(Sheet1!$Z$1=2,'Tabla de Pagos Crecientes'!G201,'Tabla Fijos'!G206))</f>
        <v>6811.3563633226113</v>
      </c>
      <c r="H261" s="362">
        <f ca="1">IF($B261="","",IF(Sheet1!$Z$1=2,'Tabla de Pagos Crecientes'!H201,'Tabla Fijos'!H206))</f>
        <v>3610.527847395053</v>
      </c>
      <c r="I261" s="362">
        <f>IF($B261=0,0,IF(B261="","",VLOOKUP($B261,'Tabla Fijos'!$B$12:$S$311,8,0)))</f>
        <v>0</v>
      </c>
      <c r="J261" s="362">
        <f ca="1">IF($B261="","",IF(Sheet1!$Z$1=2,'Tabla de Pagos Crecientes'!J201,'Tabla Fijos'!K206))</f>
        <v>0</v>
      </c>
      <c r="K261" s="362">
        <f ca="1">IF($B261="","",IF(Sheet1!$Z$1=2,'Tabla de Pagos Crecientes'!K201,'Tabla Fijos'!L206))</f>
        <v>0</v>
      </c>
      <c r="L261" s="362">
        <f ca="1">IF($B261="","",IF(Sheet1!$Z$1=2,'Tabla de Pagos Crecientes'!L201,'Tabla Fijos'!M206))</f>
        <v>0</v>
      </c>
      <c r="M261" s="362">
        <f ca="1">IF($B261="","",IF(Sheet1!$Z$1=2,'Tabla de Pagos Crecientes'!M201,'Tabla Fijos'!N206))</f>
        <v>0</v>
      </c>
      <c r="N261" s="364"/>
      <c r="O261" s="362">
        <f>IF($B261="","",IF(Sheet1!$Z$1=2,'Tabla de Pagos Crecientes'!O201,'Tabla Fijos'!Q206))</f>
        <v>0</v>
      </c>
      <c r="P261" s="362">
        <f ca="1">IF(B261="","",G261+H261+I261+J261+K261+L261-M261-'Tabla Fijos'!P206)</f>
        <v>10421.884210717664</v>
      </c>
      <c r="Q261" s="362">
        <f t="shared" ca="1" si="9"/>
        <v>381881.83294954197</v>
      </c>
      <c r="R261" s="272">
        <f t="shared" ca="1" si="10"/>
        <v>1</v>
      </c>
    </row>
    <row r="262" spans="1:18" ht="15.5" x14ac:dyDescent="0.35">
      <c r="A262" s="272"/>
      <c r="B262" s="360">
        <f t="shared" si="11"/>
        <v>196</v>
      </c>
      <c r="C262" s="361">
        <f ca="1">IF($B262="","",'Fecha Pago'!K199)</f>
        <v>52112</v>
      </c>
      <c r="D262" s="362">
        <f>IF($B$67="","",'Fecha Pago'!L199)</f>
        <v>30.4</v>
      </c>
      <c r="E262" s="363">
        <f>IF(B262="","",IF(Sheet1!$Z$1=2,'Tabla de Pagos Crecientes'!E202,$F$62))</f>
        <v>0.11</v>
      </c>
      <c r="F262" s="362">
        <f ca="1">IF($B262="","",IF(Sheet1!$Z$1=2,'Tabla de Pagos Crecientes'!F202,'Tabla Fijos'!F207))</f>
        <v>381881.83294954197</v>
      </c>
      <c r="G262" s="362">
        <f ca="1">IF($B262="","",IF(Sheet1!$Z$1=2,'Tabla de Pagos Crecientes'!G202,'Tabla Fijos'!G207))</f>
        <v>6874.6262957641411</v>
      </c>
      <c r="H262" s="362">
        <f ca="1">IF($B262="","",IF(Sheet1!$Z$1=2,'Tabla de Pagos Crecientes'!H202,'Tabla Fijos'!H207))</f>
        <v>3547.2579149535231</v>
      </c>
      <c r="I262" s="362">
        <f>IF($B262=0,0,IF(B262="","",VLOOKUP($B262,'Tabla Fijos'!$B$12:$S$311,8,0)))</f>
        <v>0</v>
      </c>
      <c r="J262" s="362">
        <f ca="1">IF($B262="","",IF(Sheet1!$Z$1=2,'Tabla de Pagos Crecientes'!J202,'Tabla Fijos'!K207))</f>
        <v>0</v>
      </c>
      <c r="K262" s="362">
        <f ca="1">IF($B262="","",IF(Sheet1!$Z$1=2,'Tabla de Pagos Crecientes'!K202,'Tabla Fijos'!L207))</f>
        <v>0</v>
      </c>
      <c r="L262" s="362">
        <f ca="1">IF($B262="","",IF(Sheet1!$Z$1=2,'Tabla de Pagos Crecientes'!L202,'Tabla Fijos'!M207))</f>
        <v>0</v>
      </c>
      <c r="M262" s="362">
        <f ca="1">IF($B262="","",IF(Sheet1!$Z$1=2,'Tabla de Pagos Crecientes'!M202,'Tabla Fijos'!N207))</f>
        <v>0</v>
      </c>
      <c r="N262" s="364"/>
      <c r="O262" s="362">
        <f>IF($B262="","",IF(Sheet1!$Z$1=2,'Tabla de Pagos Crecientes'!O202,'Tabla Fijos'!Q207))</f>
        <v>0</v>
      </c>
      <c r="P262" s="362">
        <f ca="1">IF(B262="","",G262+H262+I262+J262+K262+L262-M262-'Tabla Fijos'!P207)</f>
        <v>10421.884210717664</v>
      </c>
      <c r="Q262" s="362">
        <f t="shared" ca="1" si="9"/>
        <v>375007.20665377786</v>
      </c>
      <c r="R262" s="272">
        <f t="shared" ca="1" si="10"/>
        <v>1</v>
      </c>
    </row>
    <row r="263" spans="1:18" ht="15.5" x14ac:dyDescent="0.35">
      <c r="A263" s="272"/>
      <c r="B263" s="360">
        <f t="shared" si="11"/>
        <v>197</v>
      </c>
      <c r="C263" s="361">
        <f ca="1">IF($B263="","",'Fecha Pago'!K200)</f>
        <v>52142</v>
      </c>
      <c r="D263" s="362">
        <f>IF($B$67="","",'Fecha Pago'!L200)</f>
        <v>30.4</v>
      </c>
      <c r="E263" s="363">
        <f>IF(B263="","",IF(Sheet1!$Z$1=2,'Tabla de Pagos Crecientes'!E203,$F$62))</f>
        <v>0.11</v>
      </c>
      <c r="F263" s="362">
        <f ca="1">IF($B263="","",IF(Sheet1!$Z$1=2,'Tabla de Pagos Crecientes'!F203,'Tabla Fijos'!F208))</f>
        <v>375007.20665377786</v>
      </c>
      <c r="G263" s="362">
        <f ca="1">IF($B263="","",IF(Sheet1!$Z$1=2,'Tabla de Pagos Crecientes'!G203,'Tabla Fijos'!G208))</f>
        <v>6938.4839355781278</v>
      </c>
      <c r="H263" s="362">
        <f ca="1">IF($B263="","",IF(Sheet1!$Z$1=2,'Tabla de Pagos Crecientes'!H203,'Tabla Fijos'!H208))</f>
        <v>3483.4002751395365</v>
      </c>
      <c r="I263" s="362">
        <f>IF($B263=0,0,IF(B263="","",VLOOKUP($B263,'Tabla Fijos'!$B$12:$S$311,8,0)))</f>
        <v>0</v>
      </c>
      <c r="J263" s="362">
        <f ca="1">IF($B263="","",IF(Sheet1!$Z$1=2,'Tabla de Pagos Crecientes'!J203,'Tabla Fijos'!K208))</f>
        <v>0</v>
      </c>
      <c r="K263" s="362">
        <f ca="1">IF($B263="","",IF(Sheet1!$Z$1=2,'Tabla de Pagos Crecientes'!K203,'Tabla Fijos'!L208))</f>
        <v>0</v>
      </c>
      <c r="L263" s="362">
        <f ca="1">IF($B263="","",IF(Sheet1!$Z$1=2,'Tabla de Pagos Crecientes'!L203,'Tabla Fijos'!M208))</f>
        <v>0</v>
      </c>
      <c r="M263" s="362">
        <f ca="1">IF($B263="","",IF(Sheet1!$Z$1=2,'Tabla de Pagos Crecientes'!M203,'Tabla Fijos'!N208))</f>
        <v>0</v>
      </c>
      <c r="N263" s="364"/>
      <c r="O263" s="362">
        <f>IF($B263="","",IF(Sheet1!$Z$1=2,'Tabla de Pagos Crecientes'!O203,'Tabla Fijos'!Q208))</f>
        <v>0</v>
      </c>
      <c r="P263" s="362">
        <f ca="1">IF(B263="","",G263+H263+I263+J263+K263+L263-M263-'Tabla Fijos'!P208)</f>
        <v>10421.884210717664</v>
      </c>
      <c r="Q263" s="362">
        <f t="shared" ca="1" si="9"/>
        <v>368068.72271819972</v>
      </c>
      <c r="R263" s="272">
        <f t="shared" ca="1" si="10"/>
        <v>1</v>
      </c>
    </row>
    <row r="264" spans="1:18" ht="15.5" x14ac:dyDescent="0.35">
      <c r="A264" s="272"/>
      <c r="B264" s="360">
        <f t="shared" si="11"/>
        <v>198</v>
      </c>
      <c r="C264" s="361">
        <f ca="1">IF($B264="","",'Fecha Pago'!K201)</f>
        <v>52173</v>
      </c>
      <c r="D264" s="362">
        <f>IF($B$67="","",'Fecha Pago'!L201)</f>
        <v>30.4</v>
      </c>
      <c r="E264" s="363">
        <f>IF(B264="","",IF(Sheet1!$Z$1=2,'Tabla de Pagos Crecientes'!E204,$F$62))</f>
        <v>0.11</v>
      </c>
      <c r="F264" s="362">
        <f ca="1">IF($B264="","",IF(Sheet1!$Z$1=2,'Tabla de Pagos Crecientes'!F204,'Tabla Fijos'!F209))</f>
        <v>368068.72271819972</v>
      </c>
      <c r="G264" s="362">
        <f ca="1">IF($B264="","",IF(Sheet1!$Z$1=2,'Tabla de Pagos Crecientes'!G204,'Tabla Fijos'!G209))</f>
        <v>7002.9347419130536</v>
      </c>
      <c r="H264" s="362">
        <f ca="1">IF($B264="","",IF(Sheet1!$Z$1=2,'Tabla de Pagos Crecientes'!H204,'Tabla Fijos'!H209))</f>
        <v>3418.9494688046102</v>
      </c>
      <c r="I264" s="362">
        <f>IF($B264=0,0,IF(B264="","",VLOOKUP($B264,'Tabla Fijos'!$B$12:$S$311,8,0)))</f>
        <v>0</v>
      </c>
      <c r="J264" s="362">
        <f ca="1">IF($B264="","",IF(Sheet1!$Z$1=2,'Tabla de Pagos Crecientes'!J204,'Tabla Fijos'!K209))</f>
        <v>0</v>
      </c>
      <c r="K264" s="362">
        <f ca="1">IF($B264="","",IF(Sheet1!$Z$1=2,'Tabla de Pagos Crecientes'!K204,'Tabla Fijos'!L209))</f>
        <v>0</v>
      </c>
      <c r="L264" s="362">
        <f ca="1">IF($B264="","",IF(Sheet1!$Z$1=2,'Tabla de Pagos Crecientes'!L204,'Tabla Fijos'!M209))</f>
        <v>0</v>
      </c>
      <c r="M264" s="362">
        <f ca="1">IF($B264="","",IF(Sheet1!$Z$1=2,'Tabla de Pagos Crecientes'!M204,'Tabla Fijos'!N209))</f>
        <v>0</v>
      </c>
      <c r="N264" s="364"/>
      <c r="O264" s="362">
        <f>IF($B264="","",IF(Sheet1!$Z$1=2,'Tabla de Pagos Crecientes'!O204,'Tabla Fijos'!Q209))</f>
        <v>0</v>
      </c>
      <c r="P264" s="362">
        <f ca="1">IF(B264="","",G264+H264+I264+J264+K264+L264-M264-'Tabla Fijos'!P209)</f>
        <v>10421.884210717664</v>
      </c>
      <c r="Q264" s="362">
        <f t="shared" ca="1" si="9"/>
        <v>361065.78797628667</v>
      </c>
      <c r="R264" s="272">
        <f t="shared" ca="1" si="10"/>
        <v>1</v>
      </c>
    </row>
    <row r="265" spans="1:18" ht="15.5" x14ac:dyDescent="0.35">
      <c r="A265" s="272"/>
      <c r="B265" s="360">
        <f t="shared" si="11"/>
        <v>199</v>
      </c>
      <c r="C265" s="361">
        <f ca="1">IF($B265="","",'Fecha Pago'!K202)</f>
        <v>52203</v>
      </c>
      <c r="D265" s="362">
        <f>IF($B$67="","",'Fecha Pago'!L202)</f>
        <v>30.4</v>
      </c>
      <c r="E265" s="363">
        <f>IF(B265="","",IF(Sheet1!$Z$1=2,'Tabla de Pagos Crecientes'!E205,$F$62))</f>
        <v>0.11</v>
      </c>
      <c r="F265" s="362">
        <f ca="1">IF($B265="","",IF(Sheet1!$Z$1=2,'Tabla de Pagos Crecientes'!F205,'Tabla Fijos'!F210))</f>
        <v>361065.78797628667</v>
      </c>
      <c r="G265" s="362">
        <f ca="1">IF($B265="","",IF(Sheet1!$Z$1=2,'Tabla de Pagos Crecientes'!G205,'Tabla Fijos'!G210))</f>
        <v>7067.9842246268236</v>
      </c>
      <c r="H265" s="362">
        <f ca="1">IF($B265="","",IF(Sheet1!$Z$1=2,'Tabla de Pagos Crecientes'!H205,'Tabla Fijos'!H210))</f>
        <v>3353.8999860908402</v>
      </c>
      <c r="I265" s="362">
        <f>IF($B265=0,0,IF(B265="","",VLOOKUP($B265,'Tabla Fijos'!$B$12:$S$311,8,0)))</f>
        <v>0</v>
      </c>
      <c r="J265" s="362">
        <f ca="1">IF($B265="","",IF(Sheet1!$Z$1=2,'Tabla de Pagos Crecientes'!J205,'Tabla Fijos'!K210))</f>
        <v>0</v>
      </c>
      <c r="K265" s="362">
        <f ca="1">IF($B265="","",IF(Sheet1!$Z$1=2,'Tabla de Pagos Crecientes'!K205,'Tabla Fijos'!L210))</f>
        <v>0</v>
      </c>
      <c r="L265" s="362">
        <f ca="1">IF($B265="","",IF(Sheet1!$Z$1=2,'Tabla de Pagos Crecientes'!L205,'Tabla Fijos'!M210))</f>
        <v>0</v>
      </c>
      <c r="M265" s="362">
        <f ca="1">IF($B265="","",IF(Sheet1!$Z$1=2,'Tabla de Pagos Crecientes'!M205,'Tabla Fijos'!N210))</f>
        <v>0</v>
      </c>
      <c r="N265" s="364"/>
      <c r="O265" s="362">
        <f>IF($B265="","",IF(Sheet1!$Z$1=2,'Tabla de Pagos Crecientes'!O205,'Tabla Fijos'!Q210))</f>
        <v>0</v>
      </c>
      <c r="P265" s="362">
        <f ca="1">IF(B265="","",G265+H265+I265+J265+K265+L265-M265-'Tabla Fijos'!P210)</f>
        <v>10421.884210717664</v>
      </c>
      <c r="Q265" s="362">
        <f t="shared" ca="1" si="9"/>
        <v>353997.80375165981</v>
      </c>
      <c r="R265" s="272">
        <f t="shared" ca="1" si="10"/>
        <v>1</v>
      </c>
    </row>
    <row r="266" spans="1:18" ht="15.5" x14ac:dyDescent="0.35">
      <c r="A266" s="272"/>
      <c r="B266" s="360">
        <f t="shared" si="11"/>
        <v>200</v>
      </c>
      <c r="C266" s="361">
        <f ca="1">IF($B266="","",'Fecha Pago'!K203)</f>
        <v>52234</v>
      </c>
      <c r="D266" s="362">
        <f>IF($B$67="","",'Fecha Pago'!L203)</f>
        <v>30.4</v>
      </c>
      <c r="E266" s="363">
        <f>IF(B266="","",IF(Sheet1!$Z$1=2,'Tabla de Pagos Crecientes'!E206,$F$62))</f>
        <v>0.11</v>
      </c>
      <c r="F266" s="362">
        <f ca="1">IF($B266="","",IF(Sheet1!$Z$1=2,'Tabla de Pagos Crecientes'!F206,'Tabla Fijos'!F211))</f>
        <v>353997.80375165981</v>
      </c>
      <c r="G266" s="362">
        <f ca="1">IF($B266="","",IF(Sheet1!$Z$1=2,'Tabla de Pagos Crecientes'!G206,'Tabla Fijos'!G211))</f>
        <v>7133.637944757802</v>
      </c>
      <c r="H266" s="362">
        <f ca="1">IF($B266="","",IF(Sheet1!$Z$1=2,'Tabla de Pagos Crecientes'!H206,'Tabla Fijos'!H211))</f>
        <v>3288.2462659598618</v>
      </c>
      <c r="I266" s="362">
        <f>IF($B266=0,0,IF(B266="","",VLOOKUP($B266,'Tabla Fijos'!$B$12:$S$311,8,0)))</f>
        <v>0</v>
      </c>
      <c r="J266" s="362">
        <f ca="1">IF($B266="","",IF(Sheet1!$Z$1=2,'Tabla de Pagos Crecientes'!J206,'Tabla Fijos'!K211))</f>
        <v>0</v>
      </c>
      <c r="K266" s="362">
        <f ca="1">IF($B266="","",IF(Sheet1!$Z$1=2,'Tabla de Pagos Crecientes'!K206,'Tabla Fijos'!L211))</f>
        <v>0</v>
      </c>
      <c r="L266" s="362">
        <f ca="1">IF($B266="","",IF(Sheet1!$Z$1=2,'Tabla de Pagos Crecientes'!L206,'Tabla Fijos'!M211))</f>
        <v>0</v>
      </c>
      <c r="M266" s="362">
        <f ca="1">IF($B266="","",IF(Sheet1!$Z$1=2,'Tabla de Pagos Crecientes'!M206,'Tabla Fijos'!N211))</f>
        <v>0</v>
      </c>
      <c r="N266" s="364"/>
      <c r="O266" s="362">
        <f>IF($B266="","",IF(Sheet1!$Z$1=2,'Tabla de Pagos Crecientes'!O206,'Tabla Fijos'!Q211))</f>
        <v>0</v>
      </c>
      <c r="P266" s="362">
        <f ca="1">IF(B266="","",G266+H266+I266+J266+K266+L266-M266-'Tabla Fijos'!P211)</f>
        <v>10421.884210717664</v>
      </c>
      <c r="Q266" s="362">
        <f t="shared" ca="1" si="9"/>
        <v>346864.16580690199</v>
      </c>
      <c r="R266" s="272">
        <f t="shared" ca="1" si="10"/>
        <v>1</v>
      </c>
    </row>
    <row r="267" spans="1:18" ht="15.5" x14ac:dyDescent="0.35">
      <c r="A267" s="272"/>
      <c r="B267" s="360">
        <f t="shared" si="11"/>
        <v>201</v>
      </c>
      <c r="C267" s="361">
        <f ca="1">IF($B267="","",'Fecha Pago'!K204)</f>
        <v>52265</v>
      </c>
      <c r="D267" s="362">
        <f>IF($B$67="","",'Fecha Pago'!L204)</f>
        <v>30.4</v>
      </c>
      <c r="E267" s="363">
        <f>IF(B267="","",IF(Sheet1!$Z$1=2,'Tabla de Pagos Crecientes'!E207,$F$62))</f>
        <v>0.11</v>
      </c>
      <c r="F267" s="362">
        <f ca="1">IF($B267="","",IF(Sheet1!$Z$1=2,'Tabla de Pagos Crecientes'!F207,'Tabla Fijos'!F212))</f>
        <v>346864.16580690199</v>
      </c>
      <c r="G267" s="362">
        <f ca="1">IF($B267="","",IF(Sheet1!$Z$1=2,'Tabla de Pagos Crecientes'!G207,'Tabla Fijos'!G212))</f>
        <v>7199.9015150002178</v>
      </c>
      <c r="H267" s="362">
        <f ca="1">IF($B267="","",IF(Sheet1!$Z$1=2,'Tabla de Pagos Crecientes'!H207,'Tabla Fijos'!H212))</f>
        <v>3221.982695717445</v>
      </c>
      <c r="I267" s="362">
        <f>IF($B267=0,0,IF(B267="","",VLOOKUP($B267,'Tabla Fijos'!$B$12:$S$311,8,0)))</f>
        <v>0</v>
      </c>
      <c r="J267" s="362">
        <f ca="1">IF($B267="","",IF(Sheet1!$Z$1=2,'Tabla de Pagos Crecientes'!J207,'Tabla Fijos'!K212))</f>
        <v>0</v>
      </c>
      <c r="K267" s="362">
        <f ca="1">IF($B267="","",IF(Sheet1!$Z$1=2,'Tabla de Pagos Crecientes'!K207,'Tabla Fijos'!L212))</f>
        <v>0</v>
      </c>
      <c r="L267" s="362">
        <f ca="1">IF($B267="","",IF(Sheet1!$Z$1=2,'Tabla de Pagos Crecientes'!L207,'Tabla Fijos'!M212))</f>
        <v>0</v>
      </c>
      <c r="M267" s="362">
        <f ca="1">IF($B267="","",IF(Sheet1!$Z$1=2,'Tabla de Pagos Crecientes'!M207,'Tabla Fijos'!N212))</f>
        <v>0</v>
      </c>
      <c r="N267" s="364"/>
      <c r="O267" s="362">
        <f>IF($B267="","",IF(Sheet1!$Z$1=2,'Tabla de Pagos Crecientes'!O207,'Tabla Fijos'!Q212))</f>
        <v>0</v>
      </c>
      <c r="P267" s="362">
        <f ca="1">IF(B267="","",G267+H267+I267+J267+K267+L267-M267-'Tabla Fijos'!P212)</f>
        <v>10421.884210717662</v>
      </c>
      <c r="Q267" s="362">
        <f t="shared" ca="1" si="9"/>
        <v>339664.26429190178</v>
      </c>
      <c r="R267" s="272">
        <f t="shared" ca="1" si="10"/>
        <v>1</v>
      </c>
    </row>
    <row r="268" spans="1:18" ht="15.5" x14ac:dyDescent="0.35">
      <c r="A268" s="272"/>
      <c r="B268" s="360">
        <f t="shared" si="11"/>
        <v>202</v>
      </c>
      <c r="C268" s="361">
        <f ca="1">IF($B268="","",'Fecha Pago'!K205)</f>
        <v>52293</v>
      </c>
      <c r="D268" s="362">
        <f>IF($B$67="","",'Fecha Pago'!L205)</f>
        <v>30.4</v>
      </c>
      <c r="E268" s="363">
        <f>IF(B268="","",IF(Sheet1!$Z$1=2,'Tabla de Pagos Crecientes'!E208,$F$62))</f>
        <v>0.11</v>
      </c>
      <c r="F268" s="362">
        <f ca="1">IF($B268="","",IF(Sheet1!$Z$1=2,'Tabla de Pagos Crecientes'!F208,'Tabla Fijos'!F213))</f>
        <v>339664.26429190178</v>
      </c>
      <c r="G268" s="362">
        <f ca="1">IF($B268="","",IF(Sheet1!$Z$1=2,'Tabla de Pagos Crecientes'!G208,'Tabla Fijos'!G213))</f>
        <v>7266.7806001839972</v>
      </c>
      <c r="H268" s="362">
        <f ca="1">IF($B268="","",IF(Sheet1!$Z$1=2,'Tabla de Pagos Crecientes'!H208,'Tabla Fijos'!H213))</f>
        <v>3155.1036105336652</v>
      </c>
      <c r="I268" s="362">
        <f>IF($B268=0,0,IF(B268="","",VLOOKUP($B268,'Tabla Fijos'!$B$12:$S$311,8,0)))</f>
        <v>0</v>
      </c>
      <c r="J268" s="362">
        <f ca="1">IF($B268="","",IF(Sheet1!$Z$1=2,'Tabla de Pagos Crecientes'!J208,'Tabla Fijos'!K213))</f>
        <v>0</v>
      </c>
      <c r="K268" s="362">
        <f ca="1">IF($B268="","",IF(Sheet1!$Z$1=2,'Tabla de Pagos Crecientes'!K208,'Tabla Fijos'!L213))</f>
        <v>0</v>
      </c>
      <c r="L268" s="362">
        <f ca="1">IF($B268="","",IF(Sheet1!$Z$1=2,'Tabla de Pagos Crecientes'!L208,'Tabla Fijos'!M213))</f>
        <v>0</v>
      </c>
      <c r="M268" s="362">
        <f ca="1">IF($B268="","",IF(Sheet1!$Z$1=2,'Tabla de Pagos Crecientes'!M208,'Tabla Fijos'!N213))</f>
        <v>0</v>
      </c>
      <c r="N268" s="364"/>
      <c r="O268" s="362">
        <f>IF($B268="","",IF(Sheet1!$Z$1=2,'Tabla de Pagos Crecientes'!O208,'Tabla Fijos'!Q213))</f>
        <v>0</v>
      </c>
      <c r="P268" s="362">
        <f ca="1">IF(B268="","",G268+H268+I268+J268+K268+L268-M268-'Tabla Fijos'!P213)</f>
        <v>10421.884210717662</v>
      </c>
      <c r="Q268" s="362">
        <f t="shared" ca="1" si="9"/>
        <v>332397.48369171779</v>
      </c>
      <c r="R268" s="272">
        <f t="shared" ca="1" si="10"/>
        <v>1</v>
      </c>
    </row>
    <row r="269" spans="1:18" ht="15.5" x14ac:dyDescent="0.35">
      <c r="A269" s="272"/>
      <c r="B269" s="360">
        <f t="shared" si="11"/>
        <v>203</v>
      </c>
      <c r="C269" s="361">
        <f ca="1">IF($B269="","",'Fecha Pago'!K206)</f>
        <v>52324</v>
      </c>
      <c r="D269" s="362">
        <f>IF($B$67="","",'Fecha Pago'!L206)</f>
        <v>30.4</v>
      </c>
      <c r="E269" s="363">
        <f>IF(B269="","",IF(Sheet1!$Z$1=2,'Tabla de Pagos Crecientes'!E209,$F$62))</f>
        <v>0.11</v>
      </c>
      <c r="F269" s="362">
        <f ca="1">IF($B269="","",IF(Sheet1!$Z$1=2,'Tabla de Pagos Crecientes'!F209,'Tabla Fijos'!F214))</f>
        <v>332397.48369171779</v>
      </c>
      <c r="G269" s="362">
        <f ca="1">IF($B269="","",IF(Sheet1!$Z$1=2,'Tabla de Pagos Crecientes'!G209,'Tabla Fijos'!G214))</f>
        <v>7334.2809177590416</v>
      </c>
      <c r="H269" s="362">
        <f ca="1">IF($B269="","",IF(Sheet1!$Z$1=2,'Tabla de Pagos Crecientes'!H209,'Tabla Fijos'!H214))</f>
        <v>3087.6032929586227</v>
      </c>
      <c r="I269" s="362">
        <f>IF($B269=0,0,IF(B269="","",VLOOKUP($B269,'Tabla Fijos'!$B$12:$S$311,8,0)))</f>
        <v>0</v>
      </c>
      <c r="J269" s="362">
        <f ca="1">IF($B269="","",IF(Sheet1!$Z$1=2,'Tabla de Pagos Crecientes'!J209,'Tabla Fijos'!K214))</f>
        <v>0</v>
      </c>
      <c r="K269" s="362">
        <f ca="1">IF($B269="","",IF(Sheet1!$Z$1=2,'Tabla de Pagos Crecientes'!K209,'Tabla Fijos'!L214))</f>
        <v>0</v>
      </c>
      <c r="L269" s="362">
        <f ca="1">IF($B269="","",IF(Sheet1!$Z$1=2,'Tabla de Pagos Crecientes'!L209,'Tabla Fijos'!M214))</f>
        <v>0</v>
      </c>
      <c r="M269" s="362">
        <f ca="1">IF($B269="","",IF(Sheet1!$Z$1=2,'Tabla de Pagos Crecientes'!M209,'Tabla Fijos'!N214))</f>
        <v>0</v>
      </c>
      <c r="N269" s="364"/>
      <c r="O269" s="362">
        <f>IF($B269="","",IF(Sheet1!$Z$1=2,'Tabla de Pagos Crecientes'!O209,'Tabla Fijos'!Q214))</f>
        <v>0</v>
      </c>
      <c r="P269" s="362">
        <f ca="1">IF(B269="","",G269+H269+I269+J269+K269+L269-M269-'Tabla Fijos'!P214)</f>
        <v>10421.884210717664</v>
      </c>
      <c r="Q269" s="362">
        <f t="shared" ca="1" si="9"/>
        <v>325063.20277395874</v>
      </c>
      <c r="R269" s="272">
        <f t="shared" ca="1" si="10"/>
        <v>1</v>
      </c>
    </row>
    <row r="270" spans="1:18" ht="15.5" x14ac:dyDescent="0.35">
      <c r="A270" s="272"/>
      <c r="B270" s="360">
        <f t="shared" si="11"/>
        <v>204</v>
      </c>
      <c r="C270" s="361">
        <f ca="1">IF($B270="","",'Fecha Pago'!K207)</f>
        <v>52354</v>
      </c>
      <c r="D270" s="362">
        <f>IF($B$67="","",'Fecha Pago'!L207)</f>
        <v>30.4</v>
      </c>
      <c r="E270" s="363">
        <f>IF(B270="","",IF(Sheet1!$Z$1=2,'Tabla de Pagos Crecientes'!E210,$F$62))</f>
        <v>0.11</v>
      </c>
      <c r="F270" s="362">
        <f ca="1">IF($B270="","",IF(Sheet1!$Z$1=2,'Tabla de Pagos Crecientes'!F210,'Tabla Fijos'!F215))</f>
        <v>325063.20277395874</v>
      </c>
      <c r="G270" s="362">
        <f ca="1">IF($B270="","",IF(Sheet1!$Z$1=2,'Tabla de Pagos Crecientes'!G210,'Tabla Fijos'!G215))</f>
        <v>7402.4082382840033</v>
      </c>
      <c r="H270" s="362">
        <f ca="1">IF($B270="","",IF(Sheet1!$Z$1=2,'Tabla de Pagos Crecientes'!H210,'Tabla Fijos'!H215))</f>
        <v>3019.4759724336609</v>
      </c>
      <c r="I270" s="362">
        <f>IF($B270=0,0,IF(B270="","",VLOOKUP($B270,'Tabla Fijos'!$B$12:$S$311,8,0)))</f>
        <v>0</v>
      </c>
      <c r="J270" s="362">
        <f ca="1">IF($B270="","",IF(Sheet1!$Z$1=2,'Tabla de Pagos Crecientes'!J210,'Tabla Fijos'!K215))</f>
        <v>0</v>
      </c>
      <c r="K270" s="362">
        <f ca="1">IF($B270="","",IF(Sheet1!$Z$1=2,'Tabla de Pagos Crecientes'!K210,'Tabla Fijos'!L215))</f>
        <v>0</v>
      </c>
      <c r="L270" s="362">
        <f ca="1">IF($B270="","",IF(Sheet1!$Z$1=2,'Tabla de Pagos Crecientes'!L210,'Tabla Fijos'!M215))</f>
        <v>0</v>
      </c>
      <c r="M270" s="362">
        <f ca="1">IF($B270="","",IF(Sheet1!$Z$1=2,'Tabla de Pagos Crecientes'!M210,'Tabla Fijos'!N215))</f>
        <v>0</v>
      </c>
      <c r="N270" s="364"/>
      <c r="O270" s="362">
        <f>IF($B270="","",IF(Sheet1!$Z$1=2,'Tabla de Pagos Crecientes'!O210,'Tabla Fijos'!Q215))</f>
        <v>0</v>
      </c>
      <c r="P270" s="362">
        <f ca="1">IF(B270="","",G270+H270+I270+J270+K270+L270-M270-'Tabla Fijos'!P215)</f>
        <v>10421.884210717664</v>
      </c>
      <c r="Q270" s="362">
        <f t="shared" ca="1" si="9"/>
        <v>317660.79453567474</v>
      </c>
      <c r="R270" s="272">
        <f t="shared" ca="1" si="10"/>
        <v>1</v>
      </c>
    </row>
    <row r="271" spans="1:18" ht="15.5" x14ac:dyDescent="0.35">
      <c r="A271" s="272"/>
      <c r="B271" s="360">
        <f t="shared" si="11"/>
        <v>205</v>
      </c>
      <c r="C271" s="361">
        <f ca="1">IF($B271="","",'Fecha Pago'!K208)</f>
        <v>52385</v>
      </c>
      <c r="D271" s="362">
        <f>IF($B$67="","",'Fecha Pago'!L208)</f>
        <v>30.4</v>
      </c>
      <c r="E271" s="363">
        <f>IF(B271="","",IF(Sheet1!$Z$1=2,'Tabla de Pagos Crecientes'!E211,$F$62))</f>
        <v>0.11</v>
      </c>
      <c r="F271" s="362">
        <f ca="1">IF($B271="","",IF(Sheet1!$Z$1=2,'Tabla de Pagos Crecientes'!F211,'Tabla Fijos'!F216))</f>
        <v>317660.79453567474</v>
      </c>
      <c r="G271" s="362">
        <f ca="1">IF($B271="","",IF(Sheet1!$Z$1=2,'Tabla de Pagos Crecientes'!G211,'Tabla Fijos'!G216))</f>
        <v>7471.1683859196173</v>
      </c>
      <c r="H271" s="362">
        <f ca="1">IF($B271="","",IF(Sheet1!$Z$1=2,'Tabla de Pagos Crecientes'!H211,'Tabla Fijos'!H216))</f>
        <v>2950.7158247980451</v>
      </c>
      <c r="I271" s="362">
        <f>IF($B271=0,0,IF(B271="","",VLOOKUP($B271,'Tabla Fijos'!$B$12:$S$311,8,0)))</f>
        <v>0</v>
      </c>
      <c r="J271" s="362">
        <f ca="1">IF($B271="","",IF(Sheet1!$Z$1=2,'Tabla de Pagos Crecientes'!J211,'Tabla Fijos'!K216))</f>
        <v>0</v>
      </c>
      <c r="K271" s="362">
        <f ca="1">IF($B271="","",IF(Sheet1!$Z$1=2,'Tabla de Pagos Crecientes'!K211,'Tabla Fijos'!L216))</f>
        <v>0</v>
      </c>
      <c r="L271" s="362">
        <f ca="1">IF($B271="","",IF(Sheet1!$Z$1=2,'Tabla de Pagos Crecientes'!L211,'Tabla Fijos'!M216))</f>
        <v>0</v>
      </c>
      <c r="M271" s="362">
        <f ca="1">IF($B271="","",IF(Sheet1!$Z$1=2,'Tabla de Pagos Crecientes'!M211,'Tabla Fijos'!N216))</f>
        <v>0</v>
      </c>
      <c r="N271" s="364"/>
      <c r="O271" s="362">
        <f>IF($B271="","",IF(Sheet1!$Z$1=2,'Tabla de Pagos Crecientes'!O211,'Tabla Fijos'!Q216))</f>
        <v>0</v>
      </c>
      <c r="P271" s="362">
        <f ca="1">IF(B271="","",G271+H271+I271+J271+K271+L271-M271-'Tabla Fijos'!P216)</f>
        <v>10421.884210717662</v>
      </c>
      <c r="Q271" s="362">
        <f t="shared" ca="1" si="9"/>
        <v>310189.62614975515</v>
      </c>
      <c r="R271" s="272">
        <f t="shared" ca="1" si="10"/>
        <v>1</v>
      </c>
    </row>
    <row r="272" spans="1:18" ht="15.5" x14ac:dyDescent="0.35">
      <c r="A272" s="272"/>
      <c r="B272" s="360">
        <f t="shared" si="11"/>
        <v>206</v>
      </c>
      <c r="C272" s="361">
        <f ca="1">IF($B272="","",'Fecha Pago'!K209)</f>
        <v>52415</v>
      </c>
      <c r="D272" s="362">
        <f>IF($B$67="","",'Fecha Pago'!L209)</f>
        <v>30.4</v>
      </c>
      <c r="E272" s="363">
        <f>IF(B272="","",IF(Sheet1!$Z$1=2,'Tabla de Pagos Crecientes'!E212,$F$62))</f>
        <v>0.11</v>
      </c>
      <c r="F272" s="362">
        <f ca="1">IF($B272="","",IF(Sheet1!$Z$1=2,'Tabla de Pagos Crecientes'!F212,'Tabla Fijos'!F217))</f>
        <v>310189.62614975515</v>
      </c>
      <c r="G272" s="362">
        <f ca="1">IF($B272="","",IF(Sheet1!$Z$1=2,'Tabla de Pagos Crecientes'!G212,'Tabla Fijos'!G217))</f>
        <v>7540.5672389266056</v>
      </c>
      <c r="H272" s="362">
        <f ca="1">IF($B272="","",IF(Sheet1!$Z$1=2,'Tabla de Pagos Crecientes'!H212,'Tabla Fijos'!H217))</f>
        <v>2881.3169717910587</v>
      </c>
      <c r="I272" s="362">
        <f>IF($B272=0,0,IF(B272="","",VLOOKUP($B272,'Tabla Fijos'!$B$12:$S$311,8,0)))</f>
        <v>0</v>
      </c>
      <c r="J272" s="362">
        <f ca="1">IF($B272="","",IF(Sheet1!$Z$1=2,'Tabla de Pagos Crecientes'!J212,'Tabla Fijos'!K217))</f>
        <v>0</v>
      </c>
      <c r="K272" s="362">
        <f ca="1">IF($B272="","",IF(Sheet1!$Z$1=2,'Tabla de Pagos Crecientes'!K212,'Tabla Fijos'!L217))</f>
        <v>0</v>
      </c>
      <c r="L272" s="362">
        <f ca="1">IF($B272="","",IF(Sheet1!$Z$1=2,'Tabla de Pagos Crecientes'!L212,'Tabla Fijos'!M217))</f>
        <v>0</v>
      </c>
      <c r="M272" s="362">
        <f ca="1">IF($B272="","",IF(Sheet1!$Z$1=2,'Tabla de Pagos Crecientes'!M212,'Tabla Fijos'!N217))</f>
        <v>0</v>
      </c>
      <c r="N272" s="364"/>
      <c r="O272" s="362">
        <f>IF($B272="","",IF(Sheet1!$Z$1=2,'Tabla de Pagos Crecientes'!O212,'Tabla Fijos'!Q217))</f>
        <v>0</v>
      </c>
      <c r="P272" s="362">
        <f ca="1">IF(B272="","",G272+H272+I272+J272+K272+L272-M272-'Tabla Fijos'!P217)</f>
        <v>10421.884210717664</v>
      </c>
      <c r="Q272" s="362">
        <f t="shared" ca="1" si="9"/>
        <v>302649.05891082855</v>
      </c>
      <c r="R272" s="272">
        <f t="shared" ca="1" si="10"/>
        <v>1</v>
      </c>
    </row>
    <row r="273" spans="1:18" ht="15.5" x14ac:dyDescent="0.35">
      <c r="A273" s="272"/>
      <c r="B273" s="360">
        <f t="shared" si="11"/>
        <v>207</v>
      </c>
      <c r="C273" s="361">
        <f ca="1">IF($B273="","",'Fecha Pago'!K210)</f>
        <v>52446</v>
      </c>
      <c r="D273" s="362">
        <f>IF($B$67="","",'Fecha Pago'!L210)</f>
        <v>30.4</v>
      </c>
      <c r="E273" s="363">
        <f>IF(B273="","",IF(Sheet1!$Z$1=2,'Tabla de Pagos Crecientes'!E213,$F$62))</f>
        <v>0.11</v>
      </c>
      <c r="F273" s="362">
        <f ca="1">IF($B273="","",IF(Sheet1!$Z$1=2,'Tabla de Pagos Crecientes'!F213,'Tabla Fijos'!F218))</f>
        <v>302649.05891082855</v>
      </c>
      <c r="G273" s="362">
        <f ca="1">IF($B273="","",IF(Sheet1!$Z$1=2,'Tabla de Pagos Crecientes'!G213,'Tabla Fijos'!G218))</f>
        <v>7610.6107301681905</v>
      </c>
      <c r="H273" s="362">
        <f ca="1">IF($B273="","",IF(Sheet1!$Z$1=2,'Tabla de Pagos Crecientes'!H213,'Tabla Fijos'!H218))</f>
        <v>2811.2734805494738</v>
      </c>
      <c r="I273" s="362">
        <f>IF($B273=0,0,IF(B273="","",VLOOKUP($B273,'Tabla Fijos'!$B$12:$S$311,8,0)))</f>
        <v>0</v>
      </c>
      <c r="J273" s="362">
        <f ca="1">IF($B273="","",IF(Sheet1!$Z$1=2,'Tabla de Pagos Crecientes'!J213,'Tabla Fijos'!K218))</f>
        <v>0</v>
      </c>
      <c r="K273" s="362">
        <f ca="1">IF($B273="","",IF(Sheet1!$Z$1=2,'Tabla de Pagos Crecientes'!K213,'Tabla Fijos'!L218))</f>
        <v>0</v>
      </c>
      <c r="L273" s="362">
        <f ca="1">IF($B273="","",IF(Sheet1!$Z$1=2,'Tabla de Pagos Crecientes'!L213,'Tabla Fijos'!M218))</f>
        <v>0</v>
      </c>
      <c r="M273" s="362">
        <f ca="1">IF($B273="","",IF(Sheet1!$Z$1=2,'Tabla de Pagos Crecientes'!M213,'Tabla Fijos'!N218))</f>
        <v>0</v>
      </c>
      <c r="N273" s="364"/>
      <c r="O273" s="362">
        <f>IF($B273="","",IF(Sheet1!$Z$1=2,'Tabla de Pagos Crecientes'!O213,'Tabla Fijos'!Q218))</f>
        <v>0</v>
      </c>
      <c r="P273" s="362">
        <f ca="1">IF(B273="","",G273+H273+I273+J273+K273+L273-M273-'Tabla Fijos'!P218)</f>
        <v>10421.884210717664</v>
      </c>
      <c r="Q273" s="362">
        <f t="shared" ca="1" si="9"/>
        <v>295038.44818066037</v>
      </c>
      <c r="R273" s="272">
        <f t="shared" ca="1" si="10"/>
        <v>1</v>
      </c>
    </row>
    <row r="274" spans="1:18" ht="15.5" x14ac:dyDescent="0.35">
      <c r="A274" s="272"/>
      <c r="B274" s="360">
        <f t="shared" si="11"/>
        <v>208</v>
      </c>
      <c r="C274" s="361">
        <f ca="1">IF($B274="","",'Fecha Pago'!K211)</f>
        <v>52477</v>
      </c>
      <c r="D274" s="362">
        <f>IF($B$67="","",'Fecha Pago'!L211)</f>
        <v>30.4</v>
      </c>
      <c r="E274" s="363">
        <f>IF(B274="","",IF(Sheet1!$Z$1=2,'Tabla de Pagos Crecientes'!E214,$F$62))</f>
        <v>0.11</v>
      </c>
      <c r="F274" s="362">
        <f ca="1">IF($B274="","",IF(Sheet1!$Z$1=2,'Tabla de Pagos Crecientes'!F214,'Tabla Fijos'!F219))</f>
        <v>295038.44818066037</v>
      </c>
      <c r="G274" s="362">
        <f ca="1">IF($B274="","",IF(Sheet1!$Z$1=2,'Tabla de Pagos Crecientes'!G214,'Tabla Fijos'!G219))</f>
        <v>7681.304847617308</v>
      </c>
      <c r="H274" s="362">
        <f ca="1">IF($B274="","",IF(Sheet1!$Z$1=2,'Tabla de Pagos Crecientes'!H214,'Tabla Fijos'!H219))</f>
        <v>2740.5793631003562</v>
      </c>
      <c r="I274" s="362">
        <f>IF($B274=0,0,IF(B274="","",VLOOKUP($B274,'Tabla Fijos'!$B$12:$S$311,8,0)))</f>
        <v>0</v>
      </c>
      <c r="J274" s="362">
        <f ca="1">IF($B274="","",IF(Sheet1!$Z$1=2,'Tabla de Pagos Crecientes'!J214,'Tabla Fijos'!K219))</f>
        <v>0</v>
      </c>
      <c r="K274" s="362">
        <f ca="1">IF($B274="","",IF(Sheet1!$Z$1=2,'Tabla de Pagos Crecientes'!K214,'Tabla Fijos'!L219))</f>
        <v>0</v>
      </c>
      <c r="L274" s="362">
        <f ca="1">IF($B274="","",IF(Sheet1!$Z$1=2,'Tabla de Pagos Crecientes'!L214,'Tabla Fijos'!M219))</f>
        <v>0</v>
      </c>
      <c r="M274" s="362">
        <f ca="1">IF($B274="","",IF(Sheet1!$Z$1=2,'Tabla de Pagos Crecientes'!M214,'Tabla Fijos'!N219))</f>
        <v>0</v>
      </c>
      <c r="N274" s="364"/>
      <c r="O274" s="362">
        <f>IF($B274="","",IF(Sheet1!$Z$1=2,'Tabla de Pagos Crecientes'!O214,'Tabla Fijos'!Q219))</f>
        <v>0</v>
      </c>
      <c r="P274" s="362">
        <f ca="1">IF(B274="","",G274+H274+I274+J274+K274+L274-M274-'Tabla Fijos'!P219)</f>
        <v>10421.884210717664</v>
      </c>
      <c r="Q274" s="362">
        <f t="shared" ca="1" si="9"/>
        <v>287357.14333304309</v>
      </c>
      <c r="R274" s="272">
        <f t="shared" ca="1" si="10"/>
        <v>1</v>
      </c>
    </row>
    <row r="275" spans="1:18" ht="15.5" x14ac:dyDescent="0.35">
      <c r="A275" s="272"/>
      <c r="B275" s="360">
        <f t="shared" si="11"/>
        <v>209</v>
      </c>
      <c r="C275" s="361">
        <f ca="1">IF($B275="","",'Fecha Pago'!K212)</f>
        <v>52507</v>
      </c>
      <c r="D275" s="362">
        <f>IF($B$67="","",'Fecha Pago'!L212)</f>
        <v>30.4</v>
      </c>
      <c r="E275" s="363">
        <f>IF(B275="","",IF(Sheet1!$Z$1=2,'Tabla de Pagos Crecientes'!E215,$F$62))</f>
        <v>0.11</v>
      </c>
      <c r="F275" s="362">
        <f ca="1">IF($B275="","",IF(Sheet1!$Z$1=2,'Tabla de Pagos Crecientes'!F215,'Tabla Fijos'!F220))</f>
        <v>287357.14333304309</v>
      </c>
      <c r="G275" s="362">
        <f ca="1">IF($B275="","",IF(Sheet1!$Z$1=2,'Tabla de Pagos Crecientes'!G215,'Tabla Fijos'!G220))</f>
        <v>7752.6556348685117</v>
      </c>
      <c r="H275" s="362">
        <f ca="1">IF($B275="","",IF(Sheet1!$Z$1=2,'Tabla de Pagos Crecientes'!H215,'Tabla Fijos'!H220))</f>
        <v>2669.2285758491557</v>
      </c>
      <c r="I275" s="362">
        <f>IF($B275=0,0,IF(B275="","",VLOOKUP($B275,'Tabla Fijos'!$B$12:$S$311,8,0)))</f>
        <v>0</v>
      </c>
      <c r="J275" s="362">
        <f ca="1">IF($B275="","",IF(Sheet1!$Z$1=2,'Tabla de Pagos Crecientes'!J215,'Tabla Fijos'!K220))</f>
        <v>0</v>
      </c>
      <c r="K275" s="362">
        <f ca="1">IF($B275="","",IF(Sheet1!$Z$1=2,'Tabla de Pagos Crecientes'!K215,'Tabla Fijos'!L220))</f>
        <v>0</v>
      </c>
      <c r="L275" s="362">
        <f ca="1">IF($B275="","",IF(Sheet1!$Z$1=2,'Tabla de Pagos Crecientes'!L215,'Tabla Fijos'!M220))</f>
        <v>0</v>
      </c>
      <c r="M275" s="362">
        <f ca="1">IF($B275="","",IF(Sheet1!$Z$1=2,'Tabla de Pagos Crecientes'!M215,'Tabla Fijos'!N220))</f>
        <v>0</v>
      </c>
      <c r="N275" s="364"/>
      <c r="O275" s="362">
        <f>IF($B275="","",IF(Sheet1!$Z$1=2,'Tabla de Pagos Crecientes'!O215,'Tabla Fijos'!Q220))</f>
        <v>0</v>
      </c>
      <c r="P275" s="362">
        <f ca="1">IF(B275="","",G275+H275+I275+J275+K275+L275-M275-'Tabla Fijos'!P220)</f>
        <v>10421.884210717668</v>
      </c>
      <c r="Q275" s="362">
        <f t="shared" ca="1" si="9"/>
        <v>279604.48769817455</v>
      </c>
      <c r="R275" s="272">
        <f t="shared" ca="1" si="10"/>
        <v>1</v>
      </c>
    </row>
    <row r="276" spans="1:18" ht="15.5" x14ac:dyDescent="0.35">
      <c r="A276" s="272"/>
      <c r="B276" s="360">
        <f t="shared" si="11"/>
        <v>210</v>
      </c>
      <c r="C276" s="361">
        <f ca="1">IF($B276="","",'Fecha Pago'!K213)</f>
        <v>52538</v>
      </c>
      <c r="D276" s="362">
        <f>IF($B$67="","",'Fecha Pago'!L213)</f>
        <v>30.4</v>
      </c>
      <c r="E276" s="363">
        <f>IF(B276="","",IF(Sheet1!$Z$1=2,'Tabla de Pagos Crecientes'!E216,$F$62))</f>
        <v>0.11</v>
      </c>
      <c r="F276" s="362">
        <f ca="1">IF($B276="","",IF(Sheet1!$Z$1=2,'Tabla de Pagos Crecientes'!F216,'Tabla Fijos'!F221))</f>
        <v>279604.48769817455</v>
      </c>
      <c r="G276" s="362">
        <f ca="1">IF($B276="","",IF(Sheet1!$Z$1=2,'Tabla de Pagos Crecientes'!G216,'Tabla Fijos'!G221))</f>
        <v>7824.6691916546206</v>
      </c>
      <c r="H276" s="362">
        <f ca="1">IF($B276="","",IF(Sheet1!$Z$1=2,'Tabla de Pagos Crecientes'!H216,'Tabla Fijos'!H221))</f>
        <v>2597.2150190630432</v>
      </c>
      <c r="I276" s="362">
        <f>IF($B276=0,0,IF(B276="","",VLOOKUP($B276,'Tabla Fijos'!$B$12:$S$311,8,0)))</f>
        <v>0</v>
      </c>
      <c r="J276" s="362">
        <f ca="1">IF($B276="","",IF(Sheet1!$Z$1=2,'Tabla de Pagos Crecientes'!J216,'Tabla Fijos'!K221))</f>
        <v>0</v>
      </c>
      <c r="K276" s="362">
        <f ca="1">IF($B276="","",IF(Sheet1!$Z$1=2,'Tabla de Pagos Crecientes'!K216,'Tabla Fijos'!L221))</f>
        <v>0</v>
      </c>
      <c r="L276" s="362">
        <f ca="1">IF($B276="","",IF(Sheet1!$Z$1=2,'Tabla de Pagos Crecientes'!L216,'Tabla Fijos'!M221))</f>
        <v>0</v>
      </c>
      <c r="M276" s="362">
        <f ca="1">IF($B276="","",IF(Sheet1!$Z$1=2,'Tabla de Pagos Crecientes'!M216,'Tabla Fijos'!N221))</f>
        <v>0</v>
      </c>
      <c r="N276" s="364"/>
      <c r="O276" s="362">
        <f>IF($B276="","",IF(Sheet1!$Z$1=2,'Tabla de Pagos Crecientes'!O216,'Tabla Fijos'!Q221))</f>
        <v>0</v>
      </c>
      <c r="P276" s="362">
        <f ca="1">IF(B276="","",G276+H276+I276+J276+K276+L276-M276-'Tabla Fijos'!P221)</f>
        <v>10421.884210717664</v>
      </c>
      <c r="Q276" s="362">
        <f t="shared" ca="1" si="9"/>
        <v>271779.81850651995</v>
      </c>
      <c r="R276" s="272">
        <f t="shared" ca="1" si="10"/>
        <v>1</v>
      </c>
    </row>
    <row r="277" spans="1:18" ht="15.5" x14ac:dyDescent="0.35">
      <c r="A277" s="272"/>
      <c r="B277" s="360">
        <f t="shared" si="11"/>
        <v>211</v>
      </c>
      <c r="C277" s="361">
        <f ca="1">IF($B277="","",'Fecha Pago'!K214)</f>
        <v>52568</v>
      </c>
      <c r="D277" s="362">
        <f>IF($B$67="","",'Fecha Pago'!L214)</f>
        <v>30.4</v>
      </c>
      <c r="E277" s="363">
        <f>IF(B277="","",IF(Sheet1!$Z$1=2,'Tabla de Pagos Crecientes'!E217,$F$62))</f>
        <v>0.11</v>
      </c>
      <c r="F277" s="362">
        <f ca="1">IF($B277="","",IF(Sheet1!$Z$1=2,'Tabla de Pagos Crecientes'!F217,'Tabla Fijos'!F222))</f>
        <v>271779.81850651995</v>
      </c>
      <c r="G277" s="362">
        <f ca="1">IF($B277="","",IF(Sheet1!$Z$1=2,'Tabla de Pagos Crecientes'!G217,'Tabla Fijos'!G222))</f>
        <v>7897.3516743682158</v>
      </c>
      <c r="H277" s="362">
        <f ca="1">IF($B277="","",IF(Sheet1!$Z$1=2,'Tabla de Pagos Crecientes'!H217,'Tabla Fijos'!H222))</f>
        <v>2524.5325363494517</v>
      </c>
      <c r="I277" s="362">
        <f>IF($B277=0,0,IF(B277="","",VLOOKUP($B277,'Tabla Fijos'!$B$12:$S$311,8,0)))</f>
        <v>0</v>
      </c>
      <c r="J277" s="362">
        <f ca="1">IF($B277="","",IF(Sheet1!$Z$1=2,'Tabla de Pagos Crecientes'!J217,'Tabla Fijos'!K222))</f>
        <v>0</v>
      </c>
      <c r="K277" s="362">
        <f ca="1">IF($B277="","",IF(Sheet1!$Z$1=2,'Tabla de Pagos Crecientes'!K217,'Tabla Fijos'!L222))</f>
        <v>0</v>
      </c>
      <c r="L277" s="362">
        <f ca="1">IF($B277="","",IF(Sheet1!$Z$1=2,'Tabla de Pagos Crecientes'!L217,'Tabla Fijos'!M222))</f>
        <v>0</v>
      </c>
      <c r="M277" s="362">
        <f ca="1">IF($B277="","",IF(Sheet1!$Z$1=2,'Tabla de Pagos Crecientes'!M217,'Tabla Fijos'!N222))</f>
        <v>0</v>
      </c>
      <c r="N277" s="364"/>
      <c r="O277" s="362">
        <f>IF($B277="","",IF(Sheet1!$Z$1=2,'Tabla de Pagos Crecientes'!O217,'Tabla Fijos'!Q222))</f>
        <v>0</v>
      </c>
      <c r="P277" s="362">
        <f ca="1">IF(B277="","",G277+H277+I277+J277+K277+L277-M277-'Tabla Fijos'!P222)</f>
        <v>10421.884210717668</v>
      </c>
      <c r="Q277" s="362">
        <f t="shared" ca="1" si="9"/>
        <v>263882.46683215175</v>
      </c>
      <c r="R277" s="272">
        <f t="shared" ca="1" si="10"/>
        <v>1</v>
      </c>
    </row>
    <row r="278" spans="1:18" ht="15.5" x14ac:dyDescent="0.35">
      <c r="A278" s="272"/>
      <c r="B278" s="360">
        <f t="shared" si="11"/>
        <v>212</v>
      </c>
      <c r="C278" s="361">
        <f ca="1">IF($B278="","",'Fecha Pago'!K215)</f>
        <v>52599</v>
      </c>
      <c r="D278" s="362">
        <f>IF($B$67="","",'Fecha Pago'!L215)</f>
        <v>30.4</v>
      </c>
      <c r="E278" s="363">
        <f>IF(B278="","",IF(Sheet1!$Z$1=2,'Tabla de Pagos Crecientes'!E218,$F$62))</f>
        <v>0.11</v>
      </c>
      <c r="F278" s="362">
        <f ca="1">IF($B278="","",IF(Sheet1!$Z$1=2,'Tabla de Pagos Crecientes'!F218,'Tabla Fijos'!F223))</f>
        <v>263882.46683215175</v>
      </c>
      <c r="G278" s="362">
        <f ca="1">IF($B278="","",IF(Sheet1!$Z$1=2,'Tabla de Pagos Crecientes'!G218,'Tabla Fijos'!G223))</f>
        <v>7970.7092965879028</v>
      </c>
      <c r="H278" s="362">
        <f ca="1">IF($B278="","",IF(Sheet1!$Z$1=2,'Tabla de Pagos Crecientes'!H218,'Tabla Fijos'!H223))</f>
        <v>2451.1749141297651</v>
      </c>
      <c r="I278" s="362">
        <f>IF($B278=0,0,IF(B278="","",VLOOKUP($B278,'Tabla Fijos'!$B$12:$S$311,8,0)))</f>
        <v>0</v>
      </c>
      <c r="J278" s="362">
        <f ca="1">IF($B278="","",IF(Sheet1!$Z$1=2,'Tabla de Pagos Crecientes'!J218,'Tabla Fijos'!K223))</f>
        <v>0</v>
      </c>
      <c r="K278" s="362">
        <f ca="1">IF($B278="","",IF(Sheet1!$Z$1=2,'Tabla de Pagos Crecientes'!K218,'Tabla Fijos'!L223))</f>
        <v>0</v>
      </c>
      <c r="L278" s="362">
        <f ca="1">IF($B278="","",IF(Sheet1!$Z$1=2,'Tabla de Pagos Crecientes'!L218,'Tabla Fijos'!M223))</f>
        <v>0</v>
      </c>
      <c r="M278" s="362">
        <f ca="1">IF($B278="","",IF(Sheet1!$Z$1=2,'Tabla de Pagos Crecientes'!M218,'Tabla Fijos'!N223))</f>
        <v>0</v>
      </c>
      <c r="N278" s="364"/>
      <c r="O278" s="362">
        <f>IF($B278="","",IF(Sheet1!$Z$1=2,'Tabla de Pagos Crecientes'!O218,'Tabla Fijos'!Q223))</f>
        <v>0</v>
      </c>
      <c r="P278" s="362">
        <f ca="1">IF(B278="","",G278+H278+I278+J278+K278+L278-M278-'Tabla Fijos'!P223)</f>
        <v>10421.884210717668</v>
      </c>
      <c r="Q278" s="362">
        <f t="shared" ca="1" si="9"/>
        <v>255911.75753556384</v>
      </c>
      <c r="R278" s="272">
        <f t="shared" ca="1" si="10"/>
        <v>1</v>
      </c>
    </row>
    <row r="279" spans="1:18" ht="15.5" x14ac:dyDescent="0.35">
      <c r="A279" s="272"/>
      <c r="B279" s="360">
        <f t="shared" si="11"/>
        <v>213</v>
      </c>
      <c r="C279" s="361">
        <f ca="1">IF($B279="","",'Fecha Pago'!K216)</f>
        <v>52630</v>
      </c>
      <c r="D279" s="362">
        <f>IF($B$67="","",'Fecha Pago'!L216)</f>
        <v>30.4</v>
      </c>
      <c r="E279" s="363">
        <f>IF(B279="","",IF(Sheet1!$Z$1=2,'Tabla de Pagos Crecientes'!E219,$F$62))</f>
        <v>0.11</v>
      </c>
      <c r="F279" s="362">
        <f ca="1">IF($B279="","",IF(Sheet1!$Z$1=2,'Tabla de Pagos Crecientes'!F219,'Tabla Fijos'!F224))</f>
        <v>255911.75753556384</v>
      </c>
      <c r="G279" s="362">
        <f ca="1">IF($B279="","",IF(Sheet1!$Z$1=2,'Tabla de Pagos Crecientes'!G219,'Tabla Fijos'!G224))</f>
        <v>8044.7483296095415</v>
      </c>
      <c r="H279" s="362">
        <f ca="1">IF($B279="","",IF(Sheet1!$Z$1=2,'Tabla de Pagos Crecientes'!H219,'Tabla Fijos'!H224))</f>
        <v>2377.1358811081263</v>
      </c>
      <c r="I279" s="362">
        <f>IF($B279=0,0,IF(B279="","",VLOOKUP($B279,'Tabla Fijos'!$B$12:$S$311,8,0)))</f>
        <v>0</v>
      </c>
      <c r="J279" s="362">
        <f ca="1">IF($B279="","",IF(Sheet1!$Z$1=2,'Tabla de Pagos Crecientes'!J219,'Tabla Fijos'!K224))</f>
        <v>0</v>
      </c>
      <c r="K279" s="362">
        <f ca="1">IF($B279="","",IF(Sheet1!$Z$1=2,'Tabla de Pagos Crecientes'!K219,'Tabla Fijos'!L224))</f>
        <v>0</v>
      </c>
      <c r="L279" s="362">
        <f ca="1">IF($B279="","",IF(Sheet1!$Z$1=2,'Tabla de Pagos Crecientes'!L219,'Tabla Fijos'!M224))</f>
        <v>0</v>
      </c>
      <c r="M279" s="362">
        <f ca="1">IF($B279="","",IF(Sheet1!$Z$1=2,'Tabla de Pagos Crecientes'!M219,'Tabla Fijos'!N224))</f>
        <v>0</v>
      </c>
      <c r="N279" s="364"/>
      <c r="O279" s="362">
        <f>IF($B279="","",IF(Sheet1!$Z$1=2,'Tabla de Pagos Crecientes'!O219,'Tabla Fijos'!Q224))</f>
        <v>0</v>
      </c>
      <c r="P279" s="362">
        <f ca="1">IF(B279="","",G279+H279+I279+J279+K279+L279-M279-'Tabla Fijos'!P224)</f>
        <v>10421.884210717668</v>
      </c>
      <c r="Q279" s="362">
        <f t="shared" ca="1" si="9"/>
        <v>247867.00920595429</v>
      </c>
      <c r="R279" s="272">
        <f t="shared" ca="1" si="10"/>
        <v>1</v>
      </c>
    </row>
    <row r="280" spans="1:18" ht="15.5" x14ac:dyDescent="0.35">
      <c r="A280" s="272"/>
      <c r="B280" s="360">
        <f t="shared" si="11"/>
        <v>214</v>
      </c>
      <c r="C280" s="361">
        <f ca="1">IF($B280="","",'Fecha Pago'!K217)</f>
        <v>52659</v>
      </c>
      <c r="D280" s="362">
        <f>IF($B$67="","",'Fecha Pago'!L217)</f>
        <v>30.4</v>
      </c>
      <c r="E280" s="363">
        <f>IF(B280="","",IF(Sheet1!$Z$1=2,'Tabla de Pagos Crecientes'!E220,$F$62))</f>
        <v>0.11</v>
      </c>
      <c r="F280" s="362">
        <f ca="1">IF($B280="","",IF(Sheet1!$Z$1=2,'Tabla de Pagos Crecientes'!F220,'Tabla Fijos'!F225))</f>
        <v>247867.00920595429</v>
      </c>
      <c r="G280" s="362">
        <f ca="1">IF($B280="","",IF(Sheet1!$Z$1=2,'Tabla de Pagos Crecientes'!G220,'Tabla Fijos'!G225))</f>
        <v>8119.4751029823592</v>
      </c>
      <c r="H280" s="362">
        <f ca="1">IF($B280="","",IF(Sheet1!$Z$1=2,'Tabla de Pagos Crecientes'!H220,'Tabla Fijos'!H225))</f>
        <v>2302.4091077353087</v>
      </c>
      <c r="I280" s="362">
        <f>IF($B280=0,0,IF(B280="","",VLOOKUP($B280,'Tabla Fijos'!$B$12:$S$311,8,0)))</f>
        <v>0</v>
      </c>
      <c r="J280" s="362">
        <f ca="1">IF($B280="","",IF(Sheet1!$Z$1=2,'Tabla de Pagos Crecientes'!J220,'Tabla Fijos'!K225))</f>
        <v>0</v>
      </c>
      <c r="K280" s="362">
        <f ca="1">IF($B280="","",IF(Sheet1!$Z$1=2,'Tabla de Pagos Crecientes'!K220,'Tabla Fijos'!L225))</f>
        <v>0</v>
      </c>
      <c r="L280" s="362">
        <f ca="1">IF($B280="","",IF(Sheet1!$Z$1=2,'Tabla de Pagos Crecientes'!L220,'Tabla Fijos'!M225))</f>
        <v>0</v>
      </c>
      <c r="M280" s="362">
        <f ca="1">IF($B280="","",IF(Sheet1!$Z$1=2,'Tabla de Pagos Crecientes'!M220,'Tabla Fijos'!N225))</f>
        <v>0</v>
      </c>
      <c r="N280" s="364"/>
      <c r="O280" s="362">
        <f>IF($B280="","",IF(Sheet1!$Z$1=2,'Tabla de Pagos Crecientes'!O220,'Tabla Fijos'!Q225))</f>
        <v>0</v>
      </c>
      <c r="P280" s="362">
        <f ca="1">IF(B280="","",G280+H280+I280+J280+K280+L280-M280-'Tabla Fijos'!P225)</f>
        <v>10421.884210717668</v>
      </c>
      <c r="Q280" s="362">
        <f t="shared" ca="1" si="9"/>
        <v>239747.53410297193</v>
      </c>
      <c r="R280" s="272">
        <f t="shared" ca="1" si="10"/>
        <v>1</v>
      </c>
    </row>
    <row r="281" spans="1:18" ht="15.5" x14ac:dyDescent="0.35">
      <c r="A281" s="272"/>
      <c r="B281" s="360">
        <f t="shared" si="11"/>
        <v>215</v>
      </c>
      <c r="C281" s="361">
        <f ca="1">IF($B281="","",'Fecha Pago'!K218)</f>
        <v>52690</v>
      </c>
      <c r="D281" s="362">
        <f>IF($B$67="","",'Fecha Pago'!L218)</f>
        <v>30.4</v>
      </c>
      <c r="E281" s="363">
        <f>IF(B281="","",IF(Sheet1!$Z$1=2,'Tabla de Pagos Crecientes'!E221,$F$62))</f>
        <v>0.11</v>
      </c>
      <c r="F281" s="362">
        <f ca="1">IF($B281="","",IF(Sheet1!$Z$1=2,'Tabla de Pagos Crecientes'!F221,'Tabla Fijos'!F226))</f>
        <v>239747.53410297193</v>
      </c>
      <c r="G281" s="362">
        <f ca="1">IF($B281="","",IF(Sheet1!$Z$1=2,'Tabla de Pagos Crecientes'!G221,'Tabla Fijos'!G226))</f>
        <v>8194.8960050500627</v>
      </c>
      <c r="H281" s="362">
        <f ca="1">IF($B281="","",IF(Sheet1!$Z$1=2,'Tabla de Pagos Crecientes'!H221,'Tabla Fijos'!H226))</f>
        <v>2226.9882056676056</v>
      </c>
      <c r="I281" s="362">
        <f>IF($B281=0,0,IF(B281="","",VLOOKUP($B281,'Tabla Fijos'!$B$12:$S$311,8,0)))</f>
        <v>0</v>
      </c>
      <c r="J281" s="362">
        <f ca="1">IF($B281="","",IF(Sheet1!$Z$1=2,'Tabla de Pagos Crecientes'!J221,'Tabla Fijos'!K226))</f>
        <v>0</v>
      </c>
      <c r="K281" s="362">
        <f ca="1">IF($B281="","",IF(Sheet1!$Z$1=2,'Tabla de Pagos Crecientes'!K221,'Tabla Fijos'!L226))</f>
        <v>0</v>
      </c>
      <c r="L281" s="362">
        <f ca="1">IF($B281="","",IF(Sheet1!$Z$1=2,'Tabla de Pagos Crecientes'!L221,'Tabla Fijos'!M226))</f>
        <v>0</v>
      </c>
      <c r="M281" s="362">
        <f ca="1">IF($B281="","",IF(Sheet1!$Z$1=2,'Tabla de Pagos Crecientes'!M221,'Tabla Fijos'!N226))</f>
        <v>0</v>
      </c>
      <c r="N281" s="364"/>
      <c r="O281" s="362">
        <f>IF($B281="","",IF(Sheet1!$Z$1=2,'Tabla de Pagos Crecientes'!O221,'Tabla Fijos'!Q226))</f>
        <v>0</v>
      </c>
      <c r="P281" s="362">
        <f ca="1">IF(B281="","",G281+H281+I281+J281+K281+L281-M281-'Tabla Fijos'!P226)</f>
        <v>10421.884210717668</v>
      </c>
      <c r="Q281" s="362">
        <f t="shared" ca="1" si="9"/>
        <v>231552.63809792185</v>
      </c>
      <c r="R281" s="272">
        <f t="shared" ca="1" si="10"/>
        <v>1</v>
      </c>
    </row>
    <row r="282" spans="1:18" ht="15.5" x14ac:dyDescent="0.35">
      <c r="A282" s="272"/>
      <c r="B282" s="360">
        <f t="shared" si="11"/>
        <v>216</v>
      </c>
      <c r="C282" s="361">
        <f ca="1">IF($B282="","",'Fecha Pago'!K219)</f>
        <v>52720</v>
      </c>
      <c r="D282" s="362">
        <f>IF($B$67="","",'Fecha Pago'!L219)</f>
        <v>30.4</v>
      </c>
      <c r="E282" s="363">
        <f>IF(B282="","",IF(Sheet1!$Z$1=2,'Tabla de Pagos Crecientes'!E222,$F$62))</f>
        <v>0.11</v>
      </c>
      <c r="F282" s="362">
        <f ca="1">IF($B282="","",IF(Sheet1!$Z$1=2,'Tabla de Pagos Crecientes'!F222,'Tabla Fijos'!F227))</f>
        <v>231552.63809792185</v>
      </c>
      <c r="G282" s="362">
        <f ca="1">IF($B282="","",IF(Sheet1!$Z$1=2,'Tabla de Pagos Crecientes'!G222,'Tabla Fijos'!G227))</f>
        <v>8271.0174834969712</v>
      </c>
      <c r="H282" s="362">
        <f ca="1">IF($B282="","",IF(Sheet1!$Z$1=2,'Tabla de Pagos Crecientes'!H222,'Tabla Fijos'!H227))</f>
        <v>2150.8667272206962</v>
      </c>
      <c r="I282" s="362">
        <f>IF($B282=0,0,IF(B282="","",VLOOKUP($B282,'Tabla Fijos'!$B$12:$S$311,8,0)))</f>
        <v>0</v>
      </c>
      <c r="J282" s="362">
        <f ca="1">IF($B282="","",IF(Sheet1!$Z$1=2,'Tabla de Pagos Crecientes'!J222,'Tabla Fijos'!K227))</f>
        <v>0</v>
      </c>
      <c r="K282" s="362">
        <f ca="1">IF($B282="","",IF(Sheet1!$Z$1=2,'Tabla de Pagos Crecientes'!K222,'Tabla Fijos'!L227))</f>
        <v>0</v>
      </c>
      <c r="L282" s="362">
        <f ca="1">IF($B282="","",IF(Sheet1!$Z$1=2,'Tabla de Pagos Crecientes'!L222,'Tabla Fijos'!M227))</f>
        <v>0</v>
      </c>
      <c r="M282" s="362">
        <f ca="1">IF($B282="","",IF(Sheet1!$Z$1=2,'Tabla de Pagos Crecientes'!M222,'Tabla Fijos'!N227))</f>
        <v>0</v>
      </c>
      <c r="N282" s="364"/>
      <c r="O282" s="362">
        <f>IF($B282="","",IF(Sheet1!$Z$1=2,'Tabla de Pagos Crecientes'!O222,'Tabla Fijos'!Q227))</f>
        <v>0</v>
      </c>
      <c r="P282" s="362">
        <f ca="1">IF(B282="","",G282+H282+I282+J282+K282+L282-M282-'Tabla Fijos'!P227)</f>
        <v>10421.884210717668</v>
      </c>
      <c r="Q282" s="362">
        <f t="shared" ca="1" si="9"/>
        <v>223281.62061442487</v>
      </c>
      <c r="R282" s="272">
        <f t="shared" ca="1" si="10"/>
        <v>1</v>
      </c>
    </row>
    <row r="283" spans="1:18" ht="15.5" x14ac:dyDescent="0.35">
      <c r="A283" s="272"/>
      <c r="B283" s="360">
        <f t="shared" si="11"/>
        <v>217</v>
      </c>
      <c r="C283" s="361">
        <f ca="1">IF($B283="","",'Fecha Pago'!K220)</f>
        <v>52751</v>
      </c>
      <c r="D283" s="362">
        <f>IF($B$67="","",'Fecha Pago'!L220)</f>
        <v>30.4</v>
      </c>
      <c r="E283" s="363">
        <f>IF(B283="","",IF(Sheet1!$Z$1=2,'Tabla de Pagos Crecientes'!E223,$F$62))</f>
        <v>0.11</v>
      </c>
      <c r="F283" s="362">
        <f ca="1">IF($B283="","",IF(Sheet1!$Z$1=2,'Tabla de Pagos Crecientes'!F223,'Tabla Fijos'!F228))</f>
        <v>223281.62061442487</v>
      </c>
      <c r="G283" s="362">
        <f ca="1">IF($B283="","",IF(Sheet1!$Z$1=2,'Tabla de Pagos Crecientes'!G223,'Tabla Fijos'!G228))</f>
        <v>8347.8460458992286</v>
      </c>
      <c r="H283" s="362">
        <f ca="1">IF($B283="","",IF(Sheet1!$Z$1=2,'Tabla de Pagos Crecientes'!H223,'Tabla Fijos'!H228))</f>
        <v>2074.0381648184352</v>
      </c>
      <c r="I283" s="362">
        <f>IF($B283=0,0,IF(B283="","",VLOOKUP($B283,'Tabla Fijos'!$B$12:$S$311,8,0)))</f>
        <v>0</v>
      </c>
      <c r="J283" s="362">
        <f ca="1">IF($B283="","",IF(Sheet1!$Z$1=2,'Tabla de Pagos Crecientes'!J223,'Tabla Fijos'!K228))</f>
        <v>0</v>
      </c>
      <c r="K283" s="362">
        <f ca="1">IF($B283="","",IF(Sheet1!$Z$1=2,'Tabla de Pagos Crecientes'!K223,'Tabla Fijos'!L228))</f>
        <v>0</v>
      </c>
      <c r="L283" s="362">
        <f ca="1">IF($B283="","",IF(Sheet1!$Z$1=2,'Tabla de Pagos Crecientes'!L223,'Tabla Fijos'!M228))</f>
        <v>0</v>
      </c>
      <c r="M283" s="362">
        <f ca="1">IF($B283="","",IF(Sheet1!$Z$1=2,'Tabla de Pagos Crecientes'!M223,'Tabla Fijos'!N228))</f>
        <v>0</v>
      </c>
      <c r="N283" s="364"/>
      <c r="O283" s="362">
        <f>IF($B283="","",IF(Sheet1!$Z$1=2,'Tabla de Pagos Crecientes'!O223,'Tabla Fijos'!Q228))</f>
        <v>0</v>
      </c>
      <c r="P283" s="362">
        <f ca="1">IF(B283="","",G283+H283+I283+J283+K283+L283-M283-'Tabla Fijos'!P228)</f>
        <v>10421.884210717664</v>
      </c>
      <c r="Q283" s="362">
        <f t="shared" ca="1" si="9"/>
        <v>214933.77456852564</v>
      </c>
      <c r="R283" s="272">
        <f t="shared" ca="1" si="10"/>
        <v>1</v>
      </c>
    </row>
    <row r="284" spans="1:18" ht="15.5" x14ac:dyDescent="0.35">
      <c r="A284" s="272"/>
      <c r="B284" s="360">
        <f t="shared" si="11"/>
        <v>218</v>
      </c>
      <c r="C284" s="361">
        <f ca="1">IF($B284="","",'Fecha Pago'!K221)</f>
        <v>52781</v>
      </c>
      <c r="D284" s="362">
        <f>IF($B$67="","",'Fecha Pago'!L221)</f>
        <v>30.4</v>
      </c>
      <c r="E284" s="363">
        <f>IF(B284="","",IF(Sheet1!$Z$1=2,'Tabla de Pagos Crecientes'!E224,$F$62))</f>
        <v>0.11</v>
      </c>
      <c r="F284" s="362">
        <f ca="1">IF($B284="","",IF(Sheet1!$Z$1=2,'Tabla de Pagos Crecientes'!F224,'Tabla Fijos'!F229))</f>
        <v>214933.77456852564</v>
      </c>
      <c r="G284" s="362">
        <f ca="1">IF($B284="","",IF(Sheet1!$Z$1=2,'Tabla de Pagos Crecientes'!G224,'Tabla Fijos'!G229))</f>
        <v>8425.3882602811373</v>
      </c>
      <c r="H284" s="362">
        <f ca="1">IF($B284="","",IF(Sheet1!$Z$1=2,'Tabla de Pagos Crecientes'!H224,'Tabla Fijos'!H229))</f>
        <v>1996.495950436527</v>
      </c>
      <c r="I284" s="362">
        <f>IF($B284=0,0,IF(B284="","",VLOOKUP($B284,'Tabla Fijos'!$B$12:$S$311,8,0)))</f>
        <v>0</v>
      </c>
      <c r="J284" s="362">
        <f ca="1">IF($B284="","",IF(Sheet1!$Z$1=2,'Tabla de Pagos Crecientes'!J224,'Tabla Fijos'!K229))</f>
        <v>0</v>
      </c>
      <c r="K284" s="362">
        <f ca="1">IF($B284="","",IF(Sheet1!$Z$1=2,'Tabla de Pagos Crecientes'!K224,'Tabla Fijos'!L229))</f>
        <v>0</v>
      </c>
      <c r="L284" s="362">
        <f ca="1">IF($B284="","",IF(Sheet1!$Z$1=2,'Tabla de Pagos Crecientes'!L224,'Tabla Fijos'!M229))</f>
        <v>0</v>
      </c>
      <c r="M284" s="362">
        <f ca="1">IF($B284="","",IF(Sheet1!$Z$1=2,'Tabla de Pagos Crecientes'!M224,'Tabla Fijos'!N229))</f>
        <v>0</v>
      </c>
      <c r="N284" s="364"/>
      <c r="O284" s="362">
        <f>IF($B284="","",IF(Sheet1!$Z$1=2,'Tabla de Pagos Crecientes'!O224,'Tabla Fijos'!Q229))</f>
        <v>0</v>
      </c>
      <c r="P284" s="362">
        <f ca="1">IF(B284="","",G284+H284+I284+J284+K284+L284-M284-'Tabla Fijos'!P229)</f>
        <v>10421.884210717664</v>
      </c>
      <c r="Q284" s="362">
        <f t="shared" ca="1" si="9"/>
        <v>206508.38630824449</v>
      </c>
      <c r="R284" s="272">
        <f t="shared" ca="1" si="10"/>
        <v>1</v>
      </c>
    </row>
    <row r="285" spans="1:18" ht="15.5" x14ac:dyDescent="0.35">
      <c r="A285" s="272"/>
      <c r="B285" s="360">
        <f t="shared" si="11"/>
        <v>219</v>
      </c>
      <c r="C285" s="361">
        <f ca="1">IF($B285="","",'Fecha Pago'!K222)</f>
        <v>52812</v>
      </c>
      <c r="D285" s="362">
        <f>IF($B$67="","",'Fecha Pago'!L222)</f>
        <v>30.4</v>
      </c>
      <c r="E285" s="363">
        <f>IF(B285="","",IF(Sheet1!$Z$1=2,'Tabla de Pagos Crecientes'!E225,$F$62))</f>
        <v>0.11</v>
      </c>
      <c r="F285" s="362">
        <f ca="1">IF($B285="","",IF(Sheet1!$Z$1=2,'Tabla de Pagos Crecientes'!F225,'Tabla Fijos'!F230))</f>
        <v>206508.38630824449</v>
      </c>
      <c r="G285" s="362">
        <f ca="1">IF($B285="","",IF(Sheet1!$Z$1=2,'Tabla de Pagos Crecientes'!G225,'Tabla Fijos'!G230))</f>
        <v>8503.6507556766355</v>
      </c>
      <c r="H285" s="362">
        <f ca="1">IF($B285="","",IF(Sheet1!$Z$1=2,'Tabla de Pagos Crecientes'!H225,'Tabla Fijos'!H230))</f>
        <v>1918.2334550410264</v>
      </c>
      <c r="I285" s="362">
        <f>IF($B285=0,0,IF(B285="","",VLOOKUP($B285,'Tabla Fijos'!$B$12:$S$311,8,0)))</f>
        <v>0</v>
      </c>
      <c r="J285" s="362">
        <f ca="1">IF($B285="","",IF(Sheet1!$Z$1=2,'Tabla de Pagos Crecientes'!J225,'Tabla Fijos'!K230))</f>
        <v>0</v>
      </c>
      <c r="K285" s="362">
        <f ca="1">IF($B285="","",IF(Sheet1!$Z$1=2,'Tabla de Pagos Crecientes'!K225,'Tabla Fijos'!L230))</f>
        <v>0</v>
      </c>
      <c r="L285" s="362">
        <f ca="1">IF($B285="","",IF(Sheet1!$Z$1=2,'Tabla de Pagos Crecientes'!L225,'Tabla Fijos'!M230))</f>
        <v>0</v>
      </c>
      <c r="M285" s="362">
        <f ca="1">IF($B285="","",IF(Sheet1!$Z$1=2,'Tabla de Pagos Crecientes'!M225,'Tabla Fijos'!N230))</f>
        <v>0</v>
      </c>
      <c r="N285" s="364"/>
      <c r="O285" s="362">
        <f>IF($B285="","",IF(Sheet1!$Z$1=2,'Tabla de Pagos Crecientes'!O225,'Tabla Fijos'!Q230))</f>
        <v>0</v>
      </c>
      <c r="P285" s="362">
        <f ca="1">IF(B285="","",G285+H285+I285+J285+K285+L285-M285-'Tabla Fijos'!P230)</f>
        <v>10421.884210717662</v>
      </c>
      <c r="Q285" s="362">
        <f t="shared" ca="1" si="9"/>
        <v>198004.73555256784</v>
      </c>
      <c r="R285" s="272">
        <f t="shared" ca="1" si="10"/>
        <v>1</v>
      </c>
    </row>
    <row r="286" spans="1:18" ht="15.5" x14ac:dyDescent="0.35">
      <c r="A286" s="272"/>
      <c r="B286" s="360">
        <f t="shared" si="11"/>
        <v>220</v>
      </c>
      <c r="C286" s="361">
        <f ca="1">IF($B286="","",'Fecha Pago'!K223)</f>
        <v>52843</v>
      </c>
      <c r="D286" s="362">
        <f>IF($B$67="","",'Fecha Pago'!L223)</f>
        <v>30.4</v>
      </c>
      <c r="E286" s="363">
        <f>IF(B286="","",IF(Sheet1!$Z$1=2,'Tabla de Pagos Crecientes'!E226,$F$62))</f>
        <v>0.11</v>
      </c>
      <c r="F286" s="362">
        <f ca="1">IF($B286="","",IF(Sheet1!$Z$1=2,'Tabla de Pagos Crecientes'!F226,'Tabla Fijos'!F231))</f>
        <v>198004.73555256784</v>
      </c>
      <c r="G286" s="362">
        <f ca="1">IF($B286="","",IF(Sheet1!$Z$1=2,'Tabla de Pagos Crecientes'!G226,'Tabla Fijos'!G231))</f>
        <v>8582.6402226960345</v>
      </c>
      <c r="H286" s="362">
        <f ca="1">IF($B286="","",IF(Sheet1!$Z$1=2,'Tabla de Pagos Crecientes'!H226,'Tabla Fijos'!H231))</f>
        <v>1839.24398802163</v>
      </c>
      <c r="I286" s="362">
        <f>IF($B286=0,0,IF(B286="","",VLOOKUP($B286,'Tabla Fijos'!$B$12:$S$311,8,0)))</f>
        <v>0</v>
      </c>
      <c r="J286" s="362">
        <f ca="1">IF($B286="","",IF(Sheet1!$Z$1=2,'Tabla de Pagos Crecientes'!J226,'Tabla Fijos'!K231))</f>
        <v>0</v>
      </c>
      <c r="K286" s="362">
        <f ca="1">IF($B286="","",IF(Sheet1!$Z$1=2,'Tabla de Pagos Crecientes'!K226,'Tabla Fijos'!L231))</f>
        <v>0</v>
      </c>
      <c r="L286" s="362">
        <f ca="1">IF($B286="","",IF(Sheet1!$Z$1=2,'Tabla de Pagos Crecientes'!L226,'Tabla Fijos'!M231))</f>
        <v>0</v>
      </c>
      <c r="M286" s="362">
        <f ca="1">IF($B286="","",IF(Sheet1!$Z$1=2,'Tabla de Pagos Crecientes'!M226,'Tabla Fijos'!N231))</f>
        <v>0</v>
      </c>
      <c r="N286" s="364"/>
      <c r="O286" s="362">
        <f>IF($B286="","",IF(Sheet1!$Z$1=2,'Tabla de Pagos Crecientes'!O226,'Tabla Fijos'!Q231))</f>
        <v>0</v>
      </c>
      <c r="P286" s="362">
        <f ca="1">IF(B286="","",G286+H286+I286+J286+K286+L286-M286-'Tabla Fijos'!P231)</f>
        <v>10421.884210717664</v>
      </c>
      <c r="Q286" s="362">
        <f t="shared" ca="1" si="9"/>
        <v>189422.09532987181</v>
      </c>
      <c r="R286" s="272">
        <f t="shared" ca="1" si="10"/>
        <v>1</v>
      </c>
    </row>
    <row r="287" spans="1:18" ht="15.5" x14ac:dyDescent="0.35">
      <c r="A287" s="272"/>
      <c r="B287" s="360">
        <f t="shared" si="11"/>
        <v>221</v>
      </c>
      <c r="C287" s="361">
        <f ca="1">IF($B287="","",'Fecha Pago'!K224)</f>
        <v>52873</v>
      </c>
      <c r="D287" s="362">
        <f>IF($B$67="","",'Fecha Pago'!L224)</f>
        <v>30.4</v>
      </c>
      <c r="E287" s="363">
        <f>IF(B287="","",IF(Sheet1!$Z$1=2,'Tabla de Pagos Crecientes'!E227,$F$62))</f>
        <v>0.11</v>
      </c>
      <c r="F287" s="362">
        <f ca="1">IF($B287="","",IF(Sheet1!$Z$1=2,'Tabla de Pagos Crecientes'!F227,'Tabla Fijos'!F232))</f>
        <v>189422.09532987181</v>
      </c>
      <c r="G287" s="362">
        <f ca="1">IF($B287="","",IF(Sheet1!$Z$1=2,'Tabla de Pagos Crecientes'!G227,'Tabla Fijos'!G232))</f>
        <v>8662.3634140979648</v>
      </c>
      <c r="H287" s="362">
        <f ca="1">IF($B287="","",IF(Sheet1!$Z$1=2,'Tabla de Pagos Crecientes'!H227,'Tabla Fijos'!H232))</f>
        <v>1759.5207966196981</v>
      </c>
      <c r="I287" s="362">
        <f>IF($B287=0,0,IF(B287="","",VLOOKUP($B287,'Tabla Fijos'!$B$12:$S$311,8,0)))</f>
        <v>0</v>
      </c>
      <c r="J287" s="362">
        <f ca="1">IF($B287="","",IF(Sheet1!$Z$1=2,'Tabla de Pagos Crecientes'!J227,'Tabla Fijos'!K232))</f>
        <v>0</v>
      </c>
      <c r="K287" s="362">
        <f ca="1">IF($B287="","",IF(Sheet1!$Z$1=2,'Tabla de Pagos Crecientes'!K227,'Tabla Fijos'!L232))</f>
        <v>0</v>
      </c>
      <c r="L287" s="362">
        <f ca="1">IF($B287="","",IF(Sheet1!$Z$1=2,'Tabla de Pagos Crecientes'!L227,'Tabla Fijos'!M232))</f>
        <v>0</v>
      </c>
      <c r="M287" s="362">
        <f ca="1">IF($B287="","",IF(Sheet1!$Z$1=2,'Tabla de Pagos Crecientes'!M227,'Tabla Fijos'!N232))</f>
        <v>0</v>
      </c>
      <c r="N287" s="364"/>
      <c r="O287" s="362">
        <f>IF($B287="","",IF(Sheet1!$Z$1=2,'Tabla de Pagos Crecientes'!O227,'Tabla Fijos'!Q232))</f>
        <v>0</v>
      </c>
      <c r="P287" s="362">
        <f ca="1">IF(B287="","",G287+H287+I287+J287+K287+L287-M287-'Tabla Fijos'!P232)</f>
        <v>10421.884210717662</v>
      </c>
      <c r="Q287" s="362">
        <f t="shared" ca="1" si="9"/>
        <v>180759.73191577385</v>
      </c>
      <c r="R287" s="272">
        <f t="shared" ca="1" si="10"/>
        <v>1</v>
      </c>
    </row>
    <row r="288" spans="1:18" ht="15.5" x14ac:dyDescent="0.35">
      <c r="A288" s="272"/>
      <c r="B288" s="360">
        <f t="shared" si="11"/>
        <v>222</v>
      </c>
      <c r="C288" s="361">
        <f ca="1">IF($B288="","",'Fecha Pago'!K225)</f>
        <v>52904</v>
      </c>
      <c r="D288" s="362">
        <f>IF($B$67="","",'Fecha Pago'!L225)</f>
        <v>30.4</v>
      </c>
      <c r="E288" s="363">
        <f>IF(B288="","",IF(Sheet1!$Z$1=2,'Tabla de Pagos Crecientes'!E228,$F$62))</f>
        <v>0.11</v>
      </c>
      <c r="F288" s="362">
        <f ca="1">IF($B288="","",IF(Sheet1!$Z$1=2,'Tabla de Pagos Crecientes'!F228,'Tabla Fijos'!F233))</f>
        <v>180759.73191577385</v>
      </c>
      <c r="G288" s="362">
        <f ca="1">IF($B288="","",IF(Sheet1!$Z$1=2,'Tabla de Pagos Crecientes'!G228,'Tabla Fijos'!G233))</f>
        <v>8742.8271453666985</v>
      </c>
      <c r="H288" s="362">
        <f ca="1">IF($B288="","",IF(Sheet1!$Z$1=2,'Tabla de Pagos Crecientes'!H228,'Tabla Fijos'!H233))</f>
        <v>1679.0570653509658</v>
      </c>
      <c r="I288" s="362">
        <f>IF($B288=0,0,IF(B288="","",VLOOKUP($B288,'Tabla Fijos'!$B$12:$S$311,8,0)))</f>
        <v>0</v>
      </c>
      <c r="J288" s="362">
        <f ca="1">IF($B288="","",IF(Sheet1!$Z$1=2,'Tabla de Pagos Crecientes'!J228,'Tabla Fijos'!K233))</f>
        <v>0</v>
      </c>
      <c r="K288" s="362">
        <f ca="1">IF($B288="","",IF(Sheet1!$Z$1=2,'Tabla de Pagos Crecientes'!K228,'Tabla Fijos'!L233))</f>
        <v>0</v>
      </c>
      <c r="L288" s="362">
        <f ca="1">IF($B288="","",IF(Sheet1!$Z$1=2,'Tabla de Pagos Crecientes'!L228,'Tabla Fijos'!M233))</f>
        <v>0</v>
      </c>
      <c r="M288" s="362">
        <f ca="1">IF($B288="","",IF(Sheet1!$Z$1=2,'Tabla de Pagos Crecientes'!M228,'Tabla Fijos'!N233))</f>
        <v>0</v>
      </c>
      <c r="N288" s="364"/>
      <c r="O288" s="362">
        <f>IF($B288="","",IF(Sheet1!$Z$1=2,'Tabla de Pagos Crecientes'!O228,'Tabla Fijos'!Q233))</f>
        <v>0</v>
      </c>
      <c r="P288" s="362">
        <f ca="1">IF(B288="","",G288+H288+I288+J288+K288+L288-M288-'Tabla Fijos'!P233)</f>
        <v>10421.884210717664</v>
      </c>
      <c r="Q288" s="362">
        <f t="shared" ca="1" si="9"/>
        <v>172016.90477040716</v>
      </c>
      <c r="R288" s="272">
        <f t="shared" ca="1" si="10"/>
        <v>1</v>
      </c>
    </row>
    <row r="289" spans="1:18" ht="15.5" x14ac:dyDescent="0.35">
      <c r="A289" s="272"/>
      <c r="B289" s="360">
        <f t="shared" si="11"/>
        <v>223</v>
      </c>
      <c r="C289" s="361">
        <f ca="1">IF($B289="","",'Fecha Pago'!K226)</f>
        <v>52934</v>
      </c>
      <c r="D289" s="362">
        <f>IF($B$67="","",'Fecha Pago'!L226)</f>
        <v>30.4</v>
      </c>
      <c r="E289" s="363">
        <f>IF(B289="","",IF(Sheet1!$Z$1=2,'Tabla de Pagos Crecientes'!E229,$F$62))</f>
        <v>0.11</v>
      </c>
      <c r="F289" s="362">
        <f ca="1">IF($B289="","",IF(Sheet1!$Z$1=2,'Tabla de Pagos Crecientes'!F229,'Tabla Fijos'!F234))</f>
        <v>172016.90477040716</v>
      </c>
      <c r="G289" s="362">
        <f ca="1">IF($B289="","",IF(Sheet1!$Z$1=2,'Tabla de Pagos Crecientes'!G229,'Tabla Fijos'!G234))</f>
        <v>8824.0382952947712</v>
      </c>
      <c r="H289" s="362">
        <f ca="1">IF($B289="","",IF(Sheet1!$Z$1=2,'Tabla de Pagos Crecientes'!H229,'Tabla Fijos'!H234))</f>
        <v>1597.8459154228931</v>
      </c>
      <c r="I289" s="362">
        <f>IF($B289=0,0,IF(B289="","",VLOOKUP($B289,'Tabla Fijos'!$B$12:$S$311,8,0)))</f>
        <v>0</v>
      </c>
      <c r="J289" s="362">
        <f ca="1">IF($B289="","",IF(Sheet1!$Z$1=2,'Tabla de Pagos Crecientes'!J229,'Tabla Fijos'!K234))</f>
        <v>0</v>
      </c>
      <c r="K289" s="362">
        <f ca="1">IF($B289="","",IF(Sheet1!$Z$1=2,'Tabla de Pagos Crecientes'!K229,'Tabla Fijos'!L234))</f>
        <v>0</v>
      </c>
      <c r="L289" s="362">
        <f ca="1">IF($B289="","",IF(Sheet1!$Z$1=2,'Tabla de Pagos Crecientes'!L229,'Tabla Fijos'!M234))</f>
        <v>0</v>
      </c>
      <c r="M289" s="362">
        <f ca="1">IF($B289="","",IF(Sheet1!$Z$1=2,'Tabla de Pagos Crecientes'!M229,'Tabla Fijos'!N234))</f>
        <v>0</v>
      </c>
      <c r="N289" s="364"/>
      <c r="O289" s="362">
        <f>IF($B289="","",IF(Sheet1!$Z$1=2,'Tabla de Pagos Crecientes'!O229,'Tabla Fijos'!Q234))</f>
        <v>0</v>
      </c>
      <c r="P289" s="362">
        <f ca="1">IF(B289="","",G289+H289+I289+J289+K289+L289-M289-'Tabla Fijos'!P234)</f>
        <v>10421.884210717664</v>
      </c>
      <c r="Q289" s="362">
        <f t="shared" ca="1" si="9"/>
        <v>163192.86647511239</v>
      </c>
      <c r="R289" s="272">
        <f t="shared" ca="1" si="10"/>
        <v>1</v>
      </c>
    </row>
    <row r="290" spans="1:18" ht="15.5" x14ac:dyDescent="0.35">
      <c r="A290" s="272"/>
      <c r="B290" s="360">
        <f t="shared" si="11"/>
        <v>224</v>
      </c>
      <c r="C290" s="361">
        <f ca="1">IF($B290="","",'Fecha Pago'!K227)</f>
        <v>52965</v>
      </c>
      <c r="D290" s="362">
        <f>IF($B$67="","",'Fecha Pago'!L227)</f>
        <v>30.4</v>
      </c>
      <c r="E290" s="363">
        <f>IF(B290="","",IF(Sheet1!$Z$1=2,'Tabla de Pagos Crecientes'!E230,$F$62))</f>
        <v>0.11</v>
      </c>
      <c r="F290" s="362">
        <f ca="1">IF($B290="","",IF(Sheet1!$Z$1=2,'Tabla de Pagos Crecientes'!F230,'Tabla Fijos'!F235))</f>
        <v>163192.86647511239</v>
      </c>
      <c r="G290" s="362">
        <f ca="1">IF($B290="","",IF(Sheet1!$Z$1=2,'Tabla de Pagos Crecientes'!G230,'Tabla Fijos'!G235))</f>
        <v>8906.0038065710651</v>
      </c>
      <c r="H290" s="362">
        <f ca="1">IF($B290="","",IF(Sheet1!$Z$1=2,'Tabla de Pagos Crecientes'!H230,'Tabla Fijos'!H235))</f>
        <v>1515.8804041465994</v>
      </c>
      <c r="I290" s="362">
        <f>IF($B290=0,0,IF(B290="","",VLOOKUP($B290,'Tabla Fijos'!$B$12:$S$311,8,0)))</f>
        <v>0</v>
      </c>
      <c r="J290" s="362">
        <f ca="1">IF($B290="","",IF(Sheet1!$Z$1=2,'Tabla de Pagos Crecientes'!J230,'Tabla Fijos'!K235))</f>
        <v>0</v>
      </c>
      <c r="K290" s="362">
        <f ca="1">IF($B290="","",IF(Sheet1!$Z$1=2,'Tabla de Pagos Crecientes'!K230,'Tabla Fijos'!L235))</f>
        <v>0</v>
      </c>
      <c r="L290" s="362">
        <f ca="1">IF($B290="","",IF(Sheet1!$Z$1=2,'Tabla de Pagos Crecientes'!L230,'Tabla Fijos'!M235))</f>
        <v>0</v>
      </c>
      <c r="M290" s="362">
        <f ca="1">IF($B290="","",IF(Sheet1!$Z$1=2,'Tabla de Pagos Crecientes'!M230,'Tabla Fijos'!N235))</f>
        <v>0</v>
      </c>
      <c r="N290" s="364"/>
      <c r="O290" s="362">
        <f>IF($B290="","",IF(Sheet1!$Z$1=2,'Tabla de Pagos Crecientes'!O230,'Tabla Fijos'!Q235))</f>
        <v>0</v>
      </c>
      <c r="P290" s="362">
        <f ca="1">IF(B290="","",G290+H290+I290+J290+K290+L290-M290-'Tabla Fijos'!P235)</f>
        <v>10421.884210717664</v>
      </c>
      <c r="Q290" s="362">
        <f t="shared" ca="1" si="9"/>
        <v>154286.86266854132</v>
      </c>
      <c r="R290" s="272">
        <f t="shared" ca="1" si="10"/>
        <v>1</v>
      </c>
    </row>
    <row r="291" spans="1:18" ht="15.5" x14ac:dyDescent="0.35">
      <c r="A291" s="272"/>
      <c r="B291" s="360">
        <f t="shared" si="11"/>
        <v>225</v>
      </c>
      <c r="C291" s="361">
        <f ca="1">IF($B291="","",'Fecha Pago'!K228)</f>
        <v>52996</v>
      </c>
      <c r="D291" s="362">
        <f>IF($B$67="","",'Fecha Pago'!L228)</f>
        <v>30.4</v>
      </c>
      <c r="E291" s="363">
        <f>IF(B291="","",IF(Sheet1!$Z$1=2,'Tabla de Pagos Crecientes'!E231,$F$62))</f>
        <v>0.11</v>
      </c>
      <c r="F291" s="362">
        <f ca="1">IF($B291="","",IF(Sheet1!$Z$1=2,'Tabla de Pagos Crecientes'!F231,'Tabla Fijos'!F236))</f>
        <v>154286.86266854132</v>
      </c>
      <c r="G291" s="362">
        <f ca="1">IF($B291="","",IF(Sheet1!$Z$1=2,'Tabla de Pagos Crecientes'!G231,'Tabla Fijos'!G236))</f>
        <v>8988.7306863743252</v>
      </c>
      <c r="H291" s="362">
        <f ca="1">IF($B291="","",IF(Sheet1!$Z$1=2,'Tabla de Pagos Crecientes'!H231,'Tabla Fijos'!H236))</f>
        <v>1433.1535243433393</v>
      </c>
      <c r="I291" s="362">
        <f>IF($B291=0,0,IF(B291="","",VLOOKUP($B291,'Tabla Fijos'!$B$12:$S$311,8,0)))</f>
        <v>0</v>
      </c>
      <c r="J291" s="362">
        <f ca="1">IF($B291="","",IF(Sheet1!$Z$1=2,'Tabla de Pagos Crecientes'!J231,'Tabla Fijos'!K236))</f>
        <v>0</v>
      </c>
      <c r="K291" s="362">
        <f ca="1">IF($B291="","",IF(Sheet1!$Z$1=2,'Tabla de Pagos Crecientes'!K231,'Tabla Fijos'!L236))</f>
        <v>0</v>
      </c>
      <c r="L291" s="362">
        <f ca="1">IF($B291="","",IF(Sheet1!$Z$1=2,'Tabla de Pagos Crecientes'!L231,'Tabla Fijos'!M236))</f>
        <v>0</v>
      </c>
      <c r="M291" s="362">
        <f ca="1">IF($B291="","",IF(Sheet1!$Z$1=2,'Tabla de Pagos Crecientes'!M231,'Tabla Fijos'!N236))</f>
        <v>0</v>
      </c>
      <c r="N291" s="364"/>
      <c r="O291" s="362">
        <f>IF($B291="","",IF(Sheet1!$Z$1=2,'Tabla de Pagos Crecientes'!O231,'Tabla Fijos'!Q236))</f>
        <v>0</v>
      </c>
      <c r="P291" s="362">
        <f ca="1">IF(B291="","",G291+H291+I291+J291+K291+L291-M291-'Tabla Fijos'!P236)</f>
        <v>10421.884210717664</v>
      </c>
      <c r="Q291" s="362">
        <f t="shared" ca="1" si="9"/>
        <v>145298.13198216699</v>
      </c>
      <c r="R291" s="272">
        <f t="shared" ca="1" si="10"/>
        <v>1</v>
      </c>
    </row>
    <row r="292" spans="1:18" ht="15.5" x14ac:dyDescent="0.35">
      <c r="A292" s="272"/>
      <c r="B292" s="360">
        <f t="shared" si="11"/>
        <v>226</v>
      </c>
      <c r="C292" s="361">
        <f ca="1">IF($B292="","",'Fecha Pago'!K229)</f>
        <v>53024</v>
      </c>
      <c r="D292" s="362">
        <f>IF($B$67="","",'Fecha Pago'!L229)</f>
        <v>30.4</v>
      </c>
      <c r="E292" s="363">
        <f>IF(B292="","",IF(Sheet1!$Z$1=2,'Tabla de Pagos Crecientes'!E232,$F$62))</f>
        <v>0.11</v>
      </c>
      <c r="F292" s="362">
        <f ca="1">IF($B292="","",IF(Sheet1!$Z$1=2,'Tabla de Pagos Crecientes'!F232,'Tabla Fijos'!F237))</f>
        <v>145298.13198216699</v>
      </c>
      <c r="G292" s="362">
        <f ca="1">IF($B292="","",IF(Sheet1!$Z$1=2,'Tabla de Pagos Crecientes'!G232,'Tabla Fijos'!G237))</f>
        <v>9072.2260069722051</v>
      </c>
      <c r="H292" s="362">
        <f ca="1">IF($B292="","",IF(Sheet1!$Z$1=2,'Tabla de Pagos Crecientes'!H232,'Tabla Fijos'!H237))</f>
        <v>1349.6582037454621</v>
      </c>
      <c r="I292" s="362">
        <f>IF($B292=0,0,IF(B292="","",VLOOKUP($B292,'Tabla Fijos'!$B$12:$S$311,8,0)))</f>
        <v>0</v>
      </c>
      <c r="J292" s="362">
        <f ca="1">IF($B292="","",IF(Sheet1!$Z$1=2,'Tabla de Pagos Crecientes'!J232,'Tabla Fijos'!K237))</f>
        <v>0</v>
      </c>
      <c r="K292" s="362">
        <f ca="1">IF($B292="","",IF(Sheet1!$Z$1=2,'Tabla de Pagos Crecientes'!K232,'Tabla Fijos'!L237))</f>
        <v>0</v>
      </c>
      <c r="L292" s="362">
        <f ca="1">IF($B292="","",IF(Sheet1!$Z$1=2,'Tabla de Pagos Crecientes'!L232,'Tabla Fijos'!M237))</f>
        <v>0</v>
      </c>
      <c r="M292" s="362">
        <f ca="1">IF($B292="","",IF(Sheet1!$Z$1=2,'Tabla de Pagos Crecientes'!M232,'Tabla Fijos'!N237))</f>
        <v>0</v>
      </c>
      <c r="N292" s="364"/>
      <c r="O292" s="362">
        <f>IF($B292="","",IF(Sheet1!$Z$1=2,'Tabla de Pagos Crecientes'!O232,'Tabla Fijos'!Q237))</f>
        <v>0</v>
      </c>
      <c r="P292" s="362">
        <f ca="1">IF(B292="","",G292+H292+I292+J292+K292+L292-M292-'Tabla Fijos'!P237)</f>
        <v>10421.884210717668</v>
      </c>
      <c r="Q292" s="362">
        <f t="shared" ca="1" si="9"/>
        <v>136225.90597519479</v>
      </c>
      <c r="R292" s="272">
        <f t="shared" ca="1" si="10"/>
        <v>1</v>
      </c>
    </row>
    <row r="293" spans="1:18" ht="15.5" x14ac:dyDescent="0.35">
      <c r="A293" s="272"/>
      <c r="B293" s="360">
        <f t="shared" si="11"/>
        <v>227</v>
      </c>
      <c r="C293" s="361">
        <f ca="1">IF($B293="","",'Fecha Pago'!K230)</f>
        <v>53055</v>
      </c>
      <c r="D293" s="362">
        <f>IF($B$67="","",'Fecha Pago'!L230)</f>
        <v>30.4</v>
      </c>
      <c r="E293" s="363">
        <f>IF(B293="","",IF(Sheet1!$Z$1=2,'Tabla de Pagos Crecientes'!E233,$F$62))</f>
        <v>0.11</v>
      </c>
      <c r="F293" s="362">
        <f ca="1">IF($B293="","",IF(Sheet1!$Z$1=2,'Tabla de Pagos Crecientes'!F233,'Tabla Fijos'!F238))</f>
        <v>136225.90597519479</v>
      </c>
      <c r="G293" s="362">
        <f ca="1">IF($B293="","",IF(Sheet1!$Z$1=2,'Tabla de Pagos Crecientes'!G233,'Tabla Fijos'!G238))</f>
        <v>9156.4969063258577</v>
      </c>
      <c r="H293" s="362">
        <f ca="1">IF($B293="","",IF(Sheet1!$Z$1=2,'Tabla de Pagos Crecientes'!H233,'Tabla Fijos'!H238))</f>
        <v>1265.3873043918093</v>
      </c>
      <c r="I293" s="362">
        <f>IF($B293=0,0,IF(B293="","",VLOOKUP($B293,'Tabla Fijos'!$B$12:$S$311,8,0)))</f>
        <v>0</v>
      </c>
      <c r="J293" s="362">
        <f ca="1">IF($B293="","",IF(Sheet1!$Z$1=2,'Tabla de Pagos Crecientes'!J233,'Tabla Fijos'!K238))</f>
        <v>0</v>
      </c>
      <c r="K293" s="362">
        <f ca="1">IF($B293="","",IF(Sheet1!$Z$1=2,'Tabla de Pagos Crecientes'!K233,'Tabla Fijos'!L238))</f>
        <v>0</v>
      </c>
      <c r="L293" s="362">
        <f ca="1">IF($B293="","",IF(Sheet1!$Z$1=2,'Tabla de Pagos Crecientes'!L233,'Tabla Fijos'!M238))</f>
        <v>0</v>
      </c>
      <c r="M293" s="362">
        <f ca="1">IF($B293="","",IF(Sheet1!$Z$1=2,'Tabla de Pagos Crecientes'!M233,'Tabla Fijos'!N238))</f>
        <v>0</v>
      </c>
      <c r="N293" s="364"/>
      <c r="O293" s="362">
        <f>IF($B293="","",IF(Sheet1!$Z$1=2,'Tabla de Pagos Crecientes'!O233,'Tabla Fijos'!Q238))</f>
        <v>0</v>
      </c>
      <c r="P293" s="362">
        <f ca="1">IF(B293="","",G293+H293+I293+J293+K293+L293-M293-'Tabla Fijos'!P238)</f>
        <v>10421.884210717668</v>
      </c>
      <c r="Q293" s="362">
        <f t="shared" ca="1" si="9"/>
        <v>127069.40906886893</v>
      </c>
      <c r="R293" s="272">
        <f t="shared" ca="1" si="10"/>
        <v>1</v>
      </c>
    </row>
    <row r="294" spans="1:18" ht="15.5" x14ac:dyDescent="0.35">
      <c r="A294" s="272"/>
      <c r="B294" s="360">
        <f t="shared" si="11"/>
        <v>228</v>
      </c>
      <c r="C294" s="361">
        <f ca="1">IF($B294="","",'Fecha Pago'!K231)</f>
        <v>53085</v>
      </c>
      <c r="D294" s="362">
        <f>IF($B$67="","",'Fecha Pago'!L231)</f>
        <v>30.4</v>
      </c>
      <c r="E294" s="363">
        <f>IF(B294="","",IF(Sheet1!$Z$1=2,'Tabla de Pagos Crecientes'!E234,$F$62))</f>
        <v>0.11</v>
      </c>
      <c r="F294" s="362">
        <f ca="1">IF($B294="","",IF(Sheet1!$Z$1=2,'Tabla de Pagos Crecientes'!F234,'Tabla Fijos'!F239))</f>
        <v>127069.40906886893</v>
      </c>
      <c r="G294" s="362">
        <f ca="1">IF($B294="","",IF(Sheet1!$Z$1=2,'Tabla de Pagos Crecientes'!G234,'Tabla Fijos'!G239))</f>
        <v>9241.5505887001709</v>
      </c>
      <c r="H294" s="362">
        <f ca="1">IF($B294="","",IF(Sheet1!$Z$1=2,'Tabla de Pagos Crecientes'!H234,'Tabla Fijos'!H239))</f>
        <v>1180.3336220174936</v>
      </c>
      <c r="I294" s="362">
        <f>IF($B294=0,0,IF(B294="","",VLOOKUP($B294,'Tabla Fijos'!$B$12:$S$311,8,0)))</f>
        <v>0</v>
      </c>
      <c r="J294" s="362">
        <f ca="1">IF($B294="","",IF(Sheet1!$Z$1=2,'Tabla de Pagos Crecientes'!J234,'Tabla Fijos'!K239))</f>
        <v>0</v>
      </c>
      <c r="K294" s="362">
        <f ca="1">IF($B294="","",IF(Sheet1!$Z$1=2,'Tabla de Pagos Crecientes'!K234,'Tabla Fijos'!L239))</f>
        <v>0</v>
      </c>
      <c r="L294" s="362">
        <f ca="1">IF($B294="","",IF(Sheet1!$Z$1=2,'Tabla de Pagos Crecientes'!L234,'Tabla Fijos'!M239))</f>
        <v>0</v>
      </c>
      <c r="M294" s="362">
        <f ca="1">IF($B294="","",IF(Sheet1!$Z$1=2,'Tabla de Pagos Crecientes'!M234,'Tabla Fijos'!N239))</f>
        <v>0</v>
      </c>
      <c r="N294" s="364"/>
      <c r="O294" s="362">
        <f>IF($B294="","",IF(Sheet1!$Z$1=2,'Tabla de Pagos Crecientes'!O234,'Tabla Fijos'!Q239))</f>
        <v>0</v>
      </c>
      <c r="P294" s="362">
        <f ca="1">IF(B294="","",G294+H294+I294+J294+K294+L294-M294-'Tabla Fijos'!P239)</f>
        <v>10421.884210717664</v>
      </c>
      <c r="Q294" s="362">
        <f t="shared" ca="1" si="9"/>
        <v>117827.85848016877</v>
      </c>
      <c r="R294" s="272">
        <f t="shared" ca="1" si="10"/>
        <v>1</v>
      </c>
    </row>
    <row r="295" spans="1:18" ht="15.5" x14ac:dyDescent="0.35">
      <c r="A295" s="272"/>
      <c r="B295" s="360">
        <f t="shared" si="11"/>
        <v>229</v>
      </c>
      <c r="C295" s="361">
        <f ca="1">IF($B295="","",'Fecha Pago'!K232)</f>
        <v>53116</v>
      </c>
      <c r="D295" s="362">
        <f>IF($B$67="","",'Fecha Pago'!L232)</f>
        <v>30.4</v>
      </c>
      <c r="E295" s="363">
        <f>IF(B295="","",IF(Sheet1!$Z$1=2,'Tabla de Pagos Crecientes'!E235,$F$62))</f>
        <v>0.11</v>
      </c>
      <c r="F295" s="362">
        <f ca="1">IF($B295="","",IF(Sheet1!$Z$1=2,'Tabla de Pagos Crecientes'!F235,'Tabla Fijos'!F240))</f>
        <v>117827.85848016877</v>
      </c>
      <c r="G295" s="362">
        <f ca="1">IF($B295="","",IF(Sheet1!$Z$1=2,'Tabla de Pagos Crecientes'!G235,'Tabla Fijos'!G240))</f>
        <v>9327.3943252796562</v>
      </c>
      <c r="H295" s="362">
        <f ca="1">IF($B295="","",IF(Sheet1!$Z$1=2,'Tabla de Pagos Crecientes'!H235,'Tabla Fijos'!H240))</f>
        <v>1094.4898854380119</v>
      </c>
      <c r="I295" s="362">
        <f>IF($B295=0,0,IF(B295="","",VLOOKUP($B295,'Tabla Fijos'!$B$12:$S$311,8,0)))</f>
        <v>0</v>
      </c>
      <c r="J295" s="362">
        <f ca="1">IF($B295="","",IF(Sheet1!$Z$1=2,'Tabla de Pagos Crecientes'!J235,'Tabla Fijos'!K240))</f>
        <v>0</v>
      </c>
      <c r="K295" s="362">
        <f ca="1">IF($B295="","",IF(Sheet1!$Z$1=2,'Tabla de Pagos Crecientes'!K235,'Tabla Fijos'!L240))</f>
        <v>0</v>
      </c>
      <c r="L295" s="362">
        <f ca="1">IF($B295="","",IF(Sheet1!$Z$1=2,'Tabla de Pagos Crecientes'!L235,'Tabla Fijos'!M240))</f>
        <v>0</v>
      </c>
      <c r="M295" s="362">
        <f ca="1">IF($B295="","",IF(Sheet1!$Z$1=2,'Tabla de Pagos Crecientes'!M235,'Tabla Fijos'!N240))</f>
        <v>0</v>
      </c>
      <c r="N295" s="364"/>
      <c r="O295" s="362">
        <f>IF($B295="","",IF(Sheet1!$Z$1=2,'Tabla de Pagos Crecientes'!O235,'Tabla Fijos'!Q240))</f>
        <v>0</v>
      </c>
      <c r="P295" s="362">
        <f ca="1">IF(B295="","",G295+H295+I295+J295+K295+L295-M295-'Tabla Fijos'!P240)</f>
        <v>10421.884210717668</v>
      </c>
      <c r="Q295" s="362">
        <f t="shared" ca="1" si="9"/>
        <v>108500.46415488911</v>
      </c>
      <c r="R295" s="272">
        <f t="shared" ca="1" si="10"/>
        <v>1</v>
      </c>
    </row>
    <row r="296" spans="1:18" ht="15.5" x14ac:dyDescent="0.35">
      <c r="A296" s="272"/>
      <c r="B296" s="360">
        <f t="shared" si="11"/>
        <v>230</v>
      </c>
      <c r="C296" s="361">
        <f ca="1">IF($B296="","",'Fecha Pago'!K233)</f>
        <v>53146</v>
      </c>
      <c r="D296" s="362">
        <f>IF($B$67="","",'Fecha Pago'!L233)</f>
        <v>30.4</v>
      </c>
      <c r="E296" s="363">
        <f>IF(B296="","",IF(Sheet1!$Z$1=2,'Tabla de Pagos Crecientes'!E236,$F$62))</f>
        <v>0.11</v>
      </c>
      <c r="F296" s="362">
        <f ca="1">IF($B296="","",IF(Sheet1!$Z$1=2,'Tabla de Pagos Crecientes'!F236,'Tabla Fijos'!F241))</f>
        <v>108500.46415488911</v>
      </c>
      <c r="G296" s="362">
        <f ca="1">IF($B296="","",IF(Sheet1!$Z$1=2,'Tabla de Pagos Crecientes'!G236,'Tabla Fijos'!G241))</f>
        <v>9414.0354547900315</v>
      </c>
      <c r="H296" s="362">
        <f ca="1">IF($B296="","",IF(Sheet1!$Z$1=2,'Tabla de Pagos Crecientes'!H236,'Tabla Fijos'!H241))</f>
        <v>1007.8487559276365</v>
      </c>
      <c r="I296" s="362">
        <f>IF($B296=0,0,IF(B296="","",VLOOKUP($B296,'Tabla Fijos'!$B$12:$S$311,8,0)))</f>
        <v>0</v>
      </c>
      <c r="J296" s="362">
        <f ca="1">IF($B296="","",IF(Sheet1!$Z$1=2,'Tabla de Pagos Crecientes'!J236,'Tabla Fijos'!K241))</f>
        <v>0</v>
      </c>
      <c r="K296" s="362">
        <f ca="1">IF($B296="","",IF(Sheet1!$Z$1=2,'Tabla de Pagos Crecientes'!K236,'Tabla Fijos'!L241))</f>
        <v>0</v>
      </c>
      <c r="L296" s="362">
        <f ca="1">IF($B296="","",IF(Sheet1!$Z$1=2,'Tabla de Pagos Crecientes'!L236,'Tabla Fijos'!M241))</f>
        <v>0</v>
      </c>
      <c r="M296" s="362">
        <f ca="1">IF($B296="","",IF(Sheet1!$Z$1=2,'Tabla de Pagos Crecientes'!M236,'Tabla Fijos'!N241))</f>
        <v>0</v>
      </c>
      <c r="N296" s="364"/>
      <c r="O296" s="362">
        <f>IF($B296="","",IF(Sheet1!$Z$1=2,'Tabla de Pagos Crecientes'!O236,'Tabla Fijos'!Q241))</f>
        <v>0</v>
      </c>
      <c r="P296" s="362">
        <f ca="1">IF(B296="","",G296+H296+I296+J296+K296+L296-M296-'Tabla Fijos'!P241)</f>
        <v>10421.884210717668</v>
      </c>
      <c r="Q296" s="362">
        <f t="shared" ca="1" si="9"/>
        <v>99086.428700099073</v>
      </c>
      <c r="R296" s="272">
        <f t="shared" ca="1" si="10"/>
        <v>1</v>
      </c>
    </row>
    <row r="297" spans="1:18" ht="15.5" x14ac:dyDescent="0.35">
      <c r="A297" s="272"/>
      <c r="B297" s="360">
        <f t="shared" si="11"/>
        <v>231</v>
      </c>
      <c r="C297" s="361">
        <f ca="1">IF($B297="","",'Fecha Pago'!K234)</f>
        <v>53177</v>
      </c>
      <c r="D297" s="362">
        <f>IF($B$67="","",'Fecha Pago'!L234)</f>
        <v>30.4</v>
      </c>
      <c r="E297" s="363">
        <f>IF(B297="","",IF(Sheet1!$Z$1=2,'Tabla de Pagos Crecientes'!E237,$F$62))</f>
        <v>0.11</v>
      </c>
      <c r="F297" s="362">
        <f ca="1">IF($B297="","",IF(Sheet1!$Z$1=2,'Tabla de Pagos Crecientes'!F237,'Tabla Fijos'!F242))</f>
        <v>99086.428700099073</v>
      </c>
      <c r="G297" s="362">
        <f ca="1">IF($B297="","",IF(Sheet1!$Z$1=2,'Tabla de Pagos Crecientes'!G237,'Tabla Fijos'!G242))</f>
        <v>9501.4813841256364</v>
      </c>
      <c r="H297" s="362">
        <f ca="1">IF($B297="","",IF(Sheet1!$Z$1=2,'Tabla de Pagos Crecientes'!H237,'Tabla Fijos'!H242))</f>
        <v>920.40282659203137</v>
      </c>
      <c r="I297" s="362">
        <f>IF($B297=0,0,IF(B297="","",VLOOKUP($B297,'Tabla Fijos'!$B$12:$S$311,8,0)))</f>
        <v>0</v>
      </c>
      <c r="J297" s="362">
        <f ca="1">IF($B297="","",IF(Sheet1!$Z$1=2,'Tabla de Pagos Crecientes'!J237,'Tabla Fijos'!K242))</f>
        <v>0</v>
      </c>
      <c r="K297" s="362">
        <f ca="1">IF($B297="","",IF(Sheet1!$Z$1=2,'Tabla de Pagos Crecientes'!K237,'Tabla Fijos'!L242))</f>
        <v>0</v>
      </c>
      <c r="L297" s="362">
        <f ca="1">IF($B297="","",IF(Sheet1!$Z$1=2,'Tabla de Pagos Crecientes'!L237,'Tabla Fijos'!M242))</f>
        <v>0</v>
      </c>
      <c r="M297" s="362">
        <f ca="1">IF($B297="","",IF(Sheet1!$Z$1=2,'Tabla de Pagos Crecientes'!M237,'Tabla Fijos'!N242))</f>
        <v>0</v>
      </c>
      <c r="N297" s="364"/>
      <c r="O297" s="362">
        <f>IF($B297="","",IF(Sheet1!$Z$1=2,'Tabla de Pagos Crecientes'!O237,'Tabla Fijos'!Q242))</f>
        <v>0</v>
      </c>
      <c r="P297" s="362">
        <f ca="1">IF(B297="","",G297+H297+I297+J297+K297+L297-M297-'Tabla Fijos'!P242)</f>
        <v>10421.884210717668</v>
      </c>
      <c r="Q297" s="362">
        <f t="shared" ca="1" si="9"/>
        <v>89584.947315973433</v>
      </c>
      <c r="R297" s="272">
        <f t="shared" ca="1" si="10"/>
        <v>1</v>
      </c>
    </row>
    <row r="298" spans="1:18" ht="15.5" x14ac:dyDescent="0.35">
      <c r="A298" s="272"/>
      <c r="B298" s="360">
        <f t="shared" si="11"/>
        <v>232</v>
      </c>
      <c r="C298" s="361">
        <f ca="1">IF($B298="","",'Fecha Pago'!K235)</f>
        <v>53208</v>
      </c>
      <c r="D298" s="362">
        <f>IF($B$67="","",'Fecha Pago'!L235)</f>
        <v>30.4</v>
      </c>
      <c r="E298" s="363">
        <f>IF(B298="","",IF(Sheet1!$Z$1=2,'Tabla de Pagos Crecientes'!E238,$F$62))</f>
        <v>0.11</v>
      </c>
      <c r="F298" s="362">
        <f ca="1">IF($B298="","",IF(Sheet1!$Z$1=2,'Tabla de Pagos Crecientes'!F238,'Tabla Fijos'!F243))</f>
        <v>89584.947315973433</v>
      </c>
      <c r="G298" s="362">
        <f ca="1">IF($B298="","",IF(Sheet1!$Z$1=2,'Tabla de Pagos Crecientes'!G238,'Tabla Fijos'!G243))</f>
        <v>9589.7395889826221</v>
      </c>
      <c r="H298" s="362">
        <f ca="1">IF($B298="","",IF(Sheet1!$Z$1=2,'Tabla de Pagos Crecientes'!H238,'Tabla Fijos'!H243))</f>
        <v>832.14462173504205</v>
      </c>
      <c r="I298" s="362">
        <f>IF($B298=0,0,IF(B298="","",VLOOKUP($B298,'Tabla Fijos'!$B$12:$S$311,8,0)))</f>
        <v>0</v>
      </c>
      <c r="J298" s="362">
        <f ca="1">IF($B298="","",IF(Sheet1!$Z$1=2,'Tabla de Pagos Crecientes'!J238,'Tabla Fijos'!K243))</f>
        <v>0</v>
      </c>
      <c r="K298" s="362">
        <f ca="1">IF($B298="","",IF(Sheet1!$Z$1=2,'Tabla de Pagos Crecientes'!K238,'Tabla Fijos'!L243))</f>
        <v>0</v>
      </c>
      <c r="L298" s="362">
        <f ca="1">IF($B298="","",IF(Sheet1!$Z$1=2,'Tabla de Pagos Crecientes'!L238,'Tabla Fijos'!M243))</f>
        <v>0</v>
      </c>
      <c r="M298" s="362">
        <f ca="1">IF($B298="","",IF(Sheet1!$Z$1=2,'Tabla de Pagos Crecientes'!M238,'Tabla Fijos'!N243))</f>
        <v>0</v>
      </c>
      <c r="N298" s="364"/>
      <c r="O298" s="362">
        <f>IF($B298="","",IF(Sheet1!$Z$1=2,'Tabla de Pagos Crecientes'!O238,'Tabla Fijos'!Q243))</f>
        <v>0</v>
      </c>
      <c r="P298" s="362">
        <f ca="1">IF(B298="","",G298+H298+I298+J298+K298+L298-M298-'Tabla Fijos'!P243)</f>
        <v>10421.884210717664</v>
      </c>
      <c r="Q298" s="362">
        <f t="shared" ca="1" si="9"/>
        <v>79995.207726990804</v>
      </c>
      <c r="R298" s="272">
        <f t="shared" ca="1" si="10"/>
        <v>1</v>
      </c>
    </row>
    <row r="299" spans="1:18" ht="15.5" x14ac:dyDescent="0.35">
      <c r="A299" s="272"/>
      <c r="B299" s="360">
        <f t="shared" si="11"/>
        <v>233</v>
      </c>
      <c r="C299" s="361">
        <f ca="1">IF($B299="","",'Fecha Pago'!K236)</f>
        <v>53238</v>
      </c>
      <c r="D299" s="362">
        <f>IF($B$67="","",'Fecha Pago'!L236)</f>
        <v>30.4</v>
      </c>
      <c r="E299" s="363">
        <f>IF(B299="","",IF(Sheet1!$Z$1=2,'Tabla de Pagos Crecientes'!E239,$F$62))</f>
        <v>0.11</v>
      </c>
      <c r="F299" s="362">
        <f ca="1">IF($B299="","",IF(Sheet1!$Z$1=2,'Tabla de Pagos Crecientes'!F239,'Tabla Fijos'!F244))</f>
        <v>79995.207726990804</v>
      </c>
      <c r="G299" s="362">
        <f ca="1">IF($B299="","",IF(Sheet1!$Z$1=2,'Tabla de Pagos Crecientes'!G239,'Tabla Fijos'!G244))</f>
        <v>9678.8176144980589</v>
      </c>
      <c r="H299" s="362">
        <f ca="1">IF($B299="","",IF(Sheet1!$Z$1=2,'Tabla de Pagos Crecientes'!H239,'Tabla Fijos'!H244))</f>
        <v>743.06659621960341</v>
      </c>
      <c r="I299" s="362">
        <f>IF($B299=0,0,IF(B299="","",VLOOKUP($B299,'Tabla Fijos'!$B$12:$S$311,8,0)))</f>
        <v>0</v>
      </c>
      <c r="J299" s="362">
        <f ca="1">IF($B299="","",IF(Sheet1!$Z$1=2,'Tabla de Pagos Crecientes'!J239,'Tabla Fijos'!K244))</f>
        <v>0</v>
      </c>
      <c r="K299" s="362">
        <f ca="1">IF($B299="","",IF(Sheet1!$Z$1=2,'Tabla de Pagos Crecientes'!K239,'Tabla Fijos'!L244))</f>
        <v>0</v>
      </c>
      <c r="L299" s="362">
        <f ca="1">IF($B299="","",IF(Sheet1!$Z$1=2,'Tabla de Pagos Crecientes'!L239,'Tabla Fijos'!M244))</f>
        <v>0</v>
      </c>
      <c r="M299" s="362">
        <f ca="1">IF($B299="","",IF(Sheet1!$Z$1=2,'Tabla de Pagos Crecientes'!M239,'Tabla Fijos'!N244))</f>
        <v>0</v>
      </c>
      <c r="N299" s="364"/>
      <c r="O299" s="362">
        <f>IF($B299="","",IF(Sheet1!$Z$1=2,'Tabla de Pagos Crecientes'!O239,'Tabla Fijos'!Q244))</f>
        <v>0</v>
      </c>
      <c r="P299" s="362">
        <f ca="1">IF(B299="","",G299+H299+I299+J299+K299+L299-M299-'Tabla Fijos'!P244)</f>
        <v>10421.884210717662</v>
      </c>
      <c r="Q299" s="362">
        <f t="shared" ca="1" si="9"/>
        <v>70316.390112492751</v>
      </c>
      <c r="R299" s="272">
        <f t="shared" ca="1" si="10"/>
        <v>1</v>
      </c>
    </row>
    <row r="300" spans="1:18" ht="15.5" x14ac:dyDescent="0.35">
      <c r="A300" s="272"/>
      <c r="B300" s="360">
        <f t="shared" si="11"/>
        <v>234</v>
      </c>
      <c r="C300" s="361">
        <f ca="1">IF($B300="","",'Fecha Pago'!K237)</f>
        <v>53269</v>
      </c>
      <c r="D300" s="362">
        <f>IF($B$67="","",'Fecha Pago'!L237)</f>
        <v>30.4</v>
      </c>
      <c r="E300" s="363">
        <f>IF(B300="","",IF(Sheet1!$Z$1=2,'Tabla de Pagos Crecientes'!E240,$F$62))</f>
        <v>0.11</v>
      </c>
      <c r="F300" s="362">
        <f ca="1">IF($B300="","",IF(Sheet1!$Z$1=2,'Tabla de Pagos Crecientes'!F240,'Tabla Fijos'!F245))</f>
        <v>70316.390112492751</v>
      </c>
      <c r="G300" s="362">
        <f ca="1">IF($B300="","",IF(Sheet1!$Z$1=2,'Tabla de Pagos Crecientes'!G240,'Tabla Fijos'!G245))</f>
        <v>9768.7230758949536</v>
      </c>
      <c r="H300" s="362">
        <f ca="1">IF($B300="","",IF(Sheet1!$Z$1=2,'Tabla de Pagos Crecientes'!H240,'Tabla Fijos'!H245))</f>
        <v>653.16113482271044</v>
      </c>
      <c r="I300" s="362">
        <f>IF($B300=0,0,IF(B300="","",VLOOKUP($B300,'Tabla Fijos'!$B$12:$S$311,8,0)))</f>
        <v>0</v>
      </c>
      <c r="J300" s="362">
        <f ca="1">IF($B300="","",IF(Sheet1!$Z$1=2,'Tabla de Pagos Crecientes'!J240,'Tabla Fijos'!K245))</f>
        <v>0</v>
      </c>
      <c r="K300" s="362">
        <f ca="1">IF($B300="","",IF(Sheet1!$Z$1=2,'Tabla de Pagos Crecientes'!K240,'Tabla Fijos'!L245))</f>
        <v>0</v>
      </c>
      <c r="L300" s="362">
        <f ca="1">IF($B300="","",IF(Sheet1!$Z$1=2,'Tabla de Pagos Crecientes'!L240,'Tabla Fijos'!M245))</f>
        <v>0</v>
      </c>
      <c r="M300" s="362">
        <f ca="1">IF($B300="","",IF(Sheet1!$Z$1=2,'Tabla de Pagos Crecientes'!M240,'Tabla Fijos'!N245))</f>
        <v>0</v>
      </c>
      <c r="N300" s="364"/>
      <c r="O300" s="362">
        <f>IF($B300="","",IF(Sheet1!$Z$1=2,'Tabla de Pagos Crecientes'!O240,'Tabla Fijos'!Q245))</f>
        <v>0</v>
      </c>
      <c r="P300" s="362">
        <f ca="1">IF(B300="","",G300+H300+I300+J300+K300+L300-M300-'Tabla Fijos'!P245)</f>
        <v>10421.884210717664</v>
      </c>
      <c r="Q300" s="362">
        <f t="shared" ca="1" si="9"/>
        <v>60547.667036597799</v>
      </c>
      <c r="R300" s="272">
        <f t="shared" ca="1" si="10"/>
        <v>1</v>
      </c>
    </row>
    <row r="301" spans="1:18" ht="15.5" x14ac:dyDescent="0.35">
      <c r="A301" s="272"/>
      <c r="B301" s="360">
        <f t="shared" si="11"/>
        <v>235</v>
      </c>
      <c r="C301" s="361">
        <f ca="1">IF($B301="","",'Fecha Pago'!K238)</f>
        <v>53299</v>
      </c>
      <c r="D301" s="362">
        <f>IF($B$67="","",'Fecha Pago'!L238)</f>
        <v>30.4</v>
      </c>
      <c r="E301" s="363">
        <f>IF(B301="","",IF(Sheet1!$Z$1=2,'Tabla de Pagos Crecientes'!E241,$F$62))</f>
        <v>0.11</v>
      </c>
      <c r="F301" s="362">
        <f ca="1">IF($B301="","",IF(Sheet1!$Z$1=2,'Tabla de Pagos Crecientes'!F241,'Tabla Fijos'!F246))</f>
        <v>60547.667036597799</v>
      </c>
      <c r="G301" s="362">
        <f ca="1">IF($B301="","",IF(Sheet1!$Z$1=2,'Tabla de Pagos Crecientes'!G241,'Tabla Fijos'!G246))</f>
        <v>9859.463659133271</v>
      </c>
      <c r="H301" s="362">
        <f ca="1">IF($B301="","",IF(Sheet1!$Z$1=2,'Tabla de Pagos Crecientes'!H241,'Tabla Fijos'!H246))</f>
        <v>562.42055158439734</v>
      </c>
      <c r="I301" s="362">
        <f>IF($B301=0,0,IF(B301="","",VLOOKUP($B301,'Tabla Fijos'!$B$12:$S$311,8,0)))</f>
        <v>0</v>
      </c>
      <c r="J301" s="362">
        <f ca="1">IF($B301="","",IF(Sheet1!$Z$1=2,'Tabla de Pagos Crecientes'!J241,'Tabla Fijos'!K246))</f>
        <v>0</v>
      </c>
      <c r="K301" s="362">
        <f ca="1">IF($B301="","",IF(Sheet1!$Z$1=2,'Tabla de Pagos Crecientes'!K241,'Tabla Fijos'!L246))</f>
        <v>0</v>
      </c>
      <c r="L301" s="362">
        <f ca="1">IF($B301="","",IF(Sheet1!$Z$1=2,'Tabla de Pagos Crecientes'!L241,'Tabla Fijos'!M246))</f>
        <v>0</v>
      </c>
      <c r="M301" s="362">
        <f ca="1">IF($B301="","",IF(Sheet1!$Z$1=2,'Tabla de Pagos Crecientes'!M241,'Tabla Fijos'!N246))</f>
        <v>0</v>
      </c>
      <c r="N301" s="364"/>
      <c r="O301" s="362">
        <f>IF($B301="","",IF(Sheet1!$Z$1=2,'Tabla de Pagos Crecientes'!O241,'Tabla Fijos'!Q246))</f>
        <v>0</v>
      </c>
      <c r="P301" s="362">
        <f ca="1">IF(B301="","",G301+H301+I301+J301+K301+L301-M301-'Tabla Fijos'!P246)</f>
        <v>10421.884210717668</v>
      </c>
      <c r="Q301" s="362">
        <f t="shared" ca="1" si="9"/>
        <v>50688.203377464524</v>
      </c>
      <c r="R301" s="272">
        <f t="shared" ca="1" si="10"/>
        <v>1</v>
      </c>
    </row>
    <row r="302" spans="1:18" ht="15.5" x14ac:dyDescent="0.35">
      <c r="A302" s="272"/>
      <c r="B302" s="360">
        <f t="shared" si="11"/>
        <v>236</v>
      </c>
      <c r="C302" s="361">
        <f ca="1">IF($B302="","",'Fecha Pago'!K239)</f>
        <v>53330</v>
      </c>
      <c r="D302" s="362">
        <f>IF($B$67="","",'Fecha Pago'!L239)</f>
        <v>30.4</v>
      </c>
      <c r="E302" s="363">
        <f>IF(B302="","",IF(Sheet1!$Z$1=2,'Tabla de Pagos Crecientes'!E242,$F$62))</f>
        <v>0.11</v>
      </c>
      <c r="F302" s="362">
        <f ca="1">IF($B302="","",IF(Sheet1!$Z$1=2,'Tabla de Pagos Crecientes'!F242,'Tabla Fijos'!F247))</f>
        <v>50688.203377464524</v>
      </c>
      <c r="G302" s="362">
        <f ca="1">IF($B302="","",IF(Sheet1!$Z$1=2,'Tabla de Pagos Crecientes'!G242,'Tabla Fijos'!G247))</f>
        <v>9951.0471215669968</v>
      </c>
      <c r="H302" s="362">
        <f ca="1">IF($B302="","",IF(Sheet1!$Z$1=2,'Tabla de Pagos Crecientes'!H242,'Tabla Fijos'!H247))</f>
        <v>470.83708915067041</v>
      </c>
      <c r="I302" s="362">
        <f>IF($B302=0,0,IF(B302="","",VLOOKUP($B302,'Tabla Fijos'!$B$12:$S$311,8,0)))</f>
        <v>0</v>
      </c>
      <c r="J302" s="362">
        <f ca="1">IF($B302="","",IF(Sheet1!$Z$1=2,'Tabla de Pagos Crecientes'!J242,'Tabla Fijos'!K247))</f>
        <v>0</v>
      </c>
      <c r="K302" s="362">
        <f ca="1">IF($B302="","",IF(Sheet1!$Z$1=2,'Tabla de Pagos Crecientes'!K242,'Tabla Fijos'!L247))</f>
        <v>0</v>
      </c>
      <c r="L302" s="362">
        <f ca="1">IF($B302="","",IF(Sheet1!$Z$1=2,'Tabla de Pagos Crecientes'!L242,'Tabla Fijos'!M247))</f>
        <v>0</v>
      </c>
      <c r="M302" s="362">
        <f ca="1">IF($B302="","",IF(Sheet1!$Z$1=2,'Tabla de Pagos Crecientes'!M242,'Tabla Fijos'!N247))</f>
        <v>0</v>
      </c>
      <c r="N302" s="364"/>
      <c r="O302" s="362">
        <f>IF($B302="","",IF(Sheet1!$Z$1=2,'Tabla de Pagos Crecientes'!O242,'Tabla Fijos'!Q247))</f>
        <v>0</v>
      </c>
      <c r="P302" s="362">
        <f ca="1">IF(B302="","",G302+H302+I302+J302+K302+L302-M302-'Tabla Fijos'!P247)</f>
        <v>10421.884210717668</v>
      </c>
      <c r="Q302" s="362">
        <f t="shared" ca="1" si="9"/>
        <v>40737.156255897527</v>
      </c>
      <c r="R302" s="272">
        <f t="shared" ca="1" si="10"/>
        <v>1</v>
      </c>
    </row>
    <row r="303" spans="1:18" ht="15.5" x14ac:dyDescent="0.35">
      <c r="A303" s="272"/>
      <c r="B303" s="360">
        <f t="shared" si="11"/>
        <v>237</v>
      </c>
      <c r="C303" s="361">
        <f ca="1">IF($B303="","",'Fecha Pago'!K240)</f>
        <v>53361</v>
      </c>
      <c r="D303" s="362">
        <f>IF($B$67="","",'Fecha Pago'!L240)</f>
        <v>30.4</v>
      </c>
      <c r="E303" s="363">
        <f>IF(B303="","",IF(Sheet1!$Z$1=2,'Tabla de Pagos Crecientes'!E243,$F$62))</f>
        <v>0.11</v>
      </c>
      <c r="F303" s="362">
        <f ca="1">IF($B303="","",IF(Sheet1!$Z$1=2,'Tabla de Pagos Crecientes'!F243,'Tabla Fijos'!F248))</f>
        <v>40737.156255897527</v>
      </c>
      <c r="G303" s="362">
        <f ca="1">IF($B303="","",IF(Sheet1!$Z$1=2,'Tabla de Pagos Crecientes'!G243,'Tabla Fijos'!G248))</f>
        <v>10043.481292607325</v>
      </c>
      <c r="H303" s="362">
        <f ca="1">IF($B303="","",IF(Sheet1!$Z$1=2,'Tabla de Pagos Crecientes'!H243,'Tabla Fijos'!H248))</f>
        <v>378.402918110337</v>
      </c>
      <c r="I303" s="362">
        <f>IF($B303=0,0,IF(B303="","",VLOOKUP($B303,'Tabla Fijos'!$B$12:$S$311,8,0)))</f>
        <v>0</v>
      </c>
      <c r="J303" s="362">
        <f ca="1">IF($B303="","",IF(Sheet1!$Z$1=2,'Tabla de Pagos Crecientes'!J243,'Tabla Fijos'!K248))</f>
        <v>0</v>
      </c>
      <c r="K303" s="362">
        <f ca="1">IF($B303="","",IF(Sheet1!$Z$1=2,'Tabla de Pagos Crecientes'!K243,'Tabla Fijos'!L248))</f>
        <v>0</v>
      </c>
      <c r="L303" s="362">
        <f ca="1">IF($B303="","",IF(Sheet1!$Z$1=2,'Tabla de Pagos Crecientes'!L243,'Tabla Fijos'!M248))</f>
        <v>0</v>
      </c>
      <c r="M303" s="362">
        <f ca="1">IF($B303="","",IF(Sheet1!$Z$1=2,'Tabla de Pagos Crecientes'!M243,'Tabla Fijos'!N248))</f>
        <v>0</v>
      </c>
      <c r="N303" s="364"/>
      <c r="O303" s="362">
        <f>IF($B303="","",IF(Sheet1!$Z$1=2,'Tabla de Pagos Crecientes'!O243,'Tabla Fijos'!Q248))</f>
        <v>0</v>
      </c>
      <c r="P303" s="362">
        <f ca="1">IF(B303="","",G303+H303+I303+J303+K303+L303-M303-'Tabla Fijos'!P248)</f>
        <v>10421.884210717662</v>
      </c>
      <c r="Q303" s="362">
        <f t="shared" ca="1" si="9"/>
        <v>30693.674963290203</v>
      </c>
      <c r="R303" s="272">
        <f t="shared" ca="1" si="10"/>
        <v>1</v>
      </c>
    </row>
    <row r="304" spans="1:18" ht="15.5" x14ac:dyDescent="0.35">
      <c r="A304" s="272"/>
      <c r="B304" s="360">
        <f t="shared" si="11"/>
        <v>238</v>
      </c>
      <c r="C304" s="361">
        <f ca="1">IF($B304="","",'Fecha Pago'!K241)</f>
        <v>53389</v>
      </c>
      <c r="D304" s="362">
        <f>IF($B$67="","",'Fecha Pago'!L241)</f>
        <v>30.4</v>
      </c>
      <c r="E304" s="363">
        <f>IF(B304="","",IF(Sheet1!$Z$1=2,'Tabla de Pagos Crecientes'!E244,$F$62))</f>
        <v>0.11</v>
      </c>
      <c r="F304" s="362">
        <f ca="1">IF($B304="","",IF(Sheet1!$Z$1=2,'Tabla de Pagos Crecientes'!F244,'Tabla Fijos'!F249))</f>
        <v>30693.674963290203</v>
      </c>
      <c r="G304" s="362">
        <f ca="1">IF($B304="","",IF(Sheet1!$Z$1=2,'Tabla de Pagos Crecientes'!G244,'Tabla Fijos'!G249))</f>
        <v>10136.774074391991</v>
      </c>
      <c r="H304" s="362">
        <f ca="1">IF($B304="","",IF(Sheet1!$Z$1=2,'Tabla de Pagos Crecientes'!H244,'Tabla Fijos'!H249))</f>
        <v>285.11013632567341</v>
      </c>
      <c r="I304" s="362">
        <f>IF($B304=0,0,IF(B304="","",VLOOKUP($B304,'Tabla Fijos'!$B$12:$S$311,8,0)))</f>
        <v>0</v>
      </c>
      <c r="J304" s="362">
        <f ca="1">IF($B304="","",IF(Sheet1!$Z$1=2,'Tabla de Pagos Crecientes'!J244,'Tabla Fijos'!K249))</f>
        <v>0</v>
      </c>
      <c r="K304" s="362">
        <f ca="1">IF($B304="","",IF(Sheet1!$Z$1=2,'Tabla de Pagos Crecientes'!K244,'Tabla Fijos'!L249))</f>
        <v>0</v>
      </c>
      <c r="L304" s="362">
        <f ca="1">IF($B304="","",IF(Sheet1!$Z$1=2,'Tabla de Pagos Crecientes'!L244,'Tabla Fijos'!M249))</f>
        <v>0</v>
      </c>
      <c r="M304" s="362">
        <f ca="1">IF($B304="","",IF(Sheet1!$Z$1=2,'Tabla de Pagos Crecientes'!M244,'Tabla Fijos'!N249))</f>
        <v>0</v>
      </c>
      <c r="N304" s="364"/>
      <c r="O304" s="362">
        <f>IF($B304="","",IF(Sheet1!$Z$1=2,'Tabla de Pagos Crecientes'!O244,'Tabla Fijos'!Q249))</f>
        <v>0</v>
      </c>
      <c r="P304" s="362">
        <f ca="1">IF(B304="","",G304+H304+I304+J304+K304+L304-M304-'Tabla Fijos'!P249)</f>
        <v>10421.884210717664</v>
      </c>
      <c r="Q304" s="362">
        <f t="shared" ca="1" si="9"/>
        <v>20556.900888898213</v>
      </c>
      <c r="R304" s="272">
        <f t="shared" ca="1" si="10"/>
        <v>1</v>
      </c>
    </row>
    <row r="305" spans="1:18" ht="15.5" x14ac:dyDescent="0.35">
      <c r="A305" s="272"/>
      <c r="B305" s="360">
        <f t="shared" si="11"/>
        <v>239</v>
      </c>
      <c r="C305" s="361">
        <f ca="1">IF($B305="","",'Fecha Pago'!K242)</f>
        <v>53420</v>
      </c>
      <c r="D305" s="362">
        <f>IF($B$67="","",'Fecha Pago'!L242)</f>
        <v>30.4</v>
      </c>
      <c r="E305" s="363">
        <f>IF(B305="","",IF(Sheet1!$Z$1=2,'Tabla de Pagos Crecientes'!E245,$F$62))</f>
        <v>0.11</v>
      </c>
      <c r="F305" s="362">
        <f ca="1">IF($B305="","",IF(Sheet1!$Z$1=2,'Tabla de Pagos Crecientes'!F245,'Tabla Fijos'!F250))</f>
        <v>20556.900888898213</v>
      </c>
      <c r="G305" s="362">
        <f ca="1">IF($B305="","",IF(Sheet1!$Z$1=2,'Tabla de Pagos Crecientes'!G245,'Tabla Fijos'!G250))</f>
        <v>10230.933442460788</v>
      </c>
      <c r="H305" s="362">
        <f ca="1">IF($B305="","",IF(Sheet1!$Z$1=2,'Tabla de Pagos Crecientes'!H245,'Tabla Fijos'!H250))</f>
        <v>190.95076825687673</v>
      </c>
      <c r="I305" s="362">
        <f>IF($B305=0,0,IF(B305="","",VLOOKUP($B305,'Tabla Fijos'!$B$12:$S$311,8,0)))</f>
        <v>0</v>
      </c>
      <c r="J305" s="362">
        <f ca="1">IF($B305="","",IF(Sheet1!$Z$1=2,'Tabla de Pagos Crecientes'!J245,'Tabla Fijos'!K250))</f>
        <v>0</v>
      </c>
      <c r="K305" s="362">
        <f ca="1">IF($B305="","",IF(Sheet1!$Z$1=2,'Tabla de Pagos Crecientes'!K245,'Tabla Fijos'!L250))</f>
        <v>0</v>
      </c>
      <c r="L305" s="362">
        <f ca="1">IF($B305="","",IF(Sheet1!$Z$1=2,'Tabla de Pagos Crecientes'!L245,'Tabla Fijos'!M250))</f>
        <v>0</v>
      </c>
      <c r="M305" s="362">
        <f ca="1">IF($B305="","",IF(Sheet1!$Z$1=2,'Tabla de Pagos Crecientes'!M245,'Tabla Fijos'!N250))</f>
        <v>0</v>
      </c>
      <c r="N305" s="364"/>
      <c r="O305" s="362">
        <f>IF($B305="","",IF(Sheet1!$Z$1=2,'Tabla de Pagos Crecientes'!O245,'Tabla Fijos'!Q250))</f>
        <v>0</v>
      </c>
      <c r="P305" s="362">
        <f ca="1">IF(B305="","",G305+H305+I305+J305+K305+L305-M305-'Tabla Fijos'!P250)</f>
        <v>10421.884210717664</v>
      </c>
      <c r="Q305" s="362">
        <f t="shared" ca="1" si="9"/>
        <v>10325.967446437426</v>
      </c>
      <c r="R305" s="272">
        <f t="shared" ca="1" si="10"/>
        <v>1</v>
      </c>
    </row>
    <row r="306" spans="1:18" ht="15.5" x14ac:dyDescent="0.35">
      <c r="A306" s="272"/>
      <c r="B306" s="360">
        <f t="shared" si="11"/>
        <v>240</v>
      </c>
      <c r="C306" s="361">
        <f ca="1">IF($B306="","",'Fecha Pago'!K243)</f>
        <v>53450</v>
      </c>
      <c r="D306" s="362">
        <f>IF($B$67="","",'Fecha Pago'!L243)</f>
        <v>30.4</v>
      </c>
      <c r="E306" s="363">
        <f>IF(B306="","",IF(Sheet1!$Z$1=2,'Tabla de Pagos Crecientes'!E246,$F$62))</f>
        <v>0.11</v>
      </c>
      <c r="F306" s="362">
        <f ca="1">IF($B306="","",IF(Sheet1!$Z$1=2,'Tabla de Pagos Crecientes'!F246,'Tabla Fijos'!F251))</f>
        <v>10325.967446437426</v>
      </c>
      <c r="G306" s="362">
        <f ca="1">IF($B306="","",IF(Sheet1!$Z$1=2,'Tabla de Pagos Crecientes'!G246,'Tabla Fijos'!G251))</f>
        <v>10325.967446437427</v>
      </c>
      <c r="H306" s="362">
        <f ca="1">IF($B306="","",IF(Sheet1!$Z$1=2,'Tabla de Pagos Crecientes'!H246,'Tabla Fijos'!H251))</f>
        <v>95.916764280240969</v>
      </c>
      <c r="I306" s="362">
        <f>IF($B306=0,0,IF(B306="","",VLOOKUP($B306,'Tabla Fijos'!$B$12:$S$311,8,0)))</f>
        <v>0</v>
      </c>
      <c r="J306" s="362">
        <f ca="1">IF($B306="","",IF(Sheet1!$Z$1=2,'Tabla de Pagos Crecientes'!J246,'Tabla Fijos'!K251))</f>
        <v>0</v>
      </c>
      <c r="K306" s="362">
        <f ca="1">IF($B306="","",IF(Sheet1!$Z$1=2,'Tabla de Pagos Crecientes'!K246,'Tabla Fijos'!L251))</f>
        <v>0</v>
      </c>
      <c r="L306" s="362">
        <f ca="1">IF($B306="","",IF(Sheet1!$Z$1=2,'Tabla de Pagos Crecientes'!L246,'Tabla Fijos'!M251))</f>
        <v>0</v>
      </c>
      <c r="M306" s="362">
        <f ca="1">IF($B306="","",IF(Sheet1!$Z$1=2,'Tabla de Pagos Crecientes'!M246,'Tabla Fijos'!N251))</f>
        <v>0</v>
      </c>
      <c r="N306" s="364"/>
      <c r="O306" s="362">
        <f>IF($B306="","",IF(Sheet1!$Z$1=2,'Tabla de Pagos Crecientes'!O246,'Tabla Fijos'!Q251))</f>
        <v>0</v>
      </c>
      <c r="P306" s="362">
        <f ca="1">IF(B306="","",G306+H306+I306+J306+K306+L306-M306-'Tabla Fijos'!P251)</f>
        <v>10421.884210717668</v>
      </c>
      <c r="Q306" s="362">
        <f t="shared" ref="Q306:Q366" ca="1" si="12">IF(B306="","",F306-G306)</f>
        <v>-1.8189894035458565E-12</v>
      </c>
      <c r="R306" s="272">
        <f t="shared" ca="1" si="10"/>
        <v>1</v>
      </c>
    </row>
    <row r="307" spans="1:18" ht="15.5" x14ac:dyDescent="0.35">
      <c r="A307" s="272"/>
      <c r="B307" s="360" t="str">
        <f t="shared" si="11"/>
        <v/>
      </c>
      <c r="C307" s="361" t="str">
        <f>IF($B307="","",'Fecha Pago'!K244)</f>
        <v/>
      </c>
      <c r="D307" s="362" t="str">
        <f>IF($B$67="","",'Fecha Pago'!L244)</f>
        <v/>
      </c>
      <c r="E307" s="363" t="str">
        <f>IF(B307="","",IF(Sheet1!$Z$1=2,'Tabla de Pagos Crecientes'!E247,$F$62))</f>
        <v/>
      </c>
      <c r="F307" s="362" t="str">
        <f>IF($B307="","",IF(Sheet1!$Z$1=2,'Tabla de Pagos Crecientes'!F247,'Tabla Fijos'!F252))</f>
        <v/>
      </c>
      <c r="G307" s="362" t="str">
        <f>IF($B307="","",IF(Sheet1!$Z$1=2,'Tabla de Pagos Crecientes'!G247,'Tabla Fijos'!G252))</f>
        <v/>
      </c>
      <c r="H307" s="362" t="str">
        <f>IF($B307="","",IF(Sheet1!$Z$1=2,'Tabla de Pagos Crecientes'!H247,'Tabla Fijos'!H252))</f>
        <v/>
      </c>
      <c r="I307" s="362" t="str">
        <f>IF($B307=0,0,IF(B307="","",VLOOKUP($B307,'Tabla Fijos'!$B$12:$S$311,8,0)))</f>
        <v/>
      </c>
      <c r="J307" s="362" t="str">
        <f>IF($B307="","",IF(Sheet1!$Z$1=2,'Tabla de Pagos Crecientes'!J247,'Tabla Fijos'!K252))</f>
        <v/>
      </c>
      <c r="K307" s="362" t="str">
        <f>IF($B307="","",IF(Sheet1!$Z$1=2,'Tabla de Pagos Crecientes'!K247,'Tabla Fijos'!L252))</f>
        <v/>
      </c>
      <c r="L307" s="362" t="str">
        <f>IF($B307="","",IF(Sheet1!$Z$1=2,'Tabla de Pagos Crecientes'!L247,'Tabla Fijos'!M252))</f>
        <v/>
      </c>
      <c r="M307" s="362" t="str">
        <f>IF($B307="","",IF(Sheet1!$Z$1=2,'Tabla de Pagos Crecientes'!M247,'Tabla Fijos'!N252))</f>
        <v/>
      </c>
      <c r="N307" s="364"/>
      <c r="O307" s="362" t="str">
        <f>IF($B307="","",IF(Sheet1!$Z$1=2,'Tabla de Pagos Crecientes'!O247,'Tabla Fijos'!Q252))</f>
        <v/>
      </c>
      <c r="P307" s="362" t="str">
        <f>IF(B307="","",G307+H307+I307+J307+K307+L307-M307-'Tabla Fijos'!P252)</f>
        <v/>
      </c>
      <c r="Q307" s="362" t="str">
        <f t="shared" si="12"/>
        <v/>
      </c>
      <c r="R307" s="272">
        <f t="shared" si="10"/>
        <v>0</v>
      </c>
    </row>
    <row r="308" spans="1:18" ht="15.5" x14ac:dyDescent="0.35">
      <c r="A308" s="272"/>
      <c r="B308" s="360" t="str">
        <f t="shared" si="11"/>
        <v/>
      </c>
      <c r="C308" s="361" t="str">
        <f>IF($B308="","",'Fecha Pago'!K245)</f>
        <v/>
      </c>
      <c r="D308" s="362" t="str">
        <f>IF($B$67="","",'Fecha Pago'!L245)</f>
        <v/>
      </c>
      <c r="E308" s="363" t="str">
        <f>IF(B308="","",IF(Sheet1!$Z$1=2,'Tabla de Pagos Crecientes'!E248,$F$62))</f>
        <v/>
      </c>
      <c r="F308" s="362" t="str">
        <f>IF($B308="","",IF(Sheet1!$Z$1=2,'Tabla de Pagos Crecientes'!F248,'Tabla Fijos'!F253))</f>
        <v/>
      </c>
      <c r="G308" s="362" t="str">
        <f>IF($B308="","",IF(Sheet1!$Z$1=2,'Tabla de Pagos Crecientes'!G248,'Tabla Fijos'!G253))</f>
        <v/>
      </c>
      <c r="H308" s="362" t="str">
        <f>IF($B308="","",IF(Sheet1!$Z$1=2,'Tabla de Pagos Crecientes'!H248,'Tabla Fijos'!H253))</f>
        <v/>
      </c>
      <c r="I308" s="362" t="str">
        <f>IF($B308=0,0,IF(B308="","",VLOOKUP($B308,'Tabla Fijos'!$B$12:$S$311,8,0)))</f>
        <v/>
      </c>
      <c r="J308" s="362" t="str">
        <f>IF($B308="","",IF(Sheet1!$Z$1=2,'Tabla de Pagos Crecientes'!J248,'Tabla Fijos'!K253))</f>
        <v/>
      </c>
      <c r="K308" s="362" t="str">
        <f>IF($B308="","",IF(Sheet1!$Z$1=2,'Tabla de Pagos Crecientes'!K248,'Tabla Fijos'!L253))</f>
        <v/>
      </c>
      <c r="L308" s="362" t="str">
        <f>IF($B308="","",IF(Sheet1!$Z$1=2,'Tabla de Pagos Crecientes'!L248,'Tabla Fijos'!M253))</f>
        <v/>
      </c>
      <c r="M308" s="362" t="str">
        <f>IF($B308="","",IF(Sheet1!$Z$1=2,'Tabla de Pagos Crecientes'!M248,'Tabla Fijos'!N253))</f>
        <v/>
      </c>
      <c r="N308" s="364"/>
      <c r="O308" s="362" t="str">
        <f>IF($B308="","",IF(Sheet1!$Z$1=2,'Tabla de Pagos Crecientes'!O248,'Tabla Fijos'!Q253))</f>
        <v/>
      </c>
      <c r="P308" s="362" t="str">
        <f>IF(B308="","",G308+H308+I308+J308+K308+L308-M308-'Tabla Fijos'!P253)</f>
        <v/>
      </c>
      <c r="Q308" s="362" t="str">
        <f t="shared" si="12"/>
        <v/>
      </c>
      <c r="R308" s="272">
        <f t="shared" si="10"/>
        <v>0</v>
      </c>
    </row>
    <row r="309" spans="1:18" ht="15.5" x14ac:dyDescent="0.35">
      <c r="A309" s="272"/>
      <c r="B309" s="360" t="str">
        <f t="shared" si="11"/>
        <v/>
      </c>
      <c r="C309" s="361" t="str">
        <f>IF($B309="","",'Fecha Pago'!K246)</f>
        <v/>
      </c>
      <c r="D309" s="362" t="str">
        <f>IF($B$67="","",'Fecha Pago'!L246)</f>
        <v/>
      </c>
      <c r="E309" s="363" t="str">
        <f>IF(B309="","",IF(Sheet1!$Z$1=2,'Tabla de Pagos Crecientes'!E249,$F$62))</f>
        <v/>
      </c>
      <c r="F309" s="362" t="str">
        <f>IF($B309="","",IF(Sheet1!$Z$1=2,'Tabla de Pagos Crecientes'!F249,'Tabla Fijos'!F254))</f>
        <v/>
      </c>
      <c r="G309" s="362" t="str">
        <f>IF($B309="","",IF(Sheet1!$Z$1=2,'Tabla de Pagos Crecientes'!G249,'Tabla Fijos'!G254))</f>
        <v/>
      </c>
      <c r="H309" s="362" t="str">
        <f>IF($B309="","",IF(Sheet1!$Z$1=2,'Tabla de Pagos Crecientes'!H249,'Tabla Fijos'!H254))</f>
        <v/>
      </c>
      <c r="I309" s="362" t="str">
        <f>IF($B309=0,0,IF(B309="","",VLOOKUP($B309,'Tabla Fijos'!$B$12:$S$311,8,0)))</f>
        <v/>
      </c>
      <c r="J309" s="362" t="str">
        <f>IF($B309="","",IF(Sheet1!$Z$1=2,'Tabla de Pagos Crecientes'!J249,'Tabla Fijos'!K254))</f>
        <v/>
      </c>
      <c r="K309" s="362" t="str">
        <f>IF($B309="","",IF(Sheet1!$Z$1=2,'Tabla de Pagos Crecientes'!K249,'Tabla Fijos'!L254))</f>
        <v/>
      </c>
      <c r="L309" s="362" t="str">
        <f>IF($B309="","",IF(Sheet1!$Z$1=2,'Tabla de Pagos Crecientes'!L249,'Tabla Fijos'!M254))</f>
        <v/>
      </c>
      <c r="M309" s="362" t="str">
        <f>IF($B309="","",IF(Sheet1!$Z$1=2,'Tabla de Pagos Crecientes'!M249,'Tabla Fijos'!N254))</f>
        <v/>
      </c>
      <c r="N309" s="364"/>
      <c r="O309" s="362" t="str">
        <f>IF($B309="","",IF(Sheet1!$Z$1=2,'Tabla de Pagos Crecientes'!O249,'Tabla Fijos'!Q254))</f>
        <v/>
      </c>
      <c r="P309" s="362" t="str">
        <f>IF(B309="","",G309+H309+I309+J309+K309+L309-M309-'Tabla Fijos'!P254)</f>
        <v/>
      </c>
      <c r="Q309" s="362" t="str">
        <f t="shared" si="12"/>
        <v/>
      </c>
      <c r="R309" s="272">
        <f t="shared" si="10"/>
        <v>0</v>
      </c>
    </row>
    <row r="310" spans="1:18" ht="15.5" x14ac:dyDescent="0.35">
      <c r="A310" s="272"/>
      <c r="B310" s="360" t="str">
        <f t="shared" si="11"/>
        <v/>
      </c>
      <c r="C310" s="361" t="str">
        <f>IF($B310="","",'Fecha Pago'!K247)</f>
        <v/>
      </c>
      <c r="D310" s="362" t="str">
        <f>IF($B$67="","",'Fecha Pago'!L247)</f>
        <v/>
      </c>
      <c r="E310" s="363" t="str">
        <f>IF(B310="","",IF(Sheet1!$Z$1=2,'Tabla de Pagos Crecientes'!E250,$F$62))</f>
        <v/>
      </c>
      <c r="F310" s="362" t="str">
        <f>IF($B310="","",IF(Sheet1!$Z$1=2,'Tabla de Pagos Crecientes'!F250,'Tabla Fijos'!F255))</f>
        <v/>
      </c>
      <c r="G310" s="362" t="str">
        <f>IF($B310="","",IF(Sheet1!$Z$1=2,'Tabla de Pagos Crecientes'!G250,'Tabla Fijos'!G255))</f>
        <v/>
      </c>
      <c r="H310" s="362" t="str">
        <f>IF($B310="","",IF(Sheet1!$Z$1=2,'Tabla de Pagos Crecientes'!H250,'Tabla Fijos'!H255))</f>
        <v/>
      </c>
      <c r="I310" s="362" t="str">
        <f>IF($B310=0,0,IF(B310="","",VLOOKUP($B310,'Tabla Fijos'!$B$12:$S$311,8,0)))</f>
        <v/>
      </c>
      <c r="J310" s="362" t="str">
        <f>IF($B310="","",IF(Sheet1!$Z$1=2,'Tabla de Pagos Crecientes'!J250,'Tabla Fijos'!K255))</f>
        <v/>
      </c>
      <c r="K310" s="362" t="str">
        <f>IF($B310="","",IF(Sheet1!$Z$1=2,'Tabla de Pagos Crecientes'!K250,'Tabla Fijos'!L255))</f>
        <v/>
      </c>
      <c r="L310" s="362" t="str">
        <f>IF($B310="","",IF(Sheet1!$Z$1=2,'Tabla de Pagos Crecientes'!L250,'Tabla Fijos'!M255))</f>
        <v/>
      </c>
      <c r="M310" s="362" t="str">
        <f>IF($B310="","",IF(Sheet1!$Z$1=2,'Tabla de Pagos Crecientes'!M250,'Tabla Fijos'!N255))</f>
        <v/>
      </c>
      <c r="N310" s="364"/>
      <c r="O310" s="362" t="str">
        <f>IF($B310="","",IF(Sheet1!$Z$1=2,'Tabla de Pagos Crecientes'!O250,'Tabla Fijos'!Q255))</f>
        <v/>
      </c>
      <c r="P310" s="362" t="str">
        <f>IF(B310="","",G310+H310+I310+J310+K310+L310-M310-'Tabla Fijos'!P255)</f>
        <v/>
      </c>
      <c r="Q310" s="362" t="str">
        <f t="shared" si="12"/>
        <v/>
      </c>
      <c r="R310" s="272">
        <f t="shared" si="10"/>
        <v>0</v>
      </c>
    </row>
    <row r="311" spans="1:18" ht="15.5" x14ac:dyDescent="0.35">
      <c r="A311" s="272"/>
      <c r="B311" s="360" t="str">
        <f t="shared" si="11"/>
        <v/>
      </c>
      <c r="C311" s="361" t="str">
        <f>IF($B311="","",'Fecha Pago'!K248)</f>
        <v/>
      </c>
      <c r="D311" s="362" t="str">
        <f>IF($B$67="","",'Fecha Pago'!L248)</f>
        <v/>
      </c>
      <c r="E311" s="363" t="str">
        <f>IF(B311="","",IF(Sheet1!$Z$1=2,'Tabla de Pagos Crecientes'!E251,$F$62))</f>
        <v/>
      </c>
      <c r="F311" s="362" t="str">
        <f>IF($B311="","",IF(Sheet1!$Z$1=2,'Tabla de Pagos Crecientes'!F251,'Tabla Fijos'!F256))</f>
        <v/>
      </c>
      <c r="G311" s="362" t="str">
        <f>IF($B311="","",IF(Sheet1!$Z$1=2,'Tabla de Pagos Crecientes'!G251,'Tabla Fijos'!G256))</f>
        <v/>
      </c>
      <c r="H311" s="362" t="str">
        <f>IF($B311="","",IF(Sheet1!$Z$1=2,'Tabla de Pagos Crecientes'!H251,'Tabla Fijos'!H256))</f>
        <v/>
      </c>
      <c r="I311" s="362" t="str">
        <f>IF($B311=0,0,IF(B311="","",VLOOKUP($B311,'Tabla Fijos'!$B$12:$S$311,8,0)))</f>
        <v/>
      </c>
      <c r="J311" s="362" t="str">
        <f>IF($B311="","",IF(Sheet1!$Z$1=2,'Tabla de Pagos Crecientes'!J251,'Tabla Fijos'!K256))</f>
        <v/>
      </c>
      <c r="K311" s="362" t="str">
        <f>IF($B311="","",IF(Sheet1!$Z$1=2,'Tabla de Pagos Crecientes'!K251,'Tabla Fijos'!L256))</f>
        <v/>
      </c>
      <c r="L311" s="362" t="str">
        <f>IF($B311="","",IF(Sheet1!$Z$1=2,'Tabla de Pagos Crecientes'!L251,'Tabla Fijos'!M256))</f>
        <v/>
      </c>
      <c r="M311" s="362" t="str">
        <f>IF($B311="","",IF(Sheet1!$Z$1=2,'Tabla de Pagos Crecientes'!M251,'Tabla Fijos'!N256))</f>
        <v/>
      </c>
      <c r="N311" s="364"/>
      <c r="O311" s="362" t="str">
        <f>IF($B311="","",IF(Sheet1!$Z$1=2,'Tabla de Pagos Crecientes'!O251,'Tabla Fijos'!Q256))</f>
        <v/>
      </c>
      <c r="P311" s="362" t="str">
        <f>IF(B311="","",G311+H311+I311+J311+K311+L311-M311-'Tabla Fijos'!P256)</f>
        <v/>
      </c>
      <c r="Q311" s="362" t="str">
        <f t="shared" si="12"/>
        <v/>
      </c>
      <c r="R311" s="272">
        <f t="shared" si="10"/>
        <v>0</v>
      </c>
    </row>
    <row r="312" spans="1:18" ht="15.5" x14ac:dyDescent="0.35">
      <c r="A312" s="272"/>
      <c r="B312" s="360" t="str">
        <f t="shared" si="11"/>
        <v/>
      </c>
      <c r="C312" s="361" t="str">
        <f>IF($B312="","",'Fecha Pago'!K249)</f>
        <v/>
      </c>
      <c r="D312" s="362" t="str">
        <f>IF($B$67="","",'Fecha Pago'!L249)</f>
        <v/>
      </c>
      <c r="E312" s="363" t="str">
        <f>IF(B312="","",IF(Sheet1!$Z$1=2,'Tabla de Pagos Crecientes'!E252,$F$62))</f>
        <v/>
      </c>
      <c r="F312" s="362" t="str">
        <f>IF($B312="","",IF(Sheet1!$Z$1=2,'Tabla de Pagos Crecientes'!F252,'Tabla Fijos'!F257))</f>
        <v/>
      </c>
      <c r="G312" s="362" t="str">
        <f>IF($B312="","",IF(Sheet1!$Z$1=2,'Tabla de Pagos Crecientes'!G252,'Tabla Fijos'!G257))</f>
        <v/>
      </c>
      <c r="H312" s="362" t="str">
        <f>IF($B312="","",IF(Sheet1!$Z$1=2,'Tabla de Pagos Crecientes'!H252,'Tabla Fijos'!H257))</f>
        <v/>
      </c>
      <c r="I312" s="362" t="str">
        <f>IF($B312=0,0,IF(B312="","",VLOOKUP($B312,'Tabla Fijos'!$B$12:$S$311,8,0)))</f>
        <v/>
      </c>
      <c r="J312" s="362" t="str">
        <f>IF($B312="","",IF(Sheet1!$Z$1=2,'Tabla de Pagos Crecientes'!J252,'Tabla Fijos'!K257))</f>
        <v/>
      </c>
      <c r="K312" s="362" t="str">
        <f>IF($B312="","",IF(Sheet1!$Z$1=2,'Tabla de Pagos Crecientes'!K252,'Tabla Fijos'!L257))</f>
        <v/>
      </c>
      <c r="L312" s="362" t="str">
        <f>IF($B312="","",IF(Sheet1!$Z$1=2,'Tabla de Pagos Crecientes'!L252,'Tabla Fijos'!M257))</f>
        <v/>
      </c>
      <c r="M312" s="362" t="str">
        <f>IF($B312="","",IF(Sheet1!$Z$1=2,'Tabla de Pagos Crecientes'!M252,'Tabla Fijos'!N257))</f>
        <v/>
      </c>
      <c r="N312" s="364"/>
      <c r="O312" s="362" t="str">
        <f>IF($B312="","",IF(Sheet1!$Z$1=2,'Tabla de Pagos Crecientes'!O252,'Tabla Fijos'!Q257))</f>
        <v/>
      </c>
      <c r="P312" s="362" t="str">
        <f>IF(B312="","",G312+H312+I312+J312+K312+L312-M312-'Tabla Fijos'!P257)</f>
        <v/>
      </c>
      <c r="Q312" s="362" t="str">
        <f t="shared" si="12"/>
        <v/>
      </c>
      <c r="R312" s="272">
        <f t="shared" si="10"/>
        <v>0</v>
      </c>
    </row>
    <row r="313" spans="1:18" ht="15.5" x14ac:dyDescent="0.35">
      <c r="A313" s="272"/>
      <c r="B313" s="360" t="str">
        <f t="shared" si="11"/>
        <v/>
      </c>
      <c r="C313" s="361" t="str">
        <f>IF($B313="","",'Fecha Pago'!K250)</f>
        <v/>
      </c>
      <c r="D313" s="362" t="str">
        <f>IF($B$67="","",'Fecha Pago'!L250)</f>
        <v/>
      </c>
      <c r="E313" s="363" t="str">
        <f>IF(B313="","",IF(Sheet1!$Z$1=2,'Tabla de Pagos Crecientes'!E253,$F$62))</f>
        <v/>
      </c>
      <c r="F313" s="362" t="str">
        <f>IF($B313="","",IF(Sheet1!$Z$1=2,'Tabla de Pagos Crecientes'!F253,'Tabla Fijos'!F258))</f>
        <v/>
      </c>
      <c r="G313" s="362" t="str">
        <f>IF($B313="","",IF(Sheet1!$Z$1=2,'Tabla de Pagos Crecientes'!G253,'Tabla Fijos'!G258))</f>
        <v/>
      </c>
      <c r="H313" s="362" t="str">
        <f>IF($B313="","",IF(Sheet1!$Z$1=2,'Tabla de Pagos Crecientes'!H253,'Tabla Fijos'!H258))</f>
        <v/>
      </c>
      <c r="I313" s="362" t="str">
        <f>IF($B313=0,0,IF(B313="","",VLOOKUP($B313,'Tabla Fijos'!$B$12:$S$311,8,0)))</f>
        <v/>
      </c>
      <c r="J313" s="362" t="str">
        <f>IF($B313="","",IF(Sheet1!$Z$1=2,'Tabla de Pagos Crecientes'!J253,'Tabla Fijos'!K258))</f>
        <v/>
      </c>
      <c r="K313" s="362" t="str">
        <f>IF($B313="","",IF(Sheet1!$Z$1=2,'Tabla de Pagos Crecientes'!K253,'Tabla Fijos'!L258))</f>
        <v/>
      </c>
      <c r="L313" s="362" t="str">
        <f>IF($B313="","",IF(Sheet1!$Z$1=2,'Tabla de Pagos Crecientes'!L253,'Tabla Fijos'!M258))</f>
        <v/>
      </c>
      <c r="M313" s="362" t="str">
        <f>IF($B313="","",IF(Sheet1!$Z$1=2,'Tabla de Pagos Crecientes'!M253,'Tabla Fijos'!N258))</f>
        <v/>
      </c>
      <c r="N313" s="364"/>
      <c r="O313" s="362" t="str">
        <f>IF($B313="","",IF(Sheet1!$Z$1=2,'Tabla de Pagos Crecientes'!O253,'Tabla Fijos'!Q258))</f>
        <v/>
      </c>
      <c r="P313" s="362" t="str">
        <f>IF(B313="","",G313+H313+I313+J313+K313+L313-M313-'Tabla Fijos'!P258)</f>
        <v/>
      </c>
      <c r="Q313" s="362" t="str">
        <f t="shared" si="12"/>
        <v/>
      </c>
      <c r="R313" s="272">
        <f t="shared" si="10"/>
        <v>0</v>
      </c>
    </row>
    <row r="314" spans="1:18" ht="15.5" x14ac:dyDescent="0.35">
      <c r="A314" s="272"/>
      <c r="B314" s="360" t="str">
        <f t="shared" si="11"/>
        <v/>
      </c>
      <c r="C314" s="361" t="str">
        <f>IF($B314="","",'Fecha Pago'!K251)</f>
        <v/>
      </c>
      <c r="D314" s="362" t="str">
        <f>IF($B$67="","",'Fecha Pago'!L251)</f>
        <v/>
      </c>
      <c r="E314" s="363" t="str">
        <f>IF(B314="","",IF(Sheet1!$Z$1=2,'Tabla de Pagos Crecientes'!E254,$F$62))</f>
        <v/>
      </c>
      <c r="F314" s="362" t="str">
        <f>IF($B314="","",IF(Sheet1!$Z$1=2,'Tabla de Pagos Crecientes'!F254,'Tabla Fijos'!F259))</f>
        <v/>
      </c>
      <c r="G314" s="362" t="str">
        <f>IF($B314="","",IF(Sheet1!$Z$1=2,'Tabla de Pagos Crecientes'!G254,'Tabla Fijos'!G259))</f>
        <v/>
      </c>
      <c r="H314" s="362" t="str">
        <f>IF($B314="","",IF(Sheet1!$Z$1=2,'Tabla de Pagos Crecientes'!H254,'Tabla Fijos'!H259))</f>
        <v/>
      </c>
      <c r="I314" s="362" t="str">
        <f>IF($B314=0,0,IF(B314="","",VLOOKUP($B314,'Tabla Fijos'!$B$12:$S$311,8,0)))</f>
        <v/>
      </c>
      <c r="J314" s="362" t="str">
        <f>IF($B314="","",IF(Sheet1!$Z$1=2,'Tabla de Pagos Crecientes'!J254,'Tabla Fijos'!K259))</f>
        <v/>
      </c>
      <c r="K314" s="362" t="str">
        <f>IF($B314="","",IF(Sheet1!$Z$1=2,'Tabla de Pagos Crecientes'!K254,'Tabla Fijos'!L259))</f>
        <v/>
      </c>
      <c r="L314" s="362" t="str">
        <f>IF($B314="","",IF(Sheet1!$Z$1=2,'Tabla de Pagos Crecientes'!L254,'Tabla Fijos'!M259))</f>
        <v/>
      </c>
      <c r="M314" s="362" t="str">
        <f>IF($B314="","",IF(Sheet1!$Z$1=2,'Tabla de Pagos Crecientes'!M254,'Tabla Fijos'!N259))</f>
        <v/>
      </c>
      <c r="N314" s="364"/>
      <c r="O314" s="362" t="str">
        <f>IF($B314="","",IF(Sheet1!$Z$1=2,'Tabla de Pagos Crecientes'!O254,'Tabla Fijos'!Q259))</f>
        <v/>
      </c>
      <c r="P314" s="362" t="str">
        <f>IF(B314="","",G314+H314+I314+J314+K314+L314-M314-'Tabla Fijos'!P259)</f>
        <v/>
      </c>
      <c r="Q314" s="362" t="str">
        <f t="shared" si="12"/>
        <v/>
      </c>
      <c r="R314" s="272">
        <f t="shared" si="10"/>
        <v>0</v>
      </c>
    </row>
    <row r="315" spans="1:18" ht="15.5" x14ac:dyDescent="0.35">
      <c r="A315" s="272"/>
      <c r="B315" s="360" t="str">
        <f t="shared" si="11"/>
        <v/>
      </c>
      <c r="C315" s="361" t="str">
        <f>IF($B315="","",'Fecha Pago'!K252)</f>
        <v/>
      </c>
      <c r="D315" s="362" t="str">
        <f>IF($B$67="","",'Fecha Pago'!L252)</f>
        <v/>
      </c>
      <c r="E315" s="363" t="str">
        <f>IF(B315="","",IF(Sheet1!$Z$1=2,'Tabla de Pagos Crecientes'!E255,$F$62))</f>
        <v/>
      </c>
      <c r="F315" s="362" t="str">
        <f>IF($B315="","",IF(Sheet1!$Z$1=2,'Tabla de Pagos Crecientes'!F255,'Tabla Fijos'!F260))</f>
        <v/>
      </c>
      <c r="G315" s="362" t="str">
        <f>IF($B315="","",IF(Sheet1!$Z$1=2,'Tabla de Pagos Crecientes'!G255,'Tabla Fijos'!G260))</f>
        <v/>
      </c>
      <c r="H315" s="362" t="str">
        <f>IF($B315="","",IF(Sheet1!$Z$1=2,'Tabla de Pagos Crecientes'!H255,'Tabla Fijos'!H260))</f>
        <v/>
      </c>
      <c r="I315" s="362" t="str">
        <f>IF($B315=0,0,IF(B315="","",VLOOKUP($B315,'Tabla Fijos'!$B$12:$S$311,8,0)))</f>
        <v/>
      </c>
      <c r="J315" s="362" t="str">
        <f>IF($B315="","",IF(Sheet1!$Z$1=2,'Tabla de Pagos Crecientes'!J255,'Tabla Fijos'!K260))</f>
        <v/>
      </c>
      <c r="K315" s="362" t="str">
        <f>IF($B315="","",IF(Sheet1!$Z$1=2,'Tabla de Pagos Crecientes'!K255,'Tabla Fijos'!L260))</f>
        <v/>
      </c>
      <c r="L315" s="362" t="str">
        <f>IF($B315="","",IF(Sheet1!$Z$1=2,'Tabla de Pagos Crecientes'!L255,'Tabla Fijos'!M260))</f>
        <v/>
      </c>
      <c r="M315" s="362" t="str">
        <f>IF($B315="","",IF(Sheet1!$Z$1=2,'Tabla de Pagos Crecientes'!M255,'Tabla Fijos'!N260))</f>
        <v/>
      </c>
      <c r="N315" s="364"/>
      <c r="O315" s="362" t="str">
        <f>IF($B315="","",IF(Sheet1!$Z$1=2,'Tabla de Pagos Crecientes'!O255,'Tabla Fijos'!Q260))</f>
        <v/>
      </c>
      <c r="P315" s="362" t="str">
        <f>IF(B315="","",G315+H315+I315+J315+K315+L315-M315-'Tabla Fijos'!P260)</f>
        <v/>
      </c>
      <c r="Q315" s="362" t="str">
        <f t="shared" si="12"/>
        <v/>
      </c>
      <c r="R315" s="272">
        <f t="shared" si="10"/>
        <v>0</v>
      </c>
    </row>
    <row r="316" spans="1:18" ht="15.5" x14ac:dyDescent="0.35">
      <c r="A316" s="272"/>
      <c r="B316" s="360" t="str">
        <f t="shared" si="11"/>
        <v/>
      </c>
      <c r="C316" s="361" t="str">
        <f>IF($B316="","",'Fecha Pago'!K253)</f>
        <v/>
      </c>
      <c r="D316" s="362" t="str">
        <f>IF($B$67="","",'Fecha Pago'!L253)</f>
        <v/>
      </c>
      <c r="E316" s="363" t="str">
        <f>IF(B316="","",IF(Sheet1!$Z$1=2,'Tabla de Pagos Crecientes'!E256,$F$62))</f>
        <v/>
      </c>
      <c r="F316" s="362" t="str">
        <f>IF($B316="","",IF(Sheet1!$Z$1=2,'Tabla de Pagos Crecientes'!F256,'Tabla Fijos'!F261))</f>
        <v/>
      </c>
      <c r="G316" s="362" t="str">
        <f>IF($B316="","",IF(Sheet1!$Z$1=2,'Tabla de Pagos Crecientes'!G256,'Tabla Fijos'!G261))</f>
        <v/>
      </c>
      <c r="H316" s="362" t="str">
        <f>IF($B316="","",IF(Sheet1!$Z$1=2,'Tabla de Pagos Crecientes'!H256,'Tabla Fijos'!H261))</f>
        <v/>
      </c>
      <c r="I316" s="362" t="str">
        <f>IF($B316=0,0,IF(B316="","",VLOOKUP($B316,'Tabla Fijos'!$B$12:$S$311,8,0)))</f>
        <v/>
      </c>
      <c r="J316" s="362" t="str">
        <f>IF($B316="","",IF(Sheet1!$Z$1=2,'Tabla de Pagos Crecientes'!J256,'Tabla Fijos'!K261))</f>
        <v/>
      </c>
      <c r="K316" s="362" t="str">
        <f>IF($B316="","",IF(Sheet1!$Z$1=2,'Tabla de Pagos Crecientes'!K256,'Tabla Fijos'!L261))</f>
        <v/>
      </c>
      <c r="L316" s="362" t="str">
        <f>IF($B316="","",IF(Sheet1!$Z$1=2,'Tabla de Pagos Crecientes'!L256,'Tabla Fijos'!M261))</f>
        <v/>
      </c>
      <c r="M316" s="362" t="str">
        <f>IF($B316="","",IF(Sheet1!$Z$1=2,'Tabla de Pagos Crecientes'!M256,'Tabla Fijos'!N261))</f>
        <v/>
      </c>
      <c r="N316" s="364"/>
      <c r="O316" s="362" t="str">
        <f>IF($B316="","",IF(Sheet1!$Z$1=2,'Tabla de Pagos Crecientes'!O256,'Tabla Fijos'!Q261))</f>
        <v/>
      </c>
      <c r="P316" s="362" t="str">
        <f>IF(B316="","",G316+H316+I316+J316+K316+L316-M316-'Tabla Fijos'!P261)</f>
        <v/>
      </c>
      <c r="Q316" s="362" t="str">
        <f t="shared" si="12"/>
        <v/>
      </c>
      <c r="R316" s="272">
        <f t="shared" si="10"/>
        <v>0</v>
      </c>
    </row>
    <row r="317" spans="1:18" ht="15.5" x14ac:dyDescent="0.35">
      <c r="A317" s="272"/>
      <c r="B317" s="360" t="str">
        <f t="shared" si="11"/>
        <v/>
      </c>
      <c r="C317" s="361" t="str">
        <f>IF($B317="","",'Fecha Pago'!K254)</f>
        <v/>
      </c>
      <c r="D317" s="362" t="str">
        <f>IF($B$67="","",'Fecha Pago'!L254)</f>
        <v/>
      </c>
      <c r="E317" s="363" t="str">
        <f>IF(B317="","",IF(Sheet1!$Z$1=2,'Tabla de Pagos Crecientes'!E257,$F$62))</f>
        <v/>
      </c>
      <c r="F317" s="362" t="str">
        <f>IF($B317="","",IF(Sheet1!$Z$1=2,'Tabla de Pagos Crecientes'!F257,'Tabla Fijos'!F262))</f>
        <v/>
      </c>
      <c r="G317" s="362" t="str">
        <f>IF($B317="","",IF(Sheet1!$Z$1=2,'Tabla de Pagos Crecientes'!G257,'Tabla Fijos'!G262))</f>
        <v/>
      </c>
      <c r="H317" s="362" t="str">
        <f>IF($B317="","",IF(Sheet1!$Z$1=2,'Tabla de Pagos Crecientes'!H257,'Tabla Fijos'!H262))</f>
        <v/>
      </c>
      <c r="I317" s="362" t="str">
        <f>IF($B317=0,0,IF(B317="","",VLOOKUP($B317,'Tabla Fijos'!$B$12:$S$311,8,0)))</f>
        <v/>
      </c>
      <c r="J317" s="362" t="str">
        <f>IF($B317="","",IF(Sheet1!$Z$1=2,'Tabla de Pagos Crecientes'!J257,'Tabla Fijos'!K262))</f>
        <v/>
      </c>
      <c r="K317" s="362" t="str">
        <f>IF($B317="","",IF(Sheet1!$Z$1=2,'Tabla de Pagos Crecientes'!K257,'Tabla Fijos'!L262))</f>
        <v/>
      </c>
      <c r="L317" s="362" t="str">
        <f>IF($B317="","",IF(Sheet1!$Z$1=2,'Tabla de Pagos Crecientes'!L257,'Tabla Fijos'!M262))</f>
        <v/>
      </c>
      <c r="M317" s="362" t="str">
        <f>IF($B317="","",IF(Sheet1!$Z$1=2,'Tabla de Pagos Crecientes'!M257,'Tabla Fijos'!N262))</f>
        <v/>
      </c>
      <c r="N317" s="364"/>
      <c r="O317" s="362" t="str">
        <f>IF($B317="","",IF(Sheet1!$Z$1=2,'Tabla de Pagos Crecientes'!O257,'Tabla Fijos'!Q262))</f>
        <v/>
      </c>
      <c r="P317" s="362" t="str">
        <f>IF(B317="","",G317+H317+I317+J317+K317+L317-M317-'Tabla Fijos'!P262)</f>
        <v/>
      </c>
      <c r="Q317" s="362" t="str">
        <f t="shared" si="12"/>
        <v/>
      </c>
      <c r="R317" s="272">
        <f t="shared" si="10"/>
        <v>0</v>
      </c>
    </row>
    <row r="318" spans="1:18" ht="15.5" x14ac:dyDescent="0.35">
      <c r="A318" s="272"/>
      <c r="B318" s="360" t="str">
        <f t="shared" si="11"/>
        <v/>
      </c>
      <c r="C318" s="361" t="str">
        <f>IF($B318="","",'Fecha Pago'!K255)</f>
        <v/>
      </c>
      <c r="D318" s="362" t="str">
        <f>IF($B$67="","",'Fecha Pago'!L255)</f>
        <v/>
      </c>
      <c r="E318" s="363" t="str">
        <f>IF(B318="","",IF(Sheet1!$Z$1=2,'Tabla de Pagos Crecientes'!E258,$F$62))</f>
        <v/>
      </c>
      <c r="F318" s="362" t="str">
        <f>IF($B318="","",IF(Sheet1!$Z$1=2,'Tabla de Pagos Crecientes'!F258,'Tabla Fijos'!F263))</f>
        <v/>
      </c>
      <c r="G318" s="362" t="str">
        <f>IF($B318="","",IF(Sheet1!$Z$1=2,'Tabla de Pagos Crecientes'!G258,'Tabla Fijos'!G263))</f>
        <v/>
      </c>
      <c r="H318" s="362" t="str">
        <f>IF($B318="","",IF(Sheet1!$Z$1=2,'Tabla de Pagos Crecientes'!H258,'Tabla Fijos'!H263))</f>
        <v/>
      </c>
      <c r="I318" s="362" t="str">
        <f>IF($B318=0,0,IF(B318="","",VLOOKUP($B318,'Tabla Fijos'!$B$12:$S$311,8,0)))</f>
        <v/>
      </c>
      <c r="J318" s="362" t="str">
        <f>IF($B318="","",IF(Sheet1!$Z$1=2,'Tabla de Pagos Crecientes'!J258,'Tabla Fijos'!K263))</f>
        <v/>
      </c>
      <c r="K318" s="362" t="str">
        <f>IF($B318="","",IF(Sheet1!$Z$1=2,'Tabla de Pagos Crecientes'!K258,'Tabla Fijos'!L263))</f>
        <v/>
      </c>
      <c r="L318" s="362" t="str">
        <f>IF($B318="","",IF(Sheet1!$Z$1=2,'Tabla de Pagos Crecientes'!L258,'Tabla Fijos'!M263))</f>
        <v/>
      </c>
      <c r="M318" s="362" t="str">
        <f>IF($B318="","",IF(Sheet1!$Z$1=2,'Tabla de Pagos Crecientes'!M258,'Tabla Fijos'!N263))</f>
        <v/>
      </c>
      <c r="N318" s="364"/>
      <c r="O318" s="362" t="str">
        <f>IF($B318="","",IF(Sheet1!$Z$1=2,'Tabla de Pagos Crecientes'!O258,'Tabla Fijos'!Q263))</f>
        <v/>
      </c>
      <c r="P318" s="362" t="str">
        <f>IF(B318="","",G318+H318+I318+J318+K318+L318-M318-'Tabla Fijos'!P263)</f>
        <v/>
      </c>
      <c r="Q318" s="362" t="str">
        <f t="shared" si="12"/>
        <v/>
      </c>
      <c r="R318" s="272">
        <f t="shared" si="10"/>
        <v>0</v>
      </c>
    </row>
    <row r="319" spans="1:18" ht="15.5" x14ac:dyDescent="0.35">
      <c r="A319" s="272"/>
      <c r="B319" s="360" t="str">
        <f t="shared" si="11"/>
        <v/>
      </c>
      <c r="C319" s="361" t="str">
        <f>IF($B319="","",'Fecha Pago'!K256)</f>
        <v/>
      </c>
      <c r="D319" s="362" t="str">
        <f>IF($B$67="","",'Fecha Pago'!L256)</f>
        <v/>
      </c>
      <c r="E319" s="363" t="str">
        <f>IF(B319="","",IF(Sheet1!$Z$1=2,'Tabla de Pagos Crecientes'!E259,$F$62))</f>
        <v/>
      </c>
      <c r="F319" s="362" t="str">
        <f>IF($B319="","",IF(Sheet1!$Z$1=2,'Tabla de Pagos Crecientes'!F259,'Tabla Fijos'!F264))</f>
        <v/>
      </c>
      <c r="G319" s="362" t="str">
        <f>IF($B319="","",IF(Sheet1!$Z$1=2,'Tabla de Pagos Crecientes'!G259,'Tabla Fijos'!G264))</f>
        <v/>
      </c>
      <c r="H319" s="362" t="str">
        <f>IF($B319="","",IF(Sheet1!$Z$1=2,'Tabla de Pagos Crecientes'!H259,'Tabla Fijos'!H264))</f>
        <v/>
      </c>
      <c r="I319" s="362" t="str">
        <f>IF($B319=0,0,IF(B319="","",VLOOKUP($B319,'Tabla Fijos'!$B$12:$S$311,8,0)))</f>
        <v/>
      </c>
      <c r="J319" s="362" t="str">
        <f>IF($B319="","",IF(Sheet1!$Z$1=2,'Tabla de Pagos Crecientes'!J259,'Tabla Fijos'!K264))</f>
        <v/>
      </c>
      <c r="K319" s="362" t="str">
        <f>IF($B319="","",IF(Sheet1!$Z$1=2,'Tabla de Pagos Crecientes'!K259,'Tabla Fijos'!L264))</f>
        <v/>
      </c>
      <c r="L319" s="362" t="str">
        <f>IF($B319="","",IF(Sheet1!$Z$1=2,'Tabla de Pagos Crecientes'!L259,'Tabla Fijos'!M264))</f>
        <v/>
      </c>
      <c r="M319" s="362" t="str">
        <f>IF($B319="","",IF(Sheet1!$Z$1=2,'Tabla de Pagos Crecientes'!M259,'Tabla Fijos'!N264))</f>
        <v/>
      </c>
      <c r="N319" s="364"/>
      <c r="O319" s="362" t="str">
        <f>IF($B319="","",IF(Sheet1!$Z$1=2,'Tabla de Pagos Crecientes'!O259,'Tabla Fijos'!Q264))</f>
        <v/>
      </c>
      <c r="P319" s="362" t="str">
        <f>IF(B319="","",G319+H319+I319+J319+K319+L319-M319-'Tabla Fijos'!P264)</f>
        <v/>
      </c>
      <c r="Q319" s="362" t="str">
        <f t="shared" si="12"/>
        <v/>
      </c>
      <c r="R319" s="272">
        <f t="shared" si="10"/>
        <v>0</v>
      </c>
    </row>
    <row r="320" spans="1:18" ht="15.5" x14ac:dyDescent="0.35">
      <c r="A320" s="272"/>
      <c r="B320" s="360" t="str">
        <f t="shared" si="11"/>
        <v/>
      </c>
      <c r="C320" s="361" t="str">
        <f>IF($B320="","",'Fecha Pago'!K257)</f>
        <v/>
      </c>
      <c r="D320" s="362" t="str">
        <f>IF($B$67="","",'Fecha Pago'!L257)</f>
        <v/>
      </c>
      <c r="E320" s="363" t="str">
        <f>IF(B320="","",IF(Sheet1!$Z$1=2,'Tabla de Pagos Crecientes'!E260,$F$62))</f>
        <v/>
      </c>
      <c r="F320" s="362" t="str">
        <f>IF($B320="","",IF(Sheet1!$Z$1=2,'Tabla de Pagos Crecientes'!F260,'Tabla Fijos'!F265))</f>
        <v/>
      </c>
      <c r="G320" s="362" t="str">
        <f>IF($B320="","",IF(Sheet1!$Z$1=2,'Tabla de Pagos Crecientes'!G260,'Tabla Fijos'!G265))</f>
        <v/>
      </c>
      <c r="H320" s="362" t="str">
        <f>IF($B320="","",IF(Sheet1!$Z$1=2,'Tabla de Pagos Crecientes'!H260,'Tabla Fijos'!H265))</f>
        <v/>
      </c>
      <c r="I320" s="362" t="str">
        <f>IF($B320=0,0,IF(B320="","",VLOOKUP($B320,'Tabla Fijos'!$B$12:$S$311,8,0)))</f>
        <v/>
      </c>
      <c r="J320" s="362" t="str">
        <f>IF($B320="","",IF(Sheet1!$Z$1=2,'Tabla de Pagos Crecientes'!J260,'Tabla Fijos'!K265))</f>
        <v/>
      </c>
      <c r="K320" s="362" t="str">
        <f>IF($B320="","",IF(Sheet1!$Z$1=2,'Tabla de Pagos Crecientes'!K260,'Tabla Fijos'!L265))</f>
        <v/>
      </c>
      <c r="L320" s="362" t="str">
        <f>IF($B320="","",IF(Sheet1!$Z$1=2,'Tabla de Pagos Crecientes'!L260,'Tabla Fijos'!M265))</f>
        <v/>
      </c>
      <c r="M320" s="362" t="str">
        <f>IF($B320="","",IF(Sheet1!$Z$1=2,'Tabla de Pagos Crecientes'!M260,'Tabla Fijos'!N265))</f>
        <v/>
      </c>
      <c r="N320" s="364"/>
      <c r="O320" s="362" t="str">
        <f>IF($B320="","",IF(Sheet1!$Z$1=2,'Tabla de Pagos Crecientes'!O260,'Tabla Fijos'!Q265))</f>
        <v/>
      </c>
      <c r="P320" s="362" t="str">
        <f>IF(B320="","",G320+H320+I320+J320+K320+L320-M320-'Tabla Fijos'!P265)</f>
        <v/>
      </c>
      <c r="Q320" s="362" t="str">
        <f t="shared" si="12"/>
        <v/>
      </c>
      <c r="R320" s="272">
        <f t="shared" si="10"/>
        <v>0</v>
      </c>
    </row>
    <row r="321" spans="1:18" ht="15.5" x14ac:dyDescent="0.35">
      <c r="A321" s="272"/>
      <c r="B321" s="360" t="str">
        <f t="shared" si="11"/>
        <v/>
      </c>
      <c r="C321" s="361" t="str">
        <f>IF($B321="","",'Fecha Pago'!K258)</f>
        <v/>
      </c>
      <c r="D321" s="362" t="str">
        <f>IF($B$67="","",'Fecha Pago'!L258)</f>
        <v/>
      </c>
      <c r="E321" s="363" t="str">
        <f>IF(B321="","",IF(Sheet1!$Z$1=2,'Tabla de Pagos Crecientes'!E261,$F$62))</f>
        <v/>
      </c>
      <c r="F321" s="362" t="str">
        <f>IF($B321="","",IF(Sheet1!$Z$1=2,'Tabla de Pagos Crecientes'!F261,'Tabla Fijos'!F266))</f>
        <v/>
      </c>
      <c r="G321" s="362" t="str">
        <f>IF($B321="","",IF(Sheet1!$Z$1=2,'Tabla de Pagos Crecientes'!G261,'Tabla Fijos'!G266))</f>
        <v/>
      </c>
      <c r="H321" s="362" t="str">
        <f>IF($B321="","",IF(Sheet1!$Z$1=2,'Tabla de Pagos Crecientes'!H261,'Tabla Fijos'!H266))</f>
        <v/>
      </c>
      <c r="I321" s="362" t="str">
        <f>IF($B321=0,0,IF(B321="","",VLOOKUP($B321,'Tabla Fijos'!$B$12:$S$311,8,0)))</f>
        <v/>
      </c>
      <c r="J321" s="362" t="str">
        <f>IF($B321="","",IF(Sheet1!$Z$1=2,'Tabla de Pagos Crecientes'!J261,'Tabla Fijos'!K266))</f>
        <v/>
      </c>
      <c r="K321" s="362" t="str">
        <f>IF($B321="","",IF(Sheet1!$Z$1=2,'Tabla de Pagos Crecientes'!K261,'Tabla Fijos'!L266))</f>
        <v/>
      </c>
      <c r="L321" s="362" t="str">
        <f>IF($B321="","",IF(Sheet1!$Z$1=2,'Tabla de Pagos Crecientes'!L261,'Tabla Fijos'!M266))</f>
        <v/>
      </c>
      <c r="M321" s="362" t="str">
        <f>IF($B321="","",IF(Sheet1!$Z$1=2,'Tabla de Pagos Crecientes'!M261,'Tabla Fijos'!N266))</f>
        <v/>
      </c>
      <c r="N321" s="364"/>
      <c r="O321" s="362" t="str">
        <f>IF($B321="","",IF(Sheet1!$Z$1=2,'Tabla de Pagos Crecientes'!O261,'Tabla Fijos'!Q266))</f>
        <v/>
      </c>
      <c r="P321" s="362" t="str">
        <f>IF(B321="","",G321+H321+I321+J321+K321+L321-M321-'Tabla Fijos'!P266)</f>
        <v/>
      </c>
      <c r="Q321" s="362" t="str">
        <f t="shared" si="12"/>
        <v/>
      </c>
      <c r="R321" s="272">
        <f t="shared" si="10"/>
        <v>0</v>
      </c>
    </row>
    <row r="322" spans="1:18" ht="15.5" x14ac:dyDescent="0.35">
      <c r="A322" s="272"/>
      <c r="B322" s="360" t="str">
        <f t="shared" si="11"/>
        <v/>
      </c>
      <c r="C322" s="361" t="str">
        <f>IF($B322="","",'Fecha Pago'!K259)</f>
        <v/>
      </c>
      <c r="D322" s="362" t="str">
        <f>IF($B$67="","",'Fecha Pago'!L259)</f>
        <v/>
      </c>
      <c r="E322" s="363" t="str">
        <f>IF(B322="","",IF(Sheet1!$Z$1=2,'Tabla de Pagos Crecientes'!E262,$F$62))</f>
        <v/>
      </c>
      <c r="F322" s="362" t="str">
        <f>IF($B322="","",IF(Sheet1!$Z$1=2,'Tabla de Pagos Crecientes'!F262,'Tabla Fijos'!F267))</f>
        <v/>
      </c>
      <c r="G322" s="362" t="str">
        <f>IF($B322="","",IF(Sheet1!$Z$1=2,'Tabla de Pagos Crecientes'!G262,'Tabla Fijos'!G267))</f>
        <v/>
      </c>
      <c r="H322" s="362" t="str">
        <f>IF($B322="","",IF(Sheet1!$Z$1=2,'Tabla de Pagos Crecientes'!H262,'Tabla Fijos'!H267))</f>
        <v/>
      </c>
      <c r="I322" s="362" t="str">
        <f>IF($B322=0,0,IF(B322="","",VLOOKUP($B322,'Tabla Fijos'!$B$12:$S$311,8,0)))</f>
        <v/>
      </c>
      <c r="J322" s="362" t="str">
        <f>IF($B322="","",IF(Sheet1!$Z$1=2,'Tabla de Pagos Crecientes'!J262,'Tabla Fijos'!K267))</f>
        <v/>
      </c>
      <c r="K322" s="362" t="str">
        <f>IF($B322="","",IF(Sheet1!$Z$1=2,'Tabla de Pagos Crecientes'!K262,'Tabla Fijos'!L267))</f>
        <v/>
      </c>
      <c r="L322" s="362" t="str">
        <f>IF($B322="","",IF(Sheet1!$Z$1=2,'Tabla de Pagos Crecientes'!L262,'Tabla Fijos'!M267))</f>
        <v/>
      </c>
      <c r="M322" s="362" t="str">
        <f>IF($B322="","",IF(Sheet1!$Z$1=2,'Tabla de Pagos Crecientes'!M262,'Tabla Fijos'!N267))</f>
        <v/>
      </c>
      <c r="N322" s="364"/>
      <c r="O322" s="362" t="str">
        <f>IF($B322="","",IF(Sheet1!$Z$1=2,'Tabla de Pagos Crecientes'!O262,'Tabla Fijos'!Q267))</f>
        <v/>
      </c>
      <c r="P322" s="362" t="str">
        <f>IF(B322="","",G322+H322+I322+J322+K322+L322-M322-'Tabla Fijos'!P267)</f>
        <v/>
      </c>
      <c r="Q322" s="362" t="str">
        <f t="shared" si="12"/>
        <v/>
      </c>
      <c r="R322" s="272">
        <f t="shared" si="10"/>
        <v>0</v>
      </c>
    </row>
    <row r="323" spans="1:18" ht="15.5" x14ac:dyDescent="0.35">
      <c r="A323" s="272"/>
      <c r="B323" s="360" t="str">
        <f t="shared" si="11"/>
        <v/>
      </c>
      <c r="C323" s="361" t="str">
        <f>IF($B323="","",'Fecha Pago'!K260)</f>
        <v/>
      </c>
      <c r="D323" s="362" t="str">
        <f>IF($B$67="","",'Fecha Pago'!L260)</f>
        <v/>
      </c>
      <c r="E323" s="363" t="str">
        <f>IF(B323="","",IF(Sheet1!$Z$1=2,'Tabla de Pagos Crecientes'!E263,$F$62))</f>
        <v/>
      </c>
      <c r="F323" s="362" t="str">
        <f>IF($B323="","",IF(Sheet1!$Z$1=2,'Tabla de Pagos Crecientes'!F263,'Tabla Fijos'!F268))</f>
        <v/>
      </c>
      <c r="G323" s="362" t="str">
        <f>IF($B323="","",IF(Sheet1!$Z$1=2,'Tabla de Pagos Crecientes'!G263,'Tabla Fijos'!G268))</f>
        <v/>
      </c>
      <c r="H323" s="362" t="str">
        <f>IF($B323="","",IF(Sheet1!$Z$1=2,'Tabla de Pagos Crecientes'!H263,'Tabla Fijos'!H268))</f>
        <v/>
      </c>
      <c r="I323" s="362" t="str">
        <f>IF($B323=0,0,IF(B323="","",VLOOKUP($B323,'Tabla Fijos'!$B$12:$S$311,8,0)))</f>
        <v/>
      </c>
      <c r="J323" s="362" t="str">
        <f>IF($B323="","",IF(Sheet1!$Z$1=2,'Tabla de Pagos Crecientes'!J263,'Tabla Fijos'!K268))</f>
        <v/>
      </c>
      <c r="K323" s="362" t="str">
        <f>IF($B323="","",IF(Sheet1!$Z$1=2,'Tabla de Pagos Crecientes'!K263,'Tabla Fijos'!L268))</f>
        <v/>
      </c>
      <c r="L323" s="362" t="str">
        <f>IF($B323="","",IF(Sheet1!$Z$1=2,'Tabla de Pagos Crecientes'!L263,'Tabla Fijos'!M268))</f>
        <v/>
      </c>
      <c r="M323" s="362" t="str">
        <f>IF($B323="","",IF(Sheet1!$Z$1=2,'Tabla de Pagos Crecientes'!M263,'Tabla Fijos'!N268))</f>
        <v/>
      </c>
      <c r="N323" s="364"/>
      <c r="O323" s="362" t="str">
        <f>IF($B323="","",IF(Sheet1!$Z$1=2,'Tabla de Pagos Crecientes'!O263,'Tabla Fijos'!Q268))</f>
        <v/>
      </c>
      <c r="P323" s="362" t="str">
        <f>IF(B323="","",G323+H323+I323+J323+K323+L323-M323-'Tabla Fijos'!P268)</f>
        <v/>
      </c>
      <c r="Q323" s="362" t="str">
        <f t="shared" si="12"/>
        <v/>
      </c>
      <c r="R323" s="272">
        <f t="shared" si="10"/>
        <v>0</v>
      </c>
    </row>
    <row r="324" spans="1:18" ht="15.5" x14ac:dyDescent="0.35">
      <c r="A324" s="272"/>
      <c r="B324" s="360" t="str">
        <f t="shared" si="11"/>
        <v/>
      </c>
      <c r="C324" s="361" t="str">
        <f>IF($B324="","",'Fecha Pago'!K261)</f>
        <v/>
      </c>
      <c r="D324" s="362" t="str">
        <f>IF($B$67="","",'Fecha Pago'!L261)</f>
        <v/>
      </c>
      <c r="E324" s="363" t="str">
        <f>IF(B324="","",IF(Sheet1!$Z$1=2,'Tabla de Pagos Crecientes'!E264,$F$62))</f>
        <v/>
      </c>
      <c r="F324" s="362" t="str">
        <f>IF($B324="","",IF(Sheet1!$Z$1=2,'Tabla de Pagos Crecientes'!F264,'Tabla Fijos'!F269))</f>
        <v/>
      </c>
      <c r="G324" s="362" t="str">
        <f>IF($B324="","",IF(Sheet1!$Z$1=2,'Tabla de Pagos Crecientes'!G264,'Tabla Fijos'!G269))</f>
        <v/>
      </c>
      <c r="H324" s="362" t="str">
        <f>IF($B324="","",IF(Sheet1!$Z$1=2,'Tabla de Pagos Crecientes'!H264,'Tabla Fijos'!H269))</f>
        <v/>
      </c>
      <c r="I324" s="362" t="str">
        <f>IF($B324=0,0,IF(B324="","",VLOOKUP($B324,'Tabla Fijos'!$B$12:$S$311,8,0)))</f>
        <v/>
      </c>
      <c r="J324" s="362" t="str">
        <f>IF($B324="","",IF(Sheet1!$Z$1=2,'Tabla de Pagos Crecientes'!J264,'Tabla Fijos'!K269))</f>
        <v/>
      </c>
      <c r="K324" s="362" t="str">
        <f>IF($B324="","",IF(Sheet1!$Z$1=2,'Tabla de Pagos Crecientes'!K264,'Tabla Fijos'!L269))</f>
        <v/>
      </c>
      <c r="L324" s="362" t="str">
        <f>IF($B324="","",IF(Sheet1!$Z$1=2,'Tabla de Pagos Crecientes'!L264,'Tabla Fijos'!M269))</f>
        <v/>
      </c>
      <c r="M324" s="362" t="str">
        <f>IF($B324="","",IF(Sheet1!$Z$1=2,'Tabla de Pagos Crecientes'!M264,'Tabla Fijos'!N269))</f>
        <v/>
      </c>
      <c r="N324" s="364"/>
      <c r="O324" s="362" t="str">
        <f>IF($B324="","",IF(Sheet1!$Z$1=2,'Tabla de Pagos Crecientes'!O264,'Tabla Fijos'!Q269))</f>
        <v/>
      </c>
      <c r="P324" s="362" t="str">
        <f>IF(B324="","",G324+H324+I324+J324+K324+L324-M324-'Tabla Fijos'!P269)</f>
        <v/>
      </c>
      <c r="Q324" s="362" t="str">
        <f t="shared" si="12"/>
        <v/>
      </c>
      <c r="R324" s="272">
        <f t="shared" si="10"/>
        <v>0</v>
      </c>
    </row>
    <row r="325" spans="1:18" ht="15.5" x14ac:dyDescent="0.35">
      <c r="A325" s="272"/>
      <c r="B325" s="360" t="str">
        <f t="shared" ref="B325:B366" si="13">IF(B324="","",IF(B324=$H$49,"",B324+1))</f>
        <v/>
      </c>
      <c r="C325" s="361" t="str">
        <f>IF($B325="","",'Fecha Pago'!K262)</f>
        <v/>
      </c>
      <c r="D325" s="362" t="str">
        <f>IF($B$67="","",'Fecha Pago'!L262)</f>
        <v/>
      </c>
      <c r="E325" s="363" t="str">
        <f>IF(B325="","",IF(Sheet1!$Z$1=2,'Tabla de Pagos Crecientes'!E265,$F$62))</f>
        <v/>
      </c>
      <c r="F325" s="362" t="str">
        <f>IF($B325="","",IF(Sheet1!$Z$1=2,'Tabla de Pagos Crecientes'!F265,'Tabla Fijos'!F270))</f>
        <v/>
      </c>
      <c r="G325" s="362" t="str">
        <f>IF($B325="","",IF(Sheet1!$Z$1=2,'Tabla de Pagos Crecientes'!G265,'Tabla Fijos'!G270))</f>
        <v/>
      </c>
      <c r="H325" s="362" t="str">
        <f>IF($B325="","",IF(Sheet1!$Z$1=2,'Tabla de Pagos Crecientes'!H265,'Tabla Fijos'!H270))</f>
        <v/>
      </c>
      <c r="I325" s="362" t="str">
        <f>IF($B325=0,0,IF(B325="","",VLOOKUP($B325,'Tabla Fijos'!$B$12:$S$311,8,0)))</f>
        <v/>
      </c>
      <c r="J325" s="362" t="str">
        <f>IF($B325="","",IF(Sheet1!$Z$1=2,'Tabla de Pagos Crecientes'!J265,'Tabla Fijos'!K270))</f>
        <v/>
      </c>
      <c r="K325" s="362" t="str">
        <f>IF($B325="","",IF(Sheet1!$Z$1=2,'Tabla de Pagos Crecientes'!K265,'Tabla Fijos'!L270))</f>
        <v/>
      </c>
      <c r="L325" s="362" t="str">
        <f>IF($B325="","",IF(Sheet1!$Z$1=2,'Tabla de Pagos Crecientes'!L265,'Tabla Fijos'!M270))</f>
        <v/>
      </c>
      <c r="M325" s="362" t="str">
        <f>IF($B325="","",IF(Sheet1!$Z$1=2,'Tabla de Pagos Crecientes'!M265,'Tabla Fijos'!N270))</f>
        <v/>
      </c>
      <c r="N325" s="364"/>
      <c r="O325" s="362" t="str">
        <f>IF($B325="","",IF(Sheet1!$Z$1=2,'Tabla de Pagos Crecientes'!O265,'Tabla Fijos'!Q270))</f>
        <v/>
      </c>
      <c r="P325" s="362" t="str">
        <f>IF(B325="","",G325+H325+I325+J325+K325+L325-M325-'Tabla Fijos'!P270)</f>
        <v/>
      </c>
      <c r="Q325" s="362" t="str">
        <f t="shared" si="12"/>
        <v/>
      </c>
      <c r="R325" s="272">
        <f t="shared" si="10"/>
        <v>0</v>
      </c>
    </row>
    <row r="326" spans="1:18" ht="15.5" x14ac:dyDescent="0.35">
      <c r="A326" s="272"/>
      <c r="B326" s="360" t="str">
        <f t="shared" si="13"/>
        <v/>
      </c>
      <c r="C326" s="361" t="str">
        <f>IF($B326="","",'Fecha Pago'!K263)</f>
        <v/>
      </c>
      <c r="D326" s="362" t="str">
        <f>IF($B$67="","",'Fecha Pago'!L263)</f>
        <v/>
      </c>
      <c r="E326" s="363" t="str">
        <f>IF(B326="","",IF(Sheet1!$Z$1=2,'Tabla de Pagos Crecientes'!E266,$F$62))</f>
        <v/>
      </c>
      <c r="F326" s="362" t="str">
        <f>IF($B326="","",IF(Sheet1!$Z$1=2,'Tabla de Pagos Crecientes'!F266,'Tabla Fijos'!F271))</f>
        <v/>
      </c>
      <c r="G326" s="362" t="str">
        <f>IF($B326="","",IF(Sheet1!$Z$1=2,'Tabla de Pagos Crecientes'!G266,'Tabla Fijos'!G271))</f>
        <v/>
      </c>
      <c r="H326" s="362" t="str">
        <f>IF($B326="","",IF(Sheet1!$Z$1=2,'Tabla de Pagos Crecientes'!H266,'Tabla Fijos'!H271))</f>
        <v/>
      </c>
      <c r="I326" s="362" t="str">
        <f>IF($B326=0,0,IF(B326="","",VLOOKUP($B326,'Tabla Fijos'!$B$12:$S$311,8,0)))</f>
        <v/>
      </c>
      <c r="J326" s="362" t="str">
        <f>IF($B326="","",IF(Sheet1!$Z$1=2,'Tabla de Pagos Crecientes'!J266,'Tabla Fijos'!K271))</f>
        <v/>
      </c>
      <c r="K326" s="362" t="str">
        <f>IF($B326="","",IF(Sheet1!$Z$1=2,'Tabla de Pagos Crecientes'!K266,'Tabla Fijos'!L271))</f>
        <v/>
      </c>
      <c r="L326" s="362" t="str">
        <f>IF($B326="","",IF(Sheet1!$Z$1=2,'Tabla de Pagos Crecientes'!L266,'Tabla Fijos'!M271))</f>
        <v/>
      </c>
      <c r="M326" s="362" t="str">
        <f>IF($B326="","",IF(Sheet1!$Z$1=2,'Tabla de Pagos Crecientes'!M266,'Tabla Fijos'!N271))</f>
        <v/>
      </c>
      <c r="N326" s="364"/>
      <c r="O326" s="362" t="str">
        <f>IF($B326="","",IF(Sheet1!$Z$1=2,'Tabla de Pagos Crecientes'!O266,'Tabla Fijos'!Q271))</f>
        <v/>
      </c>
      <c r="P326" s="362" t="str">
        <f>IF(B326="","",G326+H326+I326+J326+K326+L326-M326-'Tabla Fijos'!P271)</f>
        <v/>
      </c>
      <c r="Q326" s="362" t="str">
        <f t="shared" si="12"/>
        <v/>
      </c>
      <c r="R326" s="272">
        <f t="shared" si="10"/>
        <v>0</v>
      </c>
    </row>
    <row r="327" spans="1:18" ht="15.5" x14ac:dyDescent="0.35">
      <c r="A327" s="272"/>
      <c r="B327" s="360" t="str">
        <f t="shared" si="13"/>
        <v/>
      </c>
      <c r="C327" s="361" t="str">
        <f>IF($B327="","",'Fecha Pago'!K264)</f>
        <v/>
      </c>
      <c r="D327" s="362" t="str">
        <f>IF($B$67="","",'Fecha Pago'!L264)</f>
        <v/>
      </c>
      <c r="E327" s="363" t="str">
        <f>IF(B327="","",IF(Sheet1!$Z$1=2,'Tabla de Pagos Crecientes'!E267,$F$62))</f>
        <v/>
      </c>
      <c r="F327" s="362" t="str">
        <f>IF($B327="","",IF(Sheet1!$Z$1=2,'Tabla de Pagos Crecientes'!F267,'Tabla Fijos'!F272))</f>
        <v/>
      </c>
      <c r="G327" s="362" t="str">
        <f>IF($B327="","",IF(Sheet1!$Z$1=2,'Tabla de Pagos Crecientes'!G267,'Tabla Fijos'!G272))</f>
        <v/>
      </c>
      <c r="H327" s="362" t="str">
        <f>IF($B327="","",IF(Sheet1!$Z$1=2,'Tabla de Pagos Crecientes'!H267,'Tabla Fijos'!H272))</f>
        <v/>
      </c>
      <c r="I327" s="362" t="str">
        <f>IF($B327=0,0,IF(B327="","",VLOOKUP($B327,'Tabla Fijos'!$B$12:$S$311,8,0)))</f>
        <v/>
      </c>
      <c r="J327" s="362" t="str">
        <f>IF($B327="","",IF(Sheet1!$Z$1=2,'Tabla de Pagos Crecientes'!J267,'Tabla Fijos'!K272))</f>
        <v/>
      </c>
      <c r="K327" s="362" t="str">
        <f>IF($B327="","",IF(Sheet1!$Z$1=2,'Tabla de Pagos Crecientes'!K267,'Tabla Fijos'!L272))</f>
        <v/>
      </c>
      <c r="L327" s="362" t="str">
        <f>IF($B327="","",IF(Sheet1!$Z$1=2,'Tabla de Pagos Crecientes'!L267,'Tabla Fijos'!M272))</f>
        <v/>
      </c>
      <c r="M327" s="362" t="str">
        <f>IF($B327="","",IF(Sheet1!$Z$1=2,'Tabla de Pagos Crecientes'!M267,'Tabla Fijos'!N272))</f>
        <v/>
      </c>
      <c r="N327" s="364"/>
      <c r="O327" s="362" t="str">
        <f>IF($B327="","",IF(Sheet1!$Z$1=2,'Tabla de Pagos Crecientes'!O267,'Tabla Fijos'!Q272))</f>
        <v/>
      </c>
      <c r="P327" s="362" t="str">
        <f>IF(B327="","",G327+H327+I327+J327+K327+L327-M327-'Tabla Fijos'!P272)</f>
        <v/>
      </c>
      <c r="Q327" s="362" t="str">
        <f t="shared" si="12"/>
        <v/>
      </c>
      <c r="R327" s="272">
        <f t="shared" si="10"/>
        <v>0</v>
      </c>
    </row>
    <row r="328" spans="1:18" ht="15.5" x14ac:dyDescent="0.35">
      <c r="A328" s="272"/>
      <c r="B328" s="360" t="str">
        <f t="shared" si="13"/>
        <v/>
      </c>
      <c r="C328" s="361" t="str">
        <f>IF($B328="","",'Fecha Pago'!K265)</f>
        <v/>
      </c>
      <c r="D328" s="362" t="str">
        <f>IF($B$67="","",'Fecha Pago'!L265)</f>
        <v/>
      </c>
      <c r="E328" s="363" t="str">
        <f>IF(B328="","",IF(Sheet1!$Z$1=2,'Tabla de Pagos Crecientes'!E268,$F$62))</f>
        <v/>
      </c>
      <c r="F328" s="362" t="str">
        <f>IF($B328="","",IF(Sheet1!$Z$1=2,'Tabla de Pagos Crecientes'!F268,'Tabla Fijos'!F273))</f>
        <v/>
      </c>
      <c r="G328" s="362" t="str">
        <f>IF($B328="","",IF(Sheet1!$Z$1=2,'Tabla de Pagos Crecientes'!G268,'Tabla Fijos'!G273))</f>
        <v/>
      </c>
      <c r="H328" s="362" t="str">
        <f>IF($B328="","",IF(Sheet1!$Z$1=2,'Tabla de Pagos Crecientes'!H268,'Tabla Fijos'!H273))</f>
        <v/>
      </c>
      <c r="I328" s="362" t="str">
        <f>IF($B328=0,0,IF(B328="","",VLOOKUP($B328,'Tabla Fijos'!$B$12:$S$311,8,0)))</f>
        <v/>
      </c>
      <c r="J328" s="362" t="str">
        <f>IF($B328="","",IF(Sheet1!$Z$1=2,'Tabla de Pagos Crecientes'!J268,'Tabla Fijos'!K273))</f>
        <v/>
      </c>
      <c r="K328" s="362" t="str">
        <f>IF($B328="","",IF(Sheet1!$Z$1=2,'Tabla de Pagos Crecientes'!K268,'Tabla Fijos'!L273))</f>
        <v/>
      </c>
      <c r="L328" s="362" t="str">
        <f>IF($B328="","",IF(Sheet1!$Z$1=2,'Tabla de Pagos Crecientes'!L268,'Tabla Fijos'!M273))</f>
        <v/>
      </c>
      <c r="M328" s="362" t="str">
        <f>IF($B328="","",IF(Sheet1!$Z$1=2,'Tabla de Pagos Crecientes'!M268,'Tabla Fijos'!N273))</f>
        <v/>
      </c>
      <c r="N328" s="364"/>
      <c r="O328" s="362" t="str">
        <f>IF($B328="","",IF(Sheet1!$Z$1=2,'Tabla de Pagos Crecientes'!O268,'Tabla Fijos'!Q273))</f>
        <v/>
      </c>
      <c r="P328" s="362" t="str">
        <f>IF(B328="","",G328+H328+I328+J328+K328+L328-M328-'Tabla Fijos'!P273)</f>
        <v/>
      </c>
      <c r="Q328" s="362" t="str">
        <f t="shared" si="12"/>
        <v/>
      </c>
      <c r="R328" s="272">
        <f t="shared" si="10"/>
        <v>0</v>
      </c>
    </row>
    <row r="329" spans="1:18" ht="15.5" x14ac:dyDescent="0.35">
      <c r="A329" s="272"/>
      <c r="B329" s="360" t="str">
        <f t="shared" si="13"/>
        <v/>
      </c>
      <c r="C329" s="361" t="str">
        <f>IF($B329="","",'Fecha Pago'!K266)</f>
        <v/>
      </c>
      <c r="D329" s="362" t="str">
        <f>IF($B$67="","",'Fecha Pago'!L266)</f>
        <v/>
      </c>
      <c r="E329" s="363" t="str">
        <f>IF(B329="","",IF(Sheet1!$Z$1=2,'Tabla de Pagos Crecientes'!E269,$F$62))</f>
        <v/>
      </c>
      <c r="F329" s="362" t="str">
        <f>IF($B329="","",IF(Sheet1!$Z$1=2,'Tabla de Pagos Crecientes'!F269,'Tabla Fijos'!F274))</f>
        <v/>
      </c>
      <c r="G329" s="362" t="str">
        <f>IF($B329="","",IF(Sheet1!$Z$1=2,'Tabla de Pagos Crecientes'!G269,'Tabla Fijos'!G274))</f>
        <v/>
      </c>
      <c r="H329" s="362" t="str">
        <f>IF($B329="","",IF(Sheet1!$Z$1=2,'Tabla de Pagos Crecientes'!H269,'Tabla Fijos'!H274))</f>
        <v/>
      </c>
      <c r="I329" s="362" t="str">
        <f>IF($B329=0,0,IF(B329="","",VLOOKUP($B329,'Tabla Fijos'!$B$12:$S$311,8,0)))</f>
        <v/>
      </c>
      <c r="J329" s="362" t="str">
        <f>IF($B329="","",IF(Sheet1!$Z$1=2,'Tabla de Pagos Crecientes'!J269,'Tabla Fijos'!K274))</f>
        <v/>
      </c>
      <c r="K329" s="362" t="str">
        <f>IF($B329="","",IF(Sheet1!$Z$1=2,'Tabla de Pagos Crecientes'!K269,'Tabla Fijos'!L274))</f>
        <v/>
      </c>
      <c r="L329" s="362" t="str">
        <f>IF($B329="","",IF(Sheet1!$Z$1=2,'Tabla de Pagos Crecientes'!L269,'Tabla Fijos'!M274))</f>
        <v/>
      </c>
      <c r="M329" s="362" t="str">
        <f>IF($B329="","",IF(Sheet1!$Z$1=2,'Tabla de Pagos Crecientes'!M269,'Tabla Fijos'!N274))</f>
        <v/>
      </c>
      <c r="N329" s="364"/>
      <c r="O329" s="362" t="str">
        <f>IF($B329="","",IF(Sheet1!$Z$1=2,'Tabla de Pagos Crecientes'!O269,'Tabla Fijos'!Q274))</f>
        <v/>
      </c>
      <c r="P329" s="362" t="str">
        <f>IF(B329="","",G329+H329+I329+J329+K329+L329-M329-'Tabla Fijos'!P274)</f>
        <v/>
      </c>
      <c r="Q329" s="362" t="str">
        <f t="shared" si="12"/>
        <v/>
      </c>
      <c r="R329" s="272">
        <f t="shared" si="10"/>
        <v>0</v>
      </c>
    </row>
    <row r="330" spans="1:18" ht="15.5" x14ac:dyDescent="0.35">
      <c r="A330" s="272"/>
      <c r="B330" s="360" t="str">
        <f t="shared" si="13"/>
        <v/>
      </c>
      <c r="C330" s="361" t="str">
        <f>IF($B330="","",'Fecha Pago'!K267)</f>
        <v/>
      </c>
      <c r="D330" s="362" t="str">
        <f>IF($B$67="","",'Fecha Pago'!L267)</f>
        <v/>
      </c>
      <c r="E330" s="363" t="str">
        <f>IF(B330="","",IF(Sheet1!$Z$1=2,'Tabla de Pagos Crecientes'!E270,$F$62))</f>
        <v/>
      </c>
      <c r="F330" s="362" t="str">
        <f>IF($B330="","",IF(Sheet1!$Z$1=2,'Tabla de Pagos Crecientes'!F270,'Tabla Fijos'!F275))</f>
        <v/>
      </c>
      <c r="G330" s="362" t="str">
        <f>IF($B330="","",IF(Sheet1!$Z$1=2,'Tabla de Pagos Crecientes'!G270,'Tabla Fijos'!G275))</f>
        <v/>
      </c>
      <c r="H330" s="362" t="str">
        <f>IF($B330="","",IF(Sheet1!$Z$1=2,'Tabla de Pagos Crecientes'!H270,'Tabla Fijos'!H275))</f>
        <v/>
      </c>
      <c r="I330" s="362" t="str">
        <f>IF($B330=0,0,IF(B330="","",VLOOKUP($B330,'Tabla Fijos'!$B$12:$S$311,8,0)))</f>
        <v/>
      </c>
      <c r="J330" s="362" t="str">
        <f>IF($B330="","",IF(Sheet1!$Z$1=2,'Tabla de Pagos Crecientes'!J270,'Tabla Fijos'!K275))</f>
        <v/>
      </c>
      <c r="K330" s="362" t="str">
        <f>IF($B330="","",IF(Sheet1!$Z$1=2,'Tabla de Pagos Crecientes'!K270,'Tabla Fijos'!L275))</f>
        <v/>
      </c>
      <c r="L330" s="362" t="str">
        <f>IF($B330="","",IF(Sheet1!$Z$1=2,'Tabla de Pagos Crecientes'!L270,'Tabla Fijos'!M275))</f>
        <v/>
      </c>
      <c r="M330" s="362" t="str">
        <f>IF($B330="","",IF(Sheet1!$Z$1=2,'Tabla de Pagos Crecientes'!M270,'Tabla Fijos'!N275))</f>
        <v/>
      </c>
      <c r="N330" s="364"/>
      <c r="O330" s="362" t="str">
        <f>IF($B330="","",IF(Sheet1!$Z$1=2,'Tabla de Pagos Crecientes'!O270,'Tabla Fijos'!Q275))</f>
        <v/>
      </c>
      <c r="P330" s="362" t="str">
        <f>IF(B330="","",G330+H330+I330+J330+K330+L330-M330-'Tabla Fijos'!P275)</f>
        <v/>
      </c>
      <c r="Q330" s="362" t="str">
        <f t="shared" si="12"/>
        <v/>
      </c>
      <c r="R330" s="272">
        <f t="shared" si="10"/>
        <v>0</v>
      </c>
    </row>
    <row r="331" spans="1:18" ht="15.5" x14ac:dyDescent="0.35">
      <c r="A331" s="272"/>
      <c r="B331" s="360" t="str">
        <f t="shared" si="13"/>
        <v/>
      </c>
      <c r="C331" s="361" t="str">
        <f>IF($B331="","",'Fecha Pago'!K268)</f>
        <v/>
      </c>
      <c r="D331" s="362" t="str">
        <f>IF($B$67="","",'Fecha Pago'!L268)</f>
        <v/>
      </c>
      <c r="E331" s="363" t="str">
        <f>IF(B331="","",IF(Sheet1!$Z$1=2,'Tabla de Pagos Crecientes'!E271,$F$62))</f>
        <v/>
      </c>
      <c r="F331" s="362" t="str">
        <f>IF($B331="","",IF(Sheet1!$Z$1=2,'Tabla de Pagos Crecientes'!F271,'Tabla Fijos'!F276))</f>
        <v/>
      </c>
      <c r="G331" s="362" t="str">
        <f>IF($B331="","",IF(Sheet1!$Z$1=2,'Tabla de Pagos Crecientes'!G271,'Tabla Fijos'!G276))</f>
        <v/>
      </c>
      <c r="H331" s="362" t="str">
        <f>IF($B331="","",IF(Sheet1!$Z$1=2,'Tabla de Pagos Crecientes'!H271,'Tabla Fijos'!H276))</f>
        <v/>
      </c>
      <c r="I331" s="362" t="str">
        <f>IF($B331=0,0,IF(B331="","",VLOOKUP($B331,'Tabla Fijos'!$B$12:$S$311,8,0)))</f>
        <v/>
      </c>
      <c r="J331" s="362" t="str">
        <f>IF($B331="","",IF(Sheet1!$Z$1=2,'Tabla de Pagos Crecientes'!J271,'Tabla Fijos'!K276))</f>
        <v/>
      </c>
      <c r="K331" s="362" t="str">
        <f>IF($B331="","",IF(Sheet1!$Z$1=2,'Tabla de Pagos Crecientes'!K271,'Tabla Fijos'!L276))</f>
        <v/>
      </c>
      <c r="L331" s="362" t="str">
        <f>IF($B331="","",IF(Sheet1!$Z$1=2,'Tabla de Pagos Crecientes'!L271,'Tabla Fijos'!M276))</f>
        <v/>
      </c>
      <c r="M331" s="362" t="str">
        <f>IF($B331="","",IF(Sheet1!$Z$1=2,'Tabla de Pagos Crecientes'!M271,'Tabla Fijos'!N276))</f>
        <v/>
      </c>
      <c r="N331" s="364"/>
      <c r="O331" s="362" t="str">
        <f>IF($B331="","",IF(Sheet1!$Z$1=2,'Tabla de Pagos Crecientes'!O271,'Tabla Fijos'!Q276))</f>
        <v/>
      </c>
      <c r="P331" s="362" t="str">
        <f>IF(B331="","",G331+H331+I331+J331+K331+L331-M331-'Tabla Fijos'!P276)</f>
        <v/>
      </c>
      <c r="Q331" s="362" t="str">
        <f t="shared" si="12"/>
        <v/>
      </c>
      <c r="R331" s="272">
        <f t="shared" si="10"/>
        <v>0</v>
      </c>
    </row>
    <row r="332" spans="1:18" ht="15.5" x14ac:dyDescent="0.35">
      <c r="A332" s="272"/>
      <c r="B332" s="360" t="str">
        <f t="shared" si="13"/>
        <v/>
      </c>
      <c r="C332" s="361" t="str">
        <f>IF($B332="","",'Fecha Pago'!K269)</f>
        <v/>
      </c>
      <c r="D332" s="362" t="str">
        <f>IF($B$67="","",'Fecha Pago'!L269)</f>
        <v/>
      </c>
      <c r="E332" s="363" t="str">
        <f>IF(B332="","",IF(Sheet1!$Z$1=2,'Tabla de Pagos Crecientes'!E272,$F$62))</f>
        <v/>
      </c>
      <c r="F332" s="362" t="str">
        <f>IF($B332="","",IF(Sheet1!$Z$1=2,'Tabla de Pagos Crecientes'!F272,'Tabla Fijos'!F277))</f>
        <v/>
      </c>
      <c r="G332" s="362" t="str">
        <f>IF($B332="","",IF(Sheet1!$Z$1=2,'Tabla de Pagos Crecientes'!G272,'Tabla Fijos'!G277))</f>
        <v/>
      </c>
      <c r="H332" s="362" t="str">
        <f>IF($B332="","",IF(Sheet1!$Z$1=2,'Tabla de Pagos Crecientes'!H272,'Tabla Fijos'!H277))</f>
        <v/>
      </c>
      <c r="I332" s="362" t="str">
        <f>IF($B332=0,0,IF(B332="","",VLOOKUP($B332,'Tabla Fijos'!$B$12:$S$311,8,0)))</f>
        <v/>
      </c>
      <c r="J332" s="362" t="str">
        <f>IF($B332="","",IF(Sheet1!$Z$1=2,'Tabla de Pagos Crecientes'!J272,'Tabla Fijos'!K277))</f>
        <v/>
      </c>
      <c r="K332" s="362" t="str">
        <f>IF($B332="","",IF(Sheet1!$Z$1=2,'Tabla de Pagos Crecientes'!K272,'Tabla Fijos'!L277))</f>
        <v/>
      </c>
      <c r="L332" s="362" t="str">
        <f>IF($B332="","",IF(Sheet1!$Z$1=2,'Tabla de Pagos Crecientes'!L272,'Tabla Fijos'!M277))</f>
        <v/>
      </c>
      <c r="M332" s="362" t="str">
        <f>IF($B332="","",IF(Sheet1!$Z$1=2,'Tabla de Pagos Crecientes'!M272,'Tabla Fijos'!N277))</f>
        <v/>
      </c>
      <c r="N332" s="364"/>
      <c r="O332" s="362" t="str">
        <f>IF($B332="","",IF(Sheet1!$Z$1=2,'Tabla de Pagos Crecientes'!O272,'Tabla Fijos'!Q277))</f>
        <v/>
      </c>
      <c r="P332" s="362" t="str">
        <f>IF(B332="","",G332+H332+I332+J332+K332+L332-M332-'Tabla Fijos'!P277)</f>
        <v/>
      </c>
      <c r="Q332" s="362" t="str">
        <f t="shared" si="12"/>
        <v/>
      </c>
      <c r="R332" s="272">
        <f t="shared" si="10"/>
        <v>0</v>
      </c>
    </row>
    <row r="333" spans="1:18" ht="15.5" x14ac:dyDescent="0.35">
      <c r="A333" s="272"/>
      <c r="B333" s="360" t="str">
        <f t="shared" si="13"/>
        <v/>
      </c>
      <c r="C333" s="361" t="str">
        <f>IF($B333="","",'Fecha Pago'!K270)</f>
        <v/>
      </c>
      <c r="D333" s="362" t="str">
        <f>IF($B$67="","",'Fecha Pago'!L270)</f>
        <v/>
      </c>
      <c r="E333" s="363" t="str">
        <f>IF(B333="","",IF(Sheet1!$Z$1=2,'Tabla de Pagos Crecientes'!E273,$F$62))</f>
        <v/>
      </c>
      <c r="F333" s="362" t="str">
        <f>IF($B333="","",IF(Sheet1!$Z$1=2,'Tabla de Pagos Crecientes'!F273,'Tabla Fijos'!F278))</f>
        <v/>
      </c>
      <c r="G333" s="362" t="str">
        <f>IF($B333="","",IF(Sheet1!$Z$1=2,'Tabla de Pagos Crecientes'!G273,'Tabla Fijos'!G278))</f>
        <v/>
      </c>
      <c r="H333" s="362" t="str">
        <f>IF($B333="","",IF(Sheet1!$Z$1=2,'Tabla de Pagos Crecientes'!H273,'Tabla Fijos'!H278))</f>
        <v/>
      </c>
      <c r="I333" s="362" t="str">
        <f>IF($B333=0,0,IF(B333="","",VLOOKUP($B333,'Tabla Fijos'!$B$12:$S$311,8,0)))</f>
        <v/>
      </c>
      <c r="J333" s="362" t="str">
        <f>IF($B333="","",IF(Sheet1!$Z$1=2,'Tabla de Pagos Crecientes'!J273,'Tabla Fijos'!K278))</f>
        <v/>
      </c>
      <c r="K333" s="362" t="str">
        <f>IF($B333="","",IF(Sheet1!$Z$1=2,'Tabla de Pagos Crecientes'!K273,'Tabla Fijos'!L278))</f>
        <v/>
      </c>
      <c r="L333" s="362" t="str">
        <f>IF($B333="","",IF(Sheet1!$Z$1=2,'Tabla de Pagos Crecientes'!L273,'Tabla Fijos'!M278))</f>
        <v/>
      </c>
      <c r="M333" s="362" t="str">
        <f>IF($B333="","",IF(Sheet1!$Z$1=2,'Tabla de Pagos Crecientes'!M273,'Tabla Fijos'!N278))</f>
        <v/>
      </c>
      <c r="N333" s="364"/>
      <c r="O333" s="362" t="str">
        <f>IF($B333="","",IF(Sheet1!$Z$1=2,'Tabla de Pagos Crecientes'!O273,'Tabla Fijos'!Q278))</f>
        <v/>
      </c>
      <c r="P333" s="362" t="str">
        <f>IF(B333="","",G333+H333+I333+J333+K333+L333-M333-'Tabla Fijos'!P278)</f>
        <v/>
      </c>
      <c r="Q333" s="362" t="str">
        <f t="shared" si="12"/>
        <v/>
      </c>
      <c r="R333" s="272">
        <f t="shared" si="10"/>
        <v>0</v>
      </c>
    </row>
    <row r="334" spans="1:18" ht="15.5" x14ac:dyDescent="0.35">
      <c r="A334" s="272"/>
      <c r="B334" s="360" t="str">
        <f t="shared" si="13"/>
        <v/>
      </c>
      <c r="C334" s="361" t="str">
        <f>IF($B334="","",'Fecha Pago'!K271)</f>
        <v/>
      </c>
      <c r="D334" s="362" t="str">
        <f>IF($B$67="","",'Fecha Pago'!L271)</f>
        <v/>
      </c>
      <c r="E334" s="363" t="str">
        <f>IF(B334="","",IF(Sheet1!$Z$1=2,'Tabla de Pagos Crecientes'!E274,$F$62))</f>
        <v/>
      </c>
      <c r="F334" s="362" t="str">
        <f>IF($B334="","",IF(Sheet1!$Z$1=2,'Tabla de Pagos Crecientes'!F274,'Tabla Fijos'!F279))</f>
        <v/>
      </c>
      <c r="G334" s="362" t="str">
        <f>IF($B334="","",IF(Sheet1!$Z$1=2,'Tabla de Pagos Crecientes'!G274,'Tabla Fijos'!G279))</f>
        <v/>
      </c>
      <c r="H334" s="362" t="str">
        <f>IF($B334="","",IF(Sheet1!$Z$1=2,'Tabla de Pagos Crecientes'!H274,'Tabla Fijos'!H279))</f>
        <v/>
      </c>
      <c r="I334" s="362" t="str">
        <f>IF($B334=0,0,IF(B334="","",VLOOKUP($B334,'Tabla Fijos'!$B$12:$S$311,8,0)))</f>
        <v/>
      </c>
      <c r="J334" s="362" t="str">
        <f>IF($B334="","",IF(Sheet1!$Z$1=2,'Tabla de Pagos Crecientes'!J274,'Tabla Fijos'!K279))</f>
        <v/>
      </c>
      <c r="K334" s="362" t="str">
        <f>IF($B334="","",IF(Sheet1!$Z$1=2,'Tabla de Pagos Crecientes'!K274,'Tabla Fijos'!L279))</f>
        <v/>
      </c>
      <c r="L334" s="362" t="str">
        <f>IF($B334="","",IF(Sheet1!$Z$1=2,'Tabla de Pagos Crecientes'!L274,'Tabla Fijos'!M279))</f>
        <v/>
      </c>
      <c r="M334" s="362" t="str">
        <f>IF($B334="","",IF(Sheet1!$Z$1=2,'Tabla de Pagos Crecientes'!M274,'Tabla Fijos'!N279))</f>
        <v/>
      </c>
      <c r="N334" s="364"/>
      <c r="O334" s="362" t="str">
        <f>IF($B334="","",IF(Sheet1!$Z$1=2,'Tabla de Pagos Crecientes'!O274,'Tabla Fijos'!Q279))</f>
        <v/>
      </c>
      <c r="P334" s="362" t="str">
        <f>IF(B334="","",G334+H334+I334+J334+K334+L334-M334-'Tabla Fijos'!P279)</f>
        <v/>
      </c>
      <c r="Q334" s="362" t="str">
        <f t="shared" si="12"/>
        <v/>
      </c>
      <c r="R334" s="272">
        <f t="shared" si="10"/>
        <v>0</v>
      </c>
    </row>
    <row r="335" spans="1:18" ht="15.5" x14ac:dyDescent="0.35">
      <c r="A335" s="272"/>
      <c r="B335" s="360" t="str">
        <f t="shared" si="13"/>
        <v/>
      </c>
      <c r="C335" s="361" t="str">
        <f>IF($B335="","",'Fecha Pago'!K272)</f>
        <v/>
      </c>
      <c r="D335" s="362" t="str">
        <f>IF($B$67="","",'Fecha Pago'!L272)</f>
        <v/>
      </c>
      <c r="E335" s="363" t="str">
        <f>IF(B335="","",IF(Sheet1!$Z$1=2,'Tabla de Pagos Crecientes'!E275,$F$62))</f>
        <v/>
      </c>
      <c r="F335" s="362" t="str">
        <f>IF($B335="","",IF(Sheet1!$Z$1=2,'Tabla de Pagos Crecientes'!F275,'Tabla Fijos'!F280))</f>
        <v/>
      </c>
      <c r="G335" s="362" t="str">
        <f>IF($B335="","",IF(Sheet1!$Z$1=2,'Tabla de Pagos Crecientes'!G275,'Tabla Fijos'!G280))</f>
        <v/>
      </c>
      <c r="H335" s="362" t="str">
        <f>IF($B335="","",IF(Sheet1!$Z$1=2,'Tabla de Pagos Crecientes'!H275,'Tabla Fijos'!H280))</f>
        <v/>
      </c>
      <c r="I335" s="362" t="str">
        <f>IF($B335=0,0,IF(B335="","",VLOOKUP($B335,'Tabla Fijos'!$B$12:$S$311,8,0)))</f>
        <v/>
      </c>
      <c r="J335" s="362" t="str">
        <f>IF($B335="","",IF(Sheet1!$Z$1=2,'Tabla de Pagos Crecientes'!J275,'Tabla Fijos'!K280))</f>
        <v/>
      </c>
      <c r="K335" s="362" t="str">
        <f>IF($B335="","",IF(Sheet1!$Z$1=2,'Tabla de Pagos Crecientes'!K275,'Tabla Fijos'!L280))</f>
        <v/>
      </c>
      <c r="L335" s="362" t="str">
        <f>IF($B335="","",IF(Sheet1!$Z$1=2,'Tabla de Pagos Crecientes'!L275,'Tabla Fijos'!M280))</f>
        <v/>
      </c>
      <c r="M335" s="362" t="str">
        <f>IF($B335="","",IF(Sheet1!$Z$1=2,'Tabla de Pagos Crecientes'!M275,'Tabla Fijos'!N280))</f>
        <v/>
      </c>
      <c r="N335" s="364"/>
      <c r="O335" s="362" t="str">
        <f>IF($B335="","",IF(Sheet1!$Z$1=2,'Tabla de Pagos Crecientes'!O275,'Tabla Fijos'!Q280))</f>
        <v/>
      </c>
      <c r="P335" s="362" t="str">
        <f>IF(B335="","",G335+H335+I335+J335+K335+L335-M335-'Tabla Fijos'!P280)</f>
        <v/>
      </c>
      <c r="Q335" s="362" t="str">
        <f t="shared" si="12"/>
        <v/>
      </c>
      <c r="R335" s="272">
        <f t="shared" si="10"/>
        <v>0</v>
      </c>
    </row>
    <row r="336" spans="1:18" ht="15.5" x14ac:dyDescent="0.35">
      <c r="A336" s="272"/>
      <c r="B336" s="360" t="str">
        <f t="shared" si="13"/>
        <v/>
      </c>
      <c r="C336" s="361" t="str">
        <f>IF($B336="","",'Fecha Pago'!K273)</f>
        <v/>
      </c>
      <c r="D336" s="362" t="str">
        <f>IF($B$67="","",'Fecha Pago'!L273)</f>
        <v/>
      </c>
      <c r="E336" s="363" t="str">
        <f>IF(B336="","",IF(Sheet1!$Z$1=2,'Tabla de Pagos Crecientes'!E276,$F$62))</f>
        <v/>
      </c>
      <c r="F336" s="362" t="str">
        <f>IF($B336="","",IF(Sheet1!$Z$1=2,'Tabla de Pagos Crecientes'!F276,'Tabla Fijos'!F281))</f>
        <v/>
      </c>
      <c r="G336" s="362" t="str">
        <f>IF($B336="","",IF(Sheet1!$Z$1=2,'Tabla de Pagos Crecientes'!G276,'Tabla Fijos'!G281))</f>
        <v/>
      </c>
      <c r="H336" s="362" t="str">
        <f>IF($B336="","",IF(Sheet1!$Z$1=2,'Tabla de Pagos Crecientes'!H276,'Tabla Fijos'!H281))</f>
        <v/>
      </c>
      <c r="I336" s="362" t="str">
        <f>IF($B336=0,0,IF(B336="","",VLOOKUP($B336,'Tabla Fijos'!$B$12:$S$311,8,0)))</f>
        <v/>
      </c>
      <c r="J336" s="362" t="str">
        <f>IF($B336="","",IF(Sheet1!$Z$1=2,'Tabla de Pagos Crecientes'!J276,'Tabla Fijos'!K281))</f>
        <v/>
      </c>
      <c r="K336" s="362" t="str">
        <f>IF($B336="","",IF(Sheet1!$Z$1=2,'Tabla de Pagos Crecientes'!K276,'Tabla Fijos'!L281))</f>
        <v/>
      </c>
      <c r="L336" s="362" t="str">
        <f>IF($B336="","",IF(Sheet1!$Z$1=2,'Tabla de Pagos Crecientes'!L276,'Tabla Fijos'!M281))</f>
        <v/>
      </c>
      <c r="M336" s="362" t="str">
        <f>IF($B336="","",IF(Sheet1!$Z$1=2,'Tabla de Pagos Crecientes'!M276,'Tabla Fijos'!N281))</f>
        <v/>
      </c>
      <c r="N336" s="364"/>
      <c r="O336" s="362" t="str">
        <f>IF($B336="","",IF(Sheet1!$Z$1=2,'Tabla de Pagos Crecientes'!O276,'Tabla Fijos'!Q281))</f>
        <v/>
      </c>
      <c r="P336" s="362" t="str">
        <f>IF(B336="","",G336+H336+I336+J336+K336+L336-M336-'Tabla Fijos'!P281)</f>
        <v/>
      </c>
      <c r="Q336" s="362" t="str">
        <f t="shared" si="12"/>
        <v/>
      </c>
      <c r="R336" s="272">
        <f t="shared" si="10"/>
        <v>0</v>
      </c>
    </row>
    <row r="337" spans="1:18" ht="15.5" x14ac:dyDescent="0.35">
      <c r="A337" s="272"/>
      <c r="B337" s="360" t="str">
        <f t="shared" si="13"/>
        <v/>
      </c>
      <c r="C337" s="361" t="str">
        <f>IF($B337="","",'Fecha Pago'!K274)</f>
        <v/>
      </c>
      <c r="D337" s="362" t="str">
        <f>IF($B$67="","",'Fecha Pago'!L274)</f>
        <v/>
      </c>
      <c r="E337" s="363" t="str">
        <f>IF(B337="","",IF(Sheet1!$Z$1=2,'Tabla de Pagos Crecientes'!E277,$F$62))</f>
        <v/>
      </c>
      <c r="F337" s="362" t="str">
        <f>IF($B337="","",IF(Sheet1!$Z$1=2,'Tabla de Pagos Crecientes'!F277,'Tabla Fijos'!F282))</f>
        <v/>
      </c>
      <c r="G337" s="362" t="str">
        <f>IF($B337="","",IF(Sheet1!$Z$1=2,'Tabla de Pagos Crecientes'!G277,'Tabla Fijos'!G282))</f>
        <v/>
      </c>
      <c r="H337" s="362" t="str">
        <f>IF($B337="","",IF(Sheet1!$Z$1=2,'Tabla de Pagos Crecientes'!H277,'Tabla Fijos'!H282))</f>
        <v/>
      </c>
      <c r="I337" s="362" t="str">
        <f>IF($B337=0,0,IF(B337="","",VLOOKUP($B337,'Tabla Fijos'!$B$12:$S$311,8,0)))</f>
        <v/>
      </c>
      <c r="J337" s="362" t="str">
        <f>IF($B337="","",IF(Sheet1!$Z$1=2,'Tabla de Pagos Crecientes'!J277,'Tabla Fijos'!K282))</f>
        <v/>
      </c>
      <c r="K337" s="362" t="str">
        <f>IF($B337="","",IF(Sheet1!$Z$1=2,'Tabla de Pagos Crecientes'!K277,'Tabla Fijos'!L282))</f>
        <v/>
      </c>
      <c r="L337" s="362" t="str">
        <f>IF($B337="","",IF(Sheet1!$Z$1=2,'Tabla de Pagos Crecientes'!L277,'Tabla Fijos'!M282))</f>
        <v/>
      </c>
      <c r="M337" s="362" t="str">
        <f>IF($B337="","",IF(Sheet1!$Z$1=2,'Tabla de Pagos Crecientes'!M277,'Tabla Fijos'!N282))</f>
        <v/>
      </c>
      <c r="N337" s="364"/>
      <c r="O337" s="362" t="str">
        <f>IF($B337="","",IF(Sheet1!$Z$1=2,'Tabla de Pagos Crecientes'!O277,'Tabla Fijos'!Q282))</f>
        <v/>
      </c>
      <c r="P337" s="362" t="str">
        <f>IF(B337="","",G337+H337+I337+J337+K337+L337-M337-'Tabla Fijos'!P282)</f>
        <v/>
      </c>
      <c r="Q337" s="362" t="str">
        <f t="shared" si="12"/>
        <v/>
      </c>
      <c r="R337" s="272">
        <f t="shared" si="10"/>
        <v>0</v>
      </c>
    </row>
    <row r="338" spans="1:18" ht="15.5" x14ac:dyDescent="0.35">
      <c r="A338" s="272"/>
      <c r="B338" s="360" t="str">
        <f t="shared" si="13"/>
        <v/>
      </c>
      <c r="C338" s="361" t="str">
        <f>IF($B338="","",'Fecha Pago'!K275)</f>
        <v/>
      </c>
      <c r="D338" s="362" t="str">
        <f>IF($B$67="","",'Fecha Pago'!L275)</f>
        <v/>
      </c>
      <c r="E338" s="363" t="str">
        <f>IF(B338="","",IF(Sheet1!$Z$1=2,'Tabla de Pagos Crecientes'!E278,$F$62))</f>
        <v/>
      </c>
      <c r="F338" s="362" t="str">
        <f>IF($B338="","",IF(Sheet1!$Z$1=2,'Tabla de Pagos Crecientes'!F278,'Tabla Fijos'!F283))</f>
        <v/>
      </c>
      <c r="G338" s="362" t="str">
        <f>IF($B338="","",IF(Sheet1!$Z$1=2,'Tabla de Pagos Crecientes'!G278,'Tabla Fijos'!G283))</f>
        <v/>
      </c>
      <c r="H338" s="362" t="str">
        <f>IF($B338="","",IF(Sheet1!$Z$1=2,'Tabla de Pagos Crecientes'!H278,'Tabla Fijos'!H283))</f>
        <v/>
      </c>
      <c r="I338" s="362" t="str">
        <f>IF($B338=0,0,IF(B338="","",VLOOKUP($B338,'Tabla Fijos'!$B$12:$S$311,8,0)))</f>
        <v/>
      </c>
      <c r="J338" s="362" t="str">
        <f>IF($B338="","",IF(Sheet1!$Z$1=2,'Tabla de Pagos Crecientes'!J278,'Tabla Fijos'!K283))</f>
        <v/>
      </c>
      <c r="K338" s="362" t="str">
        <f>IF($B338="","",IF(Sheet1!$Z$1=2,'Tabla de Pagos Crecientes'!K278,'Tabla Fijos'!L283))</f>
        <v/>
      </c>
      <c r="L338" s="362" t="str">
        <f>IF($B338="","",IF(Sheet1!$Z$1=2,'Tabla de Pagos Crecientes'!L278,'Tabla Fijos'!M283))</f>
        <v/>
      </c>
      <c r="M338" s="362" t="str">
        <f>IF($B338="","",IF(Sheet1!$Z$1=2,'Tabla de Pagos Crecientes'!M278,'Tabla Fijos'!N283))</f>
        <v/>
      </c>
      <c r="N338" s="364"/>
      <c r="O338" s="362" t="str">
        <f>IF($B338="","",IF(Sheet1!$Z$1=2,'Tabla de Pagos Crecientes'!O278,'Tabla Fijos'!Q283))</f>
        <v/>
      </c>
      <c r="P338" s="362" t="str">
        <f>IF(B338="","",G338+H338+I338+J338+K338+L338-M338-'Tabla Fijos'!P283)</f>
        <v/>
      </c>
      <c r="Q338" s="362" t="str">
        <f t="shared" si="12"/>
        <v/>
      </c>
      <c r="R338" s="272">
        <f t="shared" si="10"/>
        <v>0</v>
      </c>
    </row>
    <row r="339" spans="1:18" ht="15.5" x14ac:dyDescent="0.35">
      <c r="A339" s="272"/>
      <c r="B339" s="360" t="str">
        <f t="shared" si="13"/>
        <v/>
      </c>
      <c r="C339" s="361" t="str">
        <f>IF($B339="","",'Fecha Pago'!K276)</f>
        <v/>
      </c>
      <c r="D339" s="362" t="str">
        <f>IF($B$67="","",'Fecha Pago'!L276)</f>
        <v/>
      </c>
      <c r="E339" s="363" t="str">
        <f>IF(B339="","",IF(Sheet1!$Z$1=2,'Tabla de Pagos Crecientes'!E279,$F$62))</f>
        <v/>
      </c>
      <c r="F339" s="362" t="str">
        <f>IF($B339="","",IF(Sheet1!$Z$1=2,'Tabla de Pagos Crecientes'!F279,'Tabla Fijos'!F284))</f>
        <v/>
      </c>
      <c r="G339" s="362" t="str">
        <f>IF($B339="","",IF(Sheet1!$Z$1=2,'Tabla de Pagos Crecientes'!G279,'Tabla Fijos'!G284))</f>
        <v/>
      </c>
      <c r="H339" s="362" t="str">
        <f>IF($B339="","",IF(Sheet1!$Z$1=2,'Tabla de Pagos Crecientes'!H279,'Tabla Fijos'!H284))</f>
        <v/>
      </c>
      <c r="I339" s="362" t="str">
        <f>IF($B339=0,0,IF(B339="","",VLOOKUP($B339,'Tabla Fijos'!$B$12:$S$311,8,0)))</f>
        <v/>
      </c>
      <c r="J339" s="362" t="str">
        <f>IF($B339="","",IF(Sheet1!$Z$1=2,'Tabla de Pagos Crecientes'!J279,'Tabla Fijos'!K284))</f>
        <v/>
      </c>
      <c r="K339" s="362" t="str">
        <f>IF($B339="","",IF(Sheet1!$Z$1=2,'Tabla de Pagos Crecientes'!K279,'Tabla Fijos'!L284))</f>
        <v/>
      </c>
      <c r="L339" s="362" t="str">
        <f>IF($B339="","",IF(Sheet1!$Z$1=2,'Tabla de Pagos Crecientes'!L279,'Tabla Fijos'!M284))</f>
        <v/>
      </c>
      <c r="M339" s="362" t="str">
        <f>IF($B339="","",IF(Sheet1!$Z$1=2,'Tabla de Pagos Crecientes'!M279,'Tabla Fijos'!N284))</f>
        <v/>
      </c>
      <c r="N339" s="364"/>
      <c r="O339" s="362" t="str">
        <f>IF($B339="","",IF(Sheet1!$Z$1=2,'Tabla de Pagos Crecientes'!O279,'Tabla Fijos'!Q284))</f>
        <v/>
      </c>
      <c r="P339" s="362" t="str">
        <f>IF(B339="","",G339+H339+I339+J339+K339+L339-M339-'Tabla Fijos'!P284)</f>
        <v/>
      </c>
      <c r="Q339" s="362" t="str">
        <f t="shared" si="12"/>
        <v/>
      </c>
      <c r="R339" s="272">
        <f t="shared" si="10"/>
        <v>0</v>
      </c>
    </row>
    <row r="340" spans="1:18" ht="15.5" x14ac:dyDescent="0.35">
      <c r="A340" s="272"/>
      <c r="B340" s="360" t="str">
        <f t="shared" si="13"/>
        <v/>
      </c>
      <c r="C340" s="361" t="str">
        <f>IF($B340="","",'Fecha Pago'!K277)</f>
        <v/>
      </c>
      <c r="D340" s="362" t="str">
        <f>IF($B$67="","",'Fecha Pago'!L277)</f>
        <v/>
      </c>
      <c r="E340" s="363" t="str">
        <f>IF(B340="","",IF(Sheet1!$Z$1=2,'Tabla de Pagos Crecientes'!E280,$F$62))</f>
        <v/>
      </c>
      <c r="F340" s="362" t="str">
        <f>IF($B340="","",IF(Sheet1!$Z$1=2,'Tabla de Pagos Crecientes'!F280,'Tabla Fijos'!F285))</f>
        <v/>
      </c>
      <c r="G340" s="362" t="str">
        <f>IF($B340="","",IF(Sheet1!$Z$1=2,'Tabla de Pagos Crecientes'!G280,'Tabla Fijos'!G285))</f>
        <v/>
      </c>
      <c r="H340" s="362" t="str">
        <f>IF($B340="","",IF(Sheet1!$Z$1=2,'Tabla de Pagos Crecientes'!H280,'Tabla Fijos'!H285))</f>
        <v/>
      </c>
      <c r="I340" s="362" t="str">
        <f>IF($B340=0,0,IF(B340="","",VLOOKUP($B340,'Tabla Fijos'!$B$12:$S$311,8,0)))</f>
        <v/>
      </c>
      <c r="J340" s="362" t="str">
        <f>IF($B340="","",IF(Sheet1!$Z$1=2,'Tabla de Pagos Crecientes'!J280,'Tabla Fijos'!K285))</f>
        <v/>
      </c>
      <c r="K340" s="362" t="str">
        <f>IF($B340="","",IF(Sheet1!$Z$1=2,'Tabla de Pagos Crecientes'!K280,'Tabla Fijos'!L285))</f>
        <v/>
      </c>
      <c r="L340" s="362" t="str">
        <f>IF($B340="","",IF(Sheet1!$Z$1=2,'Tabla de Pagos Crecientes'!L280,'Tabla Fijos'!M285))</f>
        <v/>
      </c>
      <c r="M340" s="362" t="str">
        <f>IF($B340="","",IF(Sheet1!$Z$1=2,'Tabla de Pagos Crecientes'!M280,'Tabla Fijos'!N285))</f>
        <v/>
      </c>
      <c r="N340" s="364"/>
      <c r="O340" s="362" t="str">
        <f>IF($B340="","",IF(Sheet1!$Z$1=2,'Tabla de Pagos Crecientes'!O280,'Tabla Fijos'!Q285))</f>
        <v/>
      </c>
      <c r="P340" s="362" t="str">
        <f>IF(B340="","",G340+H340+I340+J340+K340+L340-M340-'Tabla Fijos'!P285)</f>
        <v/>
      </c>
      <c r="Q340" s="362" t="str">
        <f t="shared" si="12"/>
        <v/>
      </c>
      <c r="R340" s="272">
        <f t="shared" si="10"/>
        <v>0</v>
      </c>
    </row>
    <row r="341" spans="1:18" ht="15.5" x14ac:dyDescent="0.35">
      <c r="A341" s="272"/>
      <c r="B341" s="360" t="str">
        <f t="shared" si="13"/>
        <v/>
      </c>
      <c r="C341" s="361" t="str">
        <f>IF($B341="","",'Fecha Pago'!K278)</f>
        <v/>
      </c>
      <c r="D341" s="362" t="str">
        <f>IF($B$67="","",'Fecha Pago'!L278)</f>
        <v/>
      </c>
      <c r="E341" s="363" t="str">
        <f>IF(B341="","",IF(Sheet1!$Z$1=2,'Tabla de Pagos Crecientes'!E281,$F$62))</f>
        <v/>
      </c>
      <c r="F341" s="362" t="str">
        <f>IF($B341="","",IF(Sheet1!$Z$1=2,'Tabla de Pagos Crecientes'!F281,'Tabla Fijos'!F286))</f>
        <v/>
      </c>
      <c r="G341" s="362" t="str">
        <f>IF($B341="","",IF(Sheet1!$Z$1=2,'Tabla de Pagos Crecientes'!G281,'Tabla Fijos'!G286))</f>
        <v/>
      </c>
      <c r="H341" s="362" t="str">
        <f>IF($B341="","",IF(Sheet1!$Z$1=2,'Tabla de Pagos Crecientes'!H281,'Tabla Fijos'!H286))</f>
        <v/>
      </c>
      <c r="I341" s="362" t="str">
        <f>IF($B341=0,0,IF(B341="","",VLOOKUP($B341,'Tabla Fijos'!$B$12:$S$311,8,0)))</f>
        <v/>
      </c>
      <c r="J341" s="362" t="str">
        <f>IF($B341="","",IF(Sheet1!$Z$1=2,'Tabla de Pagos Crecientes'!J281,'Tabla Fijos'!K286))</f>
        <v/>
      </c>
      <c r="K341" s="362" t="str">
        <f>IF($B341="","",IF(Sheet1!$Z$1=2,'Tabla de Pagos Crecientes'!K281,'Tabla Fijos'!L286))</f>
        <v/>
      </c>
      <c r="L341" s="362" t="str">
        <f>IF($B341="","",IF(Sheet1!$Z$1=2,'Tabla de Pagos Crecientes'!L281,'Tabla Fijos'!M286))</f>
        <v/>
      </c>
      <c r="M341" s="362" t="str">
        <f>IF($B341="","",IF(Sheet1!$Z$1=2,'Tabla de Pagos Crecientes'!M281,'Tabla Fijos'!N286))</f>
        <v/>
      </c>
      <c r="N341" s="364"/>
      <c r="O341" s="362" t="str">
        <f>IF($B341="","",IF(Sheet1!$Z$1=2,'Tabla de Pagos Crecientes'!O281,'Tabla Fijos'!Q286))</f>
        <v/>
      </c>
      <c r="P341" s="362" t="str">
        <f>IF(B341="","",G341+H341+I341+J341+K341+L341-M341-'Tabla Fijos'!P286)</f>
        <v/>
      </c>
      <c r="Q341" s="362" t="str">
        <f t="shared" si="12"/>
        <v/>
      </c>
      <c r="R341" s="272">
        <f t="shared" si="10"/>
        <v>0</v>
      </c>
    </row>
    <row r="342" spans="1:18" ht="15.5" x14ac:dyDescent="0.35">
      <c r="A342" s="272"/>
      <c r="B342" s="360" t="str">
        <f t="shared" si="13"/>
        <v/>
      </c>
      <c r="C342" s="361" t="str">
        <f>IF($B342="","",'Fecha Pago'!K279)</f>
        <v/>
      </c>
      <c r="D342" s="362" t="str">
        <f>IF($B$67="","",'Fecha Pago'!L279)</f>
        <v/>
      </c>
      <c r="E342" s="363" t="str">
        <f>IF(B342="","",IF(Sheet1!$Z$1=2,'Tabla de Pagos Crecientes'!E282,$F$62))</f>
        <v/>
      </c>
      <c r="F342" s="362" t="str">
        <f>IF($B342="","",IF(Sheet1!$Z$1=2,'Tabla de Pagos Crecientes'!F282,'Tabla Fijos'!F287))</f>
        <v/>
      </c>
      <c r="G342" s="362" t="str">
        <f>IF($B342="","",IF(Sheet1!$Z$1=2,'Tabla de Pagos Crecientes'!G282,'Tabla Fijos'!G287))</f>
        <v/>
      </c>
      <c r="H342" s="362" t="str">
        <f>IF($B342="","",IF(Sheet1!$Z$1=2,'Tabla de Pagos Crecientes'!H282,'Tabla Fijos'!H287))</f>
        <v/>
      </c>
      <c r="I342" s="362" t="str">
        <f>IF($B342=0,0,IF(B342="","",VLOOKUP($B342,'Tabla Fijos'!$B$12:$S$311,8,0)))</f>
        <v/>
      </c>
      <c r="J342" s="362" t="str">
        <f>IF($B342="","",IF(Sheet1!$Z$1=2,'Tabla de Pagos Crecientes'!J282,'Tabla Fijos'!K287))</f>
        <v/>
      </c>
      <c r="K342" s="362" t="str">
        <f>IF($B342="","",IF(Sheet1!$Z$1=2,'Tabla de Pagos Crecientes'!K282,'Tabla Fijos'!L287))</f>
        <v/>
      </c>
      <c r="L342" s="362" t="str">
        <f>IF($B342="","",IF(Sheet1!$Z$1=2,'Tabla de Pagos Crecientes'!L282,'Tabla Fijos'!M287))</f>
        <v/>
      </c>
      <c r="M342" s="362" t="str">
        <f>IF($B342="","",IF(Sheet1!$Z$1=2,'Tabla de Pagos Crecientes'!M282,'Tabla Fijos'!N287))</f>
        <v/>
      </c>
      <c r="N342" s="364"/>
      <c r="O342" s="362" t="str">
        <f>IF($B342="","",IF(Sheet1!$Z$1=2,'Tabla de Pagos Crecientes'!O282,'Tabla Fijos'!Q287))</f>
        <v/>
      </c>
      <c r="P342" s="362" t="str">
        <f>IF(B342="","",G342+H342+I342+J342+K342+L342-M342-'Tabla Fijos'!P287)</f>
        <v/>
      </c>
      <c r="Q342" s="362" t="str">
        <f t="shared" si="12"/>
        <v/>
      </c>
      <c r="R342" s="272">
        <f t="shared" si="10"/>
        <v>0</v>
      </c>
    </row>
    <row r="343" spans="1:18" ht="15.5" x14ac:dyDescent="0.35">
      <c r="A343" s="272"/>
      <c r="B343" s="360" t="str">
        <f t="shared" si="13"/>
        <v/>
      </c>
      <c r="C343" s="361" t="str">
        <f>IF($B343="","",'Fecha Pago'!K280)</f>
        <v/>
      </c>
      <c r="D343" s="362" t="str">
        <f>IF($B$67="","",'Fecha Pago'!L280)</f>
        <v/>
      </c>
      <c r="E343" s="363" t="str">
        <f>IF(B343="","",IF(Sheet1!$Z$1=2,'Tabla de Pagos Crecientes'!E283,$F$62))</f>
        <v/>
      </c>
      <c r="F343" s="362" t="str">
        <f>IF($B343="","",IF(Sheet1!$Z$1=2,'Tabla de Pagos Crecientes'!F283,'Tabla Fijos'!F288))</f>
        <v/>
      </c>
      <c r="G343" s="362" t="str">
        <f>IF($B343="","",IF(Sheet1!$Z$1=2,'Tabla de Pagos Crecientes'!G283,'Tabla Fijos'!G288))</f>
        <v/>
      </c>
      <c r="H343" s="362" t="str">
        <f>IF($B343="","",IF(Sheet1!$Z$1=2,'Tabla de Pagos Crecientes'!H283,'Tabla Fijos'!H288))</f>
        <v/>
      </c>
      <c r="I343" s="362" t="str">
        <f>IF($B343=0,0,IF(B343="","",VLOOKUP($B343,'Tabla Fijos'!$B$12:$S$311,8,0)))</f>
        <v/>
      </c>
      <c r="J343" s="362" t="str">
        <f>IF($B343="","",IF(Sheet1!$Z$1=2,'Tabla de Pagos Crecientes'!J283,'Tabla Fijos'!K288))</f>
        <v/>
      </c>
      <c r="K343" s="362" t="str">
        <f>IF($B343="","",IF(Sheet1!$Z$1=2,'Tabla de Pagos Crecientes'!K283,'Tabla Fijos'!L288))</f>
        <v/>
      </c>
      <c r="L343" s="362" t="str">
        <f>IF($B343="","",IF(Sheet1!$Z$1=2,'Tabla de Pagos Crecientes'!L283,'Tabla Fijos'!M288))</f>
        <v/>
      </c>
      <c r="M343" s="362" t="str">
        <f>IF($B343="","",IF(Sheet1!$Z$1=2,'Tabla de Pagos Crecientes'!M283,'Tabla Fijos'!N288))</f>
        <v/>
      </c>
      <c r="N343" s="364"/>
      <c r="O343" s="362" t="str">
        <f>IF($B343="","",IF(Sheet1!$Z$1=2,'Tabla de Pagos Crecientes'!O283,'Tabla Fijos'!Q288))</f>
        <v/>
      </c>
      <c r="P343" s="362" t="str">
        <f>IF(B343="","",G343+H343+I343+J343+K343+L343-M343-'Tabla Fijos'!P288)</f>
        <v/>
      </c>
      <c r="Q343" s="362" t="str">
        <f t="shared" si="12"/>
        <v/>
      </c>
      <c r="R343" s="272">
        <f t="shared" si="10"/>
        <v>0</v>
      </c>
    </row>
    <row r="344" spans="1:18" ht="15.5" x14ac:dyDescent="0.35">
      <c r="A344" s="272"/>
      <c r="B344" s="360" t="str">
        <f t="shared" si="13"/>
        <v/>
      </c>
      <c r="C344" s="361" t="str">
        <f>IF($B344="","",'Fecha Pago'!K281)</f>
        <v/>
      </c>
      <c r="D344" s="362" t="str">
        <f>IF($B$67="","",'Fecha Pago'!L281)</f>
        <v/>
      </c>
      <c r="E344" s="363" t="str">
        <f>IF(B344="","",IF(Sheet1!$Z$1=2,'Tabla de Pagos Crecientes'!E284,$F$62))</f>
        <v/>
      </c>
      <c r="F344" s="362" t="str">
        <f>IF($B344="","",IF(Sheet1!$Z$1=2,'Tabla de Pagos Crecientes'!F284,'Tabla Fijos'!F289))</f>
        <v/>
      </c>
      <c r="G344" s="362" t="str">
        <f>IF($B344="","",IF(Sheet1!$Z$1=2,'Tabla de Pagos Crecientes'!G284,'Tabla Fijos'!G289))</f>
        <v/>
      </c>
      <c r="H344" s="362" t="str">
        <f>IF($B344="","",IF(Sheet1!$Z$1=2,'Tabla de Pagos Crecientes'!H284,'Tabla Fijos'!H289))</f>
        <v/>
      </c>
      <c r="I344" s="362" t="str">
        <f>IF($B344=0,0,IF(B344="","",VLOOKUP($B344,'Tabla Fijos'!$B$12:$S$311,8,0)))</f>
        <v/>
      </c>
      <c r="J344" s="362" t="str">
        <f>IF($B344="","",IF(Sheet1!$Z$1=2,'Tabla de Pagos Crecientes'!J284,'Tabla Fijos'!K289))</f>
        <v/>
      </c>
      <c r="K344" s="362" t="str">
        <f>IF($B344="","",IF(Sheet1!$Z$1=2,'Tabla de Pagos Crecientes'!K284,'Tabla Fijos'!L289))</f>
        <v/>
      </c>
      <c r="L344" s="362" t="str">
        <f>IF($B344="","",IF(Sheet1!$Z$1=2,'Tabla de Pagos Crecientes'!L284,'Tabla Fijos'!M289))</f>
        <v/>
      </c>
      <c r="M344" s="362" t="str">
        <f>IF($B344="","",IF(Sheet1!$Z$1=2,'Tabla de Pagos Crecientes'!M284,'Tabla Fijos'!N289))</f>
        <v/>
      </c>
      <c r="N344" s="364"/>
      <c r="O344" s="362" t="str">
        <f>IF($B344="","",IF(Sheet1!$Z$1=2,'Tabla de Pagos Crecientes'!O284,'Tabla Fijos'!Q289))</f>
        <v/>
      </c>
      <c r="P344" s="362" t="str">
        <f>IF(B344="","",G344+H344+I344+J344+K344+L344-M344-'Tabla Fijos'!P289)</f>
        <v/>
      </c>
      <c r="Q344" s="362" t="str">
        <f t="shared" si="12"/>
        <v/>
      </c>
      <c r="R344" s="272">
        <f t="shared" si="10"/>
        <v>0</v>
      </c>
    </row>
    <row r="345" spans="1:18" ht="15.5" x14ac:dyDescent="0.35">
      <c r="A345" s="272"/>
      <c r="B345" s="360" t="str">
        <f t="shared" si="13"/>
        <v/>
      </c>
      <c r="C345" s="361" t="str">
        <f>IF($B345="","",'Fecha Pago'!K282)</f>
        <v/>
      </c>
      <c r="D345" s="362" t="str">
        <f>IF($B$67="","",'Fecha Pago'!L282)</f>
        <v/>
      </c>
      <c r="E345" s="363" t="str">
        <f>IF(B345="","",IF(Sheet1!$Z$1=2,'Tabla de Pagos Crecientes'!E285,$F$62))</f>
        <v/>
      </c>
      <c r="F345" s="362" t="str">
        <f>IF($B345="","",IF(Sheet1!$Z$1=2,'Tabla de Pagos Crecientes'!F285,'Tabla Fijos'!F290))</f>
        <v/>
      </c>
      <c r="G345" s="362" t="str">
        <f>IF($B345="","",IF(Sheet1!$Z$1=2,'Tabla de Pagos Crecientes'!G285,'Tabla Fijos'!G290))</f>
        <v/>
      </c>
      <c r="H345" s="362" t="str">
        <f>IF($B345="","",IF(Sheet1!$Z$1=2,'Tabla de Pagos Crecientes'!H285,'Tabla Fijos'!H290))</f>
        <v/>
      </c>
      <c r="I345" s="362" t="str">
        <f>IF($B345=0,0,IF(B345="","",VLOOKUP($B345,'Tabla Fijos'!$B$12:$S$311,8,0)))</f>
        <v/>
      </c>
      <c r="J345" s="362" t="str">
        <f>IF($B345="","",IF(Sheet1!$Z$1=2,'Tabla de Pagos Crecientes'!J285,'Tabla Fijos'!K290))</f>
        <v/>
      </c>
      <c r="K345" s="362" t="str">
        <f>IF($B345="","",IF(Sheet1!$Z$1=2,'Tabla de Pagos Crecientes'!K285,'Tabla Fijos'!L290))</f>
        <v/>
      </c>
      <c r="L345" s="362" t="str">
        <f>IF($B345="","",IF(Sheet1!$Z$1=2,'Tabla de Pagos Crecientes'!L285,'Tabla Fijos'!M290))</f>
        <v/>
      </c>
      <c r="M345" s="362" t="str">
        <f>IF($B345="","",IF(Sheet1!$Z$1=2,'Tabla de Pagos Crecientes'!M285,'Tabla Fijos'!N290))</f>
        <v/>
      </c>
      <c r="N345" s="364"/>
      <c r="O345" s="362" t="str">
        <f>IF($B345="","",IF(Sheet1!$Z$1=2,'Tabla de Pagos Crecientes'!O285,'Tabla Fijos'!Q290))</f>
        <v/>
      </c>
      <c r="P345" s="362" t="str">
        <f>IF(B345="","",G345+H345+I345+J345+K345+L345-M345-'Tabla Fijos'!P290)</f>
        <v/>
      </c>
      <c r="Q345" s="362" t="str">
        <f t="shared" si="12"/>
        <v/>
      </c>
      <c r="R345" s="272">
        <f t="shared" si="10"/>
        <v>0</v>
      </c>
    </row>
    <row r="346" spans="1:18" ht="15.5" x14ac:dyDescent="0.35">
      <c r="A346" s="272"/>
      <c r="B346" s="360" t="str">
        <f t="shared" si="13"/>
        <v/>
      </c>
      <c r="C346" s="361" t="str">
        <f>IF($B346="","",'Fecha Pago'!K283)</f>
        <v/>
      </c>
      <c r="D346" s="362" t="str">
        <f>IF($B$67="","",'Fecha Pago'!L283)</f>
        <v/>
      </c>
      <c r="E346" s="363" t="str">
        <f>IF(B346="","",IF(Sheet1!$Z$1=2,'Tabla de Pagos Crecientes'!E286,$F$62))</f>
        <v/>
      </c>
      <c r="F346" s="362" t="str">
        <f>IF($B346="","",IF(Sheet1!$Z$1=2,'Tabla de Pagos Crecientes'!F286,'Tabla Fijos'!F291))</f>
        <v/>
      </c>
      <c r="G346" s="362" t="str">
        <f>IF($B346="","",IF(Sheet1!$Z$1=2,'Tabla de Pagos Crecientes'!G286,'Tabla Fijos'!G291))</f>
        <v/>
      </c>
      <c r="H346" s="362" t="str">
        <f>IF($B346="","",IF(Sheet1!$Z$1=2,'Tabla de Pagos Crecientes'!H286,'Tabla Fijos'!H291))</f>
        <v/>
      </c>
      <c r="I346" s="362" t="str">
        <f>IF($B346=0,0,IF(B346="","",VLOOKUP($B346,'Tabla Fijos'!$B$12:$S$311,8,0)))</f>
        <v/>
      </c>
      <c r="J346" s="362" t="str">
        <f>IF($B346="","",IF(Sheet1!$Z$1=2,'Tabla de Pagos Crecientes'!J286,'Tabla Fijos'!K291))</f>
        <v/>
      </c>
      <c r="K346" s="362" t="str">
        <f>IF($B346="","",IF(Sheet1!$Z$1=2,'Tabla de Pagos Crecientes'!K286,'Tabla Fijos'!L291))</f>
        <v/>
      </c>
      <c r="L346" s="362" t="str">
        <f>IF($B346="","",IF(Sheet1!$Z$1=2,'Tabla de Pagos Crecientes'!L286,'Tabla Fijos'!M291))</f>
        <v/>
      </c>
      <c r="M346" s="362" t="str">
        <f>IF($B346="","",IF(Sheet1!$Z$1=2,'Tabla de Pagos Crecientes'!M286,'Tabla Fijos'!N291))</f>
        <v/>
      </c>
      <c r="N346" s="364"/>
      <c r="O346" s="362" t="str">
        <f>IF($B346="","",IF(Sheet1!$Z$1=2,'Tabla de Pagos Crecientes'!O286,'Tabla Fijos'!Q291))</f>
        <v/>
      </c>
      <c r="P346" s="362" t="str">
        <f>IF(B346="","",G346+H346+I346+J346+K346+L346-M346-'Tabla Fijos'!P291)</f>
        <v/>
      </c>
      <c r="Q346" s="362" t="str">
        <f t="shared" si="12"/>
        <v/>
      </c>
      <c r="R346" s="272">
        <f t="shared" si="10"/>
        <v>0</v>
      </c>
    </row>
    <row r="347" spans="1:18" ht="15.5" x14ac:dyDescent="0.35">
      <c r="A347" s="272"/>
      <c r="B347" s="360" t="str">
        <f t="shared" si="13"/>
        <v/>
      </c>
      <c r="C347" s="361" t="str">
        <f>IF($B347="","",'Fecha Pago'!K284)</f>
        <v/>
      </c>
      <c r="D347" s="362" t="str">
        <f>IF($B$67="","",'Fecha Pago'!L284)</f>
        <v/>
      </c>
      <c r="E347" s="363" t="str">
        <f>IF(B347="","",IF(Sheet1!$Z$1=2,'Tabla de Pagos Crecientes'!E287,$F$62))</f>
        <v/>
      </c>
      <c r="F347" s="362" t="str">
        <f>IF($B347="","",IF(Sheet1!$Z$1=2,'Tabla de Pagos Crecientes'!F287,'Tabla Fijos'!F292))</f>
        <v/>
      </c>
      <c r="G347" s="362" t="str">
        <f>IF($B347="","",IF(Sheet1!$Z$1=2,'Tabla de Pagos Crecientes'!G287,'Tabla Fijos'!G292))</f>
        <v/>
      </c>
      <c r="H347" s="362" t="str">
        <f>IF($B347="","",IF(Sheet1!$Z$1=2,'Tabla de Pagos Crecientes'!H287,'Tabla Fijos'!H292))</f>
        <v/>
      </c>
      <c r="I347" s="362" t="str">
        <f>IF($B347=0,0,IF(B347="","",VLOOKUP($B347,'Tabla Fijos'!$B$12:$S$311,8,0)))</f>
        <v/>
      </c>
      <c r="J347" s="362" t="str">
        <f>IF($B347="","",IF(Sheet1!$Z$1=2,'Tabla de Pagos Crecientes'!J287,'Tabla Fijos'!K292))</f>
        <v/>
      </c>
      <c r="K347" s="362" t="str">
        <f>IF($B347="","",IF(Sheet1!$Z$1=2,'Tabla de Pagos Crecientes'!K287,'Tabla Fijos'!L292))</f>
        <v/>
      </c>
      <c r="L347" s="362" t="str">
        <f>IF($B347="","",IF(Sheet1!$Z$1=2,'Tabla de Pagos Crecientes'!L287,'Tabla Fijos'!M292))</f>
        <v/>
      </c>
      <c r="M347" s="362" t="str">
        <f>IF($B347="","",IF(Sheet1!$Z$1=2,'Tabla de Pagos Crecientes'!M287,'Tabla Fijos'!N292))</f>
        <v/>
      </c>
      <c r="N347" s="364"/>
      <c r="O347" s="362" t="str">
        <f>IF($B347="","",IF(Sheet1!$Z$1=2,'Tabla de Pagos Crecientes'!O287,'Tabla Fijos'!Q292))</f>
        <v/>
      </c>
      <c r="P347" s="362" t="str">
        <f>IF(B347="","",G347+H347+I347+J347+K347+L347-M347-'Tabla Fijos'!P292)</f>
        <v/>
      </c>
      <c r="Q347" s="362" t="str">
        <f t="shared" si="12"/>
        <v/>
      </c>
      <c r="R347" s="272">
        <f t="shared" si="10"/>
        <v>0</v>
      </c>
    </row>
    <row r="348" spans="1:18" ht="15.5" x14ac:dyDescent="0.35">
      <c r="A348" s="272"/>
      <c r="B348" s="360" t="str">
        <f t="shared" si="13"/>
        <v/>
      </c>
      <c r="C348" s="361" t="str">
        <f>IF($B348="","",'Fecha Pago'!K285)</f>
        <v/>
      </c>
      <c r="D348" s="362" t="str">
        <f>IF($B$67="","",'Fecha Pago'!L285)</f>
        <v/>
      </c>
      <c r="E348" s="363" t="str">
        <f>IF(B348="","",IF(Sheet1!$Z$1=2,'Tabla de Pagos Crecientes'!E288,$F$62))</f>
        <v/>
      </c>
      <c r="F348" s="362" t="str">
        <f>IF($B348="","",IF(Sheet1!$Z$1=2,'Tabla de Pagos Crecientes'!F288,'Tabla Fijos'!F293))</f>
        <v/>
      </c>
      <c r="G348" s="362" t="str">
        <f>IF($B348="","",IF(Sheet1!$Z$1=2,'Tabla de Pagos Crecientes'!G288,'Tabla Fijos'!G293))</f>
        <v/>
      </c>
      <c r="H348" s="362" t="str">
        <f>IF($B348="","",IF(Sheet1!$Z$1=2,'Tabla de Pagos Crecientes'!H288,'Tabla Fijos'!H293))</f>
        <v/>
      </c>
      <c r="I348" s="362" t="str">
        <f>IF($B348=0,0,IF(B348="","",VLOOKUP($B348,'Tabla Fijos'!$B$12:$S$311,8,0)))</f>
        <v/>
      </c>
      <c r="J348" s="362" t="str">
        <f>IF($B348="","",IF(Sheet1!$Z$1=2,'Tabla de Pagos Crecientes'!J288,'Tabla Fijos'!K293))</f>
        <v/>
      </c>
      <c r="K348" s="362" t="str">
        <f>IF($B348="","",IF(Sheet1!$Z$1=2,'Tabla de Pagos Crecientes'!K288,'Tabla Fijos'!L293))</f>
        <v/>
      </c>
      <c r="L348" s="362" t="str">
        <f>IF($B348="","",IF(Sheet1!$Z$1=2,'Tabla de Pagos Crecientes'!L288,'Tabla Fijos'!M293))</f>
        <v/>
      </c>
      <c r="M348" s="362" t="str">
        <f>IF($B348="","",IF(Sheet1!$Z$1=2,'Tabla de Pagos Crecientes'!M288,'Tabla Fijos'!N293))</f>
        <v/>
      </c>
      <c r="N348" s="364"/>
      <c r="O348" s="362" t="str">
        <f>IF($B348="","",IF(Sheet1!$Z$1=2,'Tabla de Pagos Crecientes'!O288,'Tabla Fijos'!Q293))</f>
        <v/>
      </c>
      <c r="P348" s="362" t="str">
        <f>IF(B348="","",G348+H348+I348+J348+K348+L348-M348-'Tabla Fijos'!P293)</f>
        <v/>
      </c>
      <c r="Q348" s="362" t="str">
        <f t="shared" si="12"/>
        <v/>
      </c>
      <c r="R348" s="272">
        <f t="shared" si="10"/>
        <v>0</v>
      </c>
    </row>
    <row r="349" spans="1:18" ht="15.5" x14ac:dyDescent="0.35">
      <c r="A349" s="272"/>
      <c r="B349" s="360" t="str">
        <f t="shared" si="13"/>
        <v/>
      </c>
      <c r="C349" s="361" t="str">
        <f>IF($B349="","",'Fecha Pago'!K286)</f>
        <v/>
      </c>
      <c r="D349" s="362" t="str">
        <f>IF($B$67="","",'Fecha Pago'!L286)</f>
        <v/>
      </c>
      <c r="E349" s="363" t="str">
        <f>IF(B349="","",IF(Sheet1!$Z$1=2,'Tabla de Pagos Crecientes'!E289,$F$62))</f>
        <v/>
      </c>
      <c r="F349" s="362" t="str">
        <f>IF($B349="","",IF(Sheet1!$Z$1=2,'Tabla de Pagos Crecientes'!F289,'Tabla Fijos'!F294))</f>
        <v/>
      </c>
      <c r="G349" s="362" t="str">
        <f>IF($B349="","",IF(Sheet1!$Z$1=2,'Tabla de Pagos Crecientes'!G289,'Tabla Fijos'!G294))</f>
        <v/>
      </c>
      <c r="H349" s="362" t="str">
        <f>IF($B349="","",IF(Sheet1!$Z$1=2,'Tabla de Pagos Crecientes'!H289,'Tabla Fijos'!H294))</f>
        <v/>
      </c>
      <c r="I349" s="362" t="str">
        <f>IF($B349=0,0,IF(B349="","",VLOOKUP($B349,'Tabla Fijos'!$B$12:$S$311,8,0)))</f>
        <v/>
      </c>
      <c r="J349" s="362" t="str">
        <f>IF($B349="","",IF(Sheet1!$Z$1=2,'Tabla de Pagos Crecientes'!J289,'Tabla Fijos'!K294))</f>
        <v/>
      </c>
      <c r="K349" s="362" t="str">
        <f>IF($B349="","",IF(Sheet1!$Z$1=2,'Tabla de Pagos Crecientes'!K289,'Tabla Fijos'!L294))</f>
        <v/>
      </c>
      <c r="L349" s="362" t="str">
        <f>IF($B349="","",IF(Sheet1!$Z$1=2,'Tabla de Pagos Crecientes'!L289,'Tabla Fijos'!M294))</f>
        <v/>
      </c>
      <c r="M349" s="362" t="str">
        <f>IF($B349="","",IF(Sheet1!$Z$1=2,'Tabla de Pagos Crecientes'!M289,'Tabla Fijos'!N294))</f>
        <v/>
      </c>
      <c r="N349" s="364"/>
      <c r="O349" s="362" t="str">
        <f>IF($B349="","",IF(Sheet1!$Z$1=2,'Tabla de Pagos Crecientes'!O289,'Tabla Fijos'!Q294))</f>
        <v/>
      </c>
      <c r="P349" s="362" t="str">
        <f>IF(B349="","",G349+H349+I349+J349+K349+L349-M349-'Tabla Fijos'!P294)</f>
        <v/>
      </c>
      <c r="Q349" s="362" t="str">
        <f t="shared" si="12"/>
        <v/>
      </c>
      <c r="R349" s="272">
        <f t="shared" si="10"/>
        <v>0</v>
      </c>
    </row>
    <row r="350" spans="1:18" ht="15.5" x14ac:dyDescent="0.35">
      <c r="A350" s="272"/>
      <c r="B350" s="360" t="str">
        <f t="shared" si="13"/>
        <v/>
      </c>
      <c r="C350" s="361" t="str">
        <f>IF($B350="","",'Fecha Pago'!K287)</f>
        <v/>
      </c>
      <c r="D350" s="362" t="str">
        <f>IF($B$67="","",'Fecha Pago'!L287)</f>
        <v/>
      </c>
      <c r="E350" s="363" t="str">
        <f>IF(B350="","",IF(Sheet1!$Z$1=2,'Tabla de Pagos Crecientes'!E290,$F$62))</f>
        <v/>
      </c>
      <c r="F350" s="362" t="str">
        <f>IF($B350="","",IF(Sheet1!$Z$1=2,'Tabla de Pagos Crecientes'!F290,'Tabla Fijos'!F295))</f>
        <v/>
      </c>
      <c r="G350" s="362" t="str">
        <f>IF($B350="","",IF(Sheet1!$Z$1=2,'Tabla de Pagos Crecientes'!G290,'Tabla Fijos'!G295))</f>
        <v/>
      </c>
      <c r="H350" s="362" t="str">
        <f>IF($B350="","",IF(Sheet1!$Z$1=2,'Tabla de Pagos Crecientes'!H290,'Tabla Fijos'!H295))</f>
        <v/>
      </c>
      <c r="I350" s="362" t="str">
        <f>IF($B350=0,0,IF(B350="","",VLOOKUP($B350,'Tabla Fijos'!$B$12:$S$311,8,0)))</f>
        <v/>
      </c>
      <c r="J350" s="362" t="str">
        <f>IF($B350="","",IF(Sheet1!$Z$1=2,'Tabla de Pagos Crecientes'!J290,'Tabla Fijos'!K295))</f>
        <v/>
      </c>
      <c r="K350" s="362" t="str">
        <f>IF($B350="","",IF(Sheet1!$Z$1=2,'Tabla de Pagos Crecientes'!K290,'Tabla Fijos'!L295))</f>
        <v/>
      </c>
      <c r="L350" s="362" t="str">
        <f>IF($B350="","",IF(Sheet1!$Z$1=2,'Tabla de Pagos Crecientes'!L290,'Tabla Fijos'!M295))</f>
        <v/>
      </c>
      <c r="M350" s="362" t="str">
        <f>IF($B350="","",IF(Sheet1!$Z$1=2,'Tabla de Pagos Crecientes'!M290,'Tabla Fijos'!N295))</f>
        <v/>
      </c>
      <c r="N350" s="364"/>
      <c r="O350" s="362" t="str">
        <f>IF($B350="","",IF(Sheet1!$Z$1=2,'Tabla de Pagos Crecientes'!O290,'Tabla Fijos'!Q295))</f>
        <v/>
      </c>
      <c r="P350" s="362" t="str">
        <f>IF(B350="","",G350+H350+I350+J350+K350+L350-M350-'Tabla Fijos'!P295)</f>
        <v/>
      </c>
      <c r="Q350" s="362" t="str">
        <f t="shared" si="12"/>
        <v/>
      </c>
      <c r="R350" s="272">
        <f t="shared" si="10"/>
        <v>0</v>
      </c>
    </row>
    <row r="351" spans="1:18" ht="15.5" x14ac:dyDescent="0.35">
      <c r="A351" s="272"/>
      <c r="B351" s="360" t="str">
        <f t="shared" si="13"/>
        <v/>
      </c>
      <c r="C351" s="361" t="str">
        <f>IF($B351="","",'Fecha Pago'!K288)</f>
        <v/>
      </c>
      <c r="D351" s="362" t="str">
        <f>IF($B$67="","",'Fecha Pago'!L288)</f>
        <v/>
      </c>
      <c r="E351" s="363" t="str">
        <f>IF(B351="","",IF(Sheet1!$Z$1=2,'Tabla de Pagos Crecientes'!E291,$F$62))</f>
        <v/>
      </c>
      <c r="F351" s="362" t="str">
        <f>IF($B351="","",IF(Sheet1!$Z$1=2,'Tabla de Pagos Crecientes'!F291,'Tabla Fijos'!F296))</f>
        <v/>
      </c>
      <c r="G351" s="362" t="str">
        <f>IF($B351="","",IF(Sheet1!$Z$1=2,'Tabla de Pagos Crecientes'!G291,'Tabla Fijos'!G296))</f>
        <v/>
      </c>
      <c r="H351" s="362" t="str">
        <f>IF($B351="","",IF(Sheet1!$Z$1=2,'Tabla de Pagos Crecientes'!H291,'Tabla Fijos'!H296))</f>
        <v/>
      </c>
      <c r="I351" s="362" t="str">
        <f>IF($B351=0,0,IF(B351="","",VLOOKUP($B351,'Tabla Fijos'!$B$12:$S$311,8,0)))</f>
        <v/>
      </c>
      <c r="J351" s="362" t="str">
        <f>IF($B351="","",IF(Sheet1!$Z$1=2,'Tabla de Pagos Crecientes'!J291,'Tabla Fijos'!K296))</f>
        <v/>
      </c>
      <c r="K351" s="362" t="str">
        <f>IF($B351="","",IF(Sheet1!$Z$1=2,'Tabla de Pagos Crecientes'!K291,'Tabla Fijos'!L296))</f>
        <v/>
      </c>
      <c r="L351" s="362" t="str">
        <f>IF($B351="","",IF(Sheet1!$Z$1=2,'Tabla de Pagos Crecientes'!L291,'Tabla Fijos'!M296))</f>
        <v/>
      </c>
      <c r="M351" s="362" t="str">
        <f>IF($B351="","",IF(Sheet1!$Z$1=2,'Tabla de Pagos Crecientes'!M291,'Tabla Fijos'!N296))</f>
        <v/>
      </c>
      <c r="N351" s="364"/>
      <c r="O351" s="362" t="str">
        <f>IF($B351="","",IF(Sheet1!$Z$1=2,'Tabla de Pagos Crecientes'!O291,'Tabla Fijos'!Q296))</f>
        <v/>
      </c>
      <c r="P351" s="362" t="str">
        <f>IF(B351="","",G351+H351+I351+J351+K351+L351-M351-'Tabla Fijos'!P296)</f>
        <v/>
      </c>
      <c r="Q351" s="362" t="str">
        <f t="shared" si="12"/>
        <v/>
      </c>
      <c r="R351" s="272">
        <f t="shared" si="10"/>
        <v>0</v>
      </c>
    </row>
    <row r="352" spans="1:18" ht="15.5" x14ac:dyDescent="0.35">
      <c r="A352" s="272"/>
      <c r="B352" s="360" t="str">
        <f t="shared" si="13"/>
        <v/>
      </c>
      <c r="C352" s="361" t="str">
        <f>IF($B352="","",'Fecha Pago'!K289)</f>
        <v/>
      </c>
      <c r="D352" s="362" t="str">
        <f>IF($B$67="","",'Fecha Pago'!L289)</f>
        <v/>
      </c>
      <c r="E352" s="363" t="str">
        <f>IF(B352="","",IF(Sheet1!$Z$1=2,'Tabla de Pagos Crecientes'!E292,$F$62))</f>
        <v/>
      </c>
      <c r="F352" s="362" t="str">
        <f>IF($B352="","",IF(Sheet1!$Z$1=2,'Tabla de Pagos Crecientes'!F292,'Tabla Fijos'!F297))</f>
        <v/>
      </c>
      <c r="G352" s="362" t="str">
        <f>IF($B352="","",IF(Sheet1!$Z$1=2,'Tabla de Pagos Crecientes'!G292,'Tabla Fijos'!G297))</f>
        <v/>
      </c>
      <c r="H352" s="362" t="str">
        <f>IF($B352="","",IF(Sheet1!$Z$1=2,'Tabla de Pagos Crecientes'!H292,'Tabla Fijos'!H297))</f>
        <v/>
      </c>
      <c r="I352" s="362" t="str">
        <f>IF($B352=0,0,IF(B352="","",VLOOKUP($B352,'Tabla Fijos'!$B$12:$S$311,8,0)))</f>
        <v/>
      </c>
      <c r="J352" s="362" t="str">
        <f>IF($B352="","",IF(Sheet1!$Z$1=2,'Tabla de Pagos Crecientes'!J292,'Tabla Fijos'!K297))</f>
        <v/>
      </c>
      <c r="K352" s="362" t="str">
        <f>IF($B352="","",IF(Sheet1!$Z$1=2,'Tabla de Pagos Crecientes'!K292,'Tabla Fijos'!L297))</f>
        <v/>
      </c>
      <c r="L352" s="362" t="str">
        <f>IF($B352="","",IF(Sheet1!$Z$1=2,'Tabla de Pagos Crecientes'!L292,'Tabla Fijos'!M297))</f>
        <v/>
      </c>
      <c r="M352" s="362" t="str">
        <f>IF($B352="","",IF(Sheet1!$Z$1=2,'Tabla de Pagos Crecientes'!M292,'Tabla Fijos'!N297))</f>
        <v/>
      </c>
      <c r="N352" s="364"/>
      <c r="O352" s="362" t="str">
        <f>IF($B352="","",IF(Sheet1!$Z$1=2,'Tabla de Pagos Crecientes'!O292,'Tabla Fijos'!Q297))</f>
        <v/>
      </c>
      <c r="P352" s="362" t="str">
        <f>IF(B352="","",G352+H352+I352+J352+K352+L352-M352-'Tabla Fijos'!P297)</f>
        <v/>
      </c>
      <c r="Q352" s="362" t="str">
        <f t="shared" si="12"/>
        <v/>
      </c>
      <c r="R352" s="272">
        <f t="shared" si="10"/>
        <v>0</v>
      </c>
    </row>
    <row r="353" spans="1:18" ht="15.5" x14ac:dyDescent="0.35">
      <c r="A353" s="272"/>
      <c r="B353" s="360" t="str">
        <f t="shared" si="13"/>
        <v/>
      </c>
      <c r="C353" s="361" t="str">
        <f>IF($B353="","",'Fecha Pago'!K290)</f>
        <v/>
      </c>
      <c r="D353" s="362" t="str">
        <f>IF($B$67="","",'Fecha Pago'!L290)</f>
        <v/>
      </c>
      <c r="E353" s="363" t="str">
        <f>IF(B353="","",IF(Sheet1!$Z$1=2,'Tabla de Pagos Crecientes'!E293,$F$62))</f>
        <v/>
      </c>
      <c r="F353" s="362" t="str">
        <f>IF($B353="","",IF(Sheet1!$Z$1=2,'Tabla de Pagos Crecientes'!F293,'Tabla Fijos'!F298))</f>
        <v/>
      </c>
      <c r="G353" s="362" t="str">
        <f>IF($B353="","",IF(Sheet1!$Z$1=2,'Tabla de Pagos Crecientes'!G293,'Tabla Fijos'!G298))</f>
        <v/>
      </c>
      <c r="H353" s="362" t="str">
        <f>IF($B353="","",IF(Sheet1!$Z$1=2,'Tabla de Pagos Crecientes'!H293,'Tabla Fijos'!H298))</f>
        <v/>
      </c>
      <c r="I353" s="362" t="str">
        <f>IF($B353=0,0,IF(B353="","",VLOOKUP($B353,'Tabla Fijos'!$B$12:$S$311,8,0)))</f>
        <v/>
      </c>
      <c r="J353" s="362" t="str">
        <f>IF($B353="","",IF(Sheet1!$Z$1=2,'Tabla de Pagos Crecientes'!J293,'Tabla Fijos'!K298))</f>
        <v/>
      </c>
      <c r="K353" s="362" t="str">
        <f>IF($B353="","",IF(Sheet1!$Z$1=2,'Tabla de Pagos Crecientes'!K293,'Tabla Fijos'!L298))</f>
        <v/>
      </c>
      <c r="L353" s="362" t="str">
        <f>IF($B353="","",IF(Sheet1!$Z$1=2,'Tabla de Pagos Crecientes'!L293,'Tabla Fijos'!M298))</f>
        <v/>
      </c>
      <c r="M353" s="362" t="str">
        <f>IF($B353="","",IF(Sheet1!$Z$1=2,'Tabla de Pagos Crecientes'!M293,'Tabla Fijos'!N298))</f>
        <v/>
      </c>
      <c r="N353" s="364"/>
      <c r="O353" s="362" t="str">
        <f>IF($B353="","",IF(Sheet1!$Z$1=2,'Tabla de Pagos Crecientes'!O293,'Tabla Fijos'!Q298))</f>
        <v/>
      </c>
      <c r="P353" s="362" t="str">
        <f>IF(B353="","",G353+H353+I353+J353+K353+L353-M353-'Tabla Fijos'!P298)</f>
        <v/>
      </c>
      <c r="Q353" s="362" t="str">
        <f t="shared" si="12"/>
        <v/>
      </c>
      <c r="R353" s="272">
        <f t="shared" si="10"/>
        <v>0</v>
      </c>
    </row>
    <row r="354" spans="1:18" ht="15.5" x14ac:dyDescent="0.35">
      <c r="A354" s="272"/>
      <c r="B354" s="360" t="str">
        <f t="shared" si="13"/>
        <v/>
      </c>
      <c r="C354" s="361" t="str">
        <f>IF($B354="","",'Fecha Pago'!K291)</f>
        <v/>
      </c>
      <c r="D354" s="362" t="str">
        <f>IF($B$67="","",'Fecha Pago'!L291)</f>
        <v/>
      </c>
      <c r="E354" s="363" t="str">
        <f>IF(B354="","",IF(Sheet1!$Z$1=2,'Tabla de Pagos Crecientes'!E294,$F$62))</f>
        <v/>
      </c>
      <c r="F354" s="362" t="str">
        <f>IF($B354="","",IF(Sheet1!$Z$1=2,'Tabla de Pagos Crecientes'!F294,'Tabla Fijos'!F299))</f>
        <v/>
      </c>
      <c r="G354" s="362" t="str">
        <f>IF($B354="","",IF(Sheet1!$Z$1=2,'Tabla de Pagos Crecientes'!G294,'Tabla Fijos'!G299))</f>
        <v/>
      </c>
      <c r="H354" s="362" t="str">
        <f>IF($B354="","",IF(Sheet1!$Z$1=2,'Tabla de Pagos Crecientes'!H294,'Tabla Fijos'!H299))</f>
        <v/>
      </c>
      <c r="I354" s="362" t="str">
        <f>IF($B354=0,0,IF(B354="","",VLOOKUP($B354,'Tabla Fijos'!$B$12:$S$311,8,0)))</f>
        <v/>
      </c>
      <c r="J354" s="362" t="str">
        <f>IF($B354="","",IF(Sheet1!$Z$1=2,'Tabla de Pagos Crecientes'!J294,'Tabla Fijos'!K299))</f>
        <v/>
      </c>
      <c r="K354" s="362" t="str">
        <f>IF($B354="","",IF(Sheet1!$Z$1=2,'Tabla de Pagos Crecientes'!K294,'Tabla Fijos'!L299))</f>
        <v/>
      </c>
      <c r="L354" s="362" t="str">
        <f>IF($B354="","",IF(Sheet1!$Z$1=2,'Tabla de Pagos Crecientes'!L294,'Tabla Fijos'!M299))</f>
        <v/>
      </c>
      <c r="M354" s="362" t="str">
        <f>IF($B354="","",IF(Sheet1!$Z$1=2,'Tabla de Pagos Crecientes'!M294,'Tabla Fijos'!N299))</f>
        <v/>
      </c>
      <c r="N354" s="364"/>
      <c r="O354" s="362" t="str">
        <f>IF($B354="","",IF(Sheet1!$Z$1=2,'Tabla de Pagos Crecientes'!O294,'Tabla Fijos'!Q299))</f>
        <v/>
      </c>
      <c r="P354" s="362" t="str">
        <f>IF(B354="","",G354+H354+I354+J354+K354+L354-M354-'Tabla Fijos'!P299)</f>
        <v/>
      </c>
      <c r="Q354" s="362" t="str">
        <f t="shared" si="12"/>
        <v/>
      </c>
      <c r="R354" s="272">
        <f t="shared" si="10"/>
        <v>0</v>
      </c>
    </row>
    <row r="355" spans="1:18" ht="15.5" x14ac:dyDescent="0.35">
      <c r="A355" s="272"/>
      <c r="B355" s="360" t="str">
        <f t="shared" si="13"/>
        <v/>
      </c>
      <c r="C355" s="361" t="str">
        <f>IF($B355="","",'Fecha Pago'!K292)</f>
        <v/>
      </c>
      <c r="D355" s="362" t="str">
        <f>IF($B$67="","",'Fecha Pago'!L292)</f>
        <v/>
      </c>
      <c r="E355" s="363" t="str">
        <f>IF(B355="","",IF(Sheet1!$Z$1=2,'Tabla de Pagos Crecientes'!E295,$F$62))</f>
        <v/>
      </c>
      <c r="F355" s="362" t="str">
        <f>IF($B355="","",IF(Sheet1!$Z$1=2,'Tabla de Pagos Crecientes'!F295,'Tabla Fijos'!F300))</f>
        <v/>
      </c>
      <c r="G355" s="362" t="str">
        <f>IF($B355="","",IF(Sheet1!$Z$1=2,'Tabla de Pagos Crecientes'!G295,'Tabla Fijos'!G300))</f>
        <v/>
      </c>
      <c r="H355" s="362" t="str">
        <f>IF($B355="","",IF(Sheet1!$Z$1=2,'Tabla de Pagos Crecientes'!H295,'Tabla Fijos'!H300))</f>
        <v/>
      </c>
      <c r="I355" s="362" t="str">
        <f>IF($B355=0,0,IF(B355="","",VLOOKUP($B355,'Tabla Fijos'!$B$12:$S$311,8,0)))</f>
        <v/>
      </c>
      <c r="J355" s="362" t="str">
        <f>IF($B355="","",IF(Sheet1!$Z$1=2,'Tabla de Pagos Crecientes'!J295,'Tabla Fijos'!K300))</f>
        <v/>
      </c>
      <c r="K355" s="362" t="str">
        <f>IF($B355="","",IF(Sheet1!$Z$1=2,'Tabla de Pagos Crecientes'!K295,'Tabla Fijos'!L300))</f>
        <v/>
      </c>
      <c r="L355" s="362" t="str">
        <f>IF($B355="","",IF(Sheet1!$Z$1=2,'Tabla de Pagos Crecientes'!L295,'Tabla Fijos'!M300))</f>
        <v/>
      </c>
      <c r="M355" s="362" t="str">
        <f>IF($B355="","",IF(Sheet1!$Z$1=2,'Tabla de Pagos Crecientes'!M295,'Tabla Fijos'!N300))</f>
        <v/>
      </c>
      <c r="N355" s="364"/>
      <c r="O355" s="362" t="str">
        <f>IF($B355="","",IF(Sheet1!$Z$1=2,'Tabla de Pagos Crecientes'!O295,'Tabla Fijos'!Q300))</f>
        <v/>
      </c>
      <c r="P355" s="362" t="str">
        <f>IF(B355="","",G355+H355+I355+J355+K355+L355-M355-'Tabla Fijos'!P300)</f>
        <v/>
      </c>
      <c r="Q355" s="362" t="str">
        <f t="shared" si="12"/>
        <v/>
      </c>
      <c r="R355" s="272">
        <f t="shared" si="10"/>
        <v>0</v>
      </c>
    </row>
    <row r="356" spans="1:18" ht="15.5" x14ac:dyDescent="0.35">
      <c r="A356" s="272"/>
      <c r="B356" s="360" t="str">
        <f t="shared" si="13"/>
        <v/>
      </c>
      <c r="C356" s="361" t="str">
        <f>IF($B356="","",'Fecha Pago'!K293)</f>
        <v/>
      </c>
      <c r="D356" s="362" t="str">
        <f>IF($B$67="","",'Fecha Pago'!L293)</f>
        <v/>
      </c>
      <c r="E356" s="363" t="str">
        <f>IF(B356="","",IF(Sheet1!$Z$1=2,'Tabla de Pagos Crecientes'!E296,$F$62))</f>
        <v/>
      </c>
      <c r="F356" s="362" t="str">
        <f>IF($B356="","",IF(Sheet1!$Z$1=2,'Tabla de Pagos Crecientes'!F296,'Tabla Fijos'!F301))</f>
        <v/>
      </c>
      <c r="G356" s="362" t="str">
        <f>IF($B356="","",IF(Sheet1!$Z$1=2,'Tabla de Pagos Crecientes'!G296,'Tabla Fijos'!G301))</f>
        <v/>
      </c>
      <c r="H356" s="362" t="str">
        <f>IF($B356="","",IF(Sheet1!$Z$1=2,'Tabla de Pagos Crecientes'!H296,'Tabla Fijos'!H301))</f>
        <v/>
      </c>
      <c r="I356" s="362" t="str">
        <f>IF($B356=0,0,IF(B356="","",VLOOKUP($B356,'Tabla Fijos'!$B$12:$S$311,8,0)))</f>
        <v/>
      </c>
      <c r="J356" s="362" t="str">
        <f>IF($B356="","",IF(Sheet1!$Z$1=2,'Tabla de Pagos Crecientes'!J296,'Tabla Fijos'!K301))</f>
        <v/>
      </c>
      <c r="K356" s="362" t="str">
        <f>IF($B356="","",IF(Sheet1!$Z$1=2,'Tabla de Pagos Crecientes'!K296,'Tabla Fijos'!L301))</f>
        <v/>
      </c>
      <c r="L356" s="362" t="str">
        <f>IF($B356="","",IF(Sheet1!$Z$1=2,'Tabla de Pagos Crecientes'!L296,'Tabla Fijos'!M301))</f>
        <v/>
      </c>
      <c r="M356" s="362" t="str">
        <f>IF($B356="","",IF(Sheet1!$Z$1=2,'Tabla de Pagos Crecientes'!M296,'Tabla Fijos'!N301))</f>
        <v/>
      </c>
      <c r="N356" s="364"/>
      <c r="O356" s="362" t="str">
        <f>IF($B356="","",IF(Sheet1!$Z$1=2,'Tabla de Pagos Crecientes'!O296,'Tabla Fijos'!Q301))</f>
        <v/>
      </c>
      <c r="P356" s="362" t="str">
        <f>IF(B356="","",G356+H356+I356+J356+K356+L356-M356-'Tabla Fijos'!P301)</f>
        <v/>
      </c>
      <c r="Q356" s="362" t="str">
        <f t="shared" si="12"/>
        <v/>
      </c>
      <c r="R356" s="272">
        <f t="shared" si="10"/>
        <v>0</v>
      </c>
    </row>
    <row r="357" spans="1:18" ht="15.5" x14ac:dyDescent="0.35">
      <c r="A357" s="272"/>
      <c r="B357" s="360" t="str">
        <f t="shared" si="13"/>
        <v/>
      </c>
      <c r="C357" s="361" t="str">
        <f>IF($B357="","",'Fecha Pago'!K294)</f>
        <v/>
      </c>
      <c r="D357" s="362" t="str">
        <f>IF($B$67="","",'Fecha Pago'!L294)</f>
        <v/>
      </c>
      <c r="E357" s="363" t="str">
        <f>IF(B357="","",IF(Sheet1!$Z$1=2,'Tabla de Pagos Crecientes'!E297,$F$62))</f>
        <v/>
      </c>
      <c r="F357" s="362" t="str">
        <f>IF($B357="","",IF(Sheet1!$Z$1=2,'Tabla de Pagos Crecientes'!F297,'Tabla Fijos'!F302))</f>
        <v/>
      </c>
      <c r="G357" s="362" t="str">
        <f>IF($B357="","",IF(Sheet1!$Z$1=2,'Tabla de Pagos Crecientes'!G297,'Tabla Fijos'!G302))</f>
        <v/>
      </c>
      <c r="H357" s="362" t="str">
        <f>IF($B357="","",IF(Sheet1!$Z$1=2,'Tabla de Pagos Crecientes'!H297,'Tabla Fijos'!H302))</f>
        <v/>
      </c>
      <c r="I357" s="362" t="str">
        <f>IF($B357=0,0,IF(B357="","",VLOOKUP($B357,'Tabla Fijos'!$B$12:$S$311,8,0)))</f>
        <v/>
      </c>
      <c r="J357" s="362" t="str">
        <f>IF($B357="","",IF(Sheet1!$Z$1=2,'Tabla de Pagos Crecientes'!J297,'Tabla Fijos'!K302))</f>
        <v/>
      </c>
      <c r="K357" s="362" t="str">
        <f>IF($B357="","",IF(Sheet1!$Z$1=2,'Tabla de Pagos Crecientes'!K297,'Tabla Fijos'!L302))</f>
        <v/>
      </c>
      <c r="L357" s="362" t="str">
        <f>IF($B357="","",IF(Sheet1!$Z$1=2,'Tabla de Pagos Crecientes'!L297,'Tabla Fijos'!M302))</f>
        <v/>
      </c>
      <c r="M357" s="362" t="str">
        <f>IF($B357="","",IF(Sheet1!$Z$1=2,'Tabla de Pagos Crecientes'!M297,'Tabla Fijos'!N302))</f>
        <v/>
      </c>
      <c r="N357" s="364"/>
      <c r="O357" s="362" t="str">
        <f>IF($B357="","",IF(Sheet1!$Z$1=2,'Tabla de Pagos Crecientes'!O297,'Tabla Fijos'!Q302))</f>
        <v/>
      </c>
      <c r="P357" s="362" t="str">
        <f>IF(B357="","",G357+H357+I357+J357+K357+L357-M357-'Tabla Fijos'!P302)</f>
        <v/>
      </c>
      <c r="Q357" s="362" t="str">
        <f t="shared" si="12"/>
        <v/>
      </c>
      <c r="R357" s="272">
        <f t="shared" si="10"/>
        <v>0</v>
      </c>
    </row>
    <row r="358" spans="1:18" ht="15.5" x14ac:dyDescent="0.35">
      <c r="A358" s="272"/>
      <c r="B358" s="360" t="str">
        <f t="shared" si="13"/>
        <v/>
      </c>
      <c r="C358" s="361" t="str">
        <f>IF($B358="","",'Fecha Pago'!K295)</f>
        <v/>
      </c>
      <c r="D358" s="362" t="str">
        <f>IF($B$67="","",'Fecha Pago'!L295)</f>
        <v/>
      </c>
      <c r="E358" s="363" t="str">
        <f>IF(B358="","",IF(Sheet1!$Z$1=2,'Tabla de Pagos Crecientes'!E298,$F$62))</f>
        <v/>
      </c>
      <c r="F358" s="362" t="str">
        <f>IF($B358="","",IF(Sheet1!$Z$1=2,'Tabla de Pagos Crecientes'!F298,'Tabla Fijos'!F303))</f>
        <v/>
      </c>
      <c r="G358" s="362" t="str">
        <f>IF($B358="","",IF(Sheet1!$Z$1=2,'Tabla de Pagos Crecientes'!G298,'Tabla Fijos'!G303))</f>
        <v/>
      </c>
      <c r="H358" s="362" t="str">
        <f>IF($B358="","",IF(Sheet1!$Z$1=2,'Tabla de Pagos Crecientes'!H298,'Tabla Fijos'!H303))</f>
        <v/>
      </c>
      <c r="I358" s="362" t="str">
        <f>IF($B358=0,0,IF(B358="","",VLOOKUP($B358,'Tabla Fijos'!$B$12:$S$311,8,0)))</f>
        <v/>
      </c>
      <c r="J358" s="362" t="str">
        <f>IF($B358="","",IF(Sheet1!$Z$1=2,'Tabla de Pagos Crecientes'!J298,'Tabla Fijos'!K303))</f>
        <v/>
      </c>
      <c r="K358" s="362" t="str">
        <f>IF($B358="","",IF(Sheet1!$Z$1=2,'Tabla de Pagos Crecientes'!K298,'Tabla Fijos'!L303))</f>
        <v/>
      </c>
      <c r="L358" s="362" t="str">
        <f>IF($B358="","",IF(Sheet1!$Z$1=2,'Tabla de Pagos Crecientes'!L298,'Tabla Fijos'!M303))</f>
        <v/>
      </c>
      <c r="M358" s="362" t="str">
        <f>IF($B358="","",IF(Sheet1!$Z$1=2,'Tabla de Pagos Crecientes'!M298,'Tabla Fijos'!N303))</f>
        <v/>
      </c>
      <c r="N358" s="364"/>
      <c r="O358" s="362" t="str">
        <f>IF($B358="","",IF(Sheet1!$Z$1=2,'Tabla de Pagos Crecientes'!O298,'Tabla Fijos'!Q303))</f>
        <v/>
      </c>
      <c r="P358" s="362" t="str">
        <f>IF(B358="","",G358+H358+I358+J358+K358+L358-M358-'Tabla Fijos'!P303)</f>
        <v/>
      </c>
      <c r="Q358" s="362" t="str">
        <f t="shared" si="12"/>
        <v/>
      </c>
      <c r="R358" s="272">
        <f t="shared" si="10"/>
        <v>0</v>
      </c>
    </row>
    <row r="359" spans="1:18" ht="15.5" x14ac:dyDescent="0.35">
      <c r="A359" s="272"/>
      <c r="B359" s="360" t="str">
        <f t="shared" si="13"/>
        <v/>
      </c>
      <c r="C359" s="361" t="str">
        <f>IF($B359="","",'Fecha Pago'!K296)</f>
        <v/>
      </c>
      <c r="D359" s="362" t="str">
        <f>IF($B$67="","",'Fecha Pago'!L296)</f>
        <v/>
      </c>
      <c r="E359" s="363" t="str">
        <f>IF(B359="","",IF(Sheet1!$Z$1=2,'Tabla de Pagos Crecientes'!E299,$F$62))</f>
        <v/>
      </c>
      <c r="F359" s="362" t="str">
        <f>IF($B359="","",IF(Sheet1!$Z$1=2,'Tabla de Pagos Crecientes'!F299,'Tabla Fijos'!F304))</f>
        <v/>
      </c>
      <c r="G359" s="362" t="str">
        <f>IF($B359="","",IF(Sheet1!$Z$1=2,'Tabla de Pagos Crecientes'!G299,'Tabla Fijos'!G304))</f>
        <v/>
      </c>
      <c r="H359" s="362" t="str">
        <f>IF($B359="","",IF(Sheet1!$Z$1=2,'Tabla de Pagos Crecientes'!H299,'Tabla Fijos'!H304))</f>
        <v/>
      </c>
      <c r="I359" s="362" t="str">
        <f>IF($B359=0,0,IF(B359="","",VLOOKUP($B359,'Tabla Fijos'!$B$12:$S$311,8,0)))</f>
        <v/>
      </c>
      <c r="J359" s="362" t="str">
        <f>IF($B359="","",IF(Sheet1!$Z$1=2,'Tabla de Pagos Crecientes'!J299,'Tabla Fijos'!K304))</f>
        <v/>
      </c>
      <c r="K359" s="362" t="str">
        <f>IF($B359="","",IF(Sheet1!$Z$1=2,'Tabla de Pagos Crecientes'!K299,'Tabla Fijos'!L304))</f>
        <v/>
      </c>
      <c r="L359" s="362" t="str">
        <f>IF($B359="","",IF(Sheet1!$Z$1=2,'Tabla de Pagos Crecientes'!L299,'Tabla Fijos'!M304))</f>
        <v/>
      </c>
      <c r="M359" s="362" t="str">
        <f>IF($B359="","",IF(Sheet1!$Z$1=2,'Tabla de Pagos Crecientes'!M299,'Tabla Fijos'!N304))</f>
        <v/>
      </c>
      <c r="N359" s="364"/>
      <c r="O359" s="362" t="str">
        <f>IF($B359="","",IF(Sheet1!$Z$1=2,'Tabla de Pagos Crecientes'!O299,'Tabla Fijos'!Q304))</f>
        <v/>
      </c>
      <c r="P359" s="362" t="str">
        <f>IF(B359="","",G359+H359+I359+J359+K359+L359-M359-'Tabla Fijos'!P304)</f>
        <v/>
      </c>
      <c r="Q359" s="362" t="str">
        <f t="shared" si="12"/>
        <v/>
      </c>
      <c r="R359" s="272">
        <f t="shared" si="10"/>
        <v>0</v>
      </c>
    </row>
    <row r="360" spans="1:18" ht="15.5" x14ac:dyDescent="0.35">
      <c r="A360" s="272"/>
      <c r="B360" s="360" t="str">
        <f t="shared" si="13"/>
        <v/>
      </c>
      <c r="C360" s="361" t="str">
        <f>IF($B360="","",'Fecha Pago'!K297)</f>
        <v/>
      </c>
      <c r="D360" s="362" t="str">
        <f>IF($B$67="","",'Fecha Pago'!L297)</f>
        <v/>
      </c>
      <c r="E360" s="363" t="str">
        <f>IF(B360="","",IF(Sheet1!$Z$1=2,'Tabla de Pagos Crecientes'!E300,$F$62))</f>
        <v/>
      </c>
      <c r="F360" s="362" t="str">
        <f>IF($B360="","",IF(Sheet1!$Z$1=2,'Tabla de Pagos Crecientes'!F300,'Tabla Fijos'!F305))</f>
        <v/>
      </c>
      <c r="G360" s="362" t="str">
        <f>IF($B360="","",IF(Sheet1!$Z$1=2,'Tabla de Pagos Crecientes'!G300,'Tabla Fijos'!G305))</f>
        <v/>
      </c>
      <c r="H360" s="362" t="str">
        <f>IF($B360="","",IF(Sheet1!$Z$1=2,'Tabla de Pagos Crecientes'!H300,'Tabla Fijos'!H305))</f>
        <v/>
      </c>
      <c r="I360" s="362" t="str">
        <f>IF($B360=0,0,IF(B360="","",VLOOKUP($B360,'Tabla Fijos'!$B$12:$S$311,8,0)))</f>
        <v/>
      </c>
      <c r="J360" s="362" t="str">
        <f>IF($B360="","",IF(Sheet1!$Z$1=2,'Tabla de Pagos Crecientes'!J300,'Tabla Fijos'!K305))</f>
        <v/>
      </c>
      <c r="K360" s="362" t="str">
        <f>IF($B360="","",IF(Sheet1!$Z$1=2,'Tabla de Pagos Crecientes'!K300,'Tabla Fijos'!L305))</f>
        <v/>
      </c>
      <c r="L360" s="362" t="str">
        <f>IF($B360="","",IF(Sheet1!$Z$1=2,'Tabla de Pagos Crecientes'!L300,'Tabla Fijos'!M305))</f>
        <v/>
      </c>
      <c r="M360" s="362" t="str">
        <f>IF($B360="","",IF(Sheet1!$Z$1=2,'Tabla de Pagos Crecientes'!M300,'Tabla Fijos'!N305))</f>
        <v/>
      </c>
      <c r="N360" s="364"/>
      <c r="O360" s="362" t="str">
        <f>IF($B360="","",IF(Sheet1!$Z$1=2,'Tabla de Pagos Crecientes'!O300,'Tabla Fijos'!Q305))</f>
        <v/>
      </c>
      <c r="P360" s="362" t="str">
        <f>IF(B360="","",G360+H360+I360+J360+K360+L360-M360-'Tabla Fijos'!P305)</f>
        <v/>
      </c>
      <c r="Q360" s="362" t="str">
        <f t="shared" si="12"/>
        <v/>
      </c>
      <c r="R360" s="272">
        <f t="shared" si="10"/>
        <v>0</v>
      </c>
    </row>
    <row r="361" spans="1:18" ht="15.5" x14ac:dyDescent="0.35">
      <c r="A361" s="272"/>
      <c r="B361" s="360" t="str">
        <f t="shared" si="13"/>
        <v/>
      </c>
      <c r="C361" s="361" t="str">
        <f>IF($B361="","",'Fecha Pago'!K298)</f>
        <v/>
      </c>
      <c r="D361" s="362" t="str">
        <f>IF($B$67="","",'Fecha Pago'!L298)</f>
        <v/>
      </c>
      <c r="E361" s="363" t="str">
        <f>IF(B361="","",IF(Sheet1!$Z$1=2,'Tabla de Pagos Crecientes'!E301,$F$62))</f>
        <v/>
      </c>
      <c r="F361" s="362" t="str">
        <f>IF($B361="","",IF(Sheet1!$Z$1=2,'Tabla de Pagos Crecientes'!F301,'Tabla Fijos'!F306))</f>
        <v/>
      </c>
      <c r="G361" s="362" t="str">
        <f>IF($B361="","",IF(Sheet1!$Z$1=2,'Tabla de Pagos Crecientes'!G301,'Tabla Fijos'!G306))</f>
        <v/>
      </c>
      <c r="H361" s="362" t="str">
        <f>IF($B361="","",IF(Sheet1!$Z$1=2,'Tabla de Pagos Crecientes'!H301,'Tabla Fijos'!H306))</f>
        <v/>
      </c>
      <c r="I361" s="362" t="str">
        <f>IF($B361=0,0,IF(B361="","",VLOOKUP($B361,'Tabla Fijos'!$B$12:$S$311,8,0)))</f>
        <v/>
      </c>
      <c r="J361" s="362" t="str">
        <f>IF($B361="","",IF(Sheet1!$Z$1=2,'Tabla de Pagos Crecientes'!J301,'Tabla Fijos'!K306))</f>
        <v/>
      </c>
      <c r="K361" s="362" t="str">
        <f>IF($B361="","",IF(Sheet1!$Z$1=2,'Tabla de Pagos Crecientes'!K301,'Tabla Fijos'!L306))</f>
        <v/>
      </c>
      <c r="L361" s="362" t="str">
        <f>IF($B361="","",IF(Sheet1!$Z$1=2,'Tabla de Pagos Crecientes'!L301,'Tabla Fijos'!M306))</f>
        <v/>
      </c>
      <c r="M361" s="362" t="str">
        <f>IF($B361="","",IF(Sheet1!$Z$1=2,'Tabla de Pagos Crecientes'!M301,'Tabla Fijos'!N306))</f>
        <v/>
      </c>
      <c r="N361" s="364"/>
      <c r="O361" s="362" t="str">
        <f>IF($B361="","",IF(Sheet1!$Z$1=2,'Tabla de Pagos Crecientes'!O301,'Tabla Fijos'!Q306))</f>
        <v/>
      </c>
      <c r="P361" s="362" t="str">
        <f>IF(B361="","",G361+H361+I361+J361+K361+L361-M361-'Tabla Fijos'!P306)</f>
        <v/>
      </c>
      <c r="Q361" s="362" t="str">
        <f t="shared" si="12"/>
        <v/>
      </c>
      <c r="R361" s="272">
        <f t="shared" si="10"/>
        <v>0</v>
      </c>
    </row>
    <row r="362" spans="1:18" ht="15.5" x14ac:dyDescent="0.35">
      <c r="A362" s="272"/>
      <c r="B362" s="360" t="str">
        <f t="shared" si="13"/>
        <v/>
      </c>
      <c r="C362" s="361" t="str">
        <f>IF($B362="","",'Fecha Pago'!K299)</f>
        <v/>
      </c>
      <c r="D362" s="362" t="str">
        <f>IF($B$67="","",'Fecha Pago'!L299)</f>
        <v/>
      </c>
      <c r="E362" s="363" t="str">
        <f>IF(B362="","",IF(Sheet1!$Z$1=2,'Tabla de Pagos Crecientes'!E302,$F$62))</f>
        <v/>
      </c>
      <c r="F362" s="362" t="str">
        <f>IF($B362="","",IF(Sheet1!$Z$1=2,'Tabla de Pagos Crecientes'!F302,'Tabla Fijos'!F307))</f>
        <v/>
      </c>
      <c r="G362" s="362" t="str">
        <f>IF($B362="","",IF(Sheet1!$Z$1=2,'Tabla de Pagos Crecientes'!G302,'Tabla Fijos'!G307))</f>
        <v/>
      </c>
      <c r="H362" s="362" t="str">
        <f>IF($B362="","",IF(Sheet1!$Z$1=2,'Tabla de Pagos Crecientes'!H302,'Tabla Fijos'!H307))</f>
        <v/>
      </c>
      <c r="I362" s="362" t="str">
        <f>IF($B362=0,0,IF(B362="","",VLOOKUP($B362,'Tabla Fijos'!$B$12:$S$311,8,0)))</f>
        <v/>
      </c>
      <c r="J362" s="362" t="str">
        <f>IF($B362="","",IF(Sheet1!$Z$1=2,'Tabla de Pagos Crecientes'!J302,'Tabla Fijos'!K307))</f>
        <v/>
      </c>
      <c r="K362" s="362" t="str">
        <f>IF($B362="","",IF(Sheet1!$Z$1=2,'Tabla de Pagos Crecientes'!K302,'Tabla Fijos'!L307))</f>
        <v/>
      </c>
      <c r="L362" s="362" t="str">
        <f>IF($B362="","",IF(Sheet1!$Z$1=2,'Tabla de Pagos Crecientes'!L302,'Tabla Fijos'!M307))</f>
        <v/>
      </c>
      <c r="M362" s="362" t="str">
        <f>IF($B362="","",IF(Sheet1!$Z$1=2,'Tabla de Pagos Crecientes'!M302,'Tabla Fijos'!N307))</f>
        <v/>
      </c>
      <c r="N362" s="364"/>
      <c r="O362" s="362" t="str">
        <f>IF($B362="","",IF(Sheet1!$Z$1=2,'Tabla de Pagos Crecientes'!O302,'Tabla Fijos'!Q307))</f>
        <v/>
      </c>
      <c r="P362" s="362" t="str">
        <f>IF(B362="","",G362+H362+I362+J362+K362+L362-M362-'Tabla Fijos'!P307)</f>
        <v/>
      </c>
      <c r="Q362" s="362" t="str">
        <f t="shared" si="12"/>
        <v/>
      </c>
      <c r="R362" s="272">
        <f t="shared" si="10"/>
        <v>0</v>
      </c>
    </row>
    <row r="363" spans="1:18" ht="15.5" x14ac:dyDescent="0.35">
      <c r="A363" s="272"/>
      <c r="B363" s="360" t="str">
        <f t="shared" si="13"/>
        <v/>
      </c>
      <c r="C363" s="361" t="str">
        <f>IF($B363="","",'Fecha Pago'!K300)</f>
        <v/>
      </c>
      <c r="D363" s="362" t="str">
        <f>IF($B$67="","",'Fecha Pago'!L300)</f>
        <v/>
      </c>
      <c r="E363" s="363" t="str">
        <f>IF(B363="","",IF(Sheet1!$Z$1=2,'Tabla de Pagos Crecientes'!E303,$F$62))</f>
        <v/>
      </c>
      <c r="F363" s="362" t="str">
        <f>IF($B363="","",IF(Sheet1!$Z$1=2,'Tabla de Pagos Crecientes'!F303,'Tabla Fijos'!F308))</f>
        <v/>
      </c>
      <c r="G363" s="362" t="str">
        <f>IF($B363="","",IF(Sheet1!$Z$1=2,'Tabla de Pagos Crecientes'!G303,'Tabla Fijos'!G308))</f>
        <v/>
      </c>
      <c r="H363" s="362" t="str">
        <f>IF($B363="","",IF(Sheet1!$Z$1=2,'Tabla de Pagos Crecientes'!H303,'Tabla Fijos'!H308))</f>
        <v/>
      </c>
      <c r="I363" s="362" t="str">
        <f>IF($B363=0,0,IF(B363="","",VLOOKUP($B363,'Tabla Fijos'!$B$12:$S$311,8,0)))</f>
        <v/>
      </c>
      <c r="J363" s="362" t="str">
        <f>IF($B363="","",IF(Sheet1!$Z$1=2,'Tabla de Pagos Crecientes'!J303,'Tabla Fijos'!K308))</f>
        <v/>
      </c>
      <c r="K363" s="362" t="str">
        <f>IF($B363="","",IF(Sheet1!$Z$1=2,'Tabla de Pagos Crecientes'!K303,'Tabla Fijos'!L308))</f>
        <v/>
      </c>
      <c r="L363" s="362" t="str">
        <f>IF($B363="","",IF(Sheet1!$Z$1=2,'Tabla de Pagos Crecientes'!L303,'Tabla Fijos'!M308))</f>
        <v/>
      </c>
      <c r="M363" s="362" t="str">
        <f>IF($B363="","",IF(Sheet1!$Z$1=2,'Tabla de Pagos Crecientes'!M303,'Tabla Fijos'!N308))</f>
        <v/>
      </c>
      <c r="N363" s="364"/>
      <c r="O363" s="362" t="str">
        <f>IF($B363="","",IF(Sheet1!$Z$1=2,'Tabla de Pagos Crecientes'!O303,'Tabla Fijos'!Q308))</f>
        <v/>
      </c>
      <c r="P363" s="362" t="str">
        <f>IF(B363="","",G363+H363+I363+J363+K363+L363-M363-'Tabla Fijos'!P308)</f>
        <v/>
      </c>
      <c r="Q363" s="362" t="str">
        <f t="shared" si="12"/>
        <v/>
      </c>
      <c r="R363" s="272">
        <f t="shared" si="10"/>
        <v>0</v>
      </c>
    </row>
    <row r="364" spans="1:18" ht="15.5" x14ac:dyDescent="0.35">
      <c r="A364" s="272"/>
      <c r="B364" s="360" t="str">
        <f t="shared" si="13"/>
        <v/>
      </c>
      <c r="C364" s="361" t="str">
        <f>IF($B364="","",'Fecha Pago'!K301)</f>
        <v/>
      </c>
      <c r="D364" s="362" t="str">
        <f>IF($B$67="","",'Fecha Pago'!L301)</f>
        <v/>
      </c>
      <c r="E364" s="363" t="str">
        <f>IF(B364="","",IF(Sheet1!$Z$1=2,'Tabla de Pagos Crecientes'!E304,$F$62))</f>
        <v/>
      </c>
      <c r="F364" s="362" t="str">
        <f>IF($B364="","",IF(Sheet1!$Z$1=2,'Tabla de Pagos Crecientes'!F304,'Tabla Fijos'!F309))</f>
        <v/>
      </c>
      <c r="G364" s="362" t="str">
        <f>IF($B364="","",IF(Sheet1!$Z$1=2,'Tabla de Pagos Crecientes'!G304,'Tabla Fijos'!G309))</f>
        <v/>
      </c>
      <c r="H364" s="362" t="str">
        <f>IF($B364="","",IF(Sheet1!$Z$1=2,'Tabla de Pagos Crecientes'!H304,'Tabla Fijos'!H309))</f>
        <v/>
      </c>
      <c r="I364" s="362" t="str">
        <f>IF($B364=0,0,IF(B364="","",VLOOKUP($B364,'Tabla Fijos'!$B$12:$S$311,8,0)))</f>
        <v/>
      </c>
      <c r="J364" s="362" t="str">
        <f>IF($B364="","",IF(Sheet1!$Z$1=2,'Tabla de Pagos Crecientes'!J304,'Tabla Fijos'!K309))</f>
        <v/>
      </c>
      <c r="K364" s="362" t="str">
        <f>IF($B364="","",IF(Sheet1!$Z$1=2,'Tabla de Pagos Crecientes'!K304,'Tabla Fijos'!L309))</f>
        <v/>
      </c>
      <c r="L364" s="362" t="str">
        <f>IF($B364="","",IF(Sheet1!$Z$1=2,'Tabla de Pagos Crecientes'!L304,'Tabla Fijos'!M309))</f>
        <v/>
      </c>
      <c r="M364" s="362" t="str">
        <f>IF($B364="","",IF(Sheet1!$Z$1=2,'Tabla de Pagos Crecientes'!M304,'Tabla Fijos'!N309))</f>
        <v/>
      </c>
      <c r="N364" s="364"/>
      <c r="O364" s="362" t="str">
        <f>IF($B364="","",IF(Sheet1!$Z$1=2,'Tabla de Pagos Crecientes'!O304,'Tabla Fijos'!Q309))</f>
        <v/>
      </c>
      <c r="P364" s="362" t="str">
        <f>IF(B364="","",G364+H364+I364+J364+K364+L364-M364-'Tabla Fijos'!P309)</f>
        <v/>
      </c>
      <c r="Q364" s="362" t="str">
        <f t="shared" si="12"/>
        <v/>
      </c>
      <c r="R364" s="272">
        <f t="shared" si="10"/>
        <v>0</v>
      </c>
    </row>
    <row r="365" spans="1:18" ht="15.5" x14ac:dyDescent="0.35">
      <c r="A365" s="272"/>
      <c r="B365" s="360" t="str">
        <f t="shared" si="13"/>
        <v/>
      </c>
      <c r="C365" s="361" t="str">
        <f>IF($B365="","",'Fecha Pago'!K302)</f>
        <v/>
      </c>
      <c r="D365" s="362" t="str">
        <f>IF($B$67="","",'Fecha Pago'!L302)</f>
        <v/>
      </c>
      <c r="E365" s="363" t="str">
        <f>IF(B365="","",IF(Sheet1!$Z$1=2,'Tabla de Pagos Crecientes'!E305,$F$62))</f>
        <v/>
      </c>
      <c r="F365" s="362" t="str">
        <f>IF($B365="","",IF(Sheet1!$Z$1=2,'Tabla de Pagos Crecientes'!F305,'Tabla Fijos'!F310))</f>
        <v/>
      </c>
      <c r="G365" s="362" t="str">
        <f>IF($B365="","",IF(Sheet1!$Z$1=2,'Tabla de Pagos Crecientes'!G305,'Tabla Fijos'!G310))</f>
        <v/>
      </c>
      <c r="H365" s="362" t="str">
        <f>IF($B365="","",IF(Sheet1!$Z$1=2,'Tabla de Pagos Crecientes'!H305,'Tabla Fijos'!H310))</f>
        <v/>
      </c>
      <c r="I365" s="362" t="str">
        <f>IF($B365=0,0,IF(B365="","",VLOOKUP($B365,'Tabla Fijos'!$B$12:$S$311,8,0)))</f>
        <v/>
      </c>
      <c r="J365" s="362" t="str">
        <f>IF($B365="","",IF(Sheet1!$Z$1=2,'Tabla de Pagos Crecientes'!J305,'Tabla Fijos'!K310))</f>
        <v/>
      </c>
      <c r="K365" s="362" t="str">
        <f>IF($B365="","",IF(Sheet1!$Z$1=2,'Tabla de Pagos Crecientes'!K305,'Tabla Fijos'!L310))</f>
        <v/>
      </c>
      <c r="L365" s="362" t="str">
        <f>IF($B365="","",IF(Sheet1!$Z$1=2,'Tabla de Pagos Crecientes'!L305,'Tabla Fijos'!M310))</f>
        <v/>
      </c>
      <c r="M365" s="362" t="str">
        <f>IF($B365="","",IF(Sheet1!$Z$1=2,'Tabla de Pagos Crecientes'!M305,'Tabla Fijos'!N310))</f>
        <v/>
      </c>
      <c r="N365" s="364"/>
      <c r="O365" s="362" t="str">
        <f>IF($B365="","",IF(Sheet1!$Z$1=2,'Tabla de Pagos Crecientes'!O305,'Tabla Fijos'!Q310))</f>
        <v/>
      </c>
      <c r="P365" s="362" t="str">
        <f>IF(B365="","",G365+H365+I365+J365+K365+L365-M365-'Tabla Fijos'!P310)</f>
        <v/>
      </c>
      <c r="Q365" s="362" t="str">
        <f t="shared" si="12"/>
        <v/>
      </c>
      <c r="R365" s="272">
        <f t="shared" si="10"/>
        <v>0</v>
      </c>
    </row>
    <row r="366" spans="1:18" ht="15.5" x14ac:dyDescent="0.35">
      <c r="A366" s="272"/>
      <c r="B366" s="360" t="str">
        <f t="shared" si="13"/>
        <v/>
      </c>
      <c r="C366" s="361" t="str">
        <f>IF($B366="","",'Fecha Pago'!K303)</f>
        <v/>
      </c>
      <c r="D366" s="362" t="str">
        <f>IF($B$67="","",'Fecha Pago'!L303)</f>
        <v/>
      </c>
      <c r="E366" s="363" t="str">
        <f>IF(B366="","",IF(Sheet1!$Z$1=2,'Tabla de Pagos Crecientes'!E306,$F$62))</f>
        <v/>
      </c>
      <c r="F366" s="362" t="str">
        <f>IF($B366="","",IF(Sheet1!$Z$1=2,'Tabla de Pagos Crecientes'!F306,'Tabla Fijos'!F311))</f>
        <v/>
      </c>
      <c r="G366" s="362" t="str">
        <f>IF($B366="","",IF(Sheet1!$Z$1=2,'Tabla de Pagos Crecientes'!G306,'Tabla Fijos'!G311))</f>
        <v/>
      </c>
      <c r="H366" s="362" t="str">
        <f>IF($B366="","",IF(Sheet1!$Z$1=2,'Tabla de Pagos Crecientes'!H306,'Tabla Fijos'!H311))</f>
        <v/>
      </c>
      <c r="I366" s="362" t="str">
        <f>IF($B366=0,0,IF(B366="","",VLOOKUP($B366,'Tabla Fijos'!$B$12:$S$311,8,0)))</f>
        <v/>
      </c>
      <c r="J366" s="362" t="str">
        <f>IF($B366="","",IF(Sheet1!$Z$1=2,'Tabla de Pagos Crecientes'!J306,'Tabla Fijos'!K311))</f>
        <v/>
      </c>
      <c r="K366" s="362" t="str">
        <f>IF($B366="","",IF(Sheet1!$Z$1=2,'Tabla de Pagos Crecientes'!K306,'Tabla Fijos'!L311))</f>
        <v/>
      </c>
      <c r="L366" s="362" t="str">
        <f>IF($B366="","",IF(Sheet1!$Z$1=2,'Tabla de Pagos Crecientes'!L306,'Tabla Fijos'!M311))</f>
        <v/>
      </c>
      <c r="M366" s="362" t="str">
        <f>IF($B366="","",IF(Sheet1!$Z$1=2,'Tabla de Pagos Crecientes'!M306,'Tabla Fijos'!N311))</f>
        <v/>
      </c>
      <c r="N366" s="364"/>
      <c r="O366" s="362" t="str">
        <f>IF($B366="","",IF(Sheet1!$Z$1=2,'Tabla de Pagos Crecientes'!O306,'Tabla Fijos'!Q311))</f>
        <v/>
      </c>
      <c r="P366" s="362" t="str">
        <f>IF(B366="","",G366+H366+I366+J366+K366+L366-M366-'Tabla Fijos'!P311)</f>
        <v/>
      </c>
      <c r="Q366" s="362" t="str">
        <f t="shared" si="12"/>
        <v/>
      </c>
      <c r="R366" s="272">
        <f t="shared" si="10"/>
        <v>0</v>
      </c>
    </row>
    <row r="367" spans="1:18" x14ac:dyDescent="0.25">
      <c r="B367" s="290"/>
      <c r="C367" s="291"/>
      <c r="D367" s="292"/>
      <c r="E367" s="292"/>
      <c r="F367" s="292"/>
      <c r="G367" s="292"/>
      <c r="H367" s="292"/>
      <c r="I367" s="292"/>
      <c r="J367" s="292"/>
      <c r="K367" s="292"/>
      <c r="L367" s="292"/>
      <c r="M367" s="292"/>
      <c r="N367" s="293"/>
      <c r="O367" s="293"/>
      <c r="P367" s="292"/>
      <c r="Q367" s="273"/>
    </row>
    <row r="368" spans="1:18" s="370" customFormat="1" ht="15.5" x14ac:dyDescent="0.35">
      <c r="B368" s="365" t="s">
        <v>18</v>
      </c>
      <c r="C368" s="366"/>
      <c r="D368" s="367"/>
      <c r="E368" s="367"/>
      <c r="F368" s="367"/>
      <c r="G368" s="367">
        <f t="shared" ref="G368:L368" ca="1" si="14">SUM(G67:G367)</f>
        <v>1000000.0000000009</v>
      </c>
      <c r="H368" s="367">
        <f t="shared" ca="1" si="14"/>
        <v>1494713.3216833484</v>
      </c>
      <c r="I368" s="367">
        <f t="shared" si="14"/>
        <v>0</v>
      </c>
      <c r="J368" s="367">
        <f t="shared" ca="1" si="14"/>
        <v>0</v>
      </c>
      <c r="K368" s="367">
        <f t="shared" ca="1" si="14"/>
        <v>0</v>
      </c>
      <c r="L368" s="367">
        <f t="shared" ca="1" si="14"/>
        <v>0</v>
      </c>
      <c r="M368" s="367"/>
      <c r="N368" s="368"/>
      <c r="O368" s="368"/>
      <c r="P368" s="367">
        <f ca="1">SUM(P67:P367)</f>
        <v>2494713.3216833523</v>
      </c>
      <c r="Q368" s="369">
        <v>0</v>
      </c>
    </row>
    <row r="369" spans="2:18" ht="8.15" customHeight="1" x14ac:dyDescent="0.3">
      <c r="C369" s="266"/>
      <c r="D369" s="294"/>
      <c r="E369" s="294"/>
      <c r="F369" s="294"/>
      <c r="G369" s="294"/>
      <c r="H369" s="294"/>
      <c r="I369" s="294"/>
      <c r="J369" s="294"/>
      <c r="K369" s="294"/>
      <c r="L369" s="294"/>
      <c r="M369" s="295"/>
      <c r="N369" s="296"/>
      <c r="O369" s="297"/>
    </row>
    <row r="370" spans="2:18" ht="25" customHeight="1" x14ac:dyDescent="0.25">
      <c r="B370" s="750" t="s">
        <v>729</v>
      </c>
      <c r="C370" s="750"/>
      <c r="D370" s="750"/>
      <c r="E370" s="750"/>
      <c r="F370" s="750"/>
      <c r="G370" s="750"/>
      <c r="H370" s="750"/>
      <c r="I370" s="750"/>
      <c r="J370" s="750"/>
      <c r="K370" s="750"/>
      <c r="L370" s="750"/>
      <c r="M370" s="750"/>
      <c r="N370" s="750"/>
      <c r="O370" s="750"/>
      <c r="P370" s="750"/>
      <c r="Q370" s="750"/>
    </row>
    <row r="371" spans="2:18" ht="26" customHeight="1" thickBot="1" x14ac:dyDescent="0.3">
      <c r="B371" s="751"/>
      <c r="C371" s="751"/>
      <c r="D371" s="751"/>
      <c r="E371" s="751"/>
      <c r="F371" s="751"/>
      <c r="G371" s="751"/>
      <c r="H371" s="751"/>
      <c r="I371" s="751"/>
      <c r="J371" s="751"/>
      <c r="K371" s="751"/>
      <c r="L371" s="751"/>
      <c r="M371" s="751"/>
      <c r="N371" s="751"/>
      <c r="O371" s="751"/>
      <c r="P371" s="751"/>
      <c r="Q371" s="751"/>
    </row>
    <row r="372" spans="2:18" ht="48.75" hidden="1" customHeight="1" x14ac:dyDescent="0.25">
      <c r="B372" s="298" t="s">
        <v>398</v>
      </c>
      <c r="C372" s="299" t="s">
        <v>29</v>
      </c>
      <c r="D372" s="299" t="s">
        <v>23</v>
      </c>
      <c r="E372" s="299" t="s">
        <v>0</v>
      </c>
      <c r="F372" s="299" t="s">
        <v>325</v>
      </c>
      <c r="G372" s="299" t="s">
        <v>608</v>
      </c>
      <c r="H372" s="299" t="s">
        <v>31</v>
      </c>
      <c r="I372" s="299" t="s">
        <v>37</v>
      </c>
      <c r="J372" s="299" t="s">
        <v>202</v>
      </c>
      <c r="K372" s="299" t="s">
        <v>20</v>
      </c>
      <c r="L372" s="299" t="s">
        <v>32</v>
      </c>
      <c r="M372" s="299" t="s">
        <v>598</v>
      </c>
      <c r="N372" s="300" t="str">
        <f>IF($N$7='Tabla Parámetros'!$C$31,'Tabla Fijos'!$N$10,"")</f>
        <v/>
      </c>
      <c r="O372" s="299" t="s">
        <v>415</v>
      </c>
      <c r="P372" s="299" t="str">
        <f>IF($O$66="","",$O$66)</f>
        <v/>
      </c>
      <c r="Q372" s="299" t="s">
        <v>35</v>
      </c>
      <c r="R372" s="301" t="s">
        <v>36</v>
      </c>
    </row>
    <row r="373" spans="2:18" ht="15.5" hidden="1" x14ac:dyDescent="0.35">
      <c r="B373" s="371">
        <v>0</v>
      </c>
      <c r="C373" s="371"/>
      <c r="D373" s="372">
        <f>IF($F$11='Tabla Parámetros'!$O$3,'Tabla Construcción Fijos'!D5,IF(Simulador!$F$11='Tabla Parámetros'!$O$4,'Tabla Construcción Crecientes'!D5,))</f>
        <v>0</v>
      </c>
      <c r="E373" s="373"/>
      <c r="F373" s="374">
        <f>IF($F$11='Tabla Parámetros'!$O$3,'Tabla Construcción Fijos'!F5,IF(Simulador!$F$11='Tabla Parámetros'!$O$4,'Tabla Construcción Crecientes'!F5,))</f>
        <v>0</v>
      </c>
      <c r="G373" s="374">
        <f>IF($F$11='Tabla Parámetros'!$O$3,'Tabla Construcción Fijos'!G5,IF(Simulador!$F$11='Tabla Parámetros'!$O$4,'Tabla Construcción Crecientes'!G5,))</f>
        <v>0</v>
      </c>
      <c r="H373" s="374">
        <f>IF($F$11='Tabla Parámetros'!$O$3,'Tabla Construcción Fijos'!H5,IF(Simulador!$F$11='Tabla Parámetros'!$O$4,'Tabla Construcción Crecientes'!H5,))</f>
        <v>0</v>
      </c>
      <c r="I373" s="374">
        <f>IF($F$11='Tabla Parámetros'!$O$3,'Tabla Construcción Fijos'!I5,IF(Simulador!$F$11='Tabla Parámetros'!$O$4,'Tabla Construcción Crecientes'!I5,))</f>
        <v>0</v>
      </c>
      <c r="J373" s="374">
        <f>IF($F$11='Tabla Parámetros'!$O$3,'Tabla Construcción Fijos'!J5,IF(Simulador!$F$11='Tabla Parámetros'!$O$4,'Tabla Construcción Crecientes'!J5,))</f>
        <v>0</v>
      </c>
      <c r="K373" s="374">
        <f>IF($F$11='Tabla Parámetros'!$O$3,'Tabla Construcción Fijos'!K5,IF(Simulador!$F$11='Tabla Parámetros'!$O$4,'Tabla Construcción Crecientes'!K5,))</f>
        <v>0</v>
      </c>
      <c r="L373" s="374">
        <f>IF($F$11='Tabla Parámetros'!$O$3,'Tabla Construcción Fijos'!L5,IF(Simulador!$F$11='Tabla Parámetros'!$O$4,'Tabla Construcción Crecientes'!L5,))</f>
        <v>0</v>
      </c>
      <c r="M373" s="374">
        <f>IF($F$11='Tabla Parámetros'!$O$3,'Tabla Construcción Fijos'!M5,IF(Simulador!$F$11='Tabla Parámetros'!$O$4,'Tabla Construcción Crecientes'!M5,))</f>
        <v>0</v>
      </c>
      <c r="N373" s="375"/>
      <c r="O373" s="376"/>
      <c r="P373" s="376"/>
      <c r="Q373" s="362">
        <f>IF($F$11='Tabla Parámetros'!$O$3,'Tabla Construcción Fijos'!Q5,IF(Simulador!$F$11='Tabla Parámetros'!$O$4,'Tabla Construcción Crecientes'!P5,))</f>
        <v>0</v>
      </c>
      <c r="R373" s="362">
        <f>IF($F$11='Tabla Parámetros'!$O$3,'Tabla Construcción Fijos'!R5,IF(Simulador!$F$11='Tabla Parámetros'!$O$4,'Tabla Construcción Crecientes'!Q5,))</f>
        <v>0</v>
      </c>
    </row>
    <row r="374" spans="2:18" ht="15.5" hidden="1" x14ac:dyDescent="0.35">
      <c r="B374" s="371">
        <v>1</v>
      </c>
      <c r="C374" s="371">
        <v>30.4</v>
      </c>
      <c r="D374" s="377">
        <f>IF($F$11='Tabla Parámetros'!$O$3,'Tabla Construcción Fijos'!D6,IF(Simulador!$F$11='Tabla Parámetros'!$O$4,'Tabla Construcción Crecientes'!D6,))</f>
        <v>0</v>
      </c>
      <c r="E374" s="373"/>
      <c r="F374" s="374">
        <f>IF($F$11='Tabla Parámetros'!$O$3,'Tabla Construcción Fijos'!F6,IF(Simulador!$F$11='Tabla Parámetros'!$O$4,'Tabla Construcción Crecientes'!F6,))</f>
        <v>0</v>
      </c>
      <c r="G374" s="374">
        <f>IF($F$11='Tabla Parámetros'!$O$3,'Tabla Construcción Fijos'!G6,IF(Simulador!$F$11='Tabla Parámetros'!$O$4,'Tabla Construcción Crecientes'!G6,))</f>
        <v>0</v>
      </c>
      <c r="H374" s="374">
        <f>IF($F$11='Tabla Parámetros'!$O$3,'Tabla Construcción Fijos'!H6,IF(Simulador!$F$11='Tabla Parámetros'!$O$4,'Tabla Construcción Crecientes'!H6,))</f>
        <v>0</v>
      </c>
      <c r="I374" s="374">
        <f>IF($F$11='Tabla Parámetros'!$O$3,'Tabla Construcción Fijos'!I6,IF(Simulador!$F$11='Tabla Parámetros'!$O$4,'Tabla Construcción Crecientes'!I6,))</f>
        <v>0</v>
      </c>
      <c r="J374" s="374">
        <f>IF($F$11='Tabla Parámetros'!$O$3,'Tabla Construcción Fijos'!J6,IF(Simulador!$F$11='Tabla Parámetros'!$O$4,'Tabla Construcción Crecientes'!J6,))</f>
        <v>0</v>
      </c>
      <c r="K374" s="374">
        <f>IF($F$11='Tabla Parámetros'!$O$3,'Tabla Construcción Fijos'!K6,IF(Simulador!$F$11='Tabla Parámetros'!$O$4,'Tabla Construcción Crecientes'!K6,))</f>
        <v>0</v>
      </c>
      <c r="L374" s="374">
        <f>IF($F$11='Tabla Parámetros'!$O$3,'Tabla Construcción Fijos'!L6,IF(Simulador!$F$11='Tabla Parámetros'!$O$4,'Tabla Construcción Crecientes'!L6,))</f>
        <v>0</v>
      </c>
      <c r="M374" s="374">
        <f>IF($F$11='Tabla Parámetros'!$O$3,'Tabla Construcción Fijos'!M6,IF(Simulador!$F$11='Tabla Parámetros'!$O$4,'Tabla Construcción Crecientes'!M6,))</f>
        <v>0</v>
      </c>
      <c r="N374" s="375"/>
      <c r="O374" s="376"/>
      <c r="P374" s="376"/>
      <c r="Q374" s="362">
        <f>IF($F$11='Tabla Parámetros'!$O$3,'Tabla Construcción Fijos'!Q6,IF(Simulador!$F$11='Tabla Parámetros'!$O$4,'Tabla Construcción Crecientes'!P6,))</f>
        <v>0</v>
      </c>
      <c r="R374" s="362">
        <f>IF($F$11='Tabla Parámetros'!$O$3,'Tabla Construcción Fijos'!R6,IF(Simulador!$F$11='Tabla Parámetros'!$O$4,'Tabla Construcción Crecientes'!Q6,))</f>
        <v>0</v>
      </c>
    </row>
    <row r="375" spans="2:18" ht="15.5" hidden="1" x14ac:dyDescent="0.35">
      <c r="B375" s="371">
        <v>2</v>
      </c>
      <c r="C375" s="371">
        <v>30.4</v>
      </c>
      <c r="D375" s="377">
        <f>IF($F$11='Tabla Parámetros'!$O$3,'Tabla Construcción Fijos'!D7,IF(Simulador!$F$11='Tabla Parámetros'!$O$4,'Tabla Construcción Crecientes'!D7,))</f>
        <v>0</v>
      </c>
      <c r="E375" s="373"/>
      <c r="F375" s="374">
        <f>IF($F$11='Tabla Parámetros'!$O$3,'Tabla Construcción Fijos'!F7,IF(Simulador!$F$11='Tabla Parámetros'!$O$4,'Tabla Construcción Crecientes'!F7,))</f>
        <v>0</v>
      </c>
      <c r="G375" s="374">
        <f>IF($F$11='Tabla Parámetros'!$O$3,'Tabla Construcción Fijos'!G7,IF(Simulador!$F$11='Tabla Parámetros'!$O$4,'Tabla Construcción Crecientes'!G7,))</f>
        <v>0</v>
      </c>
      <c r="H375" s="374">
        <f>IF($F$11='Tabla Parámetros'!$O$3,'Tabla Construcción Fijos'!H7,IF(Simulador!$F$11='Tabla Parámetros'!$O$4,'Tabla Construcción Crecientes'!H7,))</f>
        <v>0</v>
      </c>
      <c r="I375" s="374">
        <f>IF($F$11='Tabla Parámetros'!$O$3,'Tabla Construcción Fijos'!I7,IF(Simulador!$F$11='Tabla Parámetros'!$O$4,'Tabla Construcción Crecientes'!I7,))</f>
        <v>0</v>
      </c>
      <c r="J375" s="374">
        <f>IF($F$11='Tabla Parámetros'!$O$3,'Tabla Construcción Fijos'!J7,IF(Simulador!$F$11='Tabla Parámetros'!$O$4,'Tabla Construcción Crecientes'!J7,))</f>
        <v>0</v>
      </c>
      <c r="K375" s="374">
        <f>IF($F$11='Tabla Parámetros'!$O$3,'Tabla Construcción Fijos'!K7,IF(Simulador!$F$11='Tabla Parámetros'!$O$4,'Tabla Construcción Crecientes'!K7,))</f>
        <v>0</v>
      </c>
      <c r="L375" s="374">
        <f>IF($F$11='Tabla Parámetros'!$O$3,'Tabla Construcción Fijos'!L7,IF(Simulador!$F$11='Tabla Parámetros'!$O$4,'Tabla Construcción Crecientes'!L7,))</f>
        <v>0</v>
      </c>
      <c r="M375" s="374">
        <f>IF($F$11='Tabla Parámetros'!$O$3,'Tabla Construcción Fijos'!M7,IF(Simulador!$F$11='Tabla Parámetros'!$O$4,'Tabla Construcción Crecientes'!M7,))</f>
        <v>0</v>
      </c>
      <c r="N375" s="375"/>
      <c r="O375" s="376"/>
      <c r="P375" s="376"/>
      <c r="Q375" s="362">
        <f>IF($F$11='Tabla Parámetros'!$O$3,'Tabla Construcción Fijos'!Q7,IF(Simulador!$F$11='Tabla Parámetros'!$O$4,'Tabla Construcción Crecientes'!P7,))</f>
        <v>0</v>
      </c>
      <c r="R375" s="362">
        <f>IF($F$11='Tabla Parámetros'!$O$3,'Tabla Construcción Fijos'!R7,IF(Simulador!$F$11='Tabla Parámetros'!$O$4,'Tabla Construcción Crecientes'!Q7,))</f>
        <v>0</v>
      </c>
    </row>
    <row r="376" spans="2:18" ht="15.5" hidden="1" x14ac:dyDescent="0.35">
      <c r="B376" s="371">
        <v>3</v>
      </c>
      <c r="C376" s="371">
        <v>30.4</v>
      </c>
      <c r="D376" s="377">
        <f>IF($F$11='Tabla Parámetros'!$O$3,'Tabla Construcción Fijos'!D8,IF(Simulador!$F$11='Tabla Parámetros'!$O$4,'Tabla Construcción Crecientes'!D8,))</f>
        <v>0</v>
      </c>
      <c r="E376" s="373"/>
      <c r="F376" s="374">
        <f>IF($F$11='Tabla Parámetros'!$O$3,'Tabla Construcción Fijos'!F8,IF(Simulador!$F$11='Tabla Parámetros'!$O$4,'Tabla Construcción Crecientes'!F8,))</f>
        <v>0</v>
      </c>
      <c r="G376" s="374">
        <f>IF($F$11='Tabla Parámetros'!$O$3,'Tabla Construcción Fijos'!G8,IF(Simulador!$F$11='Tabla Parámetros'!$O$4,'Tabla Construcción Crecientes'!G8,))</f>
        <v>0</v>
      </c>
      <c r="H376" s="374">
        <f>IF($F$11='Tabla Parámetros'!$O$3,'Tabla Construcción Fijos'!H8,IF(Simulador!$F$11='Tabla Parámetros'!$O$4,'Tabla Construcción Crecientes'!H8,))</f>
        <v>0</v>
      </c>
      <c r="I376" s="374">
        <f>IF($F$11='Tabla Parámetros'!$O$3,'Tabla Construcción Fijos'!I8,IF(Simulador!$F$11='Tabla Parámetros'!$O$4,'Tabla Construcción Crecientes'!I8,))</f>
        <v>0</v>
      </c>
      <c r="J376" s="374">
        <f>IF($F$11='Tabla Parámetros'!$O$3,'Tabla Construcción Fijos'!J8,IF(Simulador!$F$11='Tabla Parámetros'!$O$4,'Tabla Construcción Crecientes'!J8,))</f>
        <v>0</v>
      </c>
      <c r="K376" s="374">
        <f>IF($F$11='Tabla Parámetros'!$O$3,'Tabla Construcción Fijos'!K8,IF(Simulador!$F$11='Tabla Parámetros'!$O$4,'Tabla Construcción Crecientes'!K8,))</f>
        <v>0</v>
      </c>
      <c r="L376" s="374">
        <f>IF($F$11='Tabla Parámetros'!$O$3,'Tabla Construcción Fijos'!L8,IF(Simulador!$F$11='Tabla Parámetros'!$O$4,'Tabla Construcción Crecientes'!L8,))</f>
        <v>0</v>
      </c>
      <c r="M376" s="374">
        <f>IF($F$11='Tabla Parámetros'!$O$3,'Tabla Construcción Fijos'!M8,IF(Simulador!$F$11='Tabla Parámetros'!$O$4,'Tabla Construcción Crecientes'!M8,))</f>
        <v>0</v>
      </c>
      <c r="N376" s="375"/>
      <c r="O376" s="376"/>
      <c r="P376" s="376"/>
      <c r="Q376" s="362">
        <f>IF($F$11='Tabla Parámetros'!$O$3,'Tabla Construcción Fijos'!Q8,IF(Simulador!$F$11='Tabla Parámetros'!$O$4,'Tabla Construcción Crecientes'!P8,))</f>
        <v>0</v>
      </c>
      <c r="R376" s="362">
        <f>IF($F$11='Tabla Parámetros'!$O$3,'Tabla Construcción Fijos'!R8,IF(Simulador!$F$11='Tabla Parámetros'!$O$4,'Tabla Construcción Crecientes'!Q8,))</f>
        <v>0</v>
      </c>
    </row>
    <row r="377" spans="2:18" ht="15.5" hidden="1" x14ac:dyDescent="0.35">
      <c r="B377" s="371">
        <v>4</v>
      </c>
      <c r="C377" s="371">
        <v>30.4</v>
      </c>
      <c r="D377" s="377">
        <f>IF($F$11='Tabla Parámetros'!$O$3,'Tabla Construcción Fijos'!D9,IF(Simulador!$F$11='Tabla Parámetros'!$O$4,'Tabla Construcción Crecientes'!D9,))</f>
        <v>0</v>
      </c>
      <c r="E377" s="373"/>
      <c r="F377" s="374">
        <f>IF($F$11='Tabla Parámetros'!$O$3,'Tabla Construcción Fijos'!F9,IF(Simulador!$F$11='Tabla Parámetros'!$O$4,'Tabla Construcción Crecientes'!F9,))</f>
        <v>0</v>
      </c>
      <c r="G377" s="374">
        <f>IF($F$11='Tabla Parámetros'!$O$3,'Tabla Construcción Fijos'!G9,IF(Simulador!$F$11='Tabla Parámetros'!$O$4,'Tabla Construcción Crecientes'!G9,))</f>
        <v>0</v>
      </c>
      <c r="H377" s="374">
        <f>IF($F$11='Tabla Parámetros'!$O$3,'Tabla Construcción Fijos'!H9,IF(Simulador!$F$11='Tabla Parámetros'!$O$4,'Tabla Construcción Crecientes'!H9,))</f>
        <v>0</v>
      </c>
      <c r="I377" s="374">
        <f>IF($F$11='Tabla Parámetros'!$O$3,'Tabla Construcción Fijos'!I9,IF(Simulador!$F$11='Tabla Parámetros'!$O$4,'Tabla Construcción Crecientes'!I9,))</f>
        <v>0</v>
      </c>
      <c r="J377" s="374">
        <f>IF($F$11='Tabla Parámetros'!$O$3,'Tabla Construcción Fijos'!J9,IF(Simulador!$F$11='Tabla Parámetros'!$O$4,'Tabla Construcción Crecientes'!J9,))</f>
        <v>0</v>
      </c>
      <c r="K377" s="374">
        <f>IF($F$11='Tabla Parámetros'!$O$3,'Tabla Construcción Fijos'!K9,IF(Simulador!$F$11='Tabla Parámetros'!$O$4,'Tabla Construcción Crecientes'!K9,))</f>
        <v>0</v>
      </c>
      <c r="L377" s="374">
        <f>IF($F$11='Tabla Parámetros'!$O$3,'Tabla Construcción Fijos'!L9,IF(Simulador!$F$11='Tabla Parámetros'!$O$4,'Tabla Construcción Crecientes'!L9,))</f>
        <v>0</v>
      </c>
      <c r="M377" s="374">
        <f>IF($F$11='Tabla Parámetros'!$O$3,'Tabla Construcción Fijos'!M9,IF(Simulador!$F$11='Tabla Parámetros'!$O$4,'Tabla Construcción Crecientes'!M9,))</f>
        <v>0</v>
      </c>
      <c r="N377" s="375"/>
      <c r="O377" s="376"/>
      <c r="P377" s="376"/>
      <c r="Q377" s="362">
        <f>IF($F$11='Tabla Parámetros'!$O$3,'Tabla Construcción Fijos'!Q9,IF(Simulador!$F$11='Tabla Parámetros'!$O$4,'Tabla Construcción Crecientes'!P9,))</f>
        <v>0</v>
      </c>
      <c r="R377" s="362">
        <f>IF($F$11='Tabla Parámetros'!$O$3,'Tabla Construcción Fijos'!R9,IF(Simulador!$F$11='Tabla Parámetros'!$O$4,'Tabla Construcción Crecientes'!Q9,))</f>
        <v>0</v>
      </c>
    </row>
    <row r="378" spans="2:18" ht="15.5" hidden="1" x14ac:dyDescent="0.35">
      <c r="B378" s="371">
        <v>5</v>
      </c>
      <c r="C378" s="371">
        <v>30.4</v>
      </c>
      <c r="D378" s="377">
        <f>IF($F$11='Tabla Parámetros'!$O$3,'Tabla Construcción Fijos'!D10,IF(Simulador!$F$11='Tabla Parámetros'!$O$4,'Tabla Construcción Crecientes'!D10,))</f>
        <v>0</v>
      </c>
      <c r="E378" s="373"/>
      <c r="F378" s="374">
        <f>IF($F$11='Tabla Parámetros'!$O$3,'Tabla Construcción Fijos'!F10,IF(Simulador!$F$11='Tabla Parámetros'!$O$4,'Tabla Construcción Crecientes'!F10,))</f>
        <v>0</v>
      </c>
      <c r="G378" s="374">
        <f>IF($F$11='Tabla Parámetros'!$O$3,'Tabla Construcción Fijos'!G10,IF(Simulador!$F$11='Tabla Parámetros'!$O$4,'Tabla Construcción Crecientes'!G10,))</f>
        <v>0</v>
      </c>
      <c r="H378" s="374">
        <f>IF($F$11='Tabla Parámetros'!$O$3,'Tabla Construcción Fijos'!H10,IF(Simulador!$F$11='Tabla Parámetros'!$O$4,'Tabla Construcción Crecientes'!H10,))</f>
        <v>0</v>
      </c>
      <c r="I378" s="374">
        <f>IF($F$11='Tabla Parámetros'!$O$3,'Tabla Construcción Fijos'!I10,IF(Simulador!$F$11='Tabla Parámetros'!$O$4,'Tabla Construcción Crecientes'!I10,))</f>
        <v>0</v>
      </c>
      <c r="J378" s="374">
        <f>IF($F$11='Tabla Parámetros'!$O$3,'Tabla Construcción Fijos'!J10,IF(Simulador!$F$11='Tabla Parámetros'!$O$4,'Tabla Construcción Crecientes'!J10,))</f>
        <v>0</v>
      </c>
      <c r="K378" s="374">
        <f>IF($F$11='Tabla Parámetros'!$O$3,'Tabla Construcción Fijos'!K10,IF(Simulador!$F$11='Tabla Parámetros'!$O$4,'Tabla Construcción Crecientes'!K10,))</f>
        <v>0</v>
      </c>
      <c r="L378" s="374">
        <f>IF($F$11='Tabla Parámetros'!$O$3,'Tabla Construcción Fijos'!L10,IF(Simulador!$F$11='Tabla Parámetros'!$O$4,'Tabla Construcción Crecientes'!L10,))</f>
        <v>0</v>
      </c>
      <c r="M378" s="374">
        <f>IF($F$11='Tabla Parámetros'!$O$3,'Tabla Construcción Fijos'!M10,IF(Simulador!$F$11='Tabla Parámetros'!$O$4,'Tabla Construcción Crecientes'!M10,))</f>
        <v>0</v>
      </c>
      <c r="N378" s="375"/>
      <c r="O378" s="376"/>
      <c r="P378" s="376"/>
      <c r="Q378" s="362">
        <f>IF($F$11='Tabla Parámetros'!$O$3,'Tabla Construcción Fijos'!Q10,IF(Simulador!$F$11='Tabla Parámetros'!$O$4,'Tabla Construcción Crecientes'!P10,))</f>
        <v>0</v>
      </c>
      <c r="R378" s="362">
        <f>IF($F$11='Tabla Parámetros'!$O$3,'Tabla Construcción Fijos'!R10,IF(Simulador!$F$11='Tabla Parámetros'!$O$4,'Tabla Construcción Crecientes'!Q10,))</f>
        <v>0</v>
      </c>
    </row>
    <row r="379" spans="2:18" ht="15.5" hidden="1" x14ac:dyDescent="0.35">
      <c r="B379" s="378">
        <v>6</v>
      </c>
      <c r="C379" s="378">
        <v>30.4</v>
      </c>
      <c r="D379" s="379">
        <f>IF($F$11='Tabla Parámetros'!$O$3,'Tabla Construcción Fijos'!D11,IF(Simulador!$F$11='Tabla Parámetros'!$O$4,'Tabla Construcción Crecientes'!D11,))</f>
        <v>0</v>
      </c>
      <c r="E379" s="380"/>
      <c r="F379" s="362">
        <f>IF($F$11='Tabla Parámetros'!$O$3,'Tabla Construcción Fijos'!F11,IF(Simulador!$F$11='Tabla Parámetros'!$O$4,'Tabla Construcción Crecientes'!F11,))</f>
        <v>0</v>
      </c>
      <c r="G379" s="362">
        <f>IF($F$11='Tabla Parámetros'!$O$3,'Tabla Construcción Fijos'!G11,IF(Simulador!$F$11='Tabla Parámetros'!$O$4,'Tabla Construcción Crecientes'!G11,))</f>
        <v>0</v>
      </c>
      <c r="H379" s="362">
        <f>IF($F$11='Tabla Parámetros'!$O$3,'Tabla Construcción Fijos'!H11,IF(Simulador!$F$11='Tabla Parámetros'!$O$4,'Tabla Construcción Crecientes'!H11,))</f>
        <v>0</v>
      </c>
      <c r="I379" s="362">
        <f>IF($F$11='Tabla Parámetros'!$O$3,'Tabla Construcción Fijos'!I11,IF(Simulador!$F$11='Tabla Parámetros'!$O$4,'Tabla Construcción Crecientes'!I11,))</f>
        <v>0</v>
      </c>
      <c r="J379" s="362">
        <f>IF($F$11='Tabla Parámetros'!$O$3,'Tabla Construcción Fijos'!J11,IF(Simulador!$F$11='Tabla Parámetros'!$O$4,'Tabla Construcción Crecientes'!J11,))</f>
        <v>0</v>
      </c>
      <c r="K379" s="362">
        <f>IF($F$11='Tabla Parámetros'!$O$3,'Tabla Construcción Fijos'!K11,IF(Simulador!$F$11='Tabla Parámetros'!$O$4,'Tabla Construcción Crecientes'!K11,))</f>
        <v>0</v>
      </c>
      <c r="L379" s="362">
        <f>IF($F$11='Tabla Parámetros'!$O$3,'Tabla Construcción Fijos'!L11,IF(Simulador!$F$11='Tabla Parámetros'!$O$4,'Tabla Construcción Crecientes'!L11,))</f>
        <v>0</v>
      </c>
      <c r="M379" s="362">
        <f>IF($F$11='Tabla Parámetros'!$O$3,'Tabla Construcción Fijos'!M11,IF(Simulador!$F$11='Tabla Parámetros'!$O$4,'Tabla Construcción Crecientes'!M11,))</f>
        <v>0</v>
      </c>
      <c r="N379" s="381"/>
      <c r="O379" s="376"/>
      <c r="P379" s="376"/>
      <c r="Q379" s="362">
        <f>IF($F$11='Tabla Parámetros'!$O$3,'Tabla Construcción Fijos'!Q11,IF(Simulador!$F$11='Tabla Parámetros'!$O$4,'Tabla Construcción Crecientes'!P11,))</f>
        <v>0</v>
      </c>
      <c r="R379" s="362">
        <f>IF($F$11='Tabla Parámetros'!$O$3,'Tabla Construcción Fijos'!R11,IF(Simulador!$F$11='Tabla Parámetros'!$O$4,'Tabla Construcción Crecientes'!Q11,))</f>
        <v>0</v>
      </c>
    </row>
    <row r="380" spans="2:18" ht="15.5" hidden="1" x14ac:dyDescent="0.35">
      <c r="B380" s="378">
        <v>7</v>
      </c>
      <c r="C380" s="378">
        <v>30.4</v>
      </c>
      <c r="D380" s="379">
        <f>IF($F$11='Tabla Parámetros'!$O$3,'Tabla Construcción Fijos'!D12,IF(Simulador!$F$11='Tabla Parámetros'!$O$4,'Tabla Construcción Crecientes'!D12,))</f>
        <v>0</v>
      </c>
      <c r="E380" s="380"/>
      <c r="F380" s="362">
        <f>IF($F$11='Tabla Parámetros'!$O$3,'Tabla Construcción Fijos'!F12,IF(Simulador!$F$11='Tabla Parámetros'!$O$4,'Tabla Construcción Crecientes'!F12,))</f>
        <v>0</v>
      </c>
      <c r="G380" s="362">
        <f>IF($F$11='Tabla Parámetros'!$O$3,'Tabla Construcción Fijos'!G12,IF(Simulador!$F$11='Tabla Parámetros'!$O$4,'Tabla Construcción Crecientes'!G12,))</f>
        <v>0</v>
      </c>
      <c r="H380" s="362">
        <f>IF($F$11='Tabla Parámetros'!$O$3,'Tabla Construcción Fijos'!H12,IF(Simulador!$F$11='Tabla Parámetros'!$O$4,'Tabla Construcción Crecientes'!H12,))</f>
        <v>0</v>
      </c>
      <c r="I380" s="362">
        <f>IF($F$11='Tabla Parámetros'!$O$3,'Tabla Construcción Fijos'!I12,IF(Simulador!$F$11='Tabla Parámetros'!$O$4,'Tabla Construcción Crecientes'!I12,))</f>
        <v>0</v>
      </c>
      <c r="J380" s="362">
        <f>IF($F$11='Tabla Parámetros'!$O$3,'Tabla Construcción Fijos'!J12,IF(Simulador!$F$11='Tabla Parámetros'!$O$4,'Tabla Construcción Crecientes'!J12,))</f>
        <v>0</v>
      </c>
      <c r="K380" s="362">
        <f>IF($F$11='Tabla Parámetros'!$O$3,'Tabla Construcción Fijos'!K12,IF(Simulador!$F$11='Tabla Parámetros'!$O$4,'Tabla Construcción Crecientes'!K12,))</f>
        <v>0</v>
      </c>
      <c r="L380" s="362">
        <f>IF($F$11='Tabla Parámetros'!$O$3,'Tabla Construcción Fijos'!L12,IF(Simulador!$F$11='Tabla Parámetros'!$O$4,'Tabla Construcción Crecientes'!L12,))</f>
        <v>0</v>
      </c>
      <c r="M380" s="362">
        <f>IF($F$11='Tabla Parámetros'!$O$3,'Tabla Construcción Fijos'!M12,IF(Simulador!$F$11='Tabla Parámetros'!$O$4,'Tabla Construcción Crecientes'!M12,))</f>
        <v>0</v>
      </c>
      <c r="N380" s="381"/>
      <c r="O380" s="376"/>
      <c r="P380" s="376"/>
      <c r="Q380" s="362">
        <f>IF($F$11='Tabla Parámetros'!$O$3,'Tabla Construcción Fijos'!Q12,IF(Simulador!$F$11='Tabla Parámetros'!$O$4,'Tabla Construcción Crecientes'!P12,))</f>
        <v>0</v>
      </c>
      <c r="R380" s="362">
        <f>IF($F$11='Tabla Parámetros'!$O$3,'Tabla Construcción Fijos'!R12,IF(Simulador!$F$11='Tabla Parámetros'!$O$4,'Tabla Construcción Crecientes'!Q12,))</f>
        <v>0</v>
      </c>
    </row>
    <row r="381" spans="2:18" ht="15.5" hidden="1" x14ac:dyDescent="0.35">
      <c r="B381" s="378">
        <v>8</v>
      </c>
      <c r="C381" s="378">
        <v>30.4</v>
      </c>
      <c r="D381" s="379">
        <f>IF($F$11='Tabla Parámetros'!$O$3,'Tabla Construcción Fijos'!D13,IF(Simulador!$F$11='Tabla Parámetros'!$O$4,'Tabla Construcción Crecientes'!D13,))</f>
        <v>0</v>
      </c>
      <c r="E381" s="380"/>
      <c r="F381" s="362">
        <f>IF($F$11='Tabla Parámetros'!$O$3,'Tabla Construcción Fijos'!F13,IF(Simulador!$F$11='Tabla Parámetros'!$O$4,'Tabla Construcción Crecientes'!F13,))</f>
        <v>0</v>
      </c>
      <c r="G381" s="362">
        <f>IF($F$11='Tabla Parámetros'!$O$3,'Tabla Construcción Fijos'!G13,IF(Simulador!$F$11='Tabla Parámetros'!$O$4,'Tabla Construcción Crecientes'!G13,))</f>
        <v>0</v>
      </c>
      <c r="H381" s="362">
        <f>IF($F$11='Tabla Parámetros'!$O$3,'Tabla Construcción Fijos'!H13,IF(Simulador!$F$11='Tabla Parámetros'!$O$4,'Tabla Construcción Crecientes'!H13,))</f>
        <v>0</v>
      </c>
      <c r="I381" s="362">
        <f>IF($F$11='Tabla Parámetros'!$O$3,'Tabla Construcción Fijos'!I13,IF(Simulador!$F$11='Tabla Parámetros'!$O$4,'Tabla Construcción Crecientes'!I13,))</f>
        <v>0</v>
      </c>
      <c r="J381" s="362">
        <f>IF($F$11='Tabla Parámetros'!$O$3,'Tabla Construcción Fijos'!J13,IF(Simulador!$F$11='Tabla Parámetros'!$O$4,'Tabla Construcción Crecientes'!J13,))</f>
        <v>0</v>
      </c>
      <c r="K381" s="362">
        <f>IF($F$11='Tabla Parámetros'!$O$3,'Tabla Construcción Fijos'!K13,IF(Simulador!$F$11='Tabla Parámetros'!$O$4,'Tabla Construcción Crecientes'!K13,))</f>
        <v>0</v>
      </c>
      <c r="L381" s="362">
        <f>IF($F$11='Tabla Parámetros'!$O$3,'Tabla Construcción Fijos'!L13,IF(Simulador!$F$11='Tabla Parámetros'!$O$4,'Tabla Construcción Crecientes'!L13,))</f>
        <v>0</v>
      </c>
      <c r="M381" s="362">
        <f>IF($F$11='Tabla Parámetros'!$O$3,'Tabla Construcción Fijos'!M13,IF(Simulador!$F$11='Tabla Parámetros'!$O$4,'Tabla Construcción Crecientes'!M13,))</f>
        <v>0</v>
      </c>
      <c r="N381" s="381"/>
      <c r="O381" s="376"/>
      <c r="P381" s="376"/>
      <c r="Q381" s="362">
        <f>IF($F$11='Tabla Parámetros'!$O$3,'Tabla Construcción Fijos'!Q13,IF(Simulador!$F$11='Tabla Parámetros'!$O$4,'Tabla Construcción Crecientes'!P13,))</f>
        <v>0</v>
      </c>
      <c r="R381" s="362">
        <f>IF($F$11='Tabla Parámetros'!$O$3,'Tabla Construcción Fijos'!R13,IF(Simulador!$F$11='Tabla Parámetros'!$O$4,'Tabla Construcción Crecientes'!Q13,))</f>
        <v>0</v>
      </c>
    </row>
    <row r="382" spans="2:18" ht="15.5" hidden="1" x14ac:dyDescent="0.35">
      <c r="B382" s="378">
        <v>9</v>
      </c>
      <c r="C382" s="378">
        <v>30.4</v>
      </c>
      <c r="D382" s="379">
        <f>IF($F$11='Tabla Parámetros'!$O$3,'Tabla Construcción Fijos'!D14,IF(Simulador!$F$11='Tabla Parámetros'!$O$4,'Tabla Construcción Crecientes'!D14,))</f>
        <v>0</v>
      </c>
      <c r="E382" s="380"/>
      <c r="F382" s="362">
        <f>IF($F$11='Tabla Parámetros'!$O$3,'Tabla Construcción Fijos'!F14,IF(Simulador!$F$11='Tabla Parámetros'!$O$4,'Tabla Construcción Crecientes'!F14,))</f>
        <v>0</v>
      </c>
      <c r="G382" s="362">
        <f>IF($F$11='Tabla Parámetros'!$O$3,'Tabla Construcción Fijos'!G14,IF(Simulador!$F$11='Tabla Parámetros'!$O$4,'Tabla Construcción Crecientes'!G14,))</f>
        <v>0</v>
      </c>
      <c r="H382" s="362">
        <f>IF($F$11='Tabla Parámetros'!$O$3,'Tabla Construcción Fijos'!H14,IF(Simulador!$F$11='Tabla Parámetros'!$O$4,'Tabla Construcción Crecientes'!H14,))</f>
        <v>0</v>
      </c>
      <c r="I382" s="362">
        <f>IF($F$11='Tabla Parámetros'!$O$3,'Tabla Construcción Fijos'!I14,IF(Simulador!$F$11='Tabla Parámetros'!$O$4,'Tabla Construcción Crecientes'!I14,))</f>
        <v>0</v>
      </c>
      <c r="J382" s="362">
        <f>IF($F$11='Tabla Parámetros'!$O$3,'Tabla Construcción Fijos'!J14,IF(Simulador!$F$11='Tabla Parámetros'!$O$4,'Tabla Construcción Crecientes'!J14,))</f>
        <v>0</v>
      </c>
      <c r="K382" s="362">
        <f>IF($F$11='Tabla Parámetros'!$O$3,'Tabla Construcción Fijos'!K14,IF(Simulador!$F$11='Tabla Parámetros'!$O$4,'Tabla Construcción Crecientes'!K14,))</f>
        <v>0</v>
      </c>
      <c r="L382" s="362">
        <f>IF($F$11='Tabla Parámetros'!$O$3,'Tabla Construcción Fijos'!L14,IF(Simulador!$F$11='Tabla Parámetros'!$O$4,'Tabla Construcción Crecientes'!L14,))</f>
        <v>0</v>
      </c>
      <c r="M382" s="362">
        <f>IF($F$11='Tabla Parámetros'!$O$3,'Tabla Construcción Fijos'!M14,IF(Simulador!$F$11='Tabla Parámetros'!$O$4,'Tabla Construcción Crecientes'!M14,))</f>
        <v>0</v>
      </c>
      <c r="N382" s="381"/>
      <c r="O382" s="376"/>
      <c r="P382" s="376"/>
      <c r="Q382" s="362">
        <f>IF($F$11='Tabla Parámetros'!$O$3,'Tabla Construcción Fijos'!Q14,IF(Simulador!$F$11='Tabla Parámetros'!$O$4,'Tabla Construcción Crecientes'!P14,))</f>
        <v>0</v>
      </c>
      <c r="R382" s="362">
        <f>IF($F$11='Tabla Parámetros'!$O$3,'Tabla Construcción Fijos'!R14,IF(Simulador!$F$11='Tabla Parámetros'!$O$4,'Tabla Construcción Crecientes'!Q14,))</f>
        <v>0</v>
      </c>
    </row>
    <row r="383" spans="2:18" ht="15.5" hidden="1" x14ac:dyDescent="0.35">
      <c r="B383" s="378">
        <v>10</v>
      </c>
      <c r="C383" s="378">
        <v>30.4</v>
      </c>
      <c r="D383" s="379">
        <f>IF($F$11='Tabla Parámetros'!$O$3,'Tabla Construcción Fijos'!D15,IF(Simulador!$F$11='Tabla Parámetros'!$O$4,'Tabla Construcción Crecientes'!D15,))</f>
        <v>0</v>
      </c>
      <c r="E383" s="380"/>
      <c r="F383" s="362">
        <f>IF($F$11='Tabla Parámetros'!$O$3,'Tabla Construcción Fijos'!F15,IF(Simulador!$F$11='Tabla Parámetros'!$O$4,'Tabla Construcción Crecientes'!F15,))</f>
        <v>0</v>
      </c>
      <c r="G383" s="362">
        <f>IF($F$11='Tabla Parámetros'!$O$3,'Tabla Construcción Fijos'!G15,IF(Simulador!$F$11='Tabla Parámetros'!$O$4,'Tabla Construcción Crecientes'!G15,))</f>
        <v>0</v>
      </c>
      <c r="H383" s="362">
        <f>IF($F$11='Tabla Parámetros'!$O$3,'Tabla Construcción Fijos'!H15,IF(Simulador!$F$11='Tabla Parámetros'!$O$4,'Tabla Construcción Crecientes'!H15,))</f>
        <v>0</v>
      </c>
      <c r="I383" s="362">
        <f>IF($F$11='Tabla Parámetros'!$O$3,'Tabla Construcción Fijos'!I15,IF(Simulador!$F$11='Tabla Parámetros'!$O$4,'Tabla Construcción Crecientes'!I15,))</f>
        <v>0</v>
      </c>
      <c r="J383" s="362">
        <f>IF($F$11='Tabla Parámetros'!$O$3,'Tabla Construcción Fijos'!J15,IF(Simulador!$F$11='Tabla Parámetros'!$O$4,'Tabla Construcción Crecientes'!J15,))</f>
        <v>0</v>
      </c>
      <c r="K383" s="362">
        <f>IF($F$11='Tabla Parámetros'!$O$3,'Tabla Construcción Fijos'!K15,IF(Simulador!$F$11='Tabla Parámetros'!$O$4,'Tabla Construcción Crecientes'!K15,))</f>
        <v>0</v>
      </c>
      <c r="L383" s="362">
        <f>IF($F$11='Tabla Parámetros'!$O$3,'Tabla Construcción Fijos'!L15,IF(Simulador!$F$11='Tabla Parámetros'!$O$4,'Tabla Construcción Crecientes'!L15,))</f>
        <v>0</v>
      </c>
      <c r="M383" s="362">
        <f>IF($F$11='Tabla Parámetros'!$O$3,'Tabla Construcción Fijos'!M15,IF(Simulador!$F$11='Tabla Parámetros'!$O$4,'Tabla Construcción Crecientes'!M15,))</f>
        <v>0</v>
      </c>
      <c r="N383" s="381"/>
      <c r="O383" s="376"/>
      <c r="P383" s="376"/>
      <c r="Q383" s="362">
        <f>IF($F$11='Tabla Parámetros'!$O$3,'Tabla Construcción Fijos'!Q15,IF(Simulador!$F$11='Tabla Parámetros'!$O$4,'Tabla Construcción Crecientes'!P15,))</f>
        <v>0</v>
      </c>
      <c r="R383" s="362">
        <f>IF($F$11='Tabla Parámetros'!$O$3,'Tabla Construcción Fijos'!R15,IF(Simulador!$F$11='Tabla Parámetros'!$O$4,'Tabla Construcción Crecientes'!Q15,))</f>
        <v>0</v>
      </c>
    </row>
    <row r="384" spans="2:18" ht="15.5" hidden="1" x14ac:dyDescent="0.35">
      <c r="B384" s="378">
        <v>11</v>
      </c>
      <c r="C384" s="378">
        <v>30.4</v>
      </c>
      <c r="D384" s="379">
        <f>IF($F$11='Tabla Parámetros'!$O$3,'Tabla Construcción Fijos'!D16,IF(Simulador!$F$11='Tabla Parámetros'!$O$4,'Tabla Construcción Crecientes'!D16,))</f>
        <v>0</v>
      </c>
      <c r="E384" s="380"/>
      <c r="F384" s="362">
        <f>IF($F$11='Tabla Parámetros'!$O$3,'Tabla Construcción Fijos'!F16,IF(Simulador!$F$11='Tabla Parámetros'!$O$4,'Tabla Construcción Crecientes'!F16,))</f>
        <v>0</v>
      </c>
      <c r="G384" s="362">
        <f>IF($F$11='Tabla Parámetros'!$O$3,'Tabla Construcción Fijos'!G16,IF(Simulador!$F$11='Tabla Parámetros'!$O$4,'Tabla Construcción Crecientes'!G16,))</f>
        <v>0</v>
      </c>
      <c r="H384" s="362">
        <f>IF($F$11='Tabla Parámetros'!$O$3,'Tabla Construcción Fijos'!H16,IF(Simulador!$F$11='Tabla Parámetros'!$O$4,'Tabla Construcción Crecientes'!H16,))</f>
        <v>0</v>
      </c>
      <c r="I384" s="362">
        <f>IF($F$11='Tabla Parámetros'!$O$3,'Tabla Construcción Fijos'!I16,IF(Simulador!$F$11='Tabla Parámetros'!$O$4,'Tabla Construcción Crecientes'!I16,))</f>
        <v>0</v>
      </c>
      <c r="J384" s="362">
        <f>IF($F$11='Tabla Parámetros'!$O$3,'Tabla Construcción Fijos'!J16,IF(Simulador!$F$11='Tabla Parámetros'!$O$4,'Tabla Construcción Crecientes'!J16,))</f>
        <v>0</v>
      </c>
      <c r="K384" s="362">
        <f>IF($F$11='Tabla Parámetros'!$O$3,'Tabla Construcción Fijos'!K16,IF(Simulador!$F$11='Tabla Parámetros'!$O$4,'Tabla Construcción Crecientes'!K16,))</f>
        <v>0</v>
      </c>
      <c r="L384" s="362">
        <f>IF($F$11='Tabla Parámetros'!$O$3,'Tabla Construcción Fijos'!L16,IF(Simulador!$F$11='Tabla Parámetros'!$O$4,'Tabla Construcción Crecientes'!L16,))</f>
        <v>0</v>
      </c>
      <c r="M384" s="362">
        <f>IF($F$11='Tabla Parámetros'!$O$3,'Tabla Construcción Fijos'!M16,IF(Simulador!$F$11='Tabla Parámetros'!$O$4,'Tabla Construcción Crecientes'!M16,))</f>
        <v>0</v>
      </c>
      <c r="N384" s="381"/>
      <c r="O384" s="376"/>
      <c r="P384" s="376"/>
      <c r="Q384" s="362">
        <f>IF($F$11='Tabla Parámetros'!$O$3,'Tabla Construcción Fijos'!Q16,IF(Simulador!$F$11='Tabla Parámetros'!$O$4,'Tabla Construcción Crecientes'!P16,))</f>
        <v>0</v>
      </c>
      <c r="R384" s="362">
        <f>IF($F$11='Tabla Parámetros'!$O$3,'Tabla Construcción Fijos'!R16,IF(Simulador!$F$11='Tabla Parámetros'!$O$4,'Tabla Construcción Crecientes'!Q16,))</f>
        <v>0</v>
      </c>
    </row>
    <row r="385" spans="2:19" ht="15.5" hidden="1" x14ac:dyDescent="0.35">
      <c r="B385" s="378">
        <v>12</v>
      </c>
      <c r="C385" s="378">
        <v>30.4</v>
      </c>
      <c r="D385" s="379">
        <f>IF($F$11='Tabla Parámetros'!$O$3,'Tabla Construcción Fijos'!D17,IF(Simulador!$F$11='Tabla Parámetros'!$O$4,'Tabla Construcción Crecientes'!D17,))</f>
        <v>0</v>
      </c>
      <c r="E385" s="380"/>
      <c r="F385" s="362">
        <f>IF($F$11='Tabla Parámetros'!$O$3,'Tabla Construcción Fijos'!F17,IF(Simulador!$F$11='Tabla Parámetros'!$O$4,'Tabla Construcción Crecientes'!F17,))</f>
        <v>0</v>
      </c>
      <c r="G385" s="362">
        <f>IF($F$11='Tabla Parámetros'!$O$3,'Tabla Construcción Fijos'!G17,IF(Simulador!$F$11='Tabla Parámetros'!$O$4,'Tabla Construcción Crecientes'!G17,))</f>
        <v>0</v>
      </c>
      <c r="H385" s="362">
        <f>IF($F$11='Tabla Parámetros'!$O$3,'Tabla Construcción Fijos'!H17,IF(Simulador!$F$11='Tabla Parámetros'!$O$4,'Tabla Construcción Crecientes'!H17,))</f>
        <v>0</v>
      </c>
      <c r="I385" s="362">
        <f>IF($F$11='Tabla Parámetros'!$O$3,'Tabla Construcción Fijos'!I17,IF(Simulador!$F$11='Tabla Parámetros'!$O$4,'Tabla Construcción Crecientes'!I17,))</f>
        <v>0</v>
      </c>
      <c r="J385" s="362">
        <f>IF($F$11='Tabla Parámetros'!$O$3,'Tabla Construcción Fijos'!J17,IF(Simulador!$F$11='Tabla Parámetros'!$O$4,'Tabla Construcción Crecientes'!J17,))</f>
        <v>0</v>
      </c>
      <c r="K385" s="362">
        <f>IF($F$11='Tabla Parámetros'!$O$3,'Tabla Construcción Fijos'!K17,IF(Simulador!$F$11='Tabla Parámetros'!$O$4,'Tabla Construcción Crecientes'!K17,))</f>
        <v>0</v>
      </c>
      <c r="L385" s="362">
        <f>IF($F$11='Tabla Parámetros'!$O$3,'Tabla Construcción Fijos'!L17,IF(Simulador!$F$11='Tabla Parámetros'!$O$4,'Tabla Construcción Crecientes'!L17,))</f>
        <v>0</v>
      </c>
      <c r="M385" s="362">
        <f>IF($F$11='Tabla Parámetros'!$O$3,'Tabla Construcción Fijos'!M17,IF(Simulador!$F$11='Tabla Parámetros'!$O$4,'Tabla Construcción Crecientes'!M17,))</f>
        <v>0</v>
      </c>
      <c r="N385" s="381"/>
      <c r="O385" s="376"/>
      <c r="P385" s="376"/>
      <c r="Q385" s="362">
        <f>IF($F$11='Tabla Parámetros'!$O$3,'Tabla Construcción Fijos'!Q17,IF(Simulador!$F$11='Tabla Parámetros'!$O$4,'Tabla Construcción Crecientes'!P17,))</f>
        <v>0</v>
      </c>
      <c r="R385" s="362">
        <f>IF($F$11='Tabla Parámetros'!$O$3,'Tabla Construcción Fijos'!R17,IF(Simulador!$F$11='Tabla Parámetros'!$O$4,'Tabla Construcción Crecientes'!Q17,))</f>
        <v>0</v>
      </c>
    </row>
    <row r="386" spans="2:19" ht="15.5" hidden="1" x14ac:dyDescent="0.35">
      <c r="B386" s="378">
        <v>13</v>
      </c>
      <c r="C386" s="378">
        <v>30.4</v>
      </c>
      <c r="D386" s="379">
        <f>IF($F$11='Tabla Parámetros'!$O$3,'Tabla Construcción Fijos'!D18,IF(Simulador!$F$11='Tabla Parámetros'!$O$4,'Tabla Construcción Crecientes'!D18,))</f>
        <v>0</v>
      </c>
      <c r="E386" s="380"/>
      <c r="F386" s="362">
        <f>IF($F$11='Tabla Parámetros'!$O$3,'Tabla Construcción Fijos'!F18,IF(Simulador!$F$11='Tabla Parámetros'!$O$4,'Tabla Construcción Crecientes'!F18,))</f>
        <v>0</v>
      </c>
      <c r="G386" s="362">
        <f>IF($F$11='Tabla Parámetros'!$O$3,'Tabla Construcción Fijos'!G18,IF(Simulador!$F$11='Tabla Parámetros'!$O$4,'Tabla Construcción Crecientes'!G18,))</f>
        <v>0</v>
      </c>
      <c r="H386" s="362">
        <f>IF($F$11='Tabla Parámetros'!$O$3,'Tabla Construcción Fijos'!H18,IF(Simulador!$F$11='Tabla Parámetros'!$O$4,'Tabla Construcción Crecientes'!H18,))</f>
        <v>0</v>
      </c>
      <c r="I386" s="362">
        <f>IF($F$11='Tabla Parámetros'!$O$3,'Tabla Construcción Fijos'!I18,IF(Simulador!$F$11='Tabla Parámetros'!$O$4,'Tabla Construcción Crecientes'!I18,))</f>
        <v>0</v>
      </c>
      <c r="J386" s="362">
        <f>IF($F$11='Tabla Parámetros'!$O$3,'Tabla Construcción Fijos'!J18,IF(Simulador!$F$11='Tabla Parámetros'!$O$4,'Tabla Construcción Crecientes'!J18,))</f>
        <v>0</v>
      </c>
      <c r="K386" s="362">
        <f>IF($F$11='Tabla Parámetros'!$O$3,'Tabla Construcción Fijos'!K18,IF(Simulador!$F$11='Tabla Parámetros'!$O$4,'Tabla Construcción Crecientes'!K18,))</f>
        <v>0</v>
      </c>
      <c r="L386" s="362">
        <f>IF($F$11='Tabla Parámetros'!$O$3,'Tabla Construcción Fijos'!L18,IF(Simulador!$F$11='Tabla Parámetros'!$O$4,'Tabla Construcción Crecientes'!L18,))</f>
        <v>0</v>
      </c>
      <c r="M386" s="362">
        <f>IF($F$11='Tabla Parámetros'!$O$3,'Tabla Construcción Fijos'!M18,IF(Simulador!$F$11='Tabla Parámetros'!$O$4,'Tabla Construcción Crecientes'!M18,))</f>
        <v>0</v>
      </c>
      <c r="N386" s="381"/>
      <c r="O386" s="376"/>
      <c r="P386" s="376"/>
      <c r="Q386" s="362">
        <f>IF($F$11='Tabla Parámetros'!$O$3,'Tabla Construcción Fijos'!Q18,IF(Simulador!$F$11='Tabla Parámetros'!$O$4,'Tabla Construcción Crecientes'!P18,))</f>
        <v>0</v>
      </c>
      <c r="R386" s="362">
        <f>IF($F$11='Tabla Parámetros'!$O$3,'Tabla Construcción Fijos'!R18,IF(Simulador!$F$11='Tabla Parámetros'!$O$4,'Tabla Construcción Crecientes'!Q18,))</f>
        <v>0</v>
      </c>
    </row>
    <row r="387" spans="2:19" ht="15.5" hidden="1" x14ac:dyDescent="0.35">
      <c r="B387" s="378">
        <v>14</v>
      </c>
      <c r="C387" s="378">
        <v>30.4</v>
      </c>
      <c r="D387" s="379">
        <f>IF($F$11='Tabla Parámetros'!$O$3,'Tabla Construcción Fijos'!D19,IF(Simulador!$F$11='Tabla Parámetros'!$O$4,'Tabla Construcción Crecientes'!D19,))</f>
        <v>0</v>
      </c>
      <c r="E387" s="380"/>
      <c r="F387" s="362">
        <f>IF($F$11='Tabla Parámetros'!$O$3,'Tabla Construcción Fijos'!F19,IF(Simulador!$F$11='Tabla Parámetros'!$O$4,'Tabla Construcción Crecientes'!F19,))</f>
        <v>0</v>
      </c>
      <c r="G387" s="362">
        <f>IF($F$11='Tabla Parámetros'!$O$3,'Tabla Construcción Fijos'!G19,IF(Simulador!$F$11='Tabla Parámetros'!$O$4,'Tabla Construcción Crecientes'!G19,))</f>
        <v>0</v>
      </c>
      <c r="H387" s="362">
        <f>IF($F$11='Tabla Parámetros'!$O$3,'Tabla Construcción Fijos'!H19,IF(Simulador!$F$11='Tabla Parámetros'!$O$4,'Tabla Construcción Crecientes'!H19,))</f>
        <v>0</v>
      </c>
      <c r="I387" s="362">
        <f>IF($F$11='Tabla Parámetros'!$O$3,'Tabla Construcción Fijos'!I19,IF(Simulador!$F$11='Tabla Parámetros'!$O$4,'Tabla Construcción Crecientes'!I19,))</f>
        <v>0</v>
      </c>
      <c r="J387" s="362">
        <f>IF($F$11='Tabla Parámetros'!$O$3,'Tabla Construcción Fijos'!J19,IF(Simulador!$F$11='Tabla Parámetros'!$O$4,'Tabla Construcción Crecientes'!J19,))</f>
        <v>0</v>
      </c>
      <c r="K387" s="362">
        <f>IF($F$11='Tabla Parámetros'!$O$3,'Tabla Construcción Fijos'!K19,IF(Simulador!$F$11='Tabla Parámetros'!$O$4,'Tabla Construcción Crecientes'!K19,))</f>
        <v>0</v>
      </c>
      <c r="L387" s="362">
        <f>IF($F$11='Tabla Parámetros'!$O$3,'Tabla Construcción Fijos'!L19,IF(Simulador!$F$11='Tabla Parámetros'!$O$4,'Tabla Construcción Crecientes'!L19,))</f>
        <v>0</v>
      </c>
      <c r="M387" s="362">
        <f>IF($F$11='Tabla Parámetros'!$O$3,'Tabla Construcción Fijos'!M19,IF(Simulador!$F$11='Tabla Parámetros'!$O$4,'Tabla Construcción Crecientes'!M19,))</f>
        <v>0</v>
      </c>
      <c r="N387" s="381"/>
      <c r="O387" s="376"/>
      <c r="P387" s="376"/>
      <c r="Q387" s="362">
        <f>IF($F$11='Tabla Parámetros'!$O$3,'Tabla Construcción Fijos'!Q19,IF(Simulador!$F$11='Tabla Parámetros'!$O$4,'Tabla Construcción Crecientes'!P19,))</f>
        <v>0</v>
      </c>
      <c r="R387" s="362">
        <f>IF($F$11='Tabla Parámetros'!$O$3,'Tabla Construcción Fijos'!R19,IF(Simulador!$F$11='Tabla Parámetros'!$O$4,'Tabla Construcción Crecientes'!Q19,))</f>
        <v>0</v>
      </c>
    </row>
    <row r="388" spans="2:19" ht="15.5" hidden="1" x14ac:dyDescent="0.35">
      <c r="B388" s="378">
        <v>15</v>
      </c>
      <c r="C388" s="378">
        <v>30.4</v>
      </c>
      <c r="D388" s="379">
        <f>IF($F$11='Tabla Parámetros'!$O$3,'Tabla Construcción Fijos'!D20,IF(Simulador!$F$11='Tabla Parámetros'!$O$4,'Tabla Construcción Crecientes'!D20,))</f>
        <v>0</v>
      </c>
      <c r="E388" s="380"/>
      <c r="F388" s="362">
        <f>IF($F$11='Tabla Parámetros'!$O$3,'Tabla Construcción Fijos'!F20,IF(Simulador!$F$11='Tabla Parámetros'!$O$4,'Tabla Construcción Crecientes'!F20,))</f>
        <v>0</v>
      </c>
      <c r="G388" s="362">
        <f>IF($F$11='Tabla Parámetros'!$O$3,'Tabla Construcción Fijos'!G20,IF(Simulador!$F$11='Tabla Parámetros'!$O$4,'Tabla Construcción Crecientes'!G20,))</f>
        <v>0</v>
      </c>
      <c r="H388" s="362">
        <f>IF($F$11='Tabla Parámetros'!$O$3,'Tabla Construcción Fijos'!H20,IF(Simulador!$F$11='Tabla Parámetros'!$O$4,'Tabla Construcción Crecientes'!H20,))</f>
        <v>0</v>
      </c>
      <c r="I388" s="362">
        <f>IF($F$11='Tabla Parámetros'!$O$3,'Tabla Construcción Fijos'!I20,IF(Simulador!$F$11='Tabla Parámetros'!$O$4,'Tabla Construcción Crecientes'!I20,))</f>
        <v>0</v>
      </c>
      <c r="J388" s="362">
        <f>IF($F$11='Tabla Parámetros'!$O$3,'Tabla Construcción Fijos'!J20,IF(Simulador!$F$11='Tabla Parámetros'!$O$4,'Tabla Construcción Crecientes'!J20,))</f>
        <v>0</v>
      </c>
      <c r="K388" s="362">
        <f>IF($F$11='Tabla Parámetros'!$O$3,'Tabla Construcción Fijos'!K20,IF(Simulador!$F$11='Tabla Parámetros'!$O$4,'Tabla Construcción Crecientes'!K20,))</f>
        <v>0</v>
      </c>
      <c r="L388" s="362">
        <f>IF($F$11='Tabla Parámetros'!$O$3,'Tabla Construcción Fijos'!L20,IF(Simulador!$F$11='Tabla Parámetros'!$O$4,'Tabla Construcción Crecientes'!L20,))</f>
        <v>0</v>
      </c>
      <c r="M388" s="362">
        <f>IF($F$11='Tabla Parámetros'!$O$3,'Tabla Construcción Fijos'!M20,IF(Simulador!$F$11='Tabla Parámetros'!$O$4,'Tabla Construcción Crecientes'!M20,))</f>
        <v>0</v>
      </c>
      <c r="N388" s="381"/>
      <c r="O388" s="376"/>
      <c r="P388" s="376"/>
      <c r="Q388" s="362">
        <f>IF($F$11='Tabla Parámetros'!$O$3,'Tabla Construcción Fijos'!Q20,IF(Simulador!$F$11='Tabla Parámetros'!$O$4,'Tabla Construcción Crecientes'!P20,))</f>
        <v>0</v>
      </c>
      <c r="R388" s="362">
        <f>IF($F$11='Tabla Parámetros'!$O$3,'Tabla Construcción Fijos'!R20,IF(Simulador!$F$11='Tabla Parámetros'!$O$4,'Tabla Construcción Crecientes'!Q20,))</f>
        <v>0</v>
      </c>
    </row>
    <row r="389" spans="2:19" ht="15.5" hidden="1" x14ac:dyDescent="0.35">
      <c r="B389" s="378">
        <v>16</v>
      </c>
      <c r="C389" s="378">
        <v>30.4</v>
      </c>
      <c r="D389" s="379">
        <f>IF($F$11='Tabla Parámetros'!$O$3,'Tabla Construcción Fijos'!D21,IF(Simulador!$F$11='Tabla Parámetros'!$O$4,'Tabla Construcción Crecientes'!D21,))</f>
        <v>0</v>
      </c>
      <c r="E389" s="380"/>
      <c r="F389" s="362">
        <f>IF($F$11='Tabla Parámetros'!$O$3,'Tabla Construcción Fijos'!F21,IF(Simulador!$F$11='Tabla Parámetros'!$O$4,'Tabla Construcción Crecientes'!F21,))</f>
        <v>0</v>
      </c>
      <c r="G389" s="362">
        <f>IF($F$11='Tabla Parámetros'!$O$3,'Tabla Construcción Fijos'!G21,IF(Simulador!$F$11='Tabla Parámetros'!$O$4,'Tabla Construcción Crecientes'!G21,))</f>
        <v>0</v>
      </c>
      <c r="H389" s="362">
        <f>IF($F$11='Tabla Parámetros'!$O$3,'Tabla Construcción Fijos'!H21,IF(Simulador!$F$11='Tabla Parámetros'!$O$4,'Tabla Construcción Crecientes'!H21,))</f>
        <v>0</v>
      </c>
      <c r="I389" s="362">
        <f>IF($F$11='Tabla Parámetros'!$O$3,'Tabla Construcción Fijos'!I21,IF(Simulador!$F$11='Tabla Parámetros'!$O$4,'Tabla Construcción Crecientes'!I21,))</f>
        <v>0</v>
      </c>
      <c r="J389" s="362">
        <f>IF($F$11='Tabla Parámetros'!$O$3,'Tabla Construcción Fijos'!J21,IF(Simulador!$F$11='Tabla Parámetros'!$O$4,'Tabla Construcción Crecientes'!J21,))</f>
        <v>0</v>
      </c>
      <c r="K389" s="362">
        <f>IF($F$11='Tabla Parámetros'!$O$3,'Tabla Construcción Fijos'!K21,IF(Simulador!$F$11='Tabla Parámetros'!$O$4,'Tabla Construcción Crecientes'!K21,))</f>
        <v>0</v>
      </c>
      <c r="L389" s="362">
        <f>IF($F$11='Tabla Parámetros'!$O$3,'Tabla Construcción Fijos'!L21,IF(Simulador!$F$11='Tabla Parámetros'!$O$4,'Tabla Construcción Crecientes'!L21,))</f>
        <v>0</v>
      </c>
      <c r="M389" s="362">
        <f>IF($F$11='Tabla Parámetros'!$O$3,'Tabla Construcción Fijos'!M21,IF(Simulador!$F$11='Tabla Parámetros'!$O$4,'Tabla Construcción Crecientes'!M21,))</f>
        <v>0</v>
      </c>
      <c r="N389" s="381"/>
      <c r="O389" s="376"/>
      <c r="P389" s="376"/>
      <c r="Q389" s="362">
        <f>IF($F$11='Tabla Parámetros'!$O$3,'Tabla Construcción Fijos'!Q21,IF(Simulador!$F$11='Tabla Parámetros'!$O$4,'Tabla Construcción Crecientes'!P21,))</f>
        <v>0</v>
      </c>
      <c r="R389" s="362">
        <f>IF($F$11='Tabla Parámetros'!$O$3,'Tabla Construcción Fijos'!R21,IF(Simulador!$F$11='Tabla Parámetros'!$O$4,'Tabla Construcción Crecientes'!Q21,))</f>
        <v>0</v>
      </c>
    </row>
    <row r="390" spans="2:19" ht="15.5" hidden="1" x14ac:dyDescent="0.35">
      <c r="B390" s="378">
        <v>17</v>
      </c>
      <c r="C390" s="378">
        <v>30.4</v>
      </c>
      <c r="D390" s="379">
        <f>IF($F$11='Tabla Parámetros'!$O$3,'Tabla Construcción Fijos'!D22,IF(Simulador!$F$11='Tabla Parámetros'!$O$4,'Tabla Construcción Crecientes'!D22,))</f>
        <v>0</v>
      </c>
      <c r="E390" s="380"/>
      <c r="F390" s="362">
        <f>IF($F$11='Tabla Parámetros'!$O$3,'Tabla Construcción Fijos'!F22,IF(Simulador!$F$11='Tabla Parámetros'!$O$4,'Tabla Construcción Crecientes'!F22,))</f>
        <v>0</v>
      </c>
      <c r="G390" s="362">
        <f>IF($F$11='Tabla Parámetros'!$O$3,'Tabla Construcción Fijos'!G22,IF(Simulador!$F$11='Tabla Parámetros'!$O$4,'Tabla Construcción Crecientes'!G22,))</f>
        <v>0</v>
      </c>
      <c r="H390" s="362">
        <f>IF($F$11='Tabla Parámetros'!$O$3,'Tabla Construcción Fijos'!H22,IF(Simulador!$F$11='Tabla Parámetros'!$O$4,'Tabla Construcción Crecientes'!H22,))</f>
        <v>0</v>
      </c>
      <c r="I390" s="362">
        <f>IF($F$11='Tabla Parámetros'!$O$3,'Tabla Construcción Fijos'!I22,IF(Simulador!$F$11='Tabla Parámetros'!$O$4,'Tabla Construcción Crecientes'!I22,))</f>
        <v>0</v>
      </c>
      <c r="J390" s="362">
        <f>IF($F$11='Tabla Parámetros'!$O$3,'Tabla Construcción Fijos'!J22,IF(Simulador!$F$11='Tabla Parámetros'!$O$4,'Tabla Construcción Crecientes'!J22,))</f>
        <v>0</v>
      </c>
      <c r="K390" s="362">
        <f>IF($F$11='Tabla Parámetros'!$O$3,'Tabla Construcción Fijos'!K22,IF(Simulador!$F$11='Tabla Parámetros'!$O$4,'Tabla Construcción Crecientes'!K22,))</f>
        <v>0</v>
      </c>
      <c r="L390" s="362">
        <f>IF($F$11='Tabla Parámetros'!$O$3,'Tabla Construcción Fijos'!L22,IF(Simulador!$F$11='Tabla Parámetros'!$O$4,'Tabla Construcción Crecientes'!L22,))</f>
        <v>0</v>
      </c>
      <c r="M390" s="362">
        <f>IF($F$11='Tabla Parámetros'!$O$3,'Tabla Construcción Fijos'!M22,IF(Simulador!$F$11='Tabla Parámetros'!$O$4,'Tabla Construcción Crecientes'!M22,))</f>
        <v>0</v>
      </c>
      <c r="N390" s="381"/>
      <c r="O390" s="376"/>
      <c r="P390" s="376"/>
      <c r="Q390" s="362">
        <f>IF($F$11='Tabla Parámetros'!$O$3,'Tabla Construcción Fijos'!Q22,IF(Simulador!$F$11='Tabla Parámetros'!$O$4,'Tabla Construcción Crecientes'!P22,))</f>
        <v>0</v>
      </c>
      <c r="R390" s="362">
        <f>IF($F$11='Tabla Parámetros'!$O$3,'Tabla Construcción Fijos'!R22,IF(Simulador!$F$11='Tabla Parámetros'!$O$4,'Tabla Construcción Crecientes'!Q22,))</f>
        <v>0</v>
      </c>
    </row>
    <row r="391" spans="2:19" ht="15.5" hidden="1" x14ac:dyDescent="0.35">
      <c r="B391" s="378">
        <v>18</v>
      </c>
      <c r="C391" s="378">
        <v>30.4</v>
      </c>
      <c r="D391" s="379">
        <f>IF($F$11='Tabla Parámetros'!$O$3,'Tabla Construcción Fijos'!D23,IF(Simulador!$F$11='Tabla Parámetros'!$O$4,'Tabla Construcción Crecientes'!D23,))</f>
        <v>0</v>
      </c>
      <c r="E391" s="380"/>
      <c r="F391" s="362">
        <f>IF($F$11='Tabla Parámetros'!$O$3,'Tabla Construcción Fijos'!F23,IF(Simulador!$F$11='Tabla Parámetros'!$O$4,'Tabla Construcción Crecientes'!F23,))</f>
        <v>0</v>
      </c>
      <c r="G391" s="362">
        <f>IF($F$11='Tabla Parámetros'!$O$3,'Tabla Construcción Fijos'!G23,IF(Simulador!$F$11='Tabla Parámetros'!$O$4,'Tabla Construcción Crecientes'!G23,))</f>
        <v>0</v>
      </c>
      <c r="H391" s="362">
        <f>IF($F$11='Tabla Parámetros'!$O$3,'Tabla Construcción Fijos'!H23,IF(Simulador!$F$11='Tabla Parámetros'!$O$4,'Tabla Construcción Crecientes'!H23,))</f>
        <v>0</v>
      </c>
      <c r="I391" s="362">
        <f>IF($F$11='Tabla Parámetros'!$O$3,'Tabla Construcción Fijos'!I23,IF(Simulador!$F$11='Tabla Parámetros'!$O$4,'Tabla Construcción Crecientes'!I23,))</f>
        <v>0</v>
      </c>
      <c r="J391" s="362">
        <f>IF($F$11='Tabla Parámetros'!$O$3,'Tabla Construcción Fijos'!J23,IF(Simulador!$F$11='Tabla Parámetros'!$O$4,'Tabla Construcción Crecientes'!J23,))</f>
        <v>0</v>
      </c>
      <c r="K391" s="362">
        <f>IF($F$11='Tabla Parámetros'!$O$3,'Tabla Construcción Fijos'!K23,IF(Simulador!$F$11='Tabla Parámetros'!$O$4,'Tabla Construcción Crecientes'!K23,))</f>
        <v>0</v>
      </c>
      <c r="L391" s="362">
        <f>IF($F$11='Tabla Parámetros'!$O$3,'Tabla Construcción Fijos'!L23,IF(Simulador!$F$11='Tabla Parámetros'!$O$4,'Tabla Construcción Crecientes'!L23,))</f>
        <v>0</v>
      </c>
      <c r="M391" s="362">
        <f>IF($F$11='Tabla Parámetros'!$O$3,'Tabla Construcción Fijos'!M23,IF(Simulador!$F$11='Tabla Parámetros'!$O$4,'Tabla Construcción Crecientes'!M23,))</f>
        <v>0</v>
      </c>
      <c r="N391" s="381"/>
      <c r="O391" s="376"/>
      <c r="P391" s="376"/>
      <c r="Q391" s="362">
        <f>IF($F$11='Tabla Parámetros'!$O$3,'Tabla Construcción Fijos'!Q23,IF(Simulador!$F$11='Tabla Parámetros'!$O$4,'Tabla Construcción Crecientes'!P23,))</f>
        <v>0</v>
      </c>
      <c r="R391" s="362">
        <f>IF($F$11='Tabla Parámetros'!$O$3,'Tabla Construcción Fijos'!R23,IF(Simulador!$F$11='Tabla Parámetros'!$O$4,'Tabla Construcción Crecientes'!Q23,))</f>
        <v>0</v>
      </c>
    </row>
    <row r="392" spans="2:19" ht="15.5" hidden="1" x14ac:dyDescent="0.35">
      <c r="B392" s="382">
        <v>1</v>
      </c>
      <c r="C392" s="382">
        <v>30.4</v>
      </c>
      <c r="D392" s="383">
        <f>IF($F$11='Tabla Parámetros'!$O$3,'Tabla Construcción Fijos'!D24,IF(Simulador!$F$11='Tabla Parámetros'!$O$4,'Tabla Construcción Crecientes'!D24,))</f>
        <v>0</v>
      </c>
      <c r="E392" s="384"/>
      <c r="F392" s="385">
        <f>IF($F$11='Tabla Parámetros'!$O$3,'Tabla Construcción Fijos'!F24,IF(Simulador!$F$11='Tabla Parámetros'!$O$4,'Tabla Construcción Crecientes'!F24,))</f>
        <v>0</v>
      </c>
      <c r="G392" s="386"/>
      <c r="H392" s="386">
        <f>IF($F$11='Tabla Parámetros'!$O$3,'Tabla Construcción Fijos'!H24,IF(Simulador!$F$11='Tabla Parámetros'!$O$4,'Tabla Construcción Crecientes'!H24,))</f>
        <v>0</v>
      </c>
      <c r="I392" s="386">
        <f>IF($F$11='Tabla Parámetros'!$O$3,'Tabla Construcción Fijos'!I24,IF(Simulador!$F$11='Tabla Parámetros'!$O$4,'Tabla Construcción Crecientes'!I24,))</f>
        <v>0</v>
      </c>
      <c r="J392" s="386">
        <f>IF($F$11='Tabla Parámetros'!$O$3,'Tabla Construcción Fijos'!J24,IF(Simulador!$F$11='Tabla Parámetros'!$O$4,'Tabla Construcción Crecientes'!J24,))</f>
        <v>0</v>
      </c>
      <c r="K392" s="386">
        <f>IF($F$11='Tabla Parámetros'!$O$3,'Tabla Construcción Fijos'!K24,IF(Simulador!$F$11='Tabla Parámetros'!$O$4,'Tabla Construcción Crecientes'!K24,))</f>
        <v>0</v>
      </c>
      <c r="L392" s="386">
        <f>IF($F$11='Tabla Parámetros'!$O$3,'Tabla Construcción Fijos'!L24,IF(Simulador!$F$11='Tabla Parámetros'!$O$4,'Tabla Construcción Crecientes'!L24,))</f>
        <v>0</v>
      </c>
      <c r="M392" s="386">
        <f>IF($F$11='Tabla Parámetros'!$O$3,'Tabla Construcción Fijos'!M24,IF(Simulador!$F$11='Tabla Parámetros'!$O$4,'Tabla Construcción Crecientes'!M24,))</f>
        <v>0</v>
      </c>
      <c r="N392" s="387">
        <f>IF($F$11='Tabla Parámetros'!$O$3,'Tabla Construcción Fijos'!N24,IF(Simulador!$F$11='Tabla Parámetros'!$O$4,'Tabla Construcción Crecientes'!N24,))</f>
        <v>0</v>
      </c>
      <c r="O392" s="388"/>
      <c r="P392" s="388">
        <f>'Tabla Construcción Fijos'!P24</f>
        <v>0</v>
      </c>
      <c r="Q392" s="386">
        <f>IF($F$11='Tabla Parámetros'!$O$3,'Tabla Construcción Fijos'!Q24,IF(Simulador!$F$11='Tabla Parámetros'!$O$4,'Tabla Construcción Crecientes'!P24,))</f>
        <v>0</v>
      </c>
      <c r="R392" s="389">
        <f>IF($F$11='Tabla Parámetros'!$O$3,'Tabla Construcción Fijos'!R24,IF(Simulador!$F$11='Tabla Parámetros'!$O$4,'Tabla Construcción Crecientes'!Q24,))</f>
        <v>0</v>
      </c>
      <c r="S392" s="272">
        <f>IF(OR($B392="",$F392&lt;=0),0,1)</f>
        <v>0</v>
      </c>
    </row>
    <row r="393" spans="2:19" ht="15.5" hidden="1" x14ac:dyDescent="0.35">
      <c r="B393" s="378">
        <f>IF(B392=$F$19,"",IF(B392="","",B392+1))</f>
        <v>2</v>
      </c>
      <c r="C393" s="378">
        <f>IF(B393="","",30.4)</f>
        <v>30.4</v>
      </c>
      <c r="D393" s="379">
        <f>IF($F$11='Tabla Parámetros'!$O$3,'Tabla Construcción Fijos'!D25,IF(Simulador!$F$11='Tabla Parámetros'!$O$4,'Tabla Construcción Crecientes'!D25,))</f>
        <v>0</v>
      </c>
      <c r="E393" s="390"/>
      <c r="F393" s="362">
        <f>IF($F$11='Tabla Parámetros'!$O$3,'Tabla Construcción Fijos'!F25,IF(Simulador!$F$11='Tabla Parámetros'!$O$4,'Tabla Construcción Crecientes'!F25,))</f>
        <v>0</v>
      </c>
      <c r="G393" s="362"/>
      <c r="H393" s="362">
        <f>IF($F$11='Tabla Parámetros'!$O$3,'Tabla Construcción Fijos'!H25,IF(Simulador!$F$11='Tabla Parámetros'!$O$4,'Tabla Construcción Crecientes'!H25,))</f>
        <v>0</v>
      </c>
      <c r="I393" s="362">
        <f>IF($F$11='Tabla Parámetros'!$O$3,'Tabla Construcción Fijos'!I25,IF(Simulador!$F$11='Tabla Parámetros'!$O$4,'Tabla Construcción Crecientes'!I25,))</f>
        <v>0</v>
      </c>
      <c r="J393" s="362">
        <f>IF($F$11='Tabla Parámetros'!$O$3,'Tabla Construcción Fijos'!J25,IF(Simulador!$F$11='Tabla Parámetros'!$O$4,'Tabla Construcción Crecientes'!J25,))</f>
        <v>0</v>
      </c>
      <c r="K393" s="362">
        <f>IF($F$11='Tabla Parámetros'!$O$3,'Tabla Construcción Fijos'!K25,IF(Simulador!$F$11='Tabla Parámetros'!$O$4,'Tabla Construcción Crecientes'!K25,))</f>
        <v>0</v>
      </c>
      <c r="L393" s="362">
        <f>IF($F$11='Tabla Parámetros'!$O$3,'Tabla Construcción Fijos'!L25,IF(Simulador!$F$11='Tabla Parámetros'!$O$4,'Tabla Construcción Crecientes'!L25,))</f>
        <v>0</v>
      </c>
      <c r="M393" s="362">
        <f>IF($F$11='Tabla Parámetros'!$O$3,'Tabla Construcción Fijos'!M25,IF(Simulador!$F$11='Tabla Parámetros'!$O$4,'Tabla Construcción Crecientes'!M25,))</f>
        <v>0</v>
      </c>
      <c r="N393" s="391">
        <f>IF($F$11='Tabla Parámetros'!$O$3,'Tabla Construcción Fijos'!N25,IF(Simulador!$F$11='Tabla Parámetros'!$O$4,'Tabla Construcción Crecientes'!N25,))</f>
        <v>0</v>
      </c>
      <c r="O393" s="392"/>
      <c r="P393" s="392">
        <f>'Tabla Construcción Fijos'!P25</f>
        <v>0</v>
      </c>
      <c r="Q393" s="362">
        <f>IF($F$11='Tabla Parámetros'!$O$3,'Tabla Construcción Fijos'!Q25,IF(Simulador!$F$11='Tabla Parámetros'!$O$4,'Tabla Construcción Crecientes'!P25,))</f>
        <v>0</v>
      </c>
      <c r="R393" s="362">
        <f>IF($F$11='Tabla Parámetros'!$O$3,'Tabla Construcción Fijos'!R25,IF(Simulador!$F$11='Tabla Parámetros'!$O$4,'Tabla Construcción Crecientes'!Q25,))</f>
        <v>0</v>
      </c>
      <c r="S393" s="272">
        <f t="shared" ref="S393:S456" si="15">IF(OR($B393="",$F393&lt;=0),0,1)</f>
        <v>0</v>
      </c>
    </row>
    <row r="394" spans="2:19" ht="15.5" hidden="1" x14ac:dyDescent="0.35">
      <c r="B394" s="378">
        <f t="shared" ref="B394:B457" si="16">IF(B393=$F$19,"",IF(B393="","",B393+1))</f>
        <v>3</v>
      </c>
      <c r="C394" s="378">
        <f t="shared" ref="C394:C457" si="17">IF(B394="","",30.4)</f>
        <v>30.4</v>
      </c>
      <c r="D394" s="379">
        <f>IF($F$11='Tabla Parámetros'!$O$3,'Tabla Construcción Fijos'!D26,IF(Simulador!$F$11='Tabla Parámetros'!$O$4,'Tabla Construcción Crecientes'!D26,))</f>
        <v>0</v>
      </c>
      <c r="E394" s="390"/>
      <c r="F394" s="362">
        <f>IF($F$11='Tabla Parámetros'!$O$3,'Tabla Construcción Fijos'!F26,IF(Simulador!$F$11='Tabla Parámetros'!$O$4,'Tabla Construcción Crecientes'!F26,))</f>
        <v>0</v>
      </c>
      <c r="G394" s="362"/>
      <c r="H394" s="362">
        <f>IF($F$11='Tabla Parámetros'!$O$3,'Tabla Construcción Fijos'!H26,IF(Simulador!$F$11='Tabla Parámetros'!$O$4,'Tabla Construcción Crecientes'!H26,))</f>
        <v>0</v>
      </c>
      <c r="I394" s="362">
        <f>IF($F$11='Tabla Parámetros'!$O$3,'Tabla Construcción Fijos'!I26,IF(Simulador!$F$11='Tabla Parámetros'!$O$4,'Tabla Construcción Crecientes'!I26,))</f>
        <v>0</v>
      </c>
      <c r="J394" s="362">
        <f>IF($F$11='Tabla Parámetros'!$O$3,'Tabla Construcción Fijos'!J26,IF(Simulador!$F$11='Tabla Parámetros'!$O$4,'Tabla Construcción Crecientes'!J26,))</f>
        <v>0</v>
      </c>
      <c r="K394" s="362">
        <f>IF($F$11='Tabla Parámetros'!$O$3,'Tabla Construcción Fijos'!K26,IF(Simulador!$F$11='Tabla Parámetros'!$O$4,'Tabla Construcción Crecientes'!K26,))</f>
        <v>0</v>
      </c>
      <c r="L394" s="362">
        <f>IF($F$11='Tabla Parámetros'!$O$3,'Tabla Construcción Fijos'!L26,IF(Simulador!$F$11='Tabla Parámetros'!$O$4,'Tabla Construcción Crecientes'!L26,))</f>
        <v>0</v>
      </c>
      <c r="M394" s="362">
        <f>IF($F$11='Tabla Parámetros'!$O$3,'Tabla Construcción Fijos'!M26,IF(Simulador!$F$11='Tabla Parámetros'!$O$4,'Tabla Construcción Crecientes'!M26,))</f>
        <v>0</v>
      </c>
      <c r="N394" s="391">
        <f>IF($F$11='Tabla Parámetros'!$O$3,'Tabla Construcción Fijos'!N26,IF(Simulador!$F$11='Tabla Parámetros'!$O$4,'Tabla Construcción Crecientes'!N26,))</f>
        <v>0</v>
      </c>
      <c r="O394" s="392"/>
      <c r="P394" s="392">
        <f>'Tabla Construcción Fijos'!P26</f>
        <v>0</v>
      </c>
      <c r="Q394" s="362">
        <f>IF($F$11='Tabla Parámetros'!$O$3,'Tabla Construcción Fijos'!Q26,IF(Simulador!$F$11='Tabla Parámetros'!$O$4,'Tabla Construcción Crecientes'!P26,))</f>
        <v>0</v>
      </c>
      <c r="R394" s="362">
        <f>IF($F$11='Tabla Parámetros'!$O$3,'Tabla Construcción Fijos'!R26,IF(Simulador!$F$11='Tabla Parámetros'!$O$4,'Tabla Construcción Crecientes'!Q26,))</f>
        <v>0</v>
      </c>
      <c r="S394" s="272">
        <f t="shared" si="15"/>
        <v>0</v>
      </c>
    </row>
    <row r="395" spans="2:19" ht="15.5" hidden="1" x14ac:dyDescent="0.35">
      <c r="B395" s="378">
        <f t="shared" si="16"/>
        <v>4</v>
      </c>
      <c r="C395" s="378">
        <f t="shared" si="17"/>
        <v>30.4</v>
      </c>
      <c r="D395" s="379">
        <f>IF($F$11='Tabla Parámetros'!$O$3,'Tabla Construcción Fijos'!D27,IF(Simulador!$F$11='Tabla Parámetros'!$O$4,'Tabla Construcción Crecientes'!D27,))</f>
        <v>0</v>
      </c>
      <c r="E395" s="390"/>
      <c r="F395" s="362">
        <f>IF($F$11='Tabla Parámetros'!$O$3,'Tabla Construcción Fijos'!F27,IF(Simulador!$F$11='Tabla Parámetros'!$O$4,'Tabla Construcción Crecientes'!F27,))</f>
        <v>0</v>
      </c>
      <c r="G395" s="362"/>
      <c r="H395" s="362">
        <f>IF($F$11='Tabla Parámetros'!$O$3,'Tabla Construcción Fijos'!H27,IF(Simulador!$F$11='Tabla Parámetros'!$O$4,'Tabla Construcción Crecientes'!H27,))</f>
        <v>0</v>
      </c>
      <c r="I395" s="362">
        <f>IF($F$11='Tabla Parámetros'!$O$3,'Tabla Construcción Fijos'!I27,IF(Simulador!$F$11='Tabla Parámetros'!$O$4,'Tabla Construcción Crecientes'!I27,))</f>
        <v>0</v>
      </c>
      <c r="J395" s="362">
        <f>IF($F$11='Tabla Parámetros'!$O$3,'Tabla Construcción Fijos'!J27,IF(Simulador!$F$11='Tabla Parámetros'!$O$4,'Tabla Construcción Crecientes'!J27,))</f>
        <v>0</v>
      </c>
      <c r="K395" s="362">
        <f>IF($F$11='Tabla Parámetros'!$O$3,'Tabla Construcción Fijos'!K27,IF(Simulador!$F$11='Tabla Parámetros'!$O$4,'Tabla Construcción Crecientes'!K27,))</f>
        <v>0</v>
      </c>
      <c r="L395" s="362">
        <f>IF($F$11='Tabla Parámetros'!$O$3,'Tabla Construcción Fijos'!L27,IF(Simulador!$F$11='Tabla Parámetros'!$O$4,'Tabla Construcción Crecientes'!L27,))</f>
        <v>0</v>
      </c>
      <c r="M395" s="362">
        <f>IF($F$11='Tabla Parámetros'!$O$3,'Tabla Construcción Fijos'!M27,IF(Simulador!$F$11='Tabla Parámetros'!$O$4,'Tabla Construcción Crecientes'!M27,))</f>
        <v>0</v>
      </c>
      <c r="N395" s="391">
        <f>IF($F$11='Tabla Parámetros'!$O$3,'Tabla Construcción Fijos'!N27,IF(Simulador!$F$11='Tabla Parámetros'!$O$4,'Tabla Construcción Crecientes'!N27,))</f>
        <v>0</v>
      </c>
      <c r="O395" s="392"/>
      <c r="P395" s="392">
        <f>'Tabla Construcción Fijos'!P27</f>
        <v>0</v>
      </c>
      <c r="Q395" s="362">
        <f>IF($F$11='Tabla Parámetros'!$O$3,'Tabla Construcción Fijos'!Q27,IF(Simulador!$F$11='Tabla Parámetros'!$O$4,'Tabla Construcción Crecientes'!P27,))</f>
        <v>0</v>
      </c>
      <c r="R395" s="362">
        <f>IF($F$11='Tabla Parámetros'!$O$3,'Tabla Construcción Fijos'!R27,IF(Simulador!$F$11='Tabla Parámetros'!$O$4,'Tabla Construcción Crecientes'!Q27,))</f>
        <v>0</v>
      </c>
      <c r="S395" s="272">
        <f t="shared" si="15"/>
        <v>0</v>
      </c>
    </row>
    <row r="396" spans="2:19" ht="15.5" hidden="1" x14ac:dyDescent="0.35">
      <c r="B396" s="378">
        <f t="shared" si="16"/>
        <v>5</v>
      </c>
      <c r="C396" s="378">
        <f t="shared" si="17"/>
        <v>30.4</v>
      </c>
      <c r="D396" s="379">
        <f>IF($F$11='Tabla Parámetros'!$O$3,'Tabla Construcción Fijos'!D28,IF(Simulador!$F$11='Tabla Parámetros'!$O$4,'Tabla Construcción Crecientes'!D28,))</f>
        <v>0</v>
      </c>
      <c r="E396" s="390"/>
      <c r="F396" s="362">
        <f>IF($F$11='Tabla Parámetros'!$O$3,'Tabla Construcción Fijos'!F28,IF(Simulador!$F$11='Tabla Parámetros'!$O$4,'Tabla Construcción Crecientes'!F28,))</f>
        <v>0</v>
      </c>
      <c r="G396" s="362"/>
      <c r="H396" s="362">
        <f>IF($F$11='Tabla Parámetros'!$O$3,'Tabla Construcción Fijos'!H28,IF(Simulador!$F$11='Tabla Parámetros'!$O$4,'Tabla Construcción Crecientes'!H28,))</f>
        <v>0</v>
      </c>
      <c r="I396" s="362">
        <f>IF($F$11='Tabla Parámetros'!$O$3,'Tabla Construcción Fijos'!I28,IF(Simulador!$F$11='Tabla Parámetros'!$O$4,'Tabla Construcción Crecientes'!I28,))</f>
        <v>0</v>
      </c>
      <c r="J396" s="362">
        <f>IF($F$11='Tabla Parámetros'!$O$3,'Tabla Construcción Fijos'!J28,IF(Simulador!$F$11='Tabla Parámetros'!$O$4,'Tabla Construcción Crecientes'!J28,))</f>
        <v>0</v>
      </c>
      <c r="K396" s="362">
        <f>IF($F$11='Tabla Parámetros'!$O$3,'Tabla Construcción Fijos'!K28,IF(Simulador!$F$11='Tabla Parámetros'!$O$4,'Tabla Construcción Crecientes'!K28,))</f>
        <v>0</v>
      </c>
      <c r="L396" s="362">
        <f>IF($F$11='Tabla Parámetros'!$O$3,'Tabla Construcción Fijos'!L28,IF(Simulador!$F$11='Tabla Parámetros'!$O$4,'Tabla Construcción Crecientes'!L28,))</f>
        <v>0</v>
      </c>
      <c r="M396" s="362">
        <f>IF($F$11='Tabla Parámetros'!$O$3,'Tabla Construcción Fijos'!M28,IF(Simulador!$F$11='Tabla Parámetros'!$O$4,'Tabla Construcción Crecientes'!M28,))</f>
        <v>0</v>
      </c>
      <c r="N396" s="391">
        <f>IF($F$11='Tabla Parámetros'!$O$3,'Tabla Construcción Fijos'!N28,IF(Simulador!$F$11='Tabla Parámetros'!$O$4,'Tabla Construcción Crecientes'!N28,))</f>
        <v>0</v>
      </c>
      <c r="O396" s="392"/>
      <c r="P396" s="392">
        <f>'Tabla Construcción Fijos'!P28</f>
        <v>0</v>
      </c>
      <c r="Q396" s="362">
        <f>IF($F$11='Tabla Parámetros'!$O$3,'Tabla Construcción Fijos'!Q28,IF(Simulador!$F$11='Tabla Parámetros'!$O$4,'Tabla Construcción Crecientes'!P28,))</f>
        <v>0</v>
      </c>
      <c r="R396" s="362">
        <f>IF($F$11='Tabla Parámetros'!$O$3,'Tabla Construcción Fijos'!R28,IF(Simulador!$F$11='Tabla Parámetros'!$O$4,'Tabla Construcción Crecientes'!Q28,))</f>
        <v>0</v>
      </c>
      <c r="S396" s="272">
        <f t="shared" si="15"/>
        <v>0</v>
      </c>
    </row>
    <row r="397" spans="2:19" ht="15.5" hidden="1" x14ac:dyDescent="0.35">
      <c r="B397" s="378">
        <f t="shared" si="16"/>
        <v>6</v>
      </c>
      <c r="C397" s="378">
        <f t="shared" si="17"/>
        <v>30.4</v>
      </c>
      <c r="D397" s="379">
        <f>IF($F$11='Tabla Parámetros'!$O$3,'Tabla Construcción Fijos'!D29,IF(Simulador!$F$11='Tabla Parámetros'!$O$4,'Tabla Construcción Crecientes'!D29,))</f>
        <v>0</v>
      </c>
      <c r="E397" s="390"/>
      <c r="F397" s="362">
        <f>IF($F$11='Tabla Parámetros'!$O$3,'Tabla Construcción Fijos'!F29,IF(Simulador!$F$11='Tabla Parámetros'!$O$4,'Tabla Construcción Crecientes'!F29,))</f>
        <v>0</v>
      </c>
      <c r="G397" s="362"/>
      <c r="H397" s="362">
        <f>IF($F$11='Tabla Parámetros'!$O$3,'Tabla Construcción Fijos'!H29,IF(Simulador!$F$11='Tabla Parámetros'!$O$4,'Tabla Construcción Crecientes'!H29,))</f>
        <v>0</v>
      </c>
      <c r="I397" s="362">
        <f>IF($F$11='Tabla Parámetros'!$O$3,'Tabla Construcción Fijos'!I29,IF(Simulador!$F$11='Tabla Parámetros'!$O$4,'Tabla Construcción Crecientes'!I29,))</f>
        <v>0</v>
      </c>
      <c r="J397" s="362">
        <f>IF($F$11='Tabla Parámetros'!$O$3,'Tabla Construcción Fijos'!J29,IF(Simulador!$F$11='Tabla Parámetros'!$O$4,'Tabla Construcción Crecientes'!J29,))</f>
        <v>0</v>
      </c>
      <c r="K397" s="362">
        <f>IF($F$11='Tabla Parámetros'!$O$3,'Tabla Construcción Fijos'!K29,IF(Simulador!$F$11='Tabla Parámetros'!$O$4,'Tabla Construcción Crecientes'!K29,))</f>
        <v>0</v>
      </c>
      <c r="L397" s="362">
        <f>IF($F$11='Tabla Parámetros'!$O$3,'Tabla Construcción Fijos'!L29,IF(Simulador!$F$11='Tabla Parámetros'!$O$4,'Tabla Construcción Crecientes'!L29,))</f>
        <v>0</v>
      </c>
      <c r="M397" s="362">
        <f>IF($F$11='Tabla Parámetros'!$O$3,'Tabla Construcción Fijos'!M29,IF(Simulador!$F$11='Tabla Parámetros'!$O$4,'Tabla Construcción Crecientes'!M29,))</f>
        <v>0</v>
      </c>
      <c r="N397" s="391">
        <f>IF($F$11='Tabla Parámetros'!$O$3,'Tabla Construcción Fijos'!N29,IF(Simulador!$F$11='Tabla Parámetros'!$O$4,'Tabla Construcción Crecientes'!N29,))</f>
        <v>0</v>
      </c>
      <c r="O397" s="392"/>
      <c r="P397" s="392">
        <f>'Tabla Construcción Fijos'!P29</f>
        <v>0</v>
      </c>
      <c r="Q397" s="362">
        <f>IF($F$11='Tabla Parámetros'!$O$3,'Tabla Construcción Fijos'!Q29,IF(Simulador!$F$11='Tabla Parámetros'!$O$4,'Tabla Construcción Crecientes'!P29,))</f>
        <v>0</v>
      </c>
      <c r="R397" s="362">
        <f>IF($F$11='Tabla Parámetros'!$O$3,'Tabla Construcción Fijos'!R29,IF(Simulador!$F$11='Tabla Parámetros'!$O$4,'Tabla Construcción Crecientes'!Q29,))</f>
        <v>0</v>
      </c>
      <c r="S397" s="272">
        <f t="shared" si="15"/>
        <v>0</v>
      </c>
    </row>
    <row r="398" spans="2:19" ht="15.5" hidden="1" x14ac:dyDescent="0.35">
      <c r="B398" s="378">
        <f t="shared" si="16"/>
        <v>7</v>
      </c>
      <c r="C398" s="378">
        <f t="shared" si="17"/>
        <v>30.4</v>
      </c>
      <c r="D398" s="379">
        <f>IF($F$11='Tabla Parámetros'!$O$3,'Tabla Construcción Fijos'!D30,IF(Simulador!$F$11='Tabla Parámetros'!$O$4,'Tabla Construcción Crecientes'!D30,))</f>
        <v>0</v>
      </c>
      <c r="E398" s="390"/>
      <c r="F398" s="362">
        <f>IF($F$11='Tabla Parámetros'!$O$3,'Tabla Construcción Fijos'!F30,IF(Simulador!$F$11='Tabla Parámetros'!$O$4,'Tabla Construcción Crecientes'!F30,))</f>
        <v>0</v>
      </c>
      <c r="G398" s="362"/>
      <c r="H398" s="362">
        <f>IF($F$11='Tabla Parámetros'!$O$3,'Tabla Construcción Fijos'!H30,IF(Simulador!$F$11='Tabla Parámetros'!$O$4,'Tabla Construcción Crecientes'!H30,))</f>
        <v>0</v>
      </c>
      <c r="I398" s="362">
        <f>IF($F$11='Tabla Parámetros'!$O$3,'Tabla Construcción Fijos'!I30,IF(Simulador!$F$11='Tabla Parámetros'!$O$4,'Tabla Construcción Crecientes'!I30,))</f>
        <v>0</v>
      </c>
      <c r="J398" s="362">
        <f>IF($F$11='Tabla Parámetros'!$O$3,'Tabla Construcción Fijos'!J30,IF(Simulador!$F$11='Tabla Parámetros'!$O$4,'Tabla Construcción Crecientes'!J30,))</f>
        <v>0</v>
      </c>
      <c r="K398" s="362">
        <f>IF($F$11='Tabla Parámetros'!$O$3,'Tabla Construcción Fijos'!K30,IF(Simulador!$F$11='Tabla Parámetros'!$O$4,'Tabla Construcción Crecientes'!K30,))</f>
        <v>0</v>
      </c>
      <c r="L398" s="362">
        <f>IF($F$11='Tabla Parámetros'!$O$3,'Tabla Construcción Fijos'!L30,IF(Simulador!$F$11='Tabla Parámetros'!$O$4,'Tabla Construcción Crecientes'!L30,))</f>
        <v>0</v>
      </c>
      <c r="M398" s="362">
        <f>IF($F$11='Tabla Parámetros'!$O$3,'Tabla Construcción Fijos'!M30,IF(Simulador!$F$11='Tabla Parámetros'!$O$4,'Tabla Construcción Crecientes'!M30,))</f>
        <v>0</v>
      </c>
      <c r="N398" s="391">
        <f>IF($F$11='Tabla Parámetros'!$O$3,'Tabla Construcción Fijos'!N30,IF(Simulador!$F$11='Tabla Parámetros'!$O$4,'Tabla Construcción Crecientes'!N30,))</f>
        <v>0</v>
      </c>
      <c r="O398" s="392"/>
      <c r="P398" s="392">
        <f>'Tabla Construcción Fijos'!P30</f>
        <v>0</v>
      </c>
      <c r="Q398" s="362">
        <f>IF($F$11='Tabla Parámetros'!$O$3,'Tabla Construcción Fijos'!Q30,IF(Simulador!$F$11='Tabla Parámetros'!$O$4,'Tabla Construcción Crecientes'!P30,))</f>
        <v>0</v>
      </c>
      <c r="R398" s="362">
        <f>IF($F$11='Tabla Parámetros'!$O$3,'Tabla Construcción Fijos'!R30,IF(Simulador!$F$11='Tabla Parámetros'!$O$4,'Tabla Construcción Crecientes'!Q30,))</f>
        <v>0</v>
      </c>
      <c r="S398" s="272">
        <f t="shared" si="15"/>
        <v>0</v>
      </c>
    </row>
    <row r="399" spans="2:19" ht="15.5" hidden="1" x14ac:dyDescent="0.35">
      <c r="B399" s="378">
        <f t="shared" si="16"/>
        <v>8</v>
      </c>
      <c r="C399" s="378">
        <f t="shared" si="17"/>
        <v>30.4</v>
      </c>
      <c r="D399" s="379">
        <f>IF($F$11='Tabla Parámetros'!$O$3,'Tabla Construcción Fijos'!D31,IF(Simulador!$F$11='Tabla Parámetros'!$O$4,'Tabla Construcción Crecientes'!D31,))</f>
        <v>0</v>
      </c>
      <c r="E399" s="390"/>
      <c r="F399" s="362">
        <f>IF($F$11='Tabla Parámetros'!$O$3,'Tabla Construcción Fijos'!F31,IF(Simulador!$F$11='Tabla Parámetros'!$O$4,'Tabla Construcción Crecientes'!F31,))</f>
        <v>0</v>
      </c>
      <c r="G399" s="362"/>
      <c r="H399" s="362">
        <f>IF($F$11='Tabla Parámetros'!$O$3,'Tabla Construcción Fijos'!H31,IF(Simulador!$F$11='Tabla Parámetros'!$O$4,'Tabla Construcción Crecientes'!H31,))</f>
        <v>0</v>
      </c>
      <c r="I399" s="362">
        <f>IF($F$11='Tabla Parámetros'!$O$3,'Tabla Construcción Fijos'!I31,IF(Simulador!$F$11='Tabla Parámetros'!$O$4,'Tabla Construcción Crecientes'!I31,))</f>
        <v>0</v>
      </c>
      <c r="J399" s="362">
        <f>IF($F$11='Tabla Parámetros'!$O$3,'Tabla Construcción Fijos'!J31,IF(Simulador!$F$11='Tabla Parámetros'!$O$4,'Tabla Construcción Crecientes'!J31,))</f>
        <v>0</v>
      </c>
      <c r="K399" s="362">
        <f>IF($F$11='Tabla Parámetros'!$O$3,'Tabla Construcción Fijos'!K31,IF(Simulador!$F$11='Tabla Parámetros'!$O$4,'Tabla Construcción Crecientes'!K31,))</f>
        <v>0</v>
      </c>
      <c r="L399" s="362">
        <f>IF($F$11='Tabla Parámetros'!$O$3,'Tabla Construcción Fijos'!L31,IF(Simulador!$F$11='Tabla Parámetros'!$O$4,'Tabla Construcción Crecientes'!L31,))</f>
        <v>0</v>
      </c>
      <c r="M399" s="362">
        <f>IF($F$11='Tabla Parámetros'!$O$3,'Tabla Construcción Fijos'!M31,IF(Simulador!$F$11='Tabla Parámetros'!$O$4,'Tabla Construcción Crecientes'!M31,))</f>
        <v>0</v>
      </c>
      <c r="N399" s="391">
        <f>IF($F$11='Tabla Parámetros'!$O$3,'Tabla Construcción Fijos'!N31,IF(Simulador!$F$11='Tabla Parámetros'!$O$4,'Tabla Construcción Crecientes'!N31,))</f>
        <v>0</v>
      </c>
      <c r="O399" s="392"/>
      <c r="P399" s="392">
        <f>'Tabla Construcción Fijos'!P31</f>
        <v>0</v>
      </c>
      <c r="Q399" s="362">
        <f>IF($F$11='Tabla Parámetros'!$O$3,'Tabla Construcción Fijos'!Q31,IF(Simulador!$F$11='Tabla Parámetros'!$O$4,'Tabla Construcción Crecientes'!P31,))</f>
        <v>0</v>
      </c>
      <c r="R399" s="362">
        <f>IF($F$11='Tabla Parámetros'!$O$3,'Tabla Construcción Fijos'!R31,IF(Simulador!$F$11='Tabla Parámetros'!$O$4,'Tabla Construcción Crecientes'!Q31,))</f>
        <v>0</v>
      </c>
      <c r="S399" s="272">
        <f t="shared" si="15"/>
        <v>0</v>
      </c>
    </row>
    <row r="400" spans="2:19" ht="15.5" hidden="1" x14ac:dyDescent="0.35">
      <c r="B400" s="378">
        <f t="shared" si="16"/>
        <v>9</v>
      </c>
      <c r="C400" s="378">
        <f t="shared" si="17"/>
        <v>30.4</v>
      </c>
      <c r="D400" s="379">
        <f>IF($F$11='Tabla Parámetros'!$O$3,'Tabla Construcción Fijos'!D32,IF(Simulador!$F$11='Tabla Parámetros'!$O$4,'Tabla Construcción Crecientes'!D32,))</f>
        <v>0</v>
      </c>
      <c r="E400" s="390"/>
      <c r="F400" s="362">
        <f>IF($F$11='Tabla Parámetros'!$O$3,'Tabla Construcción Fijos'!F32,IF(Simulador!$F$11='Tabla Parámetros'!$O$4,'Tabla Construcción Crecientes'!F32,))</f>
        <v>0</v>
      </c>
      <c r="G400" s="362"/>
      <c r="H400" s="362">
        <f>IF($F$11='Tabla Parámetros'!$O$3,'Tabla Construcción Fijos'!H32,IF(Simulador!$F$11='Tabla Parámetros'!$O$4,'Tabla Construcción Crecientes'!H32,))</f>
        <v>0</v>
      </c>
      <c r="I400" s="362">
        <f>IF($F$11='Tabla Parámetros'!$O$3,'Tabla Construcción Fijos'!I32,IF(Simulador!$F$11='Tabla Parámetros'!$O$4,'Tabla Construcción Crecientes'!I32,))</f>
        <v>0</v>
      </c>
      <c r="J400" s="362">
        <f>IF($F$11='Tabla Parámetros'!$O$3,'Tabla Construcción Fijos'!J32,IF(Simulador!$F$11='Tabla Parámetros'!$O$4,'Tabla Construcción Crecientes'!J32,))</f>
        <v>0</v>
      </c>
      <c r="K400" s="362">
        <f>IF($F$11='Tabla Parámetros'!$O$3,'Tabla Construcción Fijos'!K32,IF(Simulador!$F$11='Tabla Parámetros'!$O$4,'Tabla Construcción Crecientes'!K32,))</f>
        <v>0</v>
      </c>
      <c r="L400" s="362">
        <f>IF($F$11='Tabla Parámetros'!$O$3,'Tabla Construcción Fijos'!L32,IF(Simulador!$F$11='Tabla Parámetros'!$O$4,'Tabla Construcción Crecientes'!L32,))</f>
        <v>0</v>
      </c>
      <c r="M400" s="362">
        <f>IF($F$11='Tabla Parámetros'!$O$3,'Tabla Construcción Fijos'!M32,IF(Simulador!$F$11='Tabla Parámetros'!$O$4,'Tabla Construcción Crecientes'!M32,))</f>
        <v>0</v>
      </c>
      <c r="N400" s="391">
        <f>IF($F$11='Tabla Parámetros'!$O$3,'Tabla Construcción Fijos'!N32,IF(Simulador!$F$11='Tabla Parámetros'!$O$4,'Tabla Construcción Crecientes'!N32,))</f>
        <v>0</v>
      </c>
      <c r="O400" s="392"/>
      <c r="P400" s="392">
        <f>'Tabla Construcción Fijos'!P32</f>
        <v>0</v>
      </c>
      <c r="Q400" s="362">
        <f>IF($F$11='Tabla Parámetros'!$O$3,'Tabla Construcción Fijos'!Q32,IF(Simulador!$F$11='Tabla Parámetros'!$O$4,'Tabla Construcción Crecientes'!P32,))</f>
        <v>0</v>
      </c>
      <c r="R400" s="362">
        <f>IF($F$11='Tabla Parámetros'!$O$3,'Tabla Construcción Fijos'!R32,IF(Simulador!$F$11='Tabla Parámetros'!$O$4,'Tabla Construcción Crecientes'!Q32,))</f>
        <v>0</v>
      </c>
      <c r="S400" s="272">
        <f t="shared" si="15"/>
        <v>0</v>
      </c>
    </row>
    <row r="401" spans="2:19" ht="15.5" hidden="1" x14ac:dyDescent="0.35">
      <c r="B401" s="378">
        <f t="shared" si="16"/>
        <v>10</v>
      </c>
      <c r="C401" s="378">
        <f t="shared" si="17"/>
        <v>30.4</v>
      </c>
      <c r="D401" s="379">
        <f>IF($F$11='Tabla Parámetros'!$O$3,'Tabla Construcción Fijos'!D33,IF(Simulador!$F$11='Tabla Parámetros'!$O$4,'Tabla Construcción Crecientes'!D33,))</f>
        <v>0</v>
      </c>
      <c r="E401" s="390"/>
      <c r="F401" s="362">
        <f>IF($F$11='Tabla Parámetros'!$O$3,'Tabla Construcción Fijos'!F33,IF(Simulador!$F$11='Tabla Parámetros'!$O$4,'Tabla Construcción Crecientes'!F33,))</f>
        <v>0</v>
      </c>
      <c r="G401" s="362"/>
      <c r="H401" s="362">
        <f>IF($F$11='Tabla Parámetros'!$O$3,'Tabla Construcción Fijos'!H33,IF(Simulador!$F$11='Tabla Parámetros'!$O$4,'Tabla Construcción Crecientes'!H33,))</f>
        <v>0</v>
      </c>
      <c r="I401" s="362">
        <f>IF($F$11='Tabla Parámetros'!$O$3,'Tabla Construcción Fijos'!I33,IF(Simulador!$F$11='Tabla Parámetros'!$O$4,'Tabla Construcción Crecientes'!I33,))</f>
        <v>0</v>
      </c>
      <c r="J401" s="362">
        <f>IF($F$11='Tabla Parámetros'!$O$3,'Tabla Construcción Fijos'!J33,IF(Simulador!$F$11='Tabla Parámetros'!$O$4,'Tabla Construcción Crecientes'!J33,))</f>
        <v>0</v>
      </c>
      <c r="K401" s="362">
        <f>IF($F$11='Tabla Parámetros'!$O$3,'Tabla Construcción Fijos'!K33,IF(Simulador!$F$11='Tabla Parámetros'!$O$4,'Tabla Construcción Crecientes'!K33,))</f>
        <v>0</v>
      </c>
      <c r="L401" s="362">
        <f>IF($F$11='Tabla Parámetros'!$O$3,'Tabla Construcción Fijos'!L33,IF(Simulador!$F$11='Tabla Parámetros'!$O$4,'Tabla Construcción Crecientes'!L33,))</f>
        <v>0</v>
      </c>
      <c r="M401" s="362">
        <f>IF($F$11='Tabla Parámetros'!$O$3,'Tabla Construcción Fijos'!M33,IF(Simulador!$F$11='Tabla Parámetros'!$O$4,'Tabla Construcción Crecientes'!M33,))</f>
        <v>0</v>
      </c>
      <c r="N401" s="391">
        <f>IF($F$11='Tabla Parámetros'!$O$3,'Tabla Construcción Fijos'!N33,IF(Simulador!$F$11='Tabla Parámetros'!$O$4,'Tabla Construcción Crecientes'!N33,))</f>
        <v>0</v>
      </c>
      <c r="O401" s="392"/>
      <c r="P401" s="392">
        <f>'Tabla Construcción Fijos'!P33</f>
        <v>0</v>
      </c>
      <c r="Q401" s="362">
        <f>IF($F$11='Tabla Parámetros'!$O$3,'Tabla Construcción Fijos'!Q33,IF(Simulador!$F$11='Tabla Parámetros'!$O$4,'Tabla Construcción Crecientes'!P33,))</f>
        <v>0</v>
      </c>
      <c r="R401" s="362">
        <f>IF($F$11='Tabla Parámetros'!$O$3,'Tabla Construcción Fijos'!R33,IF(Simulador!$F$11='Tabla Parámetros'!$O$4,'Tabla Construcción Crecientes'!Q33,))</f>
        <v>0</v>
      </c>
      <c r="S401" s="272">
        <f t="shared" si="15"/>
        <v>0</v>
      </c>
    </row>
    <row r="402" spans="2:19" ht="15.5" hidden="1" x14ac:dyDescent="0.35">
      <c r="B402" s="378">
        <f t="shared" si="16"/>
        <v>11</v>
      </c>
      <c r="C402" s="378">
        <f t="shared" si="17"/>
        <v>30.4</v>
      </c>
      <c r="D402" s="379">
        <f>IF($F$11='Tabla Parámetros'!$O$3,'Tabla Construcción Fijos'!D34,IF(Simulador!$F$11='Tabla Parámetros'!$O$4,'Tabla Construcción Crecientes'!D34,))</f>
        <v>0</v>
      </c>
      <c r="E402" s="390"/>
      <c r="F402" s="362">
        <f>IF($F$11='Tabla Parámetros'!$O$3,'Tabla Construcción Fijos'!F34,IF(Simulador!$F$11='Tabla Parámetros'!$O$4,'Tabla Construcción Crecientes'!F34,))</f>
        <v>0</v>
      </c>
      <c r="G402" s="362"/>
      <c r="H402" s="362">
        <f>IF($F$11='Tabla Parámetros'!$O$3,'Tabla Construcción Fijos'!H34,IF(Simulador!$F$11='Tabla Parámetros'!$O$4,'Tabla Construcción Crecientes'!H34,))</f>
        <v>0</v>
      </c>
      <c r="I402" s="362">
        <f>IF($F$11='Tabla Parámetros'!$O$3,'Tabla Construcción Fijos'!I34,IF(Simulador!$F$11='Tabla Parámetros'!$O$4,'Tabla Construcción Crecientes'!I34,))</f>
        <v>0</v>
      </c>
      <c r="J402" s="362">
        <f>IF($F$11='Tabla Parámetros'!$O$3,'Tabla Construcción Fijos'!J34,IF(Simulador!$F$11='Tabla Parámetros'!$O$4,'Tabla Construcción Crecientes'!J34,))</f>
        <v>0</v>
      </c>
      <c r="K402" s="362">
        <f>IF($F$11='Tabla Parámetros'!$O$3,'Tabla Construcción Fijos'!K34,IF(Simulador!$F$11='Tabla Parámetros'!$O$4,'Tabla Construcción Crecientes'!K34,))</f>
        <v>0</v>
      </c>
      <c r="L402" s="362">
        <f>IF($F$11='Tabla Parámetros'!$O$3,'Tabla Construcción Fijos'!L34,IF(Simulador!$F$11='Tabla Parámetros'!$O$4,'Tabla Construcción Crecientes'!L34,))</f>
        <v>0</v>
      </c>
      <c r="M402" s="362">
        <f>IF($F$11='Tabla Parámetros'!$O$3,'Tabla Construcción Fijos'!M34,IF(Simulador!$F$11='Tabla Parámetros'!$O$4,'Tabla Construcción Crecientes'!M34,))</f>
        <v>0</v>
      </c>
      <c r="N402" s="391">
        <f>IF($F$11='Tabla Parámetros'!$O$3,'Tabla Construcción Fijos'!N34,IF(Simulador!$F$11='Tabla Parámetros'!$O$4,'Tabla Construcción Crecientes'!N34,))</f>
        <v>0</v>
      </c>
      <c r="O402" s="392"/>
      <c r="P402" s="392">
        <f>'Tabla Construcción Fijos'!P34</f>
        <v>0</v>
      </c>
      <c r="Q402" s="362">
        <f>IF($F$11='Tabla Parámetros'!$O$3,'Tabla Construcción Fijos'!Q34,IF(Simulador!$F$11='Tabla Parámetros'!$O$4,'Tabla Construcción Crecientes'!P34,))</f>
        <v>0</v>
      </c>
      <c r="R402" s="362">
        <f>IF($F$11='Tabla Parámetros'!$O$3,'Tabla Construcción Fijos'!R34,IF(Simulador!$F$11='Tabla Parámetros'!$O$4,'Tabla Construcción Crecientes'!Q34,))</f>
        <v>0</v>
      </c>
      <c r="S402" s="272">
        <f t="shared" si="15"/>
        <v>0</v>
      </c>
    </row>
    <row r="403" spans="2:19" ht="15.5" hidden="1" x14ac:dyDescent="0.35">
      <c r="B403" s="378">
        <f t="shared" si="16"/>
        <v>12</v>
      </c>
      <c r="C403" s="378">
        <f t="shared" si="17"/>
        <v>30.4</v>
      </c>
      <c r="D403" s="379">
        <f>IF($F$11='Tabla Parámetros'!$O$3,'Tabla Construcción Fijos'!D35,IF(Simulador!$F$11='Tabla Parámetros'!$O$4,'Tabla Construcción Crecientes'!D35,))</f>
        <v>0</v>
      </c>
      <c r="E403" s="390"/>
      <c r="F403" s="362">
        <f>IF($F$11='Tabla Parámetros'!$O$3,'Tabla Construcción Fijos'!F35,IF(Simulador!$F$11='Tabla Parámetros'!$O$4,'Tabla Construcción Crecientes'!F35,))</f>
        <v>0</v>
      </c>
      <c r="G403" s="362"/>
      <c r="H403" s="362">
        <f>IF($F$11='Tabla Parámetros'!$O$3,'Tabla Construcción Fijos'!H35,IF(Simulador!$F$11='Tabla Parámetros'!$O$4,'Tabla Construcción Crecientes'!H35,))</f>
        <v>0</v>
      </c>
      <c r="I403" s="362">
        <f>IF($F$11='Tabla Parámetros'!$O$3,'Tabla Construcción Fijos'!I35,IF(Simulador!$F$11='Tabla Parámetros'!$O$4,'Tabla Construcción Crecientes'!I35,))</f>
        <v>0</v>
      </c>
      <c r="J403" s="362">
        <f>IF($F$11='Tabla Parámetros'!$O$3,'Tabla Construcción Fijos'!J35,IF(Simulador!$F$11='Tabla Parámetros'!$O$4,'Tabla Construcción Crecientes'!J35,))</f>
        <v>0</v>
      </c>
      <c r="K403" s="362">
        <f>IF($F$11='Tabla Parámetros'!$O$3,'Tabla Construcción Fijos'!K35,IF(Simulador!$F$11='Tabla Parámetros'!$O$4,'Tabla Construcción Crecientes'!K35,))</f>
        <v>0</v>
      </c>
      <c r="L403" s="362">
        <f>IF($F$11='Tabla Parámetros'!$O$3,'Tabla Construcción Fijos'!L35,IF(Simulador!$F$11='Tabla Parámetros'!$O$4,'Tabla Construcción Crecientes'!L35,))</f>
        <v>0</v>
      </c>
      <c r="M403" s="362">
        <f>IF($F$11='Tabla Parámetros'!$O$3,'Tabla Construcción Fijos'!M35,IF(Simulador!$F$11='Tabla Parámetros'!$O$4,'Tabla Construcción Crecientes'!M35,))</f>
        <v>0</v>
      </c>
      <c r="N403" s="391">
        <f>IF($F$11='Tabla Parámetros'!$O$3,'Tabla Construcción Fijos'!N35,IF(Simulador!$F$11='Tabla Parámetros'!$O$4,'Tabla Construcción Crecientes'!N35,))</f>
        <v>0</v>
      </c>
      <c r="O403" s="392"/>
      <c r="P403" s="392">
        <f>'Tabla Construcción Fijos'!P35</f>
        <v>0</v>
      </c>
      <c r="Q403" s="362">
        <f>IF($F$11='Tabla Parámetros'!$O$3,'Tabla Construcción Fijos'!Q35,IF(Simulador!$F$11='Tabla Parámetros'!$O$4,'Tabla Construcción Crecientes'!P35,))</f>
        <v>0</v>
      </c>
      <c r="R403" s="362">
        <f>IF($F$11='Tabla Parámetros'!$O$3,'Tabla Construcción Fijos'!R35,IF(Simulador!$F$11='Tabla Parámetros'!$O$4,'Tabla Construcción Crecientes'!Q35,))</f>
        <v>0</v>
      </c>
      <c r="S403" s="272">
        <f t="shared" si="15"/>
        <v>0</v>
      </c>
    </row>
    <row r="404" spans="2:19" ht="15.5" hidden="1" x14ac:dyDescent="0.35">
      <c r="B404" s="378">
        <f t="shared" si="16"/>
        <v>13</v>
      </c>
      <c r="C404" s="378">
        <f t="shared" si="17"/>
        <v>30.4</v>
      </c>
      <c r="D404" s="379">
        <f>IF($F$11='Tabla Parámetros'!$O$3,'Tabla Construcción Fijos'!D36,IF(Simulador!$F$11='Tabla Parámetros'!$O$4,'Tabla Construcción Crecientes'!D36,))</f>
        <v>0</v>
      </c>
      <c r="E404" s="390"/>
      <c r="F404" s="362">
        <f>IF($F$11='Tabla Parámetros'!$O$3,'Tabla Construcción Fijos'!F36,IF(Simulador!$F$11='Tabla Parámetros'!$O$4,'Tabla Construcción Crecientes'!F36,))</f>
        <v>0</v>
      </c>
      <c r="G404" s="362"/>
      <c r="H404" s="362">
        <f>IF($F$11='Tabla Parámetros'!$O$3,'Tabla Construcción Fijos'!H36,IF(Simulador!$F$11='Tabla Parámetros'!$O$4,'Tabla Construcción Crecientes'!H36,))</f>
        <v>0</v>
      </c>
      <c r="I404" s="362">
        <f>IF($F$11='Tabla Parámetros'!$O$3,'Tabla Construcción Fijos'!I36,IF(Simulador!$F$11='Tabla Parámetros'!$O$4,'Tabla Construcción Crecientes'!I36,))</f>
        <v>0</v>
      </c>
      <c r="J404" s="362">
        <f>IF($F$11='Tabla Parámetros'!$O$3,'Tabla Construcción Fijos'!J36,IF(Simulador!$F$11='Tabla Parámetros'!$O$4,'Tabla Construcción Crecientes'!J36,))</f>
        <v>0</v>
      </c>
      <c r="K404" s="362">
        <f>IF($F$11='Tabla Parámetros'!$O$3,'Tabla Construcción Fijos'!K36,IF(Simulador!$F$11='Tabla Parámetros'!$O$4,'Tabla Construcción Crecientes'!K36,))</f>
        <v>0</v>
      </c>
      <c r="L404" s="362">
        <f>IF($F$11='Tabla Parámetros'!$O$3,'Tabla Construcción Fijos'!L36,IF(Simulador!$F$11='Tabla Parámetros'!$O$4,'Tabla Construcción Crecientes'!L36,))</f>
        <v>0</v>
      </c>
      <c r="M404" s="362">
        <f>IF($F$11='Tabla Parámetros'!$O$3,'Tabla Construcción Fijos'!M36,IF(Simulador!$F$11='Tabla Parámetros'!$O$4,'Tabla Construcción Crecientes'!M36,))</f>
        <v>0</v>
      </c>
      <c r="N404" s="391">
        <f>IF($F$11='Tabla Parámetros'!$O$3,'Tabla Construcción Fijos'!N36,IF(Simulador!$F$11='Tabla Parámetros'!$O$4,'Tabla Construcción Crecientes'!N36,))</f>
        <v>0</v>
      </c>
      <c r="O404" s="392"/>
      <c r="P404" s="392">
        <f>'Tabla Construcción Fijos'!P36</f>
        <v>0</v>
      </c>
      <c r="Q404" s="362">
        <f>IF($F$11='Tabla Parámetros'!$O$3,'Tabla Construcción Fijos'!Q36,IF(Simulador!$F$11='Tabla Parámetros'!$O$4,'Tabla Construcción Crecientes'!P36,))</f>
        <v>0</v>
      </c>
      <c r="R404" s="362">
        <f>IF($F$11='Tabla Parámetros'!$O$3,'Tabla Construcción Fijos'!R36,IF(Simulador!$F$11='Tabla Parámetros'!$O$4,'Tabla Construcción Crecientes'!Q36,))</f>
        <v>0</v>
      </c>
      <c r="S404" s="272">
        <f t="shared" si="15"/>
        <v>0</v>
      </c>
    </row>
    <row r="405" spans="2:19" ht="15.5" hidden="1" x14ac:dyDescent="0.35">
      <c r="B405" s="378">
        <f t="shared" si="16"/>
        <v>14</v>
      </c>
      <c r="C405" s="378">
        <f t="shared" si="17"/>
        <v>30.4</v>
      </c>
      <c r="D405" s="379">
        <f>IF($F$11='Tabla Parámetros'!$O$3,'Tabla Construcción Fijos'!D37,IF(Simulador!$F$11='Tabla Parámetros'!$O$4,'Tabla Construcción Crecientes'!D37,))</f>
        <v>0</v>
      </c>
      <c r="E405" s="390"/>
      <c r="F405" s="362">
        <f>IF($F$11='Tabla Parámetros'!$O$3,'Tabla Construcción Fijos'!F37,IF(Simulador!$F$11='Tabla Parámetros'!$O$4,'Tabla Construcción Crecientes'!F37,))</f>
        <v>0</v>
      </c>
      <c r="G405" s="362"/>
      <c r="H405" s="362">
        <f>IF($F$11='Tabla Parámetros'!$O$3,'Tabla Construcción Fijos'!H37,IF(Simulador!$F$11='Tabla Parámetros'!$O$4,'Tabla Construcción Crecientes'!H37,))</f>
        <v>0</v>
      </c>
      <c r="I405" s="362">
        <f>IF($F$11='Tabla Parámetros'!$O$3,'Tabla Construcción Fijos'!I37,IF(Simulador!$F$11='Tabla Parámetros'!$O$4,'Tabla Construcción Crecientes'!I37,))</f>
        <v>0</v>
      </c>
      <c r="J405" s="362">
        <f>IF($F$11='Tabla Parámetros'!$O$3,'Tabla Construcción Fijos'!J37,IF(Simulador!$F$11='Tabla Parámetros'!$O$4,'Tabla Construcción Crecientes'!J37,))</f>
        <v>0</v>
      </c>
      <c r="K405" s="362">
        <f>IF($F$11='Tabla Parámetros'!$O$3,'Tabla Construcción Fijos'!K37,IF(Simulador!$F$11='Tabla Parámetros'!$O$4,'Tabla Construcción Crecientes'!K37,))</f>
        <v>0</v>
      </c>
      <c r="L405" s="362">
        <f>IF($F$11='Tabla Parámetros'!$O$3,'Tabla Construcción Fijos'!L37,IF(Simulador!$F$11='Tabla Parámetros'!$O$4,'Tabla Construcción Crecientes'!L37,))</f>
        <v>0</v>
      </c>
      <c r="M405" s="362">
        <f>IF($F$11='Tabla Parámetros'!$O$3,'Tabla Construcción Fijos'!M37,IF(Simulador!$F$11='Tabla Parámetros'!$O$4,'Tabla Construcción Crecientes'!M37,))</f>
        <v>0</v>
      </c>
      <c r="N405" s="391">
        <f>IF($F$11='Tabla Parámetros'!$O$3,'Tabla Construcción Fijos'!N37,IF(Simulador!$F$11='Tabla Parámetros'!$O$4,'Tabla Construcción Crecientes'!N37,))</f>
        <v>0</v>
      </c>
      <c r="O405" s="392"/>
      <c r="P405" s="392">
        <f>'Tabla Construcción Fijos'!P37</f>
        <v>0</v>
      </c>
      <c r="Q405" s="362">
        <f>IF($F$11='Tabla Parámetros'!$O$3,'Tabla Construcción Fijos'!Q37,IF(Simulador!$F$11='Tabla Parámetros'!$O$4,'Tabla Construcción Crecientes'!P37,))</f>
        <v>0</v>
      </c>
      <c r="R405" s="362">
        <f>IF($F$11='Tabla Parámetros'!$O$3,'Tabla Construcción Fijos'!R37,IF(Simulador!$F$11='Tabla Parámetros'!$O$4,'Tabla Construcción Crecientes'!Q37,))</f>
        <v>0</v>
      </c>
      <c r="S405" s="272">
        <f t="shared" si="15"/>
        <v>0</v>
      </c>
    </row>
    <row r="406" spans="2:19" ht="15.5" hidden="1" x14ac:dyDescent="0.35">
      <c r="B406" s="378">
        <f t="shared" si="16"/>
        <v>15</v>
      </c>
      <c r="C406" s="378">
        <f t="shared" si="17"/>
        <v>30.4</v>
      </c>
      <c r="D406" s="379">
        <f>IF($F$11='Tabla Parámetros'!$O$3,'Tabla Construcción Fijos'!D38,IF(Simulador!$F$11='Tabla Parámetros'!$O$4,'Tabla Construcción Crecientes'!D38,))</f>
        <v>0</v>
      </c>
      <c r="E406" s="390"/>
      <c r="F406" s="362">
        <f>IF($F$11='Tabla Parámetros'!$O$3,'Tabla Construcción Fijos'!F38,IF(Simulador!$F$11='Tabla Parámetros'!$O$4,'Tabla Construcción Crecientes'!F38,))</f>
        <v>0</v>
      </c>
      <c r="G406" s="362"/>
      <c r="H406" s="362">
        <f>IF($F$11='Tabla Parámetros'!$O$3,'Tabla Construcción Fijos'!H38,IF(Simulador!$F$11='Tabla Parámetros'!$O$4,'Tabla Construcción Crecientes'!H38,))</f>
        <v>0</v>
      </c>
      <c r="I406" s="362">
        <f>IF($F$11='Tabla Parámetros'!$O$3,'Tabla Construcción Fijos'!I38,IF(Simulador!$F$11='Tabla Parámetros'!$O$4,'Tabla Construcción Crecientes'!I38,))</f>
        <v>0</v>
      </c>
      <c r="J406" s="362">
        <f>IF($F$11='Tabla Parámetros'!$O$3,'Tabla Construcción Fijos'!J38,IF(Simulador!$F$11='Tabla Parámetros'!$O$4,'Tabla Construcción Crecientes'!J38,))</f>
        <v>0</v>
      </c>
      <c r="K406" s="362">
        <f>IF($F$11='Tabla Parámetros'!$O$3,'Tabla Construcción Fijos'!K38,IF(Simulador!$F$11='Tabla Parámetros'!$O$4,'Tabla Construcción Crecientes'!K38,))</f>
        <v>0</v>
      </c>
      <c r="L406" s="362">
        <f>IF($F$11='Tabla Parámetros'!$O$3,'Tabla Construcción Fijos'!L38,IF(Simulador!$F$11='Tabla Parámetros'!$O$4,'Tabla Construcción Crecientes'!L38,))</f>
        <v>0</v>
      </c>
      <c r="M406" s="362">
        <f>IF($F$11='Tabla Parámetros'!$O$3,'Tabla Construcción Fijos'!M38,IF(Simulador!$F$11='Tabla Parámetros'!$O$4,'Tabla Construcción Crecientes'!M38,))</f>
        <v>0</v>
      </c>
      <c r="N406" s="391">
        <f>IF($F$11='Tabla Parámetros'!$O$3,'Tabla Construcción Fijos'!N38,IF(Simulador!$F$11='Tabla Parámetros'!$O$4,'Tabla Construcción Crecientes'!N38,))</f>
        <v>0</v>
      </c>
      <c r="O406" s="392"/>
      <c r="P406" s="392">
        <f>'Tabla Construcción Fijos'!P38</f>
        <v>0</v>
      </c>
      <c r="Q406" s="362">
        <f>IF($F$11='Tabla Parámetros'!$O$3,'Tabla Construcción Fijos'!Q38,IF(Simulador!$F$11='Tabla Parámetros'!$O$4,'Tabla Construcción Crecientes'!P38,))</f>
        <v>0</v>
      </c>
      <c r="R406" s="362">
        <f>IF($F$11='Tabla Parámetros'!$O$3,'Tabla Construcción Fijos'!R38,IF(Simulador!$F$11='Tabla Parámetros'!$O$4,'Tabla Construcción Crecientes'!Q38,))</f>
        <v>0</v>
      </c>
      <c r="S406" s="272">
        <f t="shared" si="15"/>
        <v>0</v>
      </c>
    </row>
    <row r="407" spans="2:19" ht="15.5" hidden="1" x14ac:dyDescent="0.35">
      <c r="B407" s="378">
        <f t="shared" si="16"/>
        <v>16</v>
      </c>
      <c r="C407" s="378">
        <f t="shared" si="17"/>
        <v>30.4</v>
      </c>
      <c r="D407" s="379">
        <f>IF($F$11='Tabla Parámetros'!$O$3,'Tabla Construcción Fijos'!D39,IF(Simulador!$F$11='Tabla Parámetros'!$O$4,'Tabla Construcción Crecientes'!D39,))</f>
        <v>0</v>
      </c>
      <c r="E407" s="390"/>
      <c r="F407" s="362">
        <f>IF($F$11='Tabla Parámetros'!$O$3,'Tabla Construcción Fijos'!F39,IF(Simulador!$F$11='Tabla Parámetros'!$O$4,'Tabla Construcción Crecientes'!F39,))</f>
        <v>0</v>
      </c>
      <c r="G407" s="362"/>
      <c r="H407" s="362">
        <f>IF($F$11='Tabla Parámetros'!$O$3,'Tabla Construcción Fijos'!H39,IF(Simulador!$F$11='Tabla Parámetros'!$O$4,'Tabla Construcción Crecientes'!H39,))</f>
        <v>0</v>
      </c>
      <c r="I407" s="362">
        <f>IF($F$11='Tabla Parámetros'!$O$3,'Tabla Construcción Fijos'!I39,IF(Simulador!$F$11='Tabla Parámetros'!$O$4,'Tabla Construcción Crecientes'!I39,))</f>
        <v>0</v>
      </c>
      <c r="J407" s="362">
        <f>IF($F$11='Tabla Parámetros'!$O$3,'Tabla Construcción Fijos'!J39,IF(Simulador!$F$11='Tabla Parámetros'!$O$4,'Tabla Construcción Crecientes'!J39,))</f>
        <v>0</v>
      </c>
      <c r="K407" s="362">
        <f>IF($F$11='Tabla Parámetros'!$O$3,'Tabla Construcción Fijos'!K39,IF(Simulador!$F$11='Tabla Parámetros'!$O$4,'Tabla Construcción Crecientes'!K39,))</f>
        <v>0</v>
      </c>
      <c r="L407" s="362">
        <f>IF($F$11='Tabla Parámetros'!$O$3,'Tabla Construcción Fijos'!L39,IF(Simulador!$F$11='Tabla Parámetros'!$O$4,'Tabla Construcción Crecientes'!L39,))</f>
        <v>0</v>
      </c>
      <c r="M407" s="362">
        <f>IF($F$11='Tabla Parámetros'!$O$3,'Tabla Construcción Fijos'!M39,IF(Simulador!$F$11='Tabla Parámetros'!$O$4,'Tabla Construcción Crecientes'!M39,))</f>
        <v>0</v>
      </c>
      <c r="N407" s="391">
        <f>IF($F$11='Tabla Parámetros'!$O$3,'Tabla Construcción Fijos'!N39,IF(Simulador!$F$11='Tabla Parámetros'!$O$4,'Tabla Construcción Crecientes'!N39,))</f>
        <v>0</v>
      </c>
      <c r="O407" s="392"/>
      <c r="P407" s="392">
        <f>'Tabla Construcción Fijos'!P39</f>
        <v>0</v>
      </c>
      <c r="Q407" s="362">
        <f>IF($F$11='Tabla Parámetros'!$O$3,'Tabla Construcción Fijos'!Q39,IF(Simulador!$F$11='Tabla Parámetros'!$O$4,'Tabla Construcción Crecientes'!P39,))</f>
        <v>0</v>
      </c>
      <c r="R407" s="362">
        <f>IF($F$11='Tabla Parámetros'!$O$3,'Tabla Construcción Fijos'!R39,IF(Simulador!$F$11='Tabla Parámetros'!$O$4,'Tabla Construcción Crecientes'!Q39,))</f>
        <v>0</v>
      </c>
      <c r="S407" s="272">
        <f t="shared" si="15"/>
        <v>0</v>
      </c>
    </row>
    <row r="408" spans="2:19" ht="15.5" hidden="1" x14ac:dyDescent="0.35">
      <c r="B408" s="378">
        <f t="shared" si="16"/>
        <v>17</v>
      </c>
      <c r="C408" s="378">
        <f t="shared" si="17"/>
        <v>30.4</v>
      </c>
      <c r="D408" s="379">
        <f>IF($F$11='Tabla Parámetros'!$O$3,'Tabla Construcción Fijos'!D40,IF(Simulador!$F$11='Tabla Parámetros'!$O$4,'Tabla Construcción Crecientes'!D40,))</f>
        <v>0</v>
      </c>
      <c r="E408" s="390"/>
      <c r="F408" s="362">
        <f>IF($F$11='Tabla Parámetros'!$O$3,'Tabla Construcción Fijos'!F40,IF(Simulador!$F$11='Tabla Parámetros'!$O$4,'Tabla Construcción Crecientes'!F40,))</f>
        <v>0</v>
      </c>
      <c r="G408" s="362"/>
      <c r="H408" s="362">
        <f>IF($F$11='Tabla Parámetros'!$O$3,'Tabla Construcción Fijos'!H40,IF(Simulador!$F$11='Tabla Parámetros'!$O$4,'Tabla Construcción Crecientes'!H40,))</f>
        <v>0</v>
      </c>
      <c r="I408" s="362">
        <f>IF($F$11='Tabla Parámetros'!$O$3,'Tabla Construcción Fijos'!I40,IF(Simulador!$F$11='Tabla Parámetros'!$O$4,'Tabla Construcción Crecientes'!I40,))</f>
        <v>0</v>
      </c>
      <c r="J408" s="362">
        <f>IF($F$11='Tabla Parámetros'!$O$3,'Tabla Construcción Fijos'!J40,IF(Simulador!$F$11='Tabla Parámetros'!$O$4,'Tabla Construcción Crecientes'!J40,))</f>
        <v>0</v>
      </c>
      <c r="K408" s="362">
        <f>IF($F$11='Tabla Parámetros'!$O$3,'Tabla Construcción Fijos'!K40,IF(Simulador!$F$11='Tabla Parámetros'!$O$4,'Tabla Construcción Crecientes'!K40,))</f>
        <v>0</v>
      </c>
      <c r="L408" s="362">
        <f>IF($F$11='Tabla Parámetros'!$O$3,'Tabla Construcción Fijos'!L40,IF(Simulador!$F$11='Tabla Parámetros'!$O$4,'Tabla Construcción Crecientes'!L40,))</f>
        <v>0</v>
      </c>
      <c r="M408" s="362">
        <f>IF($F$11='Tabla Parámetros'!$O$3,'Tabla Construcción Fijos'!M40,IF(Simulador!$F$11='Tabla Parámetros'!$O$4,'Tabla Construcción Crecientes'!M40,))</f>
        <v>0</v>
      </c>
      <c r="N408" s="391">
        <f>IF($F$11='Tabla Parámetros'!$O$3,'Tabla Construcción Fijos'!N40,IF(Simulador!$F$11='Tabla Parámetros'!$O$4,'Tabla Construcción Crecientes'!N40,))</f>
        <v>0</v>
      </c>
      <c r="O408" s="392"/>
      <c r="P408" s="392">
        <f>'Tabla Construcción Fijos'!P40</f>
        <v>0</v>
      </c>
      <c r="Q408" s="362">
        <f>IF($F$11='Tabla Parámetros'!$O$3,'Tabla Construcción Fijos'!Q40,IF(Simulador!$F$11='Tabla Parámetros'!$O$4,'Tabla Construcción Crecientes'!P40,))</f>
        <v>0</v>
      </c>
      <c r="R408" s="362">
        <f>IF($F$11='Tabla Parámetros'!$O$3,'Tabla Construcción Fijos'!R40,IF(Simulador!$F$11='Tabla Parámetros'!$O$4,'Tabla Construcción Crecientes'!Q40,))</f>
        <v>0</v>
      </c>
      <c r="S408" s="272">
        <f t="shared" si="15"/>
        <v>0</v>
      </c>
    </row>
    <row r="409" spans="2:19" ht="15.5" hidden="1" x14ac:dyDescent="0.35">
      <c r="B409" s="378">
        <f t="shared" si="16"/>
        <v>18</v>
      </c>
      <c r="C409" s="378">
        <f t="shared" si="17"/>
        <v>30.4</v>
      </c>
      <c r="D409" s="379">
        <f>IF($F$11='Tabla Parámetros'!$O$3,'Tabla Construcción Fijos'!D41,IF(Simulador!$F$11='Tabla Parámetros'!$O$4,'Tabla Construcción Crecientes'!D41,))</f>
        <v>0</v>
      </c>
      <c r="E409" s="390"/>
      <c r="F409" s="362">
        <f>IF($F$11='Tabla Parámetros'!$O$3,'Tabla Construcción Fijos'!F41,IF(Simulador!$F$11='Tabla Parámetros'!$O$4,'Tabla Construcción Crecientes'!F41,))</f>
        <v>0</v>
      </c>
      <c r="G409" s="362"/>
      <c r="H409" s="362">
        <f>IF($F$11='Tabla Parámetros'!$O$3,'Tabla Construcción Fijos'!H41,IF(Simulador!$F$11='Tabla Parámetros'!$O$4,'Tabla Construcción Crecientes'!H41,))</f>
        <v>0</v>
      </c>
      <c r="I409" s="362">
        <f>IF($F$11='Tabla Parámetros'!$O$3,'Tabla Construcción Fijos'!I41,IF(Simulador!$F$11='Tabla Parámetros'!$O$4,'Tabla Construcción Crecientes'!I41,))</f>
        <v>0</v>
      </c>
      <c r="J409" s="362">
        <f>IF($F$11='Tabla Parámetros'!$O$3,'Tabla Construcción Fijos'!J41,IF(Simulador!$F$11='Tabla Parámetros'!$O$4,'Tabla Construcción Crecientes'!J41,))</f>
        <v>0</v>
      </c>
      <c r="K409" s="362">
        <f>IF($F$11='Tabla Parámetros'!$O$3,'Tabla Construcción Fijos'!K41,IF(Simulador!$F$11='Tabla Parámetros'!$O$4,'Tabla Construcción Crecientes'!K41,))</f>
        <v>0</v>
      </c>
      <c r="L409" s="362">
        <f>IF($F$11='Tabla Parámetros'!$O$3,'Tabla Construcción Fijos'!L41,IF(Simulador!$F$11='Tabla Parámetros'!$O$4,'Tabla Construcción Crecientes'!L41,))</f>
        <v>0</v>
      </c>
      <c r="M409" s="362">
        <f>IF($F$11='Tabla Parámetros'!$O$3,'Tabla Construcción Fijos'!M41,IF(Simulador!$F$11='Tabla Parámetros'!$O$4,'Tabla Construcción Crecientes'!M41,))</f>
        <v>0</v>
      </c>
      <c r="N409" s="391">
        <f>IF($F$11='Tabla Parámetros'!$O$3,'Tabla Construcción Fijos'!N41,IF(Simulador!$F$11='Tabla Parámetros'!$O$4,'Tabla Construcción Crecientes'!N41,))</f>
        <v>0</v>
      </c>
      <c r="O409" s="392"/>
      <c r="P409" s="392">
        <f>'Tabla Construcción Fijos'!P41</f>
        <v>0</v>
      </c>
      <c r="Q409" s="362">
        <f>IF($F$11='Tabla Parámetros'!$O$3,'Tabla Construcción Fijos'!Q41,IF(Simulador!$F$11='Tabla Parámetros'!$O$4,'Tabla Construcción Crecientes'!P41,))</f>
        <v>0</v>
      </c>
      <c r="R409" s="362">
        <f>IF($F$11='Tabla Parámetros'!$O$3,'Tabla Construcción Fijos'!R41,IF(Simulador!$F$11='Tabla Parámetros'!$O$4,'Tabla Construcción Crecientes'!Q41,))</f>
        <v>0</v>
      </c>
      <c r="S409" s="272">
        <f t="shared" si="15"/>
        <v>0</v>
      </c>
    </row>
    <row r="410" spans="2:19" ht="15.5" hidden="1" x14ac:dyDescent="0.35">
      <c r="B410" s="378">
        <f t="shared" si="16"/>
        <v>19</v>
      </c>
      <c r="C410" s="378">
        <f t="shared" si="17"/>
        <v>30.4</v>
      </c>
      <c r="D410" s="379">
        <f>IF($F$11='Tabla Parámetros'!$O$3,'Tabla Construcción Fijos'!D42,IF(Simulador!$F$11='Tabla Parámetros'!$O$4,'Tabla Construcción Crecientes'!D42,))</f>
        <v>0</v>
      </c>
      <c r="E410" s="390"/>
      <c r="F410" s="362">
        <f>IF($F$11='Tabla Parámetros'!$O$3,'Tabla Construcción Fijos'!F42,IF(Simulador!$F$11='Tabla Parámetros'!$O$4,'Tabla Construcción Crecientes'!F42,))</f>
        <v>0</v>
      </c>
      <c r="G410" s="362"/>
      <c r="H410" s="362">
        <f>IF($F$11='Tabla Parámetros'!$O$3,'Tabla Construcción Fijos'!H42,IF(Simulador!$F$11='Tabla Parámetros'!$O$4,'Tabla Construcción Crecientes'!H42,))</f>
        <v>0</v>
      </c>
      <c r="I410" s="362">
        <f>IF($F$11='Tabla Parámetros'!$O$3,'Tabla Construcción Fijos'!I42,IF(Simulador!$F$11='Tabla Parámetros'!$O$4,'Tabla Construcción Crecientes'!I42,))</f>
        <v>0</v>
      </c>
      <c r="J410" s="362">
        <f>IF($F$11='Tabla Parámetros'!$O$3,'Tabla Construcción Fijos'!J42,IF(Simulador!$F$11='Tabla Parámetros'!$O$4,'Tabla Construcción Crecientes'!J42,))</f>
        <v>0</v>
      </c>
      <c r="K410" s="362">
        <f>IF($F$11='Tabla Parámetros'!$O$3,'Tabla Construcción Fijos'!K42,IF(Simulador!$F$11='Tabla Parámetros'!$O$4,'Tabla Construcción Crecientes'!K42,))</f>
        <v>0</v>
      </c>
      <c r="L410" s="362">
        <f>IF($F$11='Tabla Parámetros'!$O$3,'Tabla Construcción Fijos'!L42,IF(Simulador!$F$11='Tabla Parámetros'!$O$4,'Tabla Construcción Crecientes'!L42,))</f>
        <v>0</v>
      </c>
      <c r="M410" s="362">
        <f>IF($F$11='Tabla Parámetros'!$O$3,'Tabla Construcción Fijos'!M42,IF(Simulador!$F$11='Tabla Parámetros'!$O$4,'Tabla Construcción Crecientes'!M42,))</f>
        <v>0</v>
      </c>
      <c r="N410" s="391">
        <f>IF($F$11='Tabla Parámetros'!$O$3,'Tabla Construcción Fijos'!N42,IF(Simulador!$F$11='Tabla Parámetros'!$O$4,'Tabla Construcción Crecientes'!N42,))</f>
        <v>0</v>
      </c>
      <c r="O410" s="392"/>
      <c r="P410" s="392">
        <f>'Tabla Construcción Fijos'!P42</f>
        <v>0</v>
      </c>
      <c r="Q410" s="362">
        <f>IF($F$11='Tabla Parámetros'!$O$3,'Tabla Construcción Fijos'!Q42,IF(Simulador!$F$11='Tabla Parámetros'!$O$4,'Tabla Construcción Crecientes'!P42,))</f>
        <v>0</v>
      </c>
      <c r="R410" s="362">
        <f>IF($F$11='Tabla Parámetros'!$O$3,'Tabla Construcción Fijos'!R42,IF(Simulador!$F$11='Tabla Parámetros'!$O$4,'Tabla Construcción Crecientes'!Q42,))</f>
        <v>0</v>
      </c>
      <c r="S410" s="272">
        <f t="shared" si="15"/>
        <v>0</v>
      </c>
    </row>
    <row r="411" spans="2:19" ht="15.5" hidden="1" x14ac:dyDescent="0.35">
      <c r="B411" s="378">
        <f t="shared" si="16"/>
        <v>20</v>
      </c>
      <c r="C411" s="378">
        <f t="shared" si="17"/>
        <v>30.4</v>
      </c>
      <c r="D411" s="379">
        <f>IF($F$11='Tabla Parámetros'!$O$3,'Tabla Construcción Fijos'!D43,IF(Simulador!$F$11='Tabla Parámetros'!$O$4,'Tabla Construcción Crecientes'!D43,))</f>
        <v>0</v>
      </c>
      <c r="E411" s="390"/>
      <c r="F411" s="362">
        <f>IF($F$11='Tabla Parámetros'!$O$3,'Tabla Construcción Fijos'!F43,IF(Simulador!$F$11='Tabla Parámetros'!$O$4,'Tabla Construcción Crecientes'!F43,))</f>
        <v>0</v>
      </c>
      <c r="G411" s="362"/>
      <c r="H411" s="362">
        <f>IF($F$11='Tabla Parámetros'!$O$3,'Tabla Construcción Fijos'!H43,IF(Simulador!$F$11='Tabla Parámetros'!$O$4,'Tabla Construcción Crecientes'!H43,))</f>
        <v>0</v>
      </c>
      <c r="I411" s="362">
        <f>IF($F$11='Tabla Parámetros'!$O$3,'Tabla Construcción Fijos'!I43,IF(Simulador!$F$11='Tabla Parámetros'!$O$4,'Tabla Construcción Crecientes'!I43,))</f>
        <v>0</v>
      </c>
      <c r="J411" s="362">
        <f>IF($F$11='Tabla Parámetros'!$O$3,'Tabla Construcción Fijos'!J43,IF(Simulador!$F$11='Tabla Parámetros'!$O$4,'Tabla Construcción Crecientes'!J43,))</f>
        <v>0</v>
      </c>
      <c r="K411" s="362">
        <f>IF($F$11='Tabla Parámetros'!$O$3,'Tabla Construcción Fijos'!K43,IF(Simulador!$F$11='Tabla Parámetros'!$O$4,'Tabla Construcción Crecientes'!K43,))</f>
        <v>0</v>
      </c>
      <c r="L411" s="362">
        <f>IF($F$11='Tabla Parámetros'!$O$3,'Tabla Construcción Fijos'!L43,IF(Simulador!$F$11='Tabla Parámetros'!$O$4,'Tabla Construcción Crecientes'!L43,))</f>
        <v>0</v>
      </c>
      <c r="M411" s="362">
        <f>IF($F$11='Tabla Parámetros'!$O$3,'Tabla Construcción Fijos'!M43,IF(Simulador!$F$11='Tabla Parámetros'!$O$4,'Tabla Construcción Crecientes'!M43,))</f>
        <v>0</v>
      </c>
      <c r="N411" s="391">
        <f>IF($F$11='Tabla Parámetros'!$O$3,'Tabla Construcción Fijos'!N43,IF(Simulador!$F$11='Tabla Parámetros'!$O$4,'Tabla Construcción Crecientes'!N43,))</f>
        <v>0</v>
      </c>
      <c r="O411" s="392"/>
      <c r="P411" s="392">
        <f>'Tabla Construcción Fijos'!P43</f>
        <v>0</v>
      </c>
      <c r="Q411" s="362">
        <f>IF($F$11='Tabla Parámetros'!$O$3,'Tabla Construcción Fijos'!Q43,IF(Simulador!$F$11='Tabla Parámetros'!$O$4,'Tabla Construcción Crecientes'!P43,))</f>
        <v>0</v>
      </c>
      <c r="R411" s="362">
        <f>IF($F$11='Tabla Parámetros'!$O$3,'Tabla Construcción Fijos'!R43,IF(Simulador!$F$11='Tabla Parámetros'!$O$4,'Tabla Construcción Crecientes'!Q43,))</f>
        <v>0</v>
      </c>
      <c r="S411" s="272">
        <f t="shared" si="15"/>
        <v>0</v>
      </c>
    </row>
    <row r="412" spans="2:19" ht="15.5" hidden="1" x14ac:dyDescent="0.35">
      <c r="B412" s="378">
        <f t="shared" si="16"/>
        <v>21</v>
      </c>
      <c r="C412" s="378">
        <f t="shared" si="17"/>
        <v>30.4</v>
      </c>
      <c r="D412" s="379">
        <f>IF($F$11='Tabla Parámetros'!$O$3,'Tabla Construcción Fijos'!D44,IF(Simulador!$F$11='Tabla Parámetros'!$O$4,'Tabla Construcción Crecientes'!D44,))</f>
        <v>0</v>
      </c>
      <c r="E412" s="390"/>
      <c r="F412" s="362">
        <f>IF($F$11='Tabla Parámetros'!$O$3,'Tabla Construcción Fijos'!F44,IF(Simulador!$F$11='Tabla Parámetros'!$O$4,'Tabla Construcción Crecientes'!F44,))</f>
        <v>0</v>
      </c>
      <c r="G412" s="362"/>
      <c r="H412" s="362">
        <f>IF($F$11='Tabla Parámetros'!$O$3,'Tabla Construcción Fijos'!H44,IF(Simulador!$F$11='Tabla Parámetros'!$O$4,'Tabla Construcción Crecientes'!H44,))</f>
        <v>0</v>
      </c>
      <c r="I412" s="362">
        <f>IF($F$11='Tabla Parámetros'!$O$3,'Tabla Construcción Fijos'!I44,IF(Simulador!$F$11='Tabla Parámetros'!$O$4,'Tabla Construcción Crecientes'!I44,))</f>
        <v>0</v>
      </c>
      <c r="J412" s="362">
        <f>IF($F$11='Tabla Parámetros'!$O$3,'Tabla Construcción Fijos'!J44,IF(Simulador!$F$11='Tabla Parámetros'!$O$4,'Tabla Construcción Crecientes'!J44,))</f>
        <v>0</v>
      </c>
      <c r="K412" s="362">
        <f>IF($F$11='Tabla Parámetros'!$O$3,'Tabla Construcción Fijos'!K44,IF(Simulador!$F$11='Tabla Parámetros'!$O$4,'Tabla Construcción Crecientes'!K44,))</f>
        <v>0</v>
      </c>
      <c r="L412" s="362">
        <f>IF($F$11='Tabla Parámetros'!$O$3,'Tabla Construcción Fijos'!L44,IF(Simulador!$F$11='Tabla Parámetros'!$O$4,'Tabla Construcción Crecientes'!L44,))</f>
        <v>0</v>
      </c>
      <c r="M412" s="362">
        <f>IF($F$11='Tabla Parámetros'!$O$3,'Tabla Construcción Fijos'!M44,IF(Simulador!$F$11='Tabla Parámetros'!$O$4,'Tabla Construcción Crecientes'!M44,))</f>
        <v>0</v>
      </c>
      <c r="N412" s="391">
        <f>IF($F$11='Tabla Parámetros'!$O$3,'Tabla Construcción Fijos'!N44,IF(Simulador!$F$11='Tabla Parámetros'!$O$4,'Tabla Construcción Crecientes'!N44,))</f>
        <v>0</v>
      </c>
      <c r="O412" s="392"/>
      <c r="P412" s="392">
        <f>'Tabla Construcción Fijos'!P44</f>
        <v>0</v>
      </c>
      <c r="Q412" s="362">
        <f>IF($F$11='Tabla Parámetros'!$O$3,'Tabla Construcción Fijos'!Q44,IF(Simulador!$F$11='Tabla Parámetros'!$O$4,'Tabla Construcción Crecientes'!P44,))</f>
        <v>0</v>
      </c>
      <c r="R412" s="362">
        <f>IF($F$11='Tabla Parámetros'!$O$3,'Tabla Construcción Fijos'!R44,IF(Simulador!$F$11='Tabla Parámetros'!$O$4,'Tabla Construcción Crecientes'!Q44,))</f>
        <v>0</v>
      </c>
      <c r="S412" s="272">
        <f t="shared" si="15"/>
        <v>0</v>
      </c>
    </row>
    <row r="413" spans="2:19" ht="15.5" hidden="1" x14ac:dyDescent="0.35">
      <c r="B413" s="378">
        <f t="shared" si="16"/>
        <v>22</v>
      </c>
      <c r="C413" s="378">
        <f t="shared" si="17"/>
        <v>30.4</v>
      </c>
      <c r="D413" s="379">
        <f>IF($F$11='Tabla Parámetros'!$O$3,'Tabla Construcción Fijos'!D45,IF(Simulador!$F$11='Tabla Parámetros'!$O$4,'Tabla Construcción Crecientes'!D45,))</f>
        <v>0</v>
      </c>
      <c r="E413" s="390"/>
      <c r="F413" s="362">
        <f>IF($F$11='Tabla Parámetros'!$O$3,'Tabla Construcción Fijos'!F45,IF(Simulador!$F$11='Tabla Parámetros'!$O$4,'Tabla Construcción Crecientes'!F45,))</f>
        <v>0</v>
      </c>
      <c r="G413" s="362"/>
      <c r="H413" s="362">
        <f>IF($F$11='Tabla Parámetros'!$O$3,'Tabla Construcción Fijos'!H45,IF(Simulador!$F$11='Tabla Parámetros'!$O$4,'Tabla Construcción Crecientes'!H45,))</f>
        <v>0</v>
      </c>
      <c r="I413" s="362">
        <f>IF($F$11='Tabla Parámetros'!$O$3,'Tabla Construcción Fijos'!I45,IF(Simulador!$F$11='Tabla Parámetros'!$O$4,'Tabla Construcción Crecientes'!I45,))</f>
        <v>0</v>
      </c>
      <c r="J413" s="362">
        <f>IF($F$11='Tabla Parámetros'!$O$3,'Tabla Construcción Fijos'!J45,IF(Simulador!$F$11='Tabla Parámetros'!$O$4,'Tabla Construcción Crecientes'!J45,))</f>
        <v>0</v>
      </c>
      <c r="K413" s="362">
        <f>IF($F$11='Tabla Parámetros'!$O$3,'Tabla Construcción Fijos'!K45,IF(Simulador!$F$11='Tabla Parámetros'!$O$4,'Tabla Construcción Crecientes'!K45,))</f>
        <v>0</v>
      </c>
      <c r="L413" s="362">
        <f>IF($F$11='Tabla Parámetros'!$O$3,'Tabla Construcción Fijos'!L45,IF(Simulador!$F$11='Tabla Parámetros'!$O$4,'Tabla Construcción Crecientes'!L45,))</f>
        <v>0</v>
      </c>
      <c r="M413" s="362">
        <f>IF($F$11='Tabla Parámetros'!$O$3,'Tabla Construcción Fijos'!M45,IF(Simulador!$F$11='Tabla Parámetros'!$O$4,'Tabla Construcción Crecientes'!M45,))</f>
        <v>0</v>
      </c>
      <c r="N413" s="391">
        <f>IF($F$11='Tabla Parámetros'!$O$3,'Tabla Construcción Fijos'!N45,IF(Simulador!$F$11='Tabla Parámetros'!$O$4,'Tabla Construcción Crecientes'!N45,))</f>
        <v>0</v>
      </c>
      <c r="O413" s="392"/>
      <c r="P413" s="392">
        <f>'Tabla Construcción Fijos'!P45</f>
        <v>0</v>
      </c>
      <c r="Q413" s="362">
        <f>IF($F$11='Tabla Parámetros'!$O$3,'Tabla Construcción Fijos'!Q45,IF(Simulador!$F$11='Tabla Parámetros'!$O$4,'Tabla Construcción Crecientes'!P45,))</f>
        <v>0</v>
      </c>
      <c r="R413" s="362">
        <f>IF($F$11='Tabla Parámetros'!$O$3,'Tabla Construcción Fijos'!R45,IF(Simulador!$F$11='Tabla Parámetros'!$O$4,'Tabla Construcción Crecientes'!Q45,))</f>
        <v>0</v>
      </c>
      <c r="S413" s="272">
        <f t="shared" si="15"/>
        <v>0</v>
      </c>
    </row>
    <row r="414" spans="2:19" ht="15.5" hidden="1" x14ac:dyDescent="0.35">
      <c r="B414" s="378">
        <f t="shared" si="16"/>
        <v>23</v>
      </c>
      <c r="C414" s="378">
        <f t="shared" si="17"/>
        <v>30.4</v>
      </c>
      <c r="D414" s="379">
        <f>IF($F$11='Tabla Parámetros'!$O$3,'Tabla Construcción Fijos'!D46,IF(Simulador!$F$11='Tabla Parámetros'!$O$4,'Tabla Construcción Crecientes'!D46,))</f>
        <v>0</v>
      </c>
      <c r="E414" s="390"/>
      <c r="F414" s="362">
        <f>IF($F$11='Tabla Parámetros'!$O$3,'Tabla Construcción Fijos'!F46,IF(Simulador!$F$11='Tabla Parámetros'!$O$4,'Tabla Construcción Crecientes'!F46,))</f>
        <v>0</v>
      </c>
      <c r="G414" s="362"/>
      <c r="H414" s="362">
        <f>IF($F$11='Tabla Parámetros'!$O$3,'Tabla Construcción Fijos'!H46,IF(Simulador!$F$11='Tabla Parámetros'!$O$4,'Tabla Construcción Crecientes'!H46,))</f>
        <v>0</v>
      </c>
      <c r="I414" s="362">
        <f>IF($F$11='Tabla Parámetros'!$O$3,'Tabla Construcción Fijos'!I46,IF(Simulador!$F$11='Tabla Parámetros'!$O$4,'Tabla Construcción Crecientes'!I46,))</f>
        <v>0</v>
      </c>
      <c r="J414" s="362">
        <f>IF($F$11='Tabla Parámetros'!$O$3,'Tabla Construcción Fijos'!J46,IF(Simulador!$F$11='Tabla Parámetros'!$O$4,'Tabla Construcción Crecientes'!J46,))</f>
        <v>0</v>
      </c>
      <c r="K414" s="362">
        <f>IF($F$11='Tabla Parámetros'!$O$3,'Tabla Construcción Fijos'!K46,IF(Simulador!$F$11='Tabla Parámetros'!$O$4,'Tabla Construcción Crecientes'!K46,))</f>
        <v>0</v>
      </c>
      <c r="L414" s="362">
        <f>IF($F$11='Tabla Parámetros'!$O$3,'Tabla Construcción Fijos'!L46,IF(Simulador!$F$11='Tabla Parámetros'!$O$4,'Tabla Construcción Crecientes'!L46,))</f>
        <v>0</v>
      </c>
      <c r="M414" s="362">
        <f>IF($F$11='Tabla Parámetros'!$O$3,'Tabla Construcción Fijos'!M46,IF(Simulador!$F$11='Tabla Parámetros'!$O$4,'Tabla Construcción Crecientes'!M46,))</f>
        <v>0</v>
      </c>
      <c r="N414" s="391">
        <f>IF($F$11='Tabla Parámetros'!$O$3,'Tabla Construcción Fijos'!N46,IF(Simulador!$F$11='Tabla Parámetros'!$O$4,'Tabla Construcción Crecientes'!N46,))</f>
        <v>0</v>
      </c>
      <c r="O414" s="392"/>
      <c r="P414" s="392">
        <f>'Tabla Construcción Fijos'!P46</f>
        <v>0</v>
      </c>
      <c r="Q414" s="362">
        <f>IF($F$11='Tabla Parámetros'!$O$3,'Tabla Construcción Fijos'!Q46,IF(Simulador!$F$11='Tabla Parámetros'!$O$4,'Tabla Construcción Crecientes'!P46,))</f>
        <v>0</v>
      </c>
      <c r="R414" s="362">
        <f>IF($F$11='Tabla Parámetros'!$O$3,'Tabla Construcción Fijos'!R46,IF(Simulador!$F$11='Tabla Parámetros'!$O$4,'Tabla Construcción Crecientes'!Q46,))</f>
        <v>0</v>
      </c>
      <c r="S414" s="272">
        <f t="shared" si="15"/>
        <v>0</v>
      </c>
    </row>
    <row r="415" spans="2:19" ht="15.5" hidden="1" x14ac:dyDescent="0.35">
      <c r="B415" s="378">
        <f t="shared" si="16"/>
        <v>24</v>
      </c>
      <c r="C415" s="378">
        <f t="shared" si="17"/>
        <v>30.4</v>
      </c>
      <c r="D415" s="379">
        <f>IF($F$11='Tabla Parámetros'!$O$3,'Tabla Construcción Fijos'!D47,IF(Simulador!$F$11='Tabla Parámetros'!$O$4,'Tabla Construcción Crecientes'!D47,))</f>
        <v>0</v>
      </c>
      <c r="E415" s="390"/>
      <c r="F415" s="362">
        <f>IF($F$11='Tabla Parámetros'!$O$3,'Tabla Construcción Fijos'!F47,IF(Simulador!$F$11='Tabla Parámetros'!$O$4,'Tabla Construcción Crecientes'!F47,))</f>
        <v>0</v>
      </c>
      <c r="G415" s="362"/>
      <c r="H415" s="362">
        <f>IF($F$11='Tabla Parámetros'!$O$3,'Tabla Construcción Fijos'!H47,IF(Simulador!$F$11='Tabla Parámetros'!$O$4,'Tabla Construcción Crecientes'!H47,))</f>
        <v>0</v>
      </c>
      <c r="I415" s="362">
        <f>IF($F$11='Tabla Parámetros'!$O$3,'Tabla Construcción Fijos'!I47,IF(Simulador!$F$11='Tabla Parámetros'!$O$4,'Tabla Construcción Crecientes'!I47,))</f>
        <v>0</v>
      </c>
      <c r="J415" s="362">
        <f>IF($F$11='Tabla Parámetros'!$O$3,'Tabla Construcción Fijos'!J47,IF(Simulador!$F$11='Tabla Parámetros'!$O$4,'Tabla Construcción Crecientes'!J47,))</f>
        <v>0</v>
      </c>
      <c r="K415" s="362">
        <f>IF($F$11='Tabla Parámetros'!$O$3,'Tabla Construcción Fijos'!K47,IF(Simulador!$F$11='Tabla Parámetros'!$O$4,'Tabla Construcción Crecientes'!K47,))</f>
        <v>0</v>
      </c>
      <c r="L415" s="362">
        <f>IF($F$11='Tabla Parámetros'!$O$3,'Tabla Construcción Fijos'!L47,IF(Simulador!$F$11='Tabla Parámetros'!$O$4,'Tabla Construcción Crecientes'!L47,))</f>
        <v>0</v>
      </c>
      <c r="M415" s="362">
        <f>IF($F$11='Tabla Parámetros'!$O$3,'Tabla Construcción Fijos'!M47,IF(Simulador!$F$11='Tabla Parámetros'!$O$4,'Tabla Construcción Crecientes'!M47,))</f>
        <v>0</v>
      </c>
      <c r="N415" s="391">
        <f>IF($F$11='Tabla Parámetros'!$O$3,'Tabla Construcción Fijos'!N47,IF(Simulador!$F$11='Tabla Parámetros'!$O$4,'Tabla Construcción Crecientes'!N47,))</f>
        <v>0</v>
      </c>
      <c r="O415" s="392"/>
      <c r="P415" s="392">
        <f>'Tabla Construcción Fijos'!P47</f>
        <v>0</v>
      </c>
      <c r="Q415" s="362">
        <f>IF($F$11='Tabla Parámetros'!$O$3,'Tabla Construcción Fijos'!Q47,IF(Simulador!$F$11='Tabla Parámetros'!$O$4,'Tabla Construcción Crecientes'!P47,))</f>
        <v>0</v>
      </c>
      <c r="R415" s="362">
        <f>IF($F$11='Tabla Parámetros'!$O$3,'Tabla Construcción Fijos'!R47,IF(Simulador!$F$11='Tabla Parámetros'!$O$4,'Tabla Construcción Crecientes'!Q47,))</f>
        <v>0</v>
      </c>
      <c r="S415" s="272">
        <f t="shared" si="15"/>
        <v>0</v>
      </c>
    </row>
    <row r="416" spans="2:19" ht="15.5" hidden="1" x14ac:dyDescent="0.35">
      <c r="B416" s="378">
        <f t="shared" si="16"/>
        <v>25</v>
      </c>
      <c r="C416" s="378">
        <f t="shared" si="17"/>
        <v>30.4</v>
      </c>
      <c r="D416" s="379">
        <f>IF($F$11='Tabla Parámetros'!$O$3,'Tabla Construcción Fijos'!D48,IF(Simulador!$F$11='Tabla Parámetros'!$O$4,'Tabla Construcción Crecientes'!D48,))</f>
        <v>0</v>
      </c>
      <c r="E416" s="390"/>
      <c r="F416" s="362">
        <f>IF($F$11='Tabla Parámetros'!$O$3,'Tabla Construcción Fijos'!F48,IF(Simulador!$F$11='Tabla Parámetros'!$O$4,'Tabla Construcción Crecientes'!F48,))</f>
        <v>0</v>
      </c>
      <c r="G416" s="362"/>
      <c r="H416" s="362">
        <f>IF($F$11='Tabla Parámetros'!$O$3,'Tabla Construcción Fijos'!H48,IF(Simulador!$F$11='Tabla Parámetros'!$O$4,'Tabla Construcción Crecientes'!H48,))</f>
        <v>0</v>
      </c>
      <c r="I416" s="362">
        <f>IF($F$11='Tabla Parámetros'!$O$3,'Tabla Construcción Fijos'!I48,IF(Simulador!$F$11='Tabla Parámetros'!$O$4,'Tabla Construcción Crecientes'!I48,))</f>
        <v>0</v>
      </c>
      <c r="J416" s="362">
        <f>IF($F$11='Tabla Parámetros'!$O$3,'Tabla Construcción Fijos'!J48,IF(Simulador!$F$11='Tabla Parámetros'!$O$4,'Tabla Construcción Crecientes'!J48,))</f>
        <v>0</v>
      </c>
      <c r="K416" s="362">
        <f>IF($F$11='Tabla Parámetros'!$O$3,'Tabla Construcción Fijos'!K48,IF(Simulador!$F$11='Tabla Parámetros'!$O$4,'Tabla Construcción Crecientes'!K48,))</f>
        <v>0</v>
      </c>
      <c r="L416" s="362">
        <f>IF($F$11='Tabla Parámetros'!$O$3,'Tabla Construcción Fijos'!L48,IF(Simulador!$F$11='Tabla Parámetros'!$O$4,'Tabla Construcción Crecientes'!L48,))</f>
        <v>0</v>
      </c>
      <c r="M416" s="362">
        <f>IF($F$11='Tabla Parámetros'!$O$3,'Tabla Construcción Fijos'!M48,IF(Simulador!$F$11='Tabla Parámetros'!$O$4,'Tabla Construcción Crecientes'!M48,))</f>
        <v>0</v>
      </c>
      <c r="N416" s="391">
        <f>IF($F$11='Tabla Parámetros'!$O$3,'Tabla Construcción Fijos'!N48,IF(Simulador!$F$11='Tabla Parámetros'!$O$4,'Tabla Construcción Crecientes'!N48,))</f>
        <v>0</v>
      </c>
      <c r="O416" s="392"/>
      <c r="P416" s="392">
        <f>'Tabla Construcción Fijos'!P48</f>
        <v>0</v>
      </c>
      <c r="Q416" s="362">
        <f>IF($F$11='Tabla Parámetros'!$O$3,'Tabla Construcción Fijos'!Q48,IF(Simulador!$F$11='Tabla Parámetros'!$O$4,'Tabla Construcción Crecientes'!P48,))</f>
        <v>0</v>
      </c>
      <c r="R416" s="362">
        <f>IF($F$11='Tabla Parámetros'!$O$3,'Tabla Construcción Fijos'!R48,IF(Simulador!$F$11='Tabla Parámetros'!$O$4,'Tabla Construcción Crecientes'!Q48,))</f>
        <v>0</v>
      </c>
      <c r="S416" s="272">
        <f t="shared" si="15"/>
        <v>0</v>
      </c>
    </row>
    <row r="417" spans="2:19" ht="15.5" hidden="1" x14ac:dyDescent="0.35">
      <c r="B417" s="378">
        <f t="shared" si="16"/>
        <v>26</v>
      </c>
      <c r="C417" s="378">
        <f t="shared" si="17"/>
        <v>30.4</v>
      </c>
      <c r="D417" s="379">
        <f>IF($F$11='Tabla Parámetros'!$O$3,'Tabla Construcción Fijos'!D49,IF(Simulador!$F$11='Tabla Parámetros'!$O$4,'Tabla Construcción Crecientes'!D49,))</f>
        <v>0</v>
      </c>
      <c r="E417" s="390"/>
      <c r="F417" s="362">
        <f>IF($F$11='Tabla Parámetros'!$O$3,'Tabla Construcción Fijos'!F49,IF(Simulador!$F$11='Tabla Parámetros'!$O$4,'Tabla Construcción Crecientes'!F49,))</f>
        <v>0</v>
      </c>
      <c r="G417" s="362"/>
      <c r="H417" s="362">
        <f>IF($F$11='Tabla Parámetros'!$O$3,'Tabla Construcción Fijos'!H49,IF(Simulador!$F$11='Tabla Parámetros'!$O$4,'Tabla Construcción Crecientes'!H49,))</f>
        <v>0</v>
      </c>
      <c r="I417" s="362">
        <f>IF($F$11='Tabla Parámetros'!$O$3,'Tabla Construcción Fijos'!I49,IF(Simulador!$F$11='Tabla Parámetros'!$O$4,'Tabla Construcción Crecientes'!I49,))</f>
        <v>0</v>
      </c>
      <c r="J417" s="362">
        <f>IF($F$11='Tabla Parámetros'!$O$3,'Tabla Construcción Fijos'!J49,IF(Simulador!$F$11='Tabla Parámetros'!$O$4,'Tabla Construcción Crecientes'!J49,))</f>
        <v>0</v>
      </c>
      <c r="K417" s="362">
        <f>IF($F$11='Tabla Parámetros'!$O$3,'Tabla Construcción Fijos'!K49,IF(Simulador!$F$11='Tabla Parámetros'!$O$4,'Tabla Construcción Crecientes'!K49,))</f>
        <v>0</v>
      </c>
      <c r="L417" s="362">
        <f>IF($F$11='Tabla Parámetros'!$O$3,'Tabla Construcción Fijos'!L49,IF(Simulador!$F$11='Tabla Parámetros'!$O$4,'Tabla Construcción Crecientes'!L49,))</f>
        <v>0</v>
      </c>
      <c r="M417" s="362">
        <f>IF($F$11='Tabla Parámetros'!$O$3,'Tabla Construcción Fijos'!M49,IF(Simulador!$F$11='Tabla Parámetros'!$O$4,'Tabla Construcción Crecientes'!M49,))</f>
        <v>0</v>
      </c>
      <c r="N417" s="391">
        <f>IF($F$11='Tabla Parámetros'!$O$3,'Tabla Construcción Fijos'!N49,IF(Simulador!$F$11='Tabla Parámetros'!$O$4,'Tabla Construcción Crecientes'!N49,))</f>
        <v>0</v>
      </c>
      <c r="O417" s="392"/>
      <c r="P417" s="392">
        <f>'Tabla Construcción Fijos'!P49</f>
        <v>0</v>
      </c>
      <c r="Q417" s="362">
        <f>IF($F$11='Tabla Parámetros'!$O$3,'Tabla Construcción Fijos'!Q49,IF(Simulador!$F$11='Tabla Parámetros'!$O$4,'Tabla Construcción Crecientes'!P49,))</f>
        <v>0</v>
      </c>
      <c r="R417" s="362">
        <f>IF($F$11='Tabla Parámetros'!$O$3,'Tabla Construcción Fijos'!R49,IF(Simulador!$F$11='Tabla Parámetros'!$O$4,'Tabla Construcción Crecientes'!Q49,))</f>
        <v>0</v>
      </c>
      <c r="S417" s="272">
        <f t="shared" si="15"/>
        <v>0</v>
      </c>
    </row>
    <row r="418" spans="2:19" ht="15.5" hidden="1" x14ac:dyDescent="0.35">
      <c r="B418" s="378">
        <f t="shared" si="16"/>
        <v>27</v>
      </c>
      <c r="C418" s="378">
        <f t="shared" si="17"/>
        <v>30.4</v>
      </c>
      <c r="D418" s="379">
        <f>IF($F$11='Tabla Parámetros'!$O$3,'Tabla Construcción Fijos'!D50,IF(Simulador!$F$11='Tabla Parámetros'!$O$4,'Tabla Construcción Crecientes'!D50,))</f>
        <v>0</v>
      </c>
      <c r="E418" s="390"/>
      <c r="F418" s="362">
        <f>IF($F$11='Tabla Parámetros'!$O$3,'Tabla Construcción Fijos'!F50,IF(Simulador!$F$11='Tabla Parámetros'!$O$4,'Tabla Construcción Crecientes'!F50,))</f>
        <v>0</v>
      </c>
      <c r="G418" s="362"/>
      <c r="H418" s="362">
        <f>IF($F$11='Tabla Parámetros'!$O$3,'Tabla Construcción Fijos'!H50,IF(Simulador!$F$11='Tabla Parámetros'!$O$4,'Tabla Construcción Crecientes'!H50,))</f>
        <v>0</v>
      </c>
      <c r="I418" s="362">
        <f>IF($F$11='Tabla Parámetros'!$O$3,'Tabla Construcción Fijos'!I50,IF(Simulador!$F$11='Tabla Parámetros'!$O$4,'Tabla Construcción Crecientes'!I50,))</f>
        <v>0</v>
      </c>
      <c r="J418" s="362">
        <f>IF($F$11='Tabla Parámetros'!$O$3,'Tabla Construcción Fijos'!J50,IF(Simulador!$F$11='Tabla Parámetros'!$O$4,'Tabla Construcción Crecientes'!J50,))</f>
        <v>0</v>
      </c>
      <c r="K418" s="362">
        <f>IF($F$11='Tabla Parámetros'!$O$3,'Tabla Construcción Fijos'!K50,IF(Simulador!$F$11='Tabla Parámetros'!$O$4,'Tabla Construcción Crecientes'!K50,))</f>
        <v>0</v>
      </c>
      <c r="L418" s="362">
        <f>IF($F$11='Tabla Parámetros'!$O$3,'Tabla Construcción Fijos'!L50,IF(Simulador!$F$11='Tabla Parámetros'!$O$4,'Tabla Construcción Crecientes'!L50,))</f>
        <v>0</v>
      </c>
      <c r="M418" s="362">
        <f>IF($F$11='Tabla Parámetros'!$O$3,'Tabla Construcción Fijos'!M50,IF(Simulador!$F$11='Tabla Parámetros'!$O$4,'Tabla Construcción Crecientes'!M50,))</f>
        <v>0</v>
      </c>
      <c r="N418" s="391">
        <f>IF($F$11='Tabla Parámetros'!$O$3,'Tabla Construcción Fijos'!N50,IF(Simulador!$F$11='Tabla Parámetros'!$O$4,'Tabla Construcción Crecientes'!N50,))</f>
        <v>0</v>
      </c>
      <c r="O418" s="392"/>
      <c r="P418" s="392">
        <f>'Tabla Construcción Fijos'!P50</f>
        <v>0</v>
      </c>
      <c r="Q418" s="362">
        <f>IF($F$11='Tabla Parámetros'!$O$3,'Tabla Construcción Fijos'!Q50,IF(Simulador!$F$11='Tabla Parámetros'!$O$4,'Tabla Construcción Crecientes'!P50,))</f>
        <v>0</v>
      </c>
      <c r="R418" s="362">
        <f>IF($F$11='Tabla Parámetros'!$O$3,'Tabla Construcción Fijos'!R50,IF(Simulador!$F$11='Tabla Parámetros'!$O$4,'Tabla Construcción Crecientes'!Q50,))</f>
        <v>0</v>
      </c>
      <c r="S418" s="272">
        <f t="shared" si="15"/>
        <v>0</v>
      </c>
    </row>
    <row r="419" spans="2:19" ht="15.5" hidden="1" x14ac:dyDescent="0.35">
      <c r="B419" s="378">
        <f t="shared" si="16"/>
        <v>28</v>
      </c>
      <c r="C419" s="378">
        <f t="shared" si="17"/>
        <v>30.4</v>
      </c>
      <c r="D419" s="379">
        <f>IF($F$11='Tabla Parámetros'!$O$3,'Tabla Construcción Fijos'!D51,IF(Simulador!$F$11='Tabla Parámetros'!$O$4,'Tabla Construcción Crecientes'!D51,))</f>
        <v>0</v>
      </c>
      <c r="E419" s="390"/>
      <c r="F419" s="362">
        <f>IF($F$11='Tabla Parámetros'!$O$3,'Tabla Construcción Fijos'!F51,IF(Simulador!$F$11='Tabla Parámetros'!$O$4,'Tabla Construcción Crecientes'!F51,))</f>
        <v>0</v>
      </c>
      <c r="G419" s="362"/>
      <c r="H419" s="362">
        <f>IF($F$11='Tabla Parámetros'!$O$3,'Tabla Construcción Fijos'!H51,IF(Simulador!$F$11='Tabla Parámetros'!$O$4,'Tabla Construcción Crecientes'!H51,))</f>
        <v>0</v>
      </c>
      <c r="I419" s="362">
        <f>IF($F$11='Tabla Parámetros'!$O$3,'Tabla Construcción Fijos'!I51,IF(Simulador!$F$11='Tabla Parámetros'!$O$4,'Tabla Construcción Crecientes'!I51,))</f>
        <v>0</v>
      </c>
      <c r="J419" s="362">
        <f>IF($F$11='Tabla Parámetros'!$O$3,'Tabla Construcción Fijos'!J51,IF(Simulador!$F$11='Tabla Parámetros'!$O$4,'Tabla Construcción Crecientes'!J51,))</f>
        <v>0</v>
      </c>
      <c r="K419" s="362">
        <f>IF($F$11='Tabla Parámetros'!$O$3,'Tabla Construcción Fijos'!K51,IF(Simulador!$F$11='Tabla Parámetros'!$O$4,'Tabla Construcción Crecientes'!K51,))</f>
        <v>0</v>
      </c>
      <c r="L419" s="362">
        <f>IF($F$11='Tabla Parámetros'!$O$3,'Tabla Construcción Fijos'!L51,IF(Simulador!$F$11='Tabla Parámetros'!$O$4,'Tabla Construcción Crecientes'!L51,))</f>
        <v>0</v>
      </c>
      <c r="M419" s="362">
        <f>IF($F$11='Tabla Parámetros'!$O$3,'Tabla Construcción Fijos'!M51,IF(Simulador!$F$11='Tabla Parámetros'!$O$4,'Tabla Construcción Crecientes'!M51,))</f>
        <v>0</v>
      </c>
      <c r="N419" s="391">
        <f>IF($F$11='Tabla Parámetros'!$O$3,'Tabla Construcción Fijos'!N51,IF(Simulador!$F$11='Tabla Parámetros'!$O$4,'Tabla Construcción Crecientes'!N51,))</f>
        <v>0</v>
      </c>
      <c r="O419" s="392"/>
      <c r="P419" s="392">
        <f>'Tabla Construcción Fijos'!P51</f>
        <v>0</v>
      </c>
      <c r="Q419" s="362">
        <f>IF($F$11='Tabla Parámetros'!$O$3,'Tabla Construcción Fijos'!Q51,IF(Simulador!$F$11='Tabla Parámetros'!$O$4,'Tabla Construcción Crecientes'!P51,))</f>
        <v>0</v>
      </c>
      <c r="R419" s="362">
        <f>IF($F$11='Tabla Parámetros'!$O$3,'Tabla Construcción Fijos'!R51,IF(Simulador!$F$11='Tabla Parámetros'!$O$4,'Tabla Construcción Crecientes'!Q51,))</f>
        <v>0</v>
      </c>
      <c r="S419" s="272">
        <f t="shared" si="15"/>
        <v>0</v>
      </c>
    </row>
    <row r="420" spans="2:19" ht="15.5" hidden="1" x14ac:dyDescent="0.35">
      <c r="B420" s="378">
        <f t="shared" si="16"/>
        <v>29</v>
      </c>
      <c r="C420" s="378">
        <f t="shared" si="17"/>
        <v>30.4</v>
      </c>
      <c r="D420" s="379">
        <f>IF($F$11='Tabla Parámetros'!$O$3,'Tabla Construcción Fijos'!D52,IF(Simulador!$F$11='Tabla Parámetros'!$O$4,'Tabla Construcción Crecientes'!D52,))</f>
        <v>0</v>
      </c>
      <c r="E420" s="390"/>
      <c r="F420" s="362">
        <f>IF($F$11='Tabla Parámetros'!$O$3,'Tabla Construcción Fijos'!F52,IF(Simulador!$F$11='Tabla Parámetros'!$O$4,'Tabla Construcción Crecientes'!F52,))</f>
        <v>0</v>
      </c>
      <c r="G420" s="362"/>
      <c r="H420" s="362">
        <f>IF($F$11='Tabla Parámetros'!$O$3,'Tabla Construcción Fijos'!H52,IF(Simulador!$F$11='Tabla Parámetros'!$O$4,'Tabla Construcción Crecientes'!H52,))</f>
        <v>0</v>
      </c>
      <c r="I420" s="362">
        <f>IF($F$11='Tabla Parámetros'!$O$3,'Tabla Construcción Fijos'!I52,IF(Simulador!$F$11='Tabla Parámetros'!$O$4,'Tabla Construcción Crecientes'!I52,))</f>
        <v>0</v>
      </c>
      <c r="J420" s="362">
        <f>IF($F$11='Tabla Parámetros'!$O$3,'Tabla Construcción Fijos'!J52,IF(Simulador!$F$11='Tabla Parámetros'!$O$4,'Tabla Construcción Crecientes'!J52,))</f>
        <v>0</v>
      </c>
      <c r="K420" s="362">
        <f>IF($F$11='Tabla Parámetros'!$O$3,'Tabla Construcción Fijos'!K52,IF(Simulador!$F$11='Tabla Parámetros'!$O$4,'Tabla Construcción Crecientes'!K52,))</f>
        <v>0</v>
      </c>
      <c r="L420" s="362">
        <f>IF($F$11='Tabla Parámetros'!$O$3,'Tabla Construcción Fijos'!L52,IF(Simulador!$F$11='Tabla Parámetros'!$O$4,'Tabla Construcción Crecientes'!L52,))</f>
        <v>0</v>
      </c>
      <c r="M420" s="362">
        <f>IF($F$11='Tabla Parámetros'!$O$3,'Tabla Construcción Fijos'!M52,IF(Simulador!$F$11='Tabla Parámetros'!$O$4,'Tabla Construcción Crecientes'!M52,))</f>
        <v>0</v>
      </c>
      <c r="N420" s="391">
        <f>IF($F$11='Tabla Parámetros'!$O$3,'Tabla Construcción Fijos'!N52,IF(Simulador!$F$11='Tabla Parámetros'!$O$4,'Tabla Construcción Crecientes'!N52,))</f>
        <v>0</v>
      </c>
      <c r="O420" s="392"/>
      <c r="P420" s="392">
        <f>'Tabla Construcción Fijos'!P52</f>
        <v>0</v>
      </c>
      <c r="Q420" s="362">
        <f>IF($F$11='Tabla Parámetros'!$O$3,'Tabla Construcción Fijos'!Q52,IF(Simulador!$F$11='Tabla Parámetros'!$O$4,'Tabla Construcción Crecientes'!P52,))</f>
        <v>0</v>
      </c>
      <c r="R420" s="362">
        <f>IF($F$11='Tabla Parámetros'!$O$3,'Tabla Construcción Fijos'!R52,IF(Simulador!$F$11='Tabla Parámetros'!$O$4,'Tabla Construcción Crecientes'!Q52,))</f>
        <v>0</v>
      </c>
      <c r="S420" s="272">
        <f t="shared" si="15"/>
        <v>0</v>
      </c>
    </row>
    <row r="421" spans="2:19" ht="15.5" hidden="1" x14ac:dyDescent="0.35">
      <c r="B421" s="378">
        <f t="shared" si="16"/>
        <v>30</v>
      </c>
      <c r="C421" s="378">
        <f t="shared" si="17"/>
        <v>30.4</v>
      </c>
      <c r="D421" s="379">
        <f>IF($F$11='Tabla Parámetros'!$O$3,'Tabla Construcción Fijos'!D53,IF(Simulador!$F$11='Tabla Parámetros'!$O$4,'Tabla Construcción Crecientes'!D53,))</f>
        <v>0</v>
      </c>
      <c r="E421" s="390"/>
      <c r="F421" s="362">
        <f>IF($F$11='Tabla Parámetros'!$O$3,'Tabla Construcción Fijos'!F53,IF(Simulador!$F$11='Tabla Parámetros'!$O$4,'Tabla Construcción Crecientes'!F53,))</f>
        <v>0</v>
      </c>
      <c r="G421" s="362"/>
      <c r="H421" s="362">
        <f>IF($F$11='Tabla Parámetros'!$O$3,'Tabla Construcción Fijos'!H53,IF(Simulador!$F$11='Tabla Parámetros'!$O$4,'Tabla Construcción Crecientes'!H53,))</f>
        <v>0</v>
      </c>
      <c r="I421" s="362">
        <f>IF($F$11='Tabla Parámetros'!$O$3,'Tabla Construcción Fijos'!I53,IF(Simulador!$F$11='Tabla Parámetros'!$O$4,'Tabla Construcción Crecientes'!I53,))</f>
        <v>0</v>
      </c>
      <c r="J421" s="362">
        <f>IF($F$11='Tabla Parámetros'!$O$3,'Tabla Construcción Fijos'!J53,IF(Simulador!$F$11='Tabla Parámetros'!$O$4,'Tabla Construcción Crecientes'!J53,))</f>
        <v>0</v>
      </c>
      <c r="K421" s="362">
        <f>IF($F$11='Tabla Parámetros'!$O$3,'Tabla Construcción Fijos'!K53,IF(Simulador!$F$11='Tabla Parámetros'!$O$4,'Tabla Construcción Crecientes'!K53,))</f>
        <v>0</v>
      </c>
      <c r="L421" s="362">
        <f>IF($F$11='Tabla Parámetros'!$O$3,'Tabla Construcción Fijos'!L53,IF(Simulador!$F$11='Tabla Parámetros'!$O$4,'Tabla Construcción Crecientes'!L53,))</f>
        <v>0</v>
      </c>
      <c r="M421" s="362">
        <f>IF($F$11='Tabla Parámetros'!$O$3,'Tabla Construcción Fijos'!M53,IF(Simulador!$F$11='Tabla Parámetros'!$O$4,'Tabla Construcción Crecientes'!M53,))</f>
        <v>0</v>
      </c>
      <c r="N421" s="391">
        <f>IF($F$11='Tabla Parámetros'!$O$3,'Tabla Construcción Fijos'!N53,IF(Simulador!$F$11='Tabla Parámetros'!$O$4,'Tabla Construcción Crecientes'!N53,))</f>
        <v>0</v>
      </c>
      <c r="O421" s="392"/>
      <c r="P421" s="392">
        <f>'Tabla Construcción Fijos'!P53</f>
        <v>0</v>
      </c>
      <c r="Q421" s="362">
        <f>IF($F$11='Tabla Parámetros'!$O$3,'Tabla Construcción Fijos'!Q53,IF(Simulador!$F$11='Tabla Parámetros'!$O$4,'Tabla Construcción Crecientes'!P53,))</f>
        <v>0</v>
      </c>
      <c r="R421" s="362">
        <f>IF($F$11='Tabla Parámetros'!$O$3,'Tabla Construcción Fijos'!R53,IF(Simulador!$F$11='Tabla Parámetros'!$O$4,'Tabla Construcción Crecientes'!Q53,))</f>
        <v>0</v>
      </c>
      <c r="S421" s="272">
        <f t="shared" si="15"/>
        <v>0</v>
      </c>
    </row>
    <row r="422" spans="2:19" ht="15.5" hidden="1" x14ac:dyDescent="0.35">
      <c r="B422" s="378">
        <f t="shared" si="16"/>
        <v>31</v>
      </c>
      <c r="C422" s="378">
        <f t="shared" si="17"/>
        <v>30.4</v>
      </c>
      <c r="D422" s="379">
        <f>IF($F$11='Tabla Parámetros'!$O$3,'Tabla Construcción Fijos'!D54,IF(Simulador!$F$11='Tabla Parámetros'!$O$4,'Tabla Construcción Crecientes'!D54,))</f>
        <v>0</v>
      </c>
      <c r="E422" s="390"/>
      <c r="F422" s="362">
        <f>IF($F$11='Tabla Parámetros'!$O$3,'Tabla Construcción Fijos'!F54,IF(Simulador!$F$11='Tabla Parámetros'!$O$4,'Tabla Construcción Crecientes'!F54,))</f>
        <v>0</v>
      </c>
      <c r="G422" s="362"/>
      <c r="H422" s="362">
        <f>IF($F$11='Tabla Parámetros'!$O$3,'Tabla Construcción Fijos'!H54,IF(Simulador!$F$11='Tabla Parámetros'!$O$4,'Tabla Construcción Crecientes'!H54,))</f>
        <v>0</v>
      </c>
      <c r="I422" s="362">
        <f>IF($F$11='Tabla Parámetros'!$O$3,'Tabla Construcción Fijos'!I54,IF(Simulador!$F$11='Tabla Parámetros'!$O$4,'Tabla Construcción Crecientes'!I54,))</f>
        <v>0</v>
      </c>
      <c r="J422" s="362">
        <f>IF($F$11='Tabla Parámetros'!$O$3,'Tabla Construcción Fijos'!J54,IF(Simulador!$F$11='Tabla Parámetros'!$O$4,'Tabla Construcción Crecientes'!J54,))</f>
        <v>0</v>
      </c>
      <c r="K422" s="362">
        <f>IF($F$11='Tabla Parámetros'!$O$3,'Tabla Construcción Fijos'!K54,IF(Simulador!$F$11='Tabla Parámetros'!$O$4,'Tabla Construcción Crecientes'!K54,))</f>
        <v>0</v>
      </c>
      <c r="L422" s="362">
        <f>IF($F$11='Tabla Parámetros'!$O$3,'Tabla Construcción Fijos'!L54,IF(Simulador!$F$11='Tabla Parámetros'!$O$4,'Tabla Construcción Crecientes'!L54,))</f>
        <v>0</v>
      </c>
      <c r="M422" s="362">
        <f>IF($F$11='Tabla Parámetros'!$O$3,'Tabla Construcción Fijos'!M54,IF(Simulador!$F$11='Tabla Parámetros'!$O$4,'Tabla Construcción Crecientes'!M54,))</f>
        <v>0</v>
      </c>
      <c r="N422" s="391">
        <f>IF($F$11='Tabla Parámetros'!$O$3,'Tabla Construcción Fijos'!N54,IF(Simulador!$F$11='Tabla Parámetros'!$O$4,'Tabla Construcción Crecientes'!N54,))</f>
        <v>0</v>
      </c>
      <c r="O422" s="392"/>
      <c r="P422" s="392">
        <f>'Tabla Construcción Fijos'!P54</f>
        <v>0</v>
      </c>
      <c r="Q422" s="362">
        <f>IF($F$11='Tabla Parámetros'!$O$3,'Tabla Construcción Fijos'!Q54,IF(Simulador!$F$11='Tabla Parámetros'!$O$4,'Tabla Construcción Crecientes'!P54,))</f>
        <v>0</v>
      </c>
      <c r="R422" s="362">
        <f>IF($F$11='Tabla Parámetros'!$O$3,'Tabla Construcción Fijos'!R54,IF(Simulador!$F$11='Tabla Parámetros'!$O$4,'Tabla Construcción Crecientes'!Q54,))</f>
        <v>0</v>
      </c>
      <c r="S422" s="272">
        <f t="shared" si="15"/>
        <v>0</v>
      </c>
    </row>
    <row r="423" spans="2:19" ht="15.5" hidden="1" x14ac:dyDescent="0.35">
      <c r="B423" s="378">
        <f t="shared" si="16"/>
        <v>32</v>
      </c>
      <c r="C423" s="378">
        <f t="shared" si="17"/>
        <v>30.4</v>
      </c>
      <c r="D423" s="379">
        <f>IF($F$11='Tabla Parámetros'!$O$3,'Tabla Construcción Fijos'!D55,IF(Simulador!$F$11='Tabla Parámetros'!$O$4,'Tabla Construcción Crecientes'!D55,))</f>
        <v>0</v>
      </c>
      <c r="E423" s="390"/>
      <c r="F423" s="362">
        <f>IF($F$11='Tabla Parámetros'!$O$3,'Tabla Construcción Fijos'!F55,IF(Simulador!$F$11='Tabla Parámetros'!$O$4,'Tabla Construcción Crecientes'!F55,))</f>
        <v>0</v>
      </c>
      <c r="G423" s="362"/>
      <c r="H423" s="362">
        <f>IF($F$11='Tabla Parámetros'!$O$3,'Tabla Construcción Fijos'!H55,IF(Simulador!$F$11='Tabla Parámetros'!$O$4,'Tabla Construcción Crecientes'!H55,))</f>
        <v>0</v>
      </c>
      <c r="I423" s="362">
        <f>IF($F$11='Tabla Parámetros'!$O$3,'Tabla Construcción Fijos'!I55,IF(Simulador!$F$11='Tabla Parámetros'!$O$4,'Tabla Construcción Crecientes'!I55,))</f>
        <v>0</v>
      </c>
      <c r="J423" s="362">
        <f>IF($F$11='Tabla Parámetros'!$O$3,'Tabla Construcción Fijos'!J55,IF(Simulador!$F$11='Tabla Parámetros'!$O$4,'Tabla Construcción Crecientes'!J55,))</f>
        <v>0</v>
      </c>
      <c r="K423" s="362">
        <f>IF($F$11='Tabla Parámetros'!$O$3,'Tabla Construcción Fijos'!K55,IF(Simulador!$F$11='Tabla Parámetros'!$O$4,'Tabla Construcción Crecientes'!K55,))</f>
        <v>0</v>
      </c>
      <c r="L423" s="362">
        <f>IF($F$11='Tabla Parámetros'!$O$3,'Tabla Construcción Fijos'!L55,IF(Simulador!$F$11='Tabla Parámetros'!$O$4,'Tabla Construcción Crecientes'!L55,))</f>
        <v>0</v>
      </c>
      <c r="M423" s="362">
        <f>IF($F$11='Tabla Parámetros'!$O$3,'Tabla Construcción Fijos'!M55,IF(Simulador!$F$11='Tabla Parámetros'!$O$4,'Tabla Construcción Crecientes'!M55,))</f>
        <v>0</v>
      </c>
      <c r="N423" s="391">
        <f>IF($F$11='Tabla Parámetros'!$O$3,'Tabla Construcción Fijos'!N55,IF(Simulador!$F$11='Tabla Parámetros'!$O$4,'Tabla Construcción Crecientes'!N55,))</f>
        <v>0</v>
      </c>
      <c r="O423" s="392"/>
      <c r="P423" s="392">
        <f>'Tabla Construcción Fijos'!P55</f>
        <v>0</v>
      </c>
      <c r="Q423" s="362">
        <f>IF($F$11='Tabla Parámetros'!$O$3,'Tabla Construcción Fijos'!Q55,IF(Simulador!$F$11='Tabla Parámetros'!$O$4,'Tabla Construcción Crecientes'!P55,))</f>
        <v>0</v>
      </c>
      <c r="R423" s="362">
        <f>IF($F$11='Tabla Parámetros'!$O$3,'Tabla Construcción Fijos'!R55,IF(Simulador!$F$11='Tabla Parámetros'!$O$4,'Tabla Construcción Crecientes'!Q55,))</f>
        <v>0</v>
      </c>
      <c r="S423" s="272">
        <f t="shared" si="15"/>
        <v>0</v>
      </c>
    </row>
    <row r="424" spans="2:19" ht="15.5" hidden="1" x14ac:dyDescent="0.35">
      <c r="B424" s="378">
        <f t="shared" si="16"/>
        <v>33</v>
      </c>
      <c r="C424" s="378">
        <f t="shared" si="17"/>
        <v>30.4</v>
      </c>
      <c r="D424" s="379">
        <f>IF($F$11='Tabla Parámetros'!$O$3,'Tabla Construcción Fijos'!D56,IF(Simulador!$F$11='Tabla Parámetros'!$O$4,'Tabla Construcción Crecientes'!D56,))</f>
        <v>0</v>
      </c>
      <c r="E424" s="390"/>
      <c r="F424" s="362">
        <f>IF($F$11='Tabla Parámetros'!$O$3,'Tabla Construcción Fijos'!F56,IF(Simulador!$F$11='Tabla Parámetros'!$O$4,'Tabla Construcción Crecientes'!F56,))</f>
        <v>0</v>
      </c>
      <c r="G424" s="362"/>
      <c r="H424" s="362">
        <f>IF($F$11='Tabla Parámetros'!$O$3,'Tabla Construcción Fijos'!H56,IF(Simulador!$F$11='Tabla Parámetros'!$O$4,'Tabla Construcción Crecientes'!H56,))</f>
        <v>0</v>
      </c>
      <c r="I424" s="362">
        <f>IF($F$11='Tabla Parámetros'!$O$3,'Tabla Construcción Fijos'!I56,IF(Simulador!$F$11='Tabla Parámetros'!$O$4,'Tabla Construcción Crecientes'!I56,))</f>
        <v>0</v>
      </c>
      <c r="J424" s="362">
        <f>IF($F$11='Tabla Parámetros'!$O$3,'Tabla Construcción Fijos'!J56,IF(Simulador!$F$11='Tabla Parámetros'!$O$4,'Tabla Construcción Crecientes'!J56,))</f>
        <v>0</v>
      </c>
      <c r="K424" s="362">
        <f>IF($F$11='Tabla Parámetros'!$O$3,'Tabla Construcción Fijos'!K56,IF(Simulador!$F$11='Tabla Parámetros'!$O$4,'Tabla Construcción Crecientes'!K56,))</f>
        <v>0</v>
      </c>
      <c r="L424" s="362">
        <f>IF($F$11='Tabla Parámetros'!$O$3,'Tabla Construcción Fijos'!L56,IF(Simulador!$F$11='Tabla Parámetros'!$O$4,'Tabla Construcción Crecientes'!L56,))</f>
        <v>0</v>
      </c>
      <c r="M424" s="362">
        <f>IF($F$11='Tabla Parámetros'!$O$3,'Tabla Construcción Fijos'!M56,IF(Simulador!$F$11='Tabla Parámetros'!$O$4,'Tabla Construcción Crecientes'!M56,))</f>
        <v>0</v>
      </c>
      <c r="N424" s="391">
        <f>IF($F$11='Tabla Parámetros'!$O$3,'Tabla Construcción Fijos'!N56,IF(Simulador!$F$11='Tabla Parámetros'!$O$4,'Tabla Construcción Crecientes'!N56,))</f>
        <v>0</v>
      </c>
      <c r="O424" s="392"/>
      <c r="P424" s="392">
        <f>'Tabla Construcción Fijos'!P56</f>
        <v>0</v>
      </c>
      <c r="Q424" s="362">
        <f>IF($F$11='Tabla Parámetros'!$O$3,'Tabla Construcción Fijos'!Q56,IF(Simulador!$F$11='Tabla Parámetros'!$O$4,'Tabla Construcción Crecientes'!P56,))</f>
        <v>0</v>
      </c>
      <c r="R424" s="362">
        <f>IF($F$11='Tabla Parámetros'!$O$3,'Tabla Construcción Fijos'!R56,IF(Simulador!$F$11='Tabla Parámetros'!$O$4,'Tabla Construcción Crecientes'!Q56,))</f>
        <v>0</v>
      </c>
      <c r="S424" s="272">
        <f t="shared" si="15"/>
        <v>0</v>
      </c>
    </row>
    <row r="425" spans="2:19" ht="15.5" hidden="1" x14ac:dyDescent="0.35">
      <c r="B425" s="378">
        <f t="shared" si="16"/>
        <v>34</v>
      </c>
      <c r="C425" s="378">
        <f t="shared" si="17"/>
        <v>30.4</v>
      </c>
      <c r="D425" s="379">
        <f>IF($F$11='Tabla Parámetros'!$O$3,'Tabla Construcción Fijos'!D57,IF(Simulador!$F$11='Tabla Parámetros'!$O$4,'Tabla Construcción Crecientes'!D57,))</f>
        <v>0</v>
      </c>
      <c r="E425" s="390"/>
      <c r="F425" s="362">
        <f>IF($F$11='Tabla Parámetros'!$O$3,'Tabla Construcción Fijos'!F57,IF(Simulador!$F$11='Tabla Parámetros'!$O$4,'Tabla Construcción Crecientes'!F57,))</f>
        <v>0</v>
      </c>
      <c r="G425" s="362"/>
      <c r="H425" s="362">
        <f>IF($F$11='Tabla Parámetros'!$O$3,'Tabla Construcción Fijos'!H57,IF(Simulador!$F$11='Tabla Parámetros'!$O$4,'Tabla Construcción Crecientes'!H57,))</f>
        <v>0</v>
      </c>
      <c r="I425" s="362">
        <f>IF($F$11='Tabla Parámetros'!$O$3,'Tabla Construcción Fijos'!I57,IF(Simulador!$F$11='Tabla Parámetros'!$O$4,'Tabla Construcción Crecientes'!I57,))</f>
        <v>0</v>
      </c>
      <c r="J425" s="362">
        <f>IF($F$11='Tabla Parámetros'!$O$3,'Tabla Construcción Fijos'!J57,IF(Simulador!$F$11='Tabla Parámetros'!$O$4,'Tabla Construcción Crecientes'!J57,))</f>
        <v>0</v>
      </c>
      <c r="K425" s="362">
        <f>IF($F$11='Tabla Parámetros'!$O$3,'Tabla Construcción Fijos'!K57,IF(Simulador!$F$11='Tabla Parámetros'!$O$4,'Tabla Construcción Crecientes'!K57,))</f>
        <v>0</v>
      </c>
      <c r="L425" s="362">
        <f>IF($F$11='Tabla Parámetros'!$O$3,'Tabla Construcción Fijos'!L57,IF(Simulador!$F$11='Tabla Parámetros'!$O$4,'Tabla Construcción Crecientes'!L57,))</f>
        <v>0</v>
      </c>
      <c r="M425" s="362">
        <f>IF($F$11='Tabla Parámetros'!$O$3,'Tabla Construcción Fijos'!M57,IF(Simulador!$F$11='Tabla Parámetros'!$O$4,'Tabla Construcción Crecientes'!M57,))</f>
        <v>0</v>
      </c>
      <c r="N425" s="391">
        <f>IF($F$11='Tabla Parámetros'!$O$3,'Tabla Construcción Fijos'!N57,IF(Simulador!$F$11='Tabla Parámetros'!$O$4,'Tabla Construcción Crecientes'!N57,))</f>
        <v>0</v>
      </c>
      <c r="O425" s="392"/>
      <c r="P425" s="392">
        <f>'Tabla Construcción Fijos'!P57</f>
        <v>0</v>
      </c>
      <c r="Q425" s="362">
        <f>IF($F$11='Tabla Parámetros'!$O$3,'Tabla Construcción Fijos'!Q57,IF(Simulador!$F$11='Tabla Parámetros'!$O$4,'Tabla Construcción Crecientes'!P57,))</f>
        <v>0</v>
      </c>
      <c r="R425" s="362">
        <f>IF($F$11='Tabla Parámetros'!$O$3,'Tabla Construcción Fijos'!R57,IF(Simulador!$F$11='Tabla Parámetros'!$O$4,'Tabla Construcción Crecientes'!Q57,))</f>
        <v>0</v>
      </c>
      <c r="S425" s="272">
        <f t="shared" si="15"/>
        <v>0</v>
      </c>
    </row>
    <row r="426" spans="2:19" ht="15.5" hidden="1" x14ac:dyDescent="0.35">
      <c r="B426" s="378">
        <f t="shared" si="16"/>
        <v>35</v>
      </c>
      <c r="C426" s="378">
        <f t="shared" si="17"/>
        <v>30.4</v>
      </c>
      <c r="D426" s="379">
        <f>IF($F$11='Tabla Parámetros'!$O$3,'Tabla Construcción Fijos'!D58,IF(Simulador!$F$11='Tabla Parámetros'!$O$4,'Tabla Construcción Crecientes'!D58,))</f>
        <v>0</v>
      </c>
      <c r="E426" s="390"/>
      <c r="F426" s="362">
        <f>IF($F$11='Tabla Parámetros'!$O$3,'Tabla Construcción Fijos'!F58,IF(Simulador!$F$11='Tabla Parámetros'!$O$4,'Tabla Construcción Crecientes'!F58,))</f>
        <v>0</v>
      </c>
      <c r="G426" s="362"/>
      <c r="H426" s="362">
        <f>IF($F$11='Tabla Parámetros'!$O$3,'Tabla Construcción Fijos'!H58,IF(Simulador!$F$11='Tabla Parámetros'!$O$4,'Tabla Construcción Crecientes'!H58,))</f>
        <v>0</v>
      </c>
      <c r="I426" s="362">
        <f>IF($F$11='Tabla Parámetros'!$O$3,'Tabla Construcción Fijos'!I58,IF(Simulador!$F$11='Tabla Parámetros'!$O$4,'Tabla Construcción Crecientes'!I58,))</f>
        <v>0</v>
      </c>
      <c r="J426" s="362">
        <f>IF($F$11='Tabla Parámetros'!$O$3,'Tabla Construcción Fijos'!J58,IF(Simulador!$F$11='Tabla Parámetros'!$O$4,'Tabla Construcción Crecientes'!J58,))</f>
        <v>0</v>
      </c>
      <c r="K426" s="362">
        <f>IF($F$11='Tabla Parámetros'!$O$3,'Tabla Construcción Fijos'!K58,IF(Simulador!$F$11='Tabla Parámetros'!$O$4,'Tabla Construcción Crecientes'!K58,))</f>
        <v>0</v>
      </c>
      <c r="L426" s="362">
        <f>IF($F$11='Tabla Parámetros'!$O$3,'Tabla Construcción Fijos'!L58,IF(Simulador!$F$11='Tabla Parámetros'!$O$4,'Tabla Construcción Crecientes'!L58,))</f>
        <v>0</v>
      </c>
      <c r="M426" s="362">
        <f>IF($F$11='Tabla Parámetros'!$O$3,'Tabla Construcción Fijos'!M58,IF(Simulador!$F$11='Tabla Parámetros'!$O$4,'Tabla Construcción Crecientes'!M58,))</f>
        <v>0</v>
      </c>
      <c r="N426" s="391">
        <f>IF($F$11='Tabla Parámetros'!$O$3,'Tabla Construcción Fijos'!N58,IF(Simulador!$F$11='Tabla Parámetros'!$O$4,'Tabla Construcción Crecientes'!N58,))</f>
        <v>0</v>
      </c>
      <c r="O426" s="392"/>
      <c r="P426" s="392">
        <f>'Tabla Construcción Fijos'!P58</f>
        <v>0</v>
      </c>
      <c r="Q426" s="362">
        <f>IF($F$11='Tabla Parámetros'!$O$3,'Tabla Construcción Fijos'!Q58,IF(Simulador!$F$11='Tabla Parámetros'!$O$4,'Tabla Construcción Crecientes'!P58,))</f>
        <v>0</v>
      </c>
      <c r="R426" s="362">
        <f>IF($F$11='Tabla Parámetros'!$O$3,'Tabla Construcción Fijos'!R58,IF(Simulador!$F$11='Tabla Parámetros'!$O$4,'Tabla Construcción Crecientes'!Q58,))</f>
        <v>0</v>
      </c>
      <c r="S426" s="272">
        <f t="shared" si="15"/>
        <v>0</v>
      </c>
    </row>
    <row r="427" spans="2:19" ht="15.5" hidden="1" x14ac:dyDescent="0.35">
      <c r="B427" s="378">
        <f t="shared" si="16"/>
        <v>36</v>
      </c>
      <c r="C427" s="378">
        <f t="shared" si="17"/>
        <v>30.4</v>
      </c>
      <c r="D427" s="379">
        <f>IF($F$11='Tabla Parámetros'!$O$3,'Tabla Construcción Fijos'!D59,IF(Simulador!$F$11='Tabla Parámetros'!$O$4,'Tabla Construcción Crecientes'!D59,))</f>
        <v>0</v>
      </c>
      <c r="E427" s="390"/>
      <c r="F427" s="362">
        <f>IF($F$11='Tabla Parámetros'!$O$3,'Tabla Construcción Fijos'!F59,IF(Simulador!$F$11='Tabla Parámetros'!$O$4,'Tabla Construcción Crecientes'!F59,))</f>
        <v>0</v>
      </c>
      <c r="G427" s="362"/>
      <c r="H427" s="362">
        <f>IF($F$11='Tabla Parámetros'!$O$3,'Tabla Construcción Fijos'!H59,IF(Simulador!$F$11='Tabla Parámetros'!$O$4,'Tabla Construcción Crecientes'!H59,))</f>
        <v>0</v>
      </c>
      <c r="I427" s="362">
        <f>IF($F$11='Tabla Parámetros'!$O$3,'Tabla Construcción Fijos'!I59,IF(Simulador!$F$11='Tabla Parámetros'!$O$4,'Tabla Construcción Crecientes'!I59,))</f>
        <v>0</v>
      </c>
      <c r="J427" s="362">
        <f>IF($F$11='Tabla Parámetros'!$O$3,'Tabla Construcción Fijos'!J59,IF(Simulador!$F$11='Tabla Parámetros'!$O$4,'Tabla Construcción Crecientes'!J59,))</f>
        <v>0</v>
      </c>
      <c r="K427" s="362">
        <f>IF($F$11='Tabla Parámetros'!$O$3,'Tabla Construcción Fijos'!K59,IF(Simulador!$F$11='Tabla Parámetros'!$O$4,'Tabla Construcción Crecientes'!K59,))</f>
        <v>0</v>
      </c>
      <c r="L427" s="362">
        <f>IF($F$11='Tabla Parámetros'!$O$3,'Tabla Construcción Fijos'!L59,IF(Simulador!$F$11='Tabla Parámetros'!$O$4,'Tabla Construcción Crecientes'!L59,))</f>
        <v>0</v>
      </c>
      <c r="M427" s="362">
        <f>IF($F$11='Tabla Parámetros'!$O$3,'Tabla Construcción Fijos'!M59,IF(Simulador!$F$11='Tabla Parámetros'!$O$4,'Tabla Construcción Crecientes'!M59,))</f>
        <v>0</v>
      </c>
      <c r="N427" s="391">
        <f>IF($F$11='Tabla Parámetros'!$O$3,'Tabla Construcción Fijos'!N59,IF(Simulador!$F$11='Tabla Parámetros'!$O$4,'Tabla Construcción Crecientes'!N59,))</f>
        <v>0</v>
      </c>
      <c r="O427" s="392"/>
      <c r="P427" s="392">
        <f>'Tabla Construcción Fijos'!P59</f>
        <v>0</v>
      </c>
      <c r="Q427" s="362">
        <f>IF($F$11='Tabla Parámetros'!$O$3,'Tabla Construcción Fijos'!Q59,IF(Simulador!$F$11='Tabla Parámetros'!$O$4,'Tabla Construcción Crecientes'!P59,))</f>
        <v>0</v>
      </c>
      <c r="R427" s="362">
        <f>IF($F$11='Tabla Parámetros'!$O$3,'Tabla Construcción Fijos'!R59,IF(Simulador!$F$11='Tabla Parámetros'!$O$4,'Tabla Construcción Crecientes'!Q59,))</f>
        <v>0</v>
      </c>
      <c r="S427" s="272">
        <f t="shared" si="15"/>
        <v>0</v>
      </c>
    </row>
    <row r="428" spans="2:19" ht="15.5" hidden="1" x14ac:dyDescent="0.35">
      <c r="B428" s="378">
        <f t="shared" si="16"/>
        <v>37</v>
      </c>
      <c r="C428" s="378">
        <f t="shared" si="17"/>
        <v>30.4</v>
      </c>
      <c r="D428" s="379">
        <f>IF($F$11='Tabla Parámetros'!$O$3,'Tabla Construcción Fijos'!D60,IF(Simulador!$F$11='Tabla Parámetros'!$O$4,'Tabla Construcción Crecientes'!D60,))</f>
        <v>0</v>
      </c>
      <c r="E428" s="390"/>
      <c r="F428" s="362">
        <f>IF($F$11='Tabla Parámetros'!$O$3,'Tabla Construcción Fijos'!F60,IF(Simulador!$F$11='Tabla Parámetros'!$O$4,'Tabla Construcción Crecientes'!F60,))</f>
        <v>0</v>
      </c>
      <c r="G428" s="362"/>
      <c r="H428" s="362">
        <f>IF($F$11='Tabla Parámetros'!$O$3,'Tabla Construcción Fijos'!H60,IF(Simulador!$F$11='Tabla Parámetros'!$O$4,'Tabla Construcción Crecientes'!H60,))</f>
        <v>0</v>
      </c>
      <c r="I428" s="362">
        <f>IF($F$11='Tabla Parámetros'!$O$3,'Tabla Construcción Fijos'!I60,IF(Simulador!$F$11='Tabla Parámetros'!$O$4,'Tabla Construcción Crecientes'!I60,))</f>
        <v>0</v>
      </c>
      <c r="J428" s="362">
        <f>IF($F$11='Tabla Parámetros'!$O$3,'Tabla Construcción Fijos'!J60,IF(Simulador!$F$11='Tabla Parámetros'!$O$4,'Tabla Construcción Crecientes'!J60,))</f>
        <v>0</v>
      </c>
      <c r="K428" s="362">
        <f>IF($F$11='Tabla Parámetros'!$O$3,'Tabla Construcción Fijos'!K60,IF(Simulador!$F$11='Tabla Parámetros'!$O$4,'Tabla Construcción Crecientes'!K60,))</f>
        <v>0</v>
      </c>
      <c r="L428" s="362">
        <f>IF($F$11='Tabla Parámetros'!$O$3,'Tabla Construcción Fijos'!L60,IF(Simulador!$F$11='Tabla Parámetros'!$O$4,'Tabla Construcción Crecientes'!L60,))</f>
        <v>0</v>
      </c>
      <c r="M428" s="362">
        <f>IF($F$11='Tabla Parámetros'!$O$3,'Tabla Construcción Fijos'!M60,IF(Simulador!$F$11='Tabla Parámetros'!$O$4,'Tabla Construcción Crecientes'!M60,))</f>
        <v>0</v>
      </c>
      <c r="N428" s="391">
        <f>IF($F$11='Tabla Parámetros'!$O$3,'Tabla Construcción Fijos'!N60,IF(Simulador!$F$11='Tabla Parámetros'!$O$4,'Tabla Construcción Crecientes'!N60,))</f>
        <v>0</v>
      </c>
      <c r="O428" s="392"/>
      <c r="P428" s="392">
        <f>'Tabla Construcción Fijos'!P60</f>
        <v>0</v>
      </c>
      <c r="Q428" s="362">
        <f>IF($F$11='Tabla Parámetros'!$O$3,'Tabla Construcción Fijos'!Q60,IF(Simulador!$F$11='Tabla Parámetros'!$O$4,'Tabla Construcción Crecientes'!P60,))</f>
        <v>0</v>
      </c>
      <c r="R428" s="362">
        <f>IF($F$11='Tabla Parámetros'!$O$3,'Tabla Construcción Fijos'!R60,IF(Simulador!$F$11='Tabla Parámetros'!$O$4,'Tabla Construcción Crecientes'!Q60,))</f>
        <v>0</v>
      </c>
      <c r="S428" s="272">
        <f t="shared" si="15"/>
        <v>0</v>
      </c>
    </row>
    <row r="429" spans="2:19" ht="15.5" hidden="1" x14ac:dyDescent="0.35">
      <c r="B429" s="378">
        <f t="shared" si="16"/>
        <v>38</v>
      </c>
      <c r="C429" s="378">
        <f t="shared" si="17"/>
        <v>30.4</v>
      </c>
      <c r="D429" s="379">
        <f>IF($F$11='Tabla Parámetros'!$O$3,'Tabla Construcción Fijos'!D61,IF(Simulador!$F$11='Tabla Parámetros'!$O$4,'Tabla Construcción Crecientes'!D61,))</f>
        <v>0</v>
      </c>
      <c r="E429" s="390"/>
      <c r="F429" s="362">
        <f>IF($F$11='Tabla Parámetros'!$O$3,'Tabla Construcción Fijos'!F61,IF(Simulador!$F$11='Tabla Parámetros'!$O$4,'Tabla Construcción Crecientes'!F61,))</f>
        <v>0</v>
      </c>
      <c r="G429" s="362"/>
      <c r="H429" s="362">
        <f>IF($F$11='Tabla Parámetros'!$O$3,'Tabla Construcción Fijos'!H61,IF(Simulador!$F$11='Tabla Parámetros'!$O$4,'Tabla Construcción Crecientes'!H61,))</f>
        <v>0</v>
      </c>
      <c r="I429" s="362">
        <f>IF($F$11='Tabla Parámetros'!$O$3,'Tabla Construcción Fijos'!I61,IF(Simulador!$F$11='Tabla Parámetros'!$O$4,'Tabla Construcción Crecientes'!I61,))</f>
        <v>0</v>
      </c>
      <c r="J429" s="362">
        <f>IF($F$11='Tabla Parámetros'!$O$3,'Tabla Construcción Fijos'!J61,IF(Simulador!$F$11='Tabla Parámetros'!$O$4,'Tabla Construcción Crecientes'!J61,))</f>
        <v>0</v>
      </c>
      <c r="K429" s="362">
        <f>IF($F$11='Tabla Parámetros'!$O$3,'Tabla Construcción Fijos'!K61,IF(Simulador!$F$11='Tabla Parámetros'!$O$4,'Tabla Construcción Crecientes'!K61,))</f>
        <v>0</v>
      </c>
      <c r="L429" s="362">
        <f>IF($F$11='Tabla Parámetros'!$O$3,'Tabla Construcción Fijos'!L61,IF(Simulador!$F$11='Tabla Parámetros'!$O$4,'Tabla Construcción Crecientes'!L61,))</f>
        <v>0</v>
      </c>
      <c r="M429" s="362">
        <f>IF($F$11='Tabla Parámetros'!$O$3,'Tabla Construcción Fijos'!M61,IF(Simulador!$F$11='Tabla Parámetros'!$O$4,'Tabla Construcción Crecientes'!M61,))</f>
        <v>0</v>
      </c>
      <c r="N429" s="391">
        <f>IF($F$11='Tabla Parámetros'!$O$3,'Tabla Construcción Fijos'!N61,IF(Simulador!$F$11='Tabla Parámetros'!$O$4,'Tabla Construcción Crecientes'!N61,))</f>
        <v>0</v>
      </c>
      <c r="O429" s="392"/>
      <c r="P429" s="392">
        <f>'Tabla Construcción Fijos'!P61</f>
        <v>0</v>
      </c>
      <c r="Q429" s="362">
        <f>IF($F$11='Tabla Parámetros'!$O$3,'Tabla Construcción Fijos'!Q61,IF(Simulador!$F$11='Tabla Parámetros'!$O$4,'Tabla Construcción Crecientes'!P61,))</f>
        <v>0</v>
      </c>
      <c r="R429" s="362">
        <f>IF($F$11='Tabla Parámetros'!$O$3,'Tabla Construcción Fijos'!R61,IF(Simulador!$F$11='Tabla Parámetros'!$O$4,'Tabla Construcción Crecientes'!Q61,))</f>
        <v>0</v>
      </c>
      <c r="S429" s="272">
        <f t="shared" si="15"/>
        <v>0</v>
      </c>
    </row>
    <row r="430" spans="2:19" ht="15.5" hidden="1" x14ac:dyDescent="0.35">
      <c r="B430" s="378">
        <f t="shared" si="16"/>
        <v>39</v>
      </c>
      <c r="C430" s="378">
        <f t="shared" si="17"/>
        <v>30.4</v>
      </c>
      <c r="D430" s="379">
        <f>IF($F$11='Tabla Parámetros'!$O$3,'Tabla Construcción Fijos'!D62,IF(Simulador!$F$11='Tabla Parámetros'!$O$4,'Tabla Construcción Crecientes'!D62,))</f>
        <v>0</v>
      </c>
      <c r="E430" s="390"/>
      <c r="F430" s="362">
        <f>IF($F$11='Tabla Parámetros'!$O$3,'Tabla Construcción Fijos'!F62,IF(Simulador!$F$11='Tabla Parámetros'!$O$4,'Tabla Construcción Crecientes'!F62,))</f>
        <v>0</v>
      </c>
      <c r="G430" s="362"/>
      <c r="H430" s="362">
        <f>IF($F$11='Tabla Parámetros'!$O$3,'Tabla Construcción Fijos'!H62,IF(Simulador!$F$11='Tabla Parámetros'!$O$4,'Tabla Construcción Crecientes'!H62,))</f>
        <v>0</v>
      </c>
      <c r="I430" s="362">
        <f>IF($F$11='Tabla Parámetros'!$O$3,'Tabla Construcción Fijos'!I62,IF(Simulador!$F$11='Tabla Parámetros'!$O$4,'Tabla Construcción Crecientes'!I62,))</f>
        <v>0</v>
      </c>
      <c r="J430" s="362">
        <f>IF($F$11='Tabla Parámetros'!$O$3,'Tabla Construcción Fijos'!J62,IF(Simulador!$F$11='Tabla Parámetros'!$O$4,'Tabla Construcción Crecientes'!J62,))</f>
        <v>0</v>
      </c>
      <c r="K430" s="362">
        <f>IF($F$11='Tabla Parámetros'!$O$3,'Tabla Construcción Fijos'!K62,IF(Simulador!$F$11='Tabla Parámetros'!$O$4,'Tabla Construcción Crecientes'!K62,))</f>
        <v>0</v>
      </c>
      <c r="L430" s="362">
        <f>IF($F$11='Tabla Parámetros'!$O$3,'Tabla Construcción Fijos'!L62,IF(Simulador!$F$11='Tabla Parámetros'!$O$4,'Tabla Construcción Crecientes'!L62,))</f>
        <v>0</v>
      </c>
      <c r="M430" s="362">
        <f>IF($F$11='Tabla Parámetros'!$O$3,'Tabla Construcción Fijos'!M62,IF(Simulador!$F$11='Tabla Parámetros'!$O$4,'Tabla Construcción Crecientes'!M62,))</f>
        <v>0</v>
      </c>
      <c r="N430" s="391">
        <f>IF($F$11='Tabla Parámetros'!$O$3,'Tabla Construcción Fijos'!N62,IF(Simulador!$F$11='Tabla Parámetros'!$O$4,'Tabla Construcción Crecientes'!N62,))</f>
        <v>0</v>
      </c>
      <c r="O430" s="392"/>
      <c r="P430" s="392">
        <f>'Tabla Construcción Fijos'!P62</f>
        <v>0</v>
      </c>
      <c r="Q430" s="362">
        <f>IF($F$11='Tabla Parámetros'!$O$3,'Tabla Construcción Fijos'!Q62,IF(Simulador!$F$11='Tabla Parámetros'!$O$4,'Tabla Construcción Crecientes'!P62,))</f>
        <v>0</v>
      </c>
      <c r="R430" s="362">
        <f>IF($F$11='Tabla Parámetros'!$O$3,'Tabla Construcción Fijos'!R62,IF(Simulador!$F$11='Tabla Parámetros'!$O$4,'Tabla Construcción Crecientes'!Q62,))</f>
        <v>0</v>
      </c>
      <c r="S430" s="272">
        <f t="shared" si="15"/>
        <v>0</v>
      </c>
    </row>
    <row r="431" spans="2:19" ht="15.5" hidden="1" x14ac:dyDescent="0.35">
      <c r="B431" s="378">
        <f t="shared" si="16"/>
        <v>40</v>
      </c>
      <c r="C431" s="378">
        <f t="shared" si="17"/>
        <v>30.4</v>
      </c>
      <c r="D431" s="379">
        <f>IF($F$11='Tabla Parámetros'!$O$3,'Tabla Construcción Fijos'!D63,IF(Simulador!$F$11='Tabla Parámetros'!$O$4,'Tabla Construcción Crecientes'!D63,))</f>
        <v>0</v>
      </c>
      <c r="E431" s="390"/>
      <c r="F431" s="362">
        <f>IF($F$11='Tabla Parámetros'!$O$3,'Tabla Construcción Fijos'!F63,IF(Simulador!$F$11='Tabla Parámetros'!$O$4,'Tabla Construcción Crecientes'!F63,))</f>
        <v>0</v>
      </c>
      <c r="G431" s="362"/>
      <c r="H431" s="362">
        <f>IF($F$11='Tabla Parámetros'!$O$3,'Tabla Construcción Fijos'!H63,IF(Simulador!$F$11='Tabla Parámetros'!$O$4,'Tabla Construcción Crecientes'!H63,))</f>
        <v>0</v>
      </c>
      <c r="I431" s="362">
        <f>IF($F$11='Tabla Parámetros'!$O$3,'Tabla Construcción Fijos'!I63,IF(Simulador!$F$11='Tabla Parámetros'!$O$4,'Tabla Construcción Crecientes'!I63,))</f>
        <v>0</v>
      </c>
      <c r="J431" s="362">
        <f>IF($F$11='Tabla Parámetros'!$O$3,'Tabla Construcción Fijos'!J63,IF(Simulador!$F$11='Tabla Parámetros'!$O$4,'Tabla Construcción Crecientes'!J63,))</f>
        <v>0</v>
      </c>
      <c r="K431" s="362">
        <f>IF($F$11='Tabla Parámetros'!$O$3,'Tabla Construcción Fijos'!K63,IF(Simulador!$F$11='Tabla Parámetros'!$O$4,'Tabla Construcción Crecientes'!K63,))</f>
        <v>0</v>
      </c>
      <c r="L431" s="362">
        <f>IF($F$11='Tabla Parámetros'!$O$3,'Tabla Construcción Fijos'!L63,IF(Simulador!$F$11='Tabla Parámetros'!$O$4,'Tabla Construcción Crecientes'!L63,))</f>
        <v>0</v>
      </c>
      <c r="M431" s="362">
        <f>IF($F$11='Tabla Parámetros'!$O$3,'Tabla Construcción Fijos'!M63,IF(Simulador!$F$11='Tabla Parámetros'!$O$4,'Tabla Construcción Crecientes'!M63,))</f>
        <v>0</v>
      </c>
      <c r="N431" s="391">
        <f>IF($F$11='Tabla Parámetros'!$O$3,'Tabla Construcción Fijos'!N63,IF(Simulador!$F$11='Tabla Parámetros'!$O$4,'Tabla Construcción Crecientes'!N63,))</f>
        <v>0</v>
      </c>
      <c r="O431" s="392"/>
      <c r="P431" s="392">
        <f>'Tabla Construcción Fijos'!P63</f>
        <v>0</v>
      </c>
      <c r="Q431" s="362">
        <f>IF($F$11='Tabla Parámetros'!$O$3,'Tabla Construcción Fijos'!Q63,IF(Simulador!$F$11='Tabla Parámetros'!$O$4,'Tabla Construcción Crecientes'!P63,))</f>
        <v>0</v>
      </c>
      <c r="R431" s="362">
        <f>IF($F$11='Tabla Parámetros'!$O$3,'Tabla Construcción Fijos'!R63,IF(Simulador!$F$11='Tabla Parámetros'!$O$4,'Tabla Construcción Crecientes'!Q63,))</f>
        <v>0</v>
      </c>
      <c r="S431" s="272">
        <f t="shared" si="15"/>
        <v>0</v>
      </c>
    </row>
    <row r="432" spans="2:19" ht="15.5" hidden="1" x14ac:dyDescent="0.35">
      <c r="B432" s="378">
        <f t="shared" si="16"/>
        <v>41</v>
      </c>
      <c r="C432" s="378">
        <f t="shared" si="17"/>
        <v>30.4</v>
      </c>
      <c r="D432" s="379">
        <f>IF($F$11='Tabla Parámetros'!$O$3,'Tabla Construcción Fijos'!D64,IF(Simulador!$F$11='Tabla Parámetros'!$O$4,'Tabla Construcción Crecientes'!D64,))</f>
        <v>0</v>
      </c>
      <c r="E432" s="390"/>
      <c r="F432" s="362">
        <f>IF($F$11='Tabla Parámetros'!$O$3,'Tabla Construcción Fijos'!F64,IF(Simulador!$F$11='Tabla Parámetros'!$O$4,'Tabla Construcción Crecientes'!F64,))</f>
        <v>0</v>
      </c>
      <c r="G432" s="362"/>
      <c r="H432" s="362">
        <f>IF($F$11='Tabla Parámetros'!$O$3,'Tabla Construcción Fijos'!H64,IF(Simulador!$F$11='Tabla Parámetros'!$O$4,'Tabla Construcción Crecientes'!H64,))</f>
        <v>0</v>
      </c>
      <c r="I432" s="362">
        <f>IF($F$11='Tabla Parámetros'!$O$3,'Tabla Construcción Fijos'!I64,IF(Simulador!$F$11='Tabla Parámetros'!$O$4,'Tabla Construcción Crecientes'!I64,))</f>
        <v>0</v>
      </c>
      <c r="J432" s="362">
        <f>IF($F$11='Tabla Parámetros'!$O$3,'Tabla Construcción Fijos'!J64,IF(Simulador!$F$11='Tabla Parámetros'!$O$4,'Tabla Construcción Crecientes'!J64,))</f>
        <v>0</v>
      </c>
      <c r="K432" s="362">
        <f>IF($F$11='Tabla Parámetros'!$O$3,'Tabla Construcción Fijos'!K64,IF(Simulador!$F$11='Tabla Parámetros'!$O$4,'Tabla Construcción Crecientes'!K64,))</f>
        <v>0</v>
      </c>
      <c r="L432" s="362">
        <f>IF($F$11='Tabla Parámetros'!$O$3,'Tabla Construcción Fijos'!L64,IF(Simulador!$F$11='Tabla Parámetros'!$O$4,'Tabla Construcción Crecientes'!L64,))</f>
        <v>0</v>
      </c>
      <c r="M432" s="362">
        <f>IF($F$11='Tabla Parámetros'!$O$3,'Tabla Construcción Fijos'!M64,IF(Simulador!$F$11='Tabla Parámetros'!$O$4,'Tabla Construcción Crecientes'!M64,))</f>
        <v>0</v>
      </c>
      <c r="N432" s="391">
        <f>IF($F$11='Tabla Parámetros'!$O$3,'Tabla Construcción Fijos'!N64,IF(Simulador!$F$11='Tabla Parámetros'!$O$4,'Tabla Construcción Crecientes'!N64,))</f>
        <v>0</v>
      </c>
      <c r="O432" s="392"/>
      <c r="P432" s="392">
        <f>'Tabla Construcción Fijos'!P64</f>
        <v>0</v>
      </c>
      <c r="Q432" s="362">
        <f>IF($F$11='Tabla Parámetros'!$O$3,'Tabla Construcción Fijos'!Q64,IF(Simulador!$F$11='Tabla Parámetros'!$O$4,'Tabla Construcción Crecientes'!P64,))</f>
        <v>0</v>
      </c>
      <c r="R432" s="362">
        <f>IF($F$11='Tabla Parámetros'!$O$3,'Tabla Construcción Fijos'!R64,IF(Simulador!$F$11='Tabla Parámetros'!$O$4,'Tabla Construcción Crecientes'!Q64,))</f>
        <v>0</v>
      </c>
      <c r="S432" s="272">
        <f t="shared" si="15"/>
        <v>0</v>
      </c>
    </row>
    <row r="433" spans="2:19" ht="15.5" hidden="1" x14ac:dyDescent="0.35">
      <c r="B433" s="378">
        <f t="shared" si="16"/>
        <v>42</v>
      </c>
      <c r="C433" s="378">
        <f t="shared" si="17"/>
        <v>30.4</v>
      </c>
      <c r="D433" s="379">
        <f>IF($F$11='Tabla Parámetros'!$O$3,'Tabla Construcción Fijos'!D65,IF(Simulador!$F$11='Tabla Parámetros'!$O$4,'Tabla Construcción Crecientes'!D65,))</f>
        <v>0</v>
      </c>
      <c r="E433" s="390"/>
      <c r="F433" s="362">
        <f>IF($F$11='Tabla Parámetros'!$O$3,'Tabla Construcción Fijos'!F65,IF(Simulador!$F$11='Tabla Parámetros'!$O$4,'Tabla Construcción Crecientes'!F65,))</f>
        <v>0</v>
      </c>
      <c r="G433" s="362"/>
      <c r="H433" s="362">
        <f>IF($F$11='Tabla Parámetros'!$O$3,'Tabla Construcción Fijos'!H65,IF(Simulador!$F$11='Tabla Parámetros'!$O$4,'Tabla Construcción Crecientes'!H65,))</f>
        <v>0</v>
      </c>
      <c r="I433" s="362">
        <f>IF($F$11='Tabla Parámetros'!$O$3,'Tabla Construcción Fijos'!I65,IF(Simulador!$F$11='Tabla Parámetros'!$O$4,'Tabla Construcción Crecientes'!I65,))</f>
        <v>0</v>
      </c>
      <c r="J433" s="362">
        <f>IF($F$11='Tabla Parámetros'!$O$3,'Tabla Construcción Fijos'!J65,IF(Simulador!$F$11='Tabla Parámetros'!$O$4,'Tabla Construcción Crecientes'!J65,))</f>
        <v>0</v>
      </c>
      <c r="K433" s="362">
        <f>IF($F$11='Tabla Parámetros'!$O$3,'Tabla Construcción Fijos'!K65,IF(Simulador!$F$11='Tabla Parámetros'!$O$4,'Tabla Construcción Crecientes'!K65,))</f>
        <v>0</v>
      </c>
      <c r="L433" s="362">
        <f>IF($F$11='Tabla Parámetros'!$O$3,'Tabla Construcción Fijos'!L65,IF(Simulador!$F$11='Tabla Parámetros'!$O$4,'Tabla Construcción Crecientes'!L65,))</f>
        <v>0</v>
      </c>
      <c r="M433" s="362">
        <f>IF($F$11='Tabla Parámetros'!$O$3,'Tabla Construcción Fijos'!M65,IF(Simulador!$F$11='Tabla Parámetros'!$O$4,'Tabla Construcción Crecientes'!M65,))</f>
        <v>0</v>
      </c>
      <c r="N433" s="391">
        <f>IF($F$11='Tabla Parámetros'!$O$3,'Tabla Construcción Fijos'!N65,IF(Simulador!$F$11='Tabla Parámetros'!$O$4,'Tabla Construcción Crecientes'!N65,))</f>
        <v>0</v>
      </c>
      <c r="O433" s="392"/>
      <c r="P433" s="392">
        <f>'Tabla Construcción Fijos'!P65</f>
        <v>0</v>
      </c>
      <c r="Q433" s="362">
        <f>IF($F$11='Tabla Parámetros'!$O$3,'Tabla Construcción Fijos'!Q65,IF(Simulador!$F$11='Tabla Parámetros'!$O$4,'Tabla Construcción Crecientes'!P65,))</f>
        <v>0</v>
      </c>
      <c r="R433" s="362">
        <f>IF($F$11='Tabla Parámetros'!$O$3,'Tabla Construcción Fijos'!R65,IF(Simulador!$F$11='Tabla Parámetros'!$O$4,'Tabla Construcción Crecientes'!Q65,))</f>
        <v>0</v>
      </c>
      <c r="S433" s="272">
        <f t="shared" si="15"/>
        <v>0</v>
      </c>
    </row>
    <row r="434" spans="2:19" ht="15.5" hidden="1" x14ac:dyDescent="0.35">
      <c r="B434" s="378">
        <f t="shared" si="16"/>
        <v>43</v>
      </c>
      <c r="C434" s="378">
        <f t="shared" si="17"/>
        <v>30.4</v>
      </c>
      <c r="D434" s="379">
        <f>IF($F$11='Tabla Parámetros'!$O$3,'Tabla Construcción Fijos'!D66,IF(Simulador!$F$11='Tabla Parámetros'!$O$4,'Tabla Construcción Crecientes'!D66,))</f>
        <v>0</v>
      </c>
      <c r="E434" s="390"/>
      <c r="F434" s="362">
        <f>IF($F$11='Tabla Parámetros'!$O$3,'Tabla Construcción Fijos'!F66,IF(Simulador!$F$11='Tabla Parámetros'!$O$4,'Tabla Construcción Crecientes'!F66,))</f>
        <v>0</v>
      </c>
      <c r="G434" s="362"/>
      <c r="H434" s="362">
        <f>IF($F$11='Tabla Parámetros'!$O$3,'Tabla Construcción Fijos'!H66,IF(Simulador!$F$11='Tabla Parámetros'!$O$4,'Tabla Construcción Crecientes'!H66,))</f>
        <v>0</v>
      </c>
      <c r="I434" s="362">
        <f>IF($F$11='Tabla Parámetros'!$O$3,'Tabla Construcción Fijos'!I66,IF(Simulador!$F$11='Tabla Parámetros'!$O$4,'Tabla Construcción Crecientes'!I66,))</f>
        <v>0</v>
      </c>
      <c r="J434" s="362">
        <f>IF($F$11='Tabla Parámetros'!$O$3,'Tabla Construcción Fijos'!J66,IF(Simulador!$F$11='Tabla Parámetros'!$O$4,'Tabla Construcción Crecientes'!J66,))</f>
        <v>0</v>
      </c>
      <c r="K434" s="362">
        <f>IF($F$11='Tabla Parámetros'!$O$3,'Tabla Construcción Fijos'!K66,IF(Simulador!$F$11='Tabla Parámetros'!$O$4,'Tabla Construcción Crecientes'!K66,))</f>
        <v>0</v>
      </c>
      <c r="L434" s="362">
        <f>IF($F$11='Tabla Parámetros'!$O$3,'Tabla Construcción Fijos'!L66,IF(Simulador!$F$11='Tabla Parámetros'!$O$4,'Tabla Construcción Crecientes'!L66,))</f>
        <v>0</v>
      </c>
      <c r="M434" s="362">
        <f>IF($F$11='Tabla Parámetros'!$O$3,'Tabla Construcción Fijos'!M66,IF(Simulador!$F$11='Tabla Parámetros'!$O$4,'Tabla Construcción Crecientes'!M66,))</f>
        <v>0</v>
      </c>
      <c r="N434" s="391">
        <f>IF($F$11='Tabla Parámetros'!$O$3,'Tabla Construcción Fijos'!N66,IF(Simulador!$F$11='Tabla Parámetros'!$O$4,'Tabla Construcción Crecientes'!N66,))</f>
        <v>0</v>
      </c>
      <c r="O434" s="392"/>
      <c r="P434" s="392">
        <f>'Tabla Construcción Fijos'!P66</f>
        <v>0</v>
      </c>
      <c r="Q434" s="362">
        <f>IF($F$11='Tabla Parámetros'!$O$3,'Tabla Construcción Fijos'!Q66,IF(Simulador!$F$11='Tabla Parámetros'!$O$4,'Tabla Construcción Crecientes'!P66,))</f>
        <v>0</v>
      </c>
      <c r="R434" s="362">
        <f>IF($F$11='Tabla Parámetros'!$O$3,'Tabla Construcción Fijos'!R66,IF(Simulador!$F$11='Tabla Parámetros'!$O$4,'Tabla Construcción Crecientes'!Q66,))</f>
        <v>0</v>
      </c>
      <c r="S434" s="272">
        <f t="shared" si="15"/>
        <v>0</v>
      </c>
    </row>
    <row r="435" spans="2:19" ht="15.5" hidden="1" x14ac:dyDescent="0.35">
      <c r="B435" s="378">
        <f t="shared" si="16"/>
        <v>44</v>
      </c>
      <c r="C435" s="378">
        <f t="shared" si="17"/>
        <v>30.4</v>
      </c>
      <c r="D435" s="379">
        <f>IF($F$11='Tabla Parámetros'!$O$3,'Tabla Construcción Fijos'!D67,IF(Simulador!$F$11='Tabla Parámetros'!$O$4,'Tabla Construcción Crecientes'!D67,))</f>
        <v>0</v>
      </c>
      <c r="E435" s="390"/>
      <c r="F435" s="362">
        <f>IF($F$11='Tabla Parámetros'!$O$3,'Tabla Construcción Fijos'!F67,IF(Simulador!$F$11='Tabla Parámetros'!$O$4,'Tabla Construcción Crecientes'!F67,))</f>
        <v>0</v>
      </c>
      <c r="G435" s="362"/>
      <c r="H435" s="362">
        <f>IF($F$11='Tabla Parámetros'!$O$3,'Tabla Construcción Fijos'!H67,IF(Simulador!$F$11='Tabla Parámetros'!$O$4,'Tabla Construcción Crecientes'!H67,))</f>
        <v>0</v>
      </c>
      <c r="I435" s="362">
        <f>IF($F$11='Tabla Parámetros'!$O$3,'Tabla Construcción Fijos'!I67,IF(Simulador!$F$11='Tabla Parámetros'!$O$4,'Tabla Construcción Crecientes'!I67,))</f>
        <v>0</v>
      </c>
      <c r="J435" s="362">
        <f>IF($F$11='Tabla Parámetros'!$O$3,'Tabla Construcción Fijos'!J67,IF(Simulador!$F$11='Tabla Parámetros'!$O$4,'Tabla Construcción Crecientes'!J67,))</f>
        <v>0</v>
      </c>
      <c r="K435" s="362">
        <f>IF($F$11='Tabla Parámetros'!$O$3,'Tabla Construcción Fijos'!K67,IF(Simulador!$F$11='Tabla Parámetros'!$O$4,'Tabla Construcción Crecientes'!K67,))</f>
        <v>0</v>
      </c>
      <c r="L435" s="362">
        <f>IF($F$11='Tabla Parámetros'!$O$3,'Tabla Construcción Fijos'!L67,IF(Simulador!$F$11='Tabla Parámetros'!$O$4,'Tabla Construcción Crecientes'!L67,))</f>
        <v>0</v>
      </c>
      <c r="M435" s="362">
        <f>IF($F$11='Tabla Parámetros'!$O$3,'Tabla Construcción Fijos'!M67,IF(Simulador!$F$11='Tabla Parámetros'!$O$4,'Tabla Construcción Crecientes'!M67,))</f>
        <v>0</v>
      </c>
      <c r="N435" s="391">
        <f>IF($F$11='Tabla Parámetros'!$O$3,'Tabla Construcción Fijos'!N67,IF(Simulador!$F$11='Tabla Parámetros'!$O$4,'Tabla Construcción Crecientes'!N67,))</f>
        <v>0</v>
      </c>
      <c r="O435" s="392"/>
      <c r="P435" s="392">
        <f>'Tabla Construcción Fijos'!P67</f>
        <v>0</v>
      </c>
      <c r="Q435" s="362">
        <f>IF($F$11='Tabla Parámetros'!$O$3,'Tabla Construcción Fijos'!Q67,IF(Simulador!$F$11='Tabla Parámetros'!$O$4,'Tabla Construcción Crecientes'!P67,))</f>
        <v>0</v>
      </c>
      <c r="R435" s="362">
        <f>IF($F$11='Tabla Parámetros'!$O$3,'Tabla Construcción Fijos'!R67,IF(Simulador!$F$11='Tabla Parámetros'!$O$4,'Tabla Construcción Crecientes'!Q67,))</f>
        <v>0</v>
      </c>
      <c r="S435" s="272">
        <f t="shared" si="15"/>
        <v>0</v>
      </c>
    </row>
    <row r="436" spans="2:19" ht="15.5" hidden="1" x14ac:dyDescent="0.35">
      <c r="B436" s="378">
        <f t="shared" si="16"/>
        <v>45</v>
      </c>
      <c r="C436" s="378">
        <f t="shared" si="17"/>
        <v>30.4</v>
      </c>
      <c r="D436" s="379">
        <f>IF($F$11='Tabla Parámetros'!$O$3,'Tabla Construcción Fijos'!D68,IF(Simulador!$F$11='Tabla Parámetros'!$O$4,'Tabla Construcción Crecientes'!D68,))</f>
        <v>0</v>
      </c>
      <c r="E436" s="390"/>
      <c r="F436" s="362">
        <f>IF($F$11='Tabla Parámetros'!$O$3,'Tabla Construcción Fijos'!F68,IF(Simulador!$F$11='Tabla Parámetros'!$O$4,'Tabla Construcción Crecientes'!F68,))</f>
        <v>0</v>
      </c>
      <c r="G436" s="362"/>
      <c r="H436" s="362">
        <f>IF($F$11='Tabla Parámetros'!$O$3,'Tabla Construcción Fijos'!H68,IF(Simulador!$F$11='Tabla Parámetros'!$O$4,'Tabla Construcción Crecientes'!H68,))</f>
        <v>0</v>
      </c>
      <c r="I436" s="362">
        <f>IF($F$11='Tabla Parámetros'!$O$3,'Tabla Construcción Fijos'!I68,IF(Simulador!$F$11='Tabla Parámetros'!$O$4,'Tabla Construcción Crecientes'!I68,))</f>
        <v>0</v>
      </c>
      <c r="J436" s="362">
        <f>IF($F$11='Tabla Parámetros'!$O$3,'Tabla Construcción Fijos'!J68,IF(Simulador!$F$11='Tabla Parámetros'!$O$4,'Tabla Construcción Crecientes'!J68,))</f>
        <v>0</v>
      </c>
      <c r="K436" s="362">
        <f>IF($F$11='Tabla Parámetros'!$O$3,'Tabla Construcción Fijos'!K68,IF(Simulador!$F$11='Tabla Parámetros'!$O$4,'Tabla Construcción Crecientes'!K68,))</f>
        <v>0</v>
      </c>
      <c r="L436" s="362">
        <f>IF($F$11='Tabla Parámetros'!$O$3,'Tabla Construcción Fijos'!L68,IF(Simulador!$F$11='Tabla Parámetros'!$O$4,'Tabla Construcción Crecientes'!L68,))</f>
        <v>0</v>
      </c>
      <c r="M436" s="362">
        <f>IF($F$11='Tabla Parámetros'!$O$3,'Tabla Construcción Fijos'!M68,IF(Simulador!$F$11='Tabla Parámetros'!$O$4,'Tabla Construcción Crecientes'!M68,))</f>
        <v>0</v>
      </c>
      <c r="N436" s="391">
        <f>IF($F$11='Tabla Parámetros'!$O$3,'Tabla Construcción Fijos'!N68,IF(Simulador!$F$11='Tabla Parámetros'!$O$4,'Tabla Construcción Crecientes'!N68,))</f>
        <v>0</v>
      </c>
      <c r="O436" s="392"/>
      <c r="P436" s="392">
        <f>'Tabla Construcción Fijos'!P68</f>
        <v>0</v>
      </c>
      <c r="Q436" s="362">
        <f>IF($F$11='Tabla Parámetros'!$O$3,'Tabla Construcción Fijos'!Q68,IF(Simulador!$F$11='Tabla Parámetros'!$O$4,'Tabla Construcción Crecientes'!P68,))</f>
        <v>0</v>
      </c>
      <c r="R436" s="362">
        <f>IF($F$11='Tabla Parámetros'!$O$3,'Tabla Construcción Fijos'!R68,IF(Simulador!$F$11='Tabla Parámetros'!$O$4,'Tabla Construcción Crecientes'!Q68,))</f>
        <v>0</v>
      </c>
      <c r="S436" s="272">
        <f t="shared" si="15"/>
        <v>0</v>
      </c>
    </row>
    <row r="437" spans="2:19" ht="15.5" hidden="1" x14ac:dyDescent="0.35">
      <c r="B437" s="378">
        <f t="shared" si="16"/>
        <v>46</v>
      </c>
      <c r="C437" s="378">
        <f t="shared" si="17"/>
        <v>30.4</v>
      </c>
      <c r="D437" s="379">
        <f>IF($F$11='Tabla Parámetros'!$O$3,'Tabla Construcción Fijos'!D69,IF(Simulador!$F$11='Tabla Parámetros'!$O$4,'Tabla Construcción Crecientes'!D69,))</f>
        <v>0</v>
      </c>
      <c r="E437" s="390"/>
      <c r="F437" s="362">
        <f>IF($F$11='Tabla Parámetros'!$O$3,'Tabla Construcción Fijos'!F69,IF(Simulador!$F$11='Tabla Parámetros'!$O$4,'Tabla Construcción Crecientes'!F69,))</f>
        <v>0</v>
      </c>
      <c r="G437" s="362"/>
      <c r="H437" s="362">
        <f>IF($F$11='Tabla Parámetros'!$O$3,'Tabla Construcción Fijos'!H69,IF(Simulador!$F$11='Tabla Parámetros'!$O$4,'Tabla Construcción Crecientes'!H69,))</f>
        <v>0</v>
      </c>
      <c r="I437" s="362">
        <f>IF($F$11='Tabla Parámetros'!$O$3,'Tabla Construcción Fijos'!I69,IF(Simulador!$F$11='Tabla Parámetros'!$O$4,'Tabla Construcción Crecientes'!I69,))</f>
        <v>0</v>
      </c>
      <c r="J437" s="362">
        <f>IF($F$11='Tabla Parámetros'!$O$3,'Tabla Construcción Fijos'!J69,IF(Simulador!$F$11='Tabla Parámetros'!$O$4,'Tabla Construcción Crecientes'!J69,))</f>
        <v>0</v>
      </c>
      <c r="K437" s="362">
        <f>IF($F$11='Tabla Parámetros'!$O$3,'Tabla Construcción Fijos'!K69,IF(Simulador!$F$11='Tabla Parámetros'!$O$4,'Tabla Construcción Crecientes'!K69,))</f>
        <v>0</v>
      </c>
      <c r="L437" s="362">
        <f>IF($F$11='Tabla Parámetros'!$O$3,'Tabla Construcción Fijos'!L69,IF(Simulador!$F$11='Tabla Parámetros'!$O$4,'Tabla Construcción Crecientes'!L69,))</f>
        <v>0</v>
      </c>
      <c r="M437" s="362">
        <f>IF($F$11='Tabla Parámetros'!$O$3,'Tabla Construcción Fijos'!M69,IF(Simulador!$F$11='Tabla Parámetros'!$O$4,'Tabla Construcción Crecientes'!M69,))</f>
        <v>0</v>
      </c>
      <c r="N437" s="391">
        <f>IF($F$11='Tabla Parámetros'!$O$3,'Tabla Construcción Fijos'!N69,IF(Simulador!$F$11='Tabla Parámetros'!$O$4,'Tabla Construcción Crecientes'!N69,))</f>
        <v>0</v>
      </c>
      <c r="O437" s="392"/>
      <c r="P437" s="392">
        <f>'Tabla Construcción Fijos'!P69</f>
        <v>0</v>
      </c>
      <c r="Q437" s="362">
        <f>IF($F$11='Tabla Parámetros'!$O$3,'Tabla Construcción Fijos'!Q69,IF(Simulador!$F$11='Tabla Parámetros'!$O$4,'Tabla Construcción Crecientes'!P69,))</f>
        <v>0</v>
      </c>
      <c r="R437" s="362">
        <f>IF($F$11='Tabla Parámetros'!$O$3,'Tabla Construcción Fijos'!R69,IF(Simulador!$F$11='Tabla Parámetros'!$O$4,'Tabla Construcción Crecientes'!Q69,))</f>
        <v>0</v>
      </c>
      <c r="S437" s="272">
        <f t="shared" si="15"/>
        <v>0</v>
      </c>
    </row>
    <row r="438" spans="2:19" ht="15.5" hidden="1" x14ac:dyDescent="0.35">
      <c r="B438" s="378">
        <f t="shared" si="16"/>
        <v>47</v>
      </c>
      <c r="C438" s="378">
        <f t="shared" si="17"/>
        <v>30.4</v>
      </c>
      <c r="D438" s="379">
        <f>IF($F$11='Tabla Parámetros'!$O$3,'Tabla Construcción Fijos'!D70,IF(Simulador!$F$11='Tabla Parámetros'!$O$4,'Tabla Construcción Crecientes'!D70,))</f>
        <v>0</v>
      </c>
      <c r="E438" s="390"/>
      <c r="F438" s="362">
        <f>IF($F$11='Tabla Parámetros'!$O$3,'Tabla Construcción Fijos'!F70,IF(Simulador!$F$11='Tabla Parámetros'!$O$4,'Tabla Construcción Crecientes'!F70,))</f>
        <v>0</v>
      </c>
      <c r="G438" s="362"/>
      <c r="H438" s="362">
        <f>IF($F$11='Tabla Parámetros'!$O$3,'Tabla Construcción Fijos'!H70,IF(Simulador!$F$11='Tabla Parámetros'!$O$4,'Tabla Construcción Crecientes'!H70,))</f>
        <v>0</v>
      </c>
      <c r="I438" s="362">
        <f>IF($F$11='Tabla Parámetros'!$O$3,'Tabla Construcción Fijos'!I70,IF(Simulador!$F$11='Tabla Parámetros'!$O$4,'Tabla Construcción Crecientes'!I70,))</f>
        <v>0</v>
      </c>
      <c r="J438" s="362">
        <f>IF($F$11='Tabla Parámetros'!$O$3,'Tabla Construcción Fijos'!J70,IF(Simulador!$F$11='Tabla Parámetros'!$O$4,'Tabla Construcción Crecientes'!J70,))</f>
        <v>0</v>
      </c>
      <c r="K438" s="362">
        <f>IF($F$11='Tabla Parámetros'!$O$3,'Tabla Construcción Fijos'!K70,IF(Simulador!$F$11='Tabla Parámetros'!$O$4,'Tabla Construcción Crecientes'!K70,))</f>
        <v>0</v>
      </c>
      <c r="L438" s="362">
        <f>IF($F$11='Tabla Parámetros'!$O$3,'Tabla Construcción Fijos'!L70,IF(Simulador!$F$11='Tabla Parámetros'!$O$4,'Tabla Construcción Crecientes'!L70,))</f>
        <v>0</v>
      </c>
      <c r="M438" s="362">
        <f>IF($F$11='Tabla Parámetros'!$O$3,'Tabla Construcción Fijos'!M70,IF(Simulador!$F$11='Tabla Parámetros'!$O$4,'Tabla Construcción Crecientes'!M70,))</f>
        <v>0</v>
      </c>
      <c r="N438" s="391">
        <f>IF($F$11='Tabla Parámetros'!$O$3,'Tabla Construcción Fijos'!N70,IF(Simulador!$F$11='Tabla Parámetros'!$O$4,'Tabla Construcción Crecientes'!N70,))</f>
        <v>0</v>
      </c>
      <c r="O438" s="392"/>
      <c r="P438" s="392">
        <f>'Tabla Construcción Fijos'!P70</f>
        <v>0</v>
      </c>
      <c r="Q438" s="362">
        <f>IF($F$11='Tabla Parámetros'!$O$3,'Tabla Construcción Fijos'!Q70,IF(Simulador!$F$11='Tabla Parámetros'!$O$4,'Tabla Construcción Crecientes'!P70,))</f>
        <v>0</v>
      </c>
      <c r="R438" s="362">
        <f>IF($F$11='Tabla Parámetros'!$O$3,'Tabla Construcción Fijos'!R70,IF(Simulador!$F$11='Tabla Parámetros'!$O$4,'Tabla Construcción Crecientes'!Q70,))</f>
        <v>0</v>
      </c>
      <c r="S438" s="272">
        <f t="shared" si="15"/>
        <v>0</v>
      </c>
    </row>
    <row r="439" spans="2:19" ht="15.5" hidden="1" x14ac:dyDescent="0.35">
      <c r="B439" s="378">
        <f t="shared" si="16"/>
        <v>48</v>
      </c>
      <c r="C439" s="378">
        <f t="shared" si="17"/>
        <v>30.4</v>
      </c>
      <c r="D439" s="379">
        <f>IF($F$11='Tabla Parámetros'!$O$3,'Tabla Construcción Fijos'!D71,IF(Simulador!$F$11='Tabla Parámetros'!$O$4,'Tabla Construcción Crecientes'!D71,))</f>
        <v>0</v>
      </c>
      <c r="E439" s="390"/>
      <c r="F439" s="362">
        <f>IF($F$11='Tabla Parámetros'!$O$3,'Tabla Construcción Fijos'!F71,IF(Simulador!$F$11='Tabla Parámetros'!$O$4,'Tabla Construcción Crecientes'!F71,))</f>
        <v>0</v>
      </c>
      <c r="G439" s="362"/>
      <c r="H439" s="362">
        <f>IF($F$11='Tabla Parámetros'!$O$3,'Tabla Construcción Fijos'!H71,IF(Simulador!$F$11='Tabla Parámetros'!$O$4,'Tabla Construcción Crecientes'!H71,))</f>
        <v>0</v>
      </c>
      <c r="I439" s="362">
        <f>IF($F$11='Tabla Parámetros'!$O$3,'Tabla Construcción Fijos'!I71,IF(Simulador!$F$11='Tabla Parámetros'!$O$4,'Tabla Construcción Crecientes'!I71,))</f>
        <v>0</v>
      </c>
      <c r="J439" s="362">
        <f>IF($F$11='Tabla Parámetros'!$O$3,'Tabla Construcción Fijos'!J71,IF(Simulador!$F$11='Tabla Parámetros'!$O$4,'Tabla Construcción Crecientes'!J71,))</f>
        <v>0</v>
      </c>
      <c r="K439" s="362">
        <f>IF($F$11='Tabla Parámetros'!$O$3,'Tabla Construcción Fijos'!K71,IF(Simulador!$F$11='Tabla Parámetros'!$O$4,'Tabla Construcción Crecientes'!K71,))</f>
        <v>0</v>
      </c>
      <c r="L439" s="362">
        <f>IF($F$11='Tabla Parámetros'!$O$3,'Tabla Construcción Fijos'!L71,IF(Simulador!$F$11='Tabla Parámetros'!$O$4,'Tabla Construcción Crecientes'!L71,))</f>
        <v>0</v>
      </c>
      <c r="M439" s="362">
        <f>IF($F$11='Tabla Parámetros'!$O$3,'Tabla Construcción Fijos'!M71,IF(Simulador!$F$11='Tabla Parámetros'!$O$4,'Tabla Construcción Crecientes'!M71,))</f>
        <v>0</v>
      </c>
      <c r="N439" s="391">
        <f>IF($F$11='Tabla Parámetros'!$O$3,'Tabla Construcción Fijos'!N71,IF(Simulador!$F$11='Tabla Parámetros'!$O$4,'Tabla Construcción Crecientes'!N71,))</f>
        <v>0</v>
      </c>
      <c r="O439" s="392"/>
      <c r="P439" s="392">
        <f>'Tabla Construcción Fijos'!P71</f>
        <v>0</v>
      </c>
      <c r="Q439" s="362">
        <f>IF($F$11='Tabla Parámetros'!$O$3,'Tabla Construcción Fijos'!Q71,IF(Simulador!$F$11='Tabla Parámetros'!$O$4,'Tabla Construcción Crecientes'!P71,))</f>
        <v>0</v>
      </c>
      <c r="R439" s="362">
        <f>IF($F$11='Tabla Parámetros'!$O$3,'Tabla Construcción Fijos'!R71,IF(Simulador!$F$11='Tabla Parámetros'!$O$4,'Tabla Construcción Crecientes'!Q71,))</f>
        <v>0</v>
      </c>
      <c r="S439" s="272">
        <f t="shared" si="15"/>
        <v>0</v>
      </c>
    </row>
    <row r="440" spans="2:19" ht="15.5" hidden="1" x14ac:dyDescent="0.35">
      <c r="B440" s="378">
        <f t="shared" si="16"/>
        <v>49</v>
      </c>
      <c r="C440" s="378">
        <f t="shared" si="17"/>
        <v>30.4</v>
      </c>
      <c r="D440" s="379">
        <f>IF($F$11='Tabla Parámetros'!$O$3,'Tabla Construcción Fijos'!D72,IF(Simulador!$F$11='Tabla Parámetros'!$O$4,'Tabla Construcción Crecientes'!D72,))</f>
        <v>0</v>
      </c>
      <c r="E440" s="390"/>
      <c r="F440" s="362">
        <f>IF($F$11='Tabla Parámetros'!$O$3,'Tabla Construcción Fijos'!F72,IF(Simulador!$F$11='Tabla Parámetros'!$O$4,'Tabla Construcción Crecientes'!F72,))</f>
        <v>0</v>
      </c>
      <c r="G440" s="362"/>
      <c r="H440" s="362">
        <f>IF($F$11='Tabla Parámetros'!$O$3,'Tabla Construcción Fijos'!H72,IF(Simulador!$F$11='Tabla Parámetros'!$O$4,'Tabla Construcción Crecientes'!H72,))</f>
        <v>0</v>
      </c>
      <c r="I440" s="362">
        <f>IF($F$11='Tabla Parámetros'!$O$3,'Tabla Construcción Fijos'!I72,IF(Simulador!$F$11='Tabla Parámetros'!$O$4,'Tabla Construcción Crecientes'!I72,))</f>
        <v>0</v>
      </c>
      <c r="J440" s="362">
        <f>IF($F$11='Tabla Parámetros'!$O$3,'Tabla Construcción Fijos'!J72,IF(Simulador!$F$11='Tabla Parámetros'!$O$4,'Tabla Construcción Crecientes'!J72,))</f>
        <v>0</v>
      </c>
      <c r="K440" s="362">
        <f>IF($F$11='Tabla Parámetros'!$O$3,'Tabla Construcción Fijos'!K72,IF(Simulador!$F$11='Tabla Parámetros'!$O$4,'Tabla Construcción Crecientes'!K72,))</f>
        <v>0</v>
      </c>
      <c r="L440" s="362">
        <f>IF($F$11='Tabla Parámetros'!$O$3,'Tabla Construcción Fijos'!L72,IF(Simulador!$F$11='Tabla Parámetros'!$O$4,'Tabla Construcción Crecientes'!L72,))</f>
        <v>0</v>
      </c>
      <c r="M440" s="362">
        <f>IF($F$11='Tabla Parámetros'!$O$3,'Tabla Construcción Fijos'!M72,IF(Simulador!$F$11='Tabla Parámetros'!$O$4,'Tabla Construcción Crecientes'!M72,))</f>
        <v>0</v>
      </c>
      <c r="N440" s="391">
        <f>IF($F$11='Tabla Parámetros'!$O$3,'Tabla Construcción Fijos'!N72,IF(Simulador!$F$11='Tabla Parámetros'!$O$4,'Tabla Construcción Crecientes'!N72,))</f>
        <v>0</v>
      </c>
      <c r="O440" s="392"/>
      <c r="P440" s="392">
        <f>'Tabla Construcción Fijos'!P72</f>
        <v>0</v>
      </c>
      <c r="Q440" s="362">
        <f>IF($F$11='Tabla Parámetros'!$O$3,'Tabla Construcción Fijos'!Q72,IF(Simulador!$F$11='Tabla Parámetros'!$O$4,'Tabla Construcción Crecientes'!P72,))</f>
        <v>0</v>
      </c>
      <c r="R440" s="362">
        <f>IF($F$11='Tabla Parámetros'!$O$3,'Tabla Construcción Fijos'!R72,IF(Simulador!$F$11='Tabla Parámetros'!$O$4,'Tabla Construcción Crecientes'!Q72,))</f>
        <v>0</v>
      </c>
      <c r="S440" s="272">
        <f t="shared" si="15"/>
        <v>0</v>
      </c>
    </row>
    <row r="441" spans="2:19" ht="15.5" hidden="1" x14ac:dyDescent="0.35">
      <c r="B441" s="378">
        <f t="shared" si="16"/>
        <v>50</v>
      </c>
      <c r="C441" s="378">
        <f t="shared" si="17"/>
        <v>30.4</v>
      </c>
      <c r="D441" s="379">
        <f>IF($F$11='Tabla Parámetros'!$O$3,'Tabla Construcción Fijos'!D73,IF(Simulador!$F$11='Tabla Parámetros'!$O$4,'Tabla Construcción Crecientes'!D73,))</f>
        <v>0</v>
      </c>
      <c r="E441" s="390"/>
      <c r="F441" s="362">
        <f>IF($F$11='Tabla Parámetros'!$O$3,'Tabla Construcción Fijos'!F73,IF(Simulador!$F$11='Tabla Parámetros'!$O$4,'Tabla Construcción Crecientes'!F73,))</f>
        <v>0</v>
      </c>
      <c r="G441" s="362"/>
      <c r="H441" s="362">
        <f>IF($F$11='Tabla Parámetros'!$O$3,'Tabla Construcción Fijos'!H73,IF(Simulador!$F$11='Tabla Parámetros'!$O$4,'Tabla Construcción Crecientes'!H73,))</f>
        <v>0</v>
      </c>
      <c r="I441" s="362">
        <f>IF($F$11='Tabla Parámetros'!$O$3,'Tabla Construcción Fijos'!I73,IF(Simulador!$F$11='Tabla Parámetros'!$O$4,'Tabla Construcción Crecientes'!I73,))</f>
        <v>0</v>
      </c>
      <c r="J441" s="362">
        <f>IF($F$11='Tabla Parámetros'!$O$3,'Tabla Construcción Fijos'!J73,IF(Simulador!$F$11='Tabla Parámetros'!$O$4,'Tabla Construcción Crecientes'!J73,))</f>
        <v>0</v>
      </c>
      <c r="K441" s="362">
        <f>IF($F$11='Tabla Parámetros'!$O$3,'Tabla Construcción Fijos'!K73,IF(Simulador!$F$11='Tabla Parámetros'!$O$4,'Tabla Construcción Crecientes'!K73,))</f>
        <v>0</v>
      </c>
      <c r="L441" s="362">
        <f>IF($F$11='Tabla Parámetros'!$O$3,'Tabla Construcción Fijos'!L73,IF(Simulador!$F$11='Tabla Parámetros'!$O$4,'Tabla Construcción Crecientes'!L73,))</f>
        <v>0</v>
      </c>
      <c r="M441" s="362">
        <f>IF($F$11='Tabla Parámetros'!$O$3,'Tabla Construcción Fijos'!M73,IF(Simulador!$F$11='Tabla Parámetros'!$O$4,'Tabla Construcción Crecientes'!M73,))</f>
        <v>0</v>
      </c>
      <c r="N441" s="391">
        <f>IF($F$11='Tabla Parámetros'!$O$3,'Tabla Construcción Fijos'!N73,IF(Simulador!$F$11='Tabla Parámetros'!$O$4,'Tabla Construcción Crecientes'!N73,))</f>
        <v>0</v>
      </c>
      <c r="O441" s="392"/>
      <c r="P441" s="392">
        <f>'Tabla Construcción Fijos'!P73</f>
        <v>0</v>
      </c>
      <c r="Q441" s="362">
        <f>IF($F$11='Tabla Parámetros'!$O$3,'Tabla Construcción Fijos'!Q73,IF(Simulador!$F$11='Tabla Parámetros'!$O$4,'Tabla Construcción Crecientes'!P73,))</f>
        <v>0</v>
      </c>
      <c r="R441" s="362">
        <f>IF($F$11='Tabla Parámetros'!$O$3,'Tabla Construcción Fijos'!R73,IF(Simulador!$F$11='Tabla Parámetros'!$O$4,'Tabla Construcción Crecientes'!Q73,))</f>
        <v>0</v>
      </c>
      <c r="S441" s="272">
        <f t="shared" si="15"/>
        <v>0</v>
      </c>
    </row>
    <row r="442" spans="2:19" ht="15.5" hidden="1" x14ac:dyDescent="0.35">
      <c r="B442" s="378">
        <f t="shared" si="16"/>
        <v>51</v>
      </c>
      <c r="C442" s="378">
        <f t="shared" si="17"/>
        <v>30.4</v>
      </c>
      <c r="D442" s="379">
        <f>IF($F$11='Tabla Parámetros'!$O$3,'Tabla Construcción Fijos'!D74,IF(Simulador!$F$11='Tabla Parámetros'!$O$4,'Tabla Construcción Crecientes'!D74,))</f>
        <v>0</v>
      </c>
      <c r="E442" s="390"/>
      <c r="F442" s="362">
        <f>IF($F$11='Tabla Parámetros'!$O$3,'Tabla Construcción Fijos'!F74,IF(Simulador!$F$11='Tabla Parámetros'!$O$4,'Tabla Construcción Crecientes'!F74,))</f>
        <v>0</v>
      </c>
      <c r="G442" s="362"/>
      <c r="H442" s="362">
        <f>IF($F$11='Tabla Parámetros'!$O$3,'Tabla Construcción Fijos'!H74,IF(Simulador!$F$11='Tabla Parámetros'!$O$4,'Tabla Construcción Crecientes'!H74,))</f>
        <v>0</v>
      </c>
      <c r="I442" s="362">
        <f>IF($F$11='Tabla Parámetros'!$O$3,'Tabla Construcción Fijos'!I74,IF(Simulador!$F$11='Tabla Parámetros'!$O$4,'Tabla Construcción Crecientes'!I74,))</f>
        <v>0</v>
      </c>
      <c r="J442" s="362">
        <f>IF($F$11='Tabla Parámetros'!$O$3,'Tabla Construcción Fijos'!J74,IF(Simulador!$F$11='Tabla Parámetros'!$O$4,'Tabla Construcción Crecientes'!J74,))</f>
        <v>0</v>
      </c>
      <c r="K442" s="362">
        <f>IF($F$11='Tabla Parámetros'!$O$3,'Tabla Construcción Fijos'!K74,IF(Simulador!$F$11='Tabla Parámetros'!$O$4,'Tabla Construcción Crecientes'!K74,))</f>
        <v>0</v>
      </c>
      <c r="L442" s="362">
        <f>IF($F$11='Tabla Parámetros'!$O$3,'Tabla Construcción Fijos'!L74,IF(Simulador!$F$11='Tabla Parámetros'!$O$4,'Tabla Construcción Crecientes'!L74,))</f>
        <v>0</v>
      </c>
      <c r="M442" s="362">
        <f>IF($F$11='Tabla Parámetros'!$O$3,'Tabla Construcción Fijos'!M74,IF(Simulador!$F$11='Tabla Parámetros'!$O$4,'Tabla Construcción Crecientes'!M74,))</f>
        <v>0</v>
      </c>
      <c r="N442" s="391">
        <f>IF($F$11='Tabla Parámetros'!$O$3,'Tabla Construcción Fijos'!N74,IF(Simulador!$F$11='Tabla Parámetros'!$O$4,'Tabla Construcción Crecientes'!N74,))</f>
        <v>0</v>
      </c>
      <c r="O442" s="392"/>
      <c r="P442" s="392">
        <f>'Tabla Construcción Fijos'!P74</f>
        <v>0</v>
      </c>
      <c r="Q442" s="362">
        <f>IF($F$11='Tabla Parámetros'!$O$3,'Tabla Construcción Fijos'!Q74,IF(Simulador!$F$11='Tabla Parámetros'!$O$4,'Tabla Construcción Crecientes'!P74,))</f>
        <v>0</v>
      </c>
      <c r="R442" s="362">
        <f>IF($F$11='Tabla Parámetros'!$O$3,'Tabla Construcción Fijos'!R74,IF(Simulador!$F$11='Tabla Parámetros'!$O$4,'Tabla Construcción Crecientes'!Q74,))</f>
        <v>0</v>
      </c>
      <c r="S442" s="272">
        <f t="shared" si="15"/>
        <v>0</v>
      </c>
    </row>
    <row r="443" spans="2:19" ht="15.5" hidden="1" x14ac:dyDescent="0.35">
      <c r="B443" s="378">
        <f t="shared" si="16"/>
        <v>52</v>
      </c>
      <c r="C443" s="378">
        <f t="shared" si="17"/>
        <v>30.4</v>
      </c>
      <c r="D443" s="379">
        <f>IF($F$11='Tabla Parámetros'!$O$3,'Tabla Construcción Fijos'!D75,IF(Simulador!$F$11='Tabla Parámetros'!$O$4,'Tabla Construcción Crecientes'!D75,))</f>
        <v>0</v>
      </c>
      <c r="E443" s="390"/>
      <c r="F443" s="362">
        <f>IF($F$11='Tabla Parámetros'!$O$3,'Tabla Construcción Fijos'!F75,IF(Simulador!$F$11='Tabla Parámetros'!$O$4,'Tabla Construcción Crecientes'!F75,))</f>
        <v>0</v>
      </c>
      <c r="G443" s="362"/>
      <c r="H443" s="362">
        <f>IF($F$11='Tabla Parámetros'!$O$3,'Tabla Construcción Fijos'!H75,IF(Simulador!$F$11='Tabla Parámetros'!$O$4,'Tabla Construcción Crecientes'!H75,))</f>
        <v>0</v>
      </c>
      <c r="I443" s="362">
        <f>IF($F$11='Tabla Parámetros'!$O$3,'Tabla Construcción Fijos'!I75,IF(Simulador!$F$11='Tabla Parámetros'!$O$4,'Tabla Construcción Crecientes'!I75,))</f>
        <v>0</v>
      </c>
      <c r="J443" s="362">
        <f>IF($F$11='Tabla Parámetros'!$O$3,'Tabla Construcción Fijos'!J75,IF(Simulador!$F$11='Tabla Parámetros'!$O$4,'Tabla Construcción Crecientes'!J75,))</f>
        <v>0</v>
      </c>
      <c r="K443" s="362">
        <f>IF($F$11='Tabla Parámetros'!$O$3,'Tabla Construcción Fijos'!K75,IF(Simulador!$F$11='Tabla Parámetros'!$O$4,'Tabla Construcción Crecientes'!K75,))</f>
        <v>0</v>
      </c>
      <c r="L443" s="362">
        <f>IF($F$11='Tabla Parámetros'!$O$3,'Tabla Construcción Fijos'!L75,IF(Simulador!$F$11='Tabla Parámetros'!$O$4,'Tabla Construcción Crecientes'!L75,))</f>
        <v>0</v>
      </c>
      <c r="M443" s="362">
        <f>IF($F$11='Tabla Parámetros'!$O$3,'Tabla Construcción Fijos'!M75,IF(Simulador!$F$11='Tabla Parámetros'!$O$4,'Tabla Construcción Crecientes'!M75,))</f>
        <v>0</v>
      </c>
      <c r="N443" s="391">
        <f>IF($F$11='Tabla Parámetros'!$O$3,'Tabla Construcción Fijos'!N75,IF(Simulador!$F$11='Tabla Parámetros'!$O$4,'Tabla Construcción Crecientes'!N75,))</f>
        <v>0</v>
      </c>
      <c r="O443" s="392"/>
      <c r="P443" s="392">
        <f>'Tabla Construcción Fijos'!P75</f>
        <v>0</v>
      </c>
      <c r="Q443" s="362">
        <f>IF($F$11='Tabla Parámetros'!$O$3,'Tabla Construcción Fijos'!Q75,IF(Simulador!$F$11='Tabla Parámetros'!$O$4,'Tabla Construcción Crecientes'!P75,))</f>
        <v>0</v>
      </c>
      <c r="R443" s="362">
        <f>IF($F$11='Tabla Parámetros'!$O$3,'Tabla Construcción Fijos'!R75,IF(Simulador!$F$11='Tabla Parámetros'!$O$4,'Tabla Construcción Crecientes'!Q75,))</f>
        <v>0</v>
      </c>
      <c r="S443" s="272">
        <f t="shared" si="15"/>
        <v>0</v>
      </c>
    </row>
    <row r="444" spans="2:19" ht="15.5" hidden="1" x14ac:dyDescent="0.35">
      <c r="B444" s="378">
        <f t="shared" si="16"/>
        <v>53</v>
      </c>
      <c r="C444" s="378">
        <f t="shared" si="17"/>
        <v>30.4</v>
      </c>
      <c r="D444" s="379">
        <f>IF($F$11='Tabla Parámetros'!$O$3,'Tabla Construcción Fijos'!D76,IF(Simulador!$F$11='Tabla Parámetros'!$O$4,'Tabla Construcción Crecientes'!D76,))</f>
        <v>0</v>
      </c>
      <c r="E444" s="390"/>
      <c r="F444" s="362">
        <f>IF($F$11='Tabla Parámetros'!$O$3,'Tabla Construcción Fijos'!F76,IF(Simulador!$F$11='Tabla Parámetros'!$O$4,'Tabla Construcción Crecientes'!F76,))</f>
        <v>0</v>
      </c>
      <c r="G444" s="362"/>
      <c r="H444" s="362">
        <f>IF($F$11='Tabla Parámetros'!$O$3,'Tabla Construcción Fijos'!H76,IF(Simulador!$F$11='Tabla Parámetros'!$O$4,'Tabla Construcción Crecientes'!H76,))</f>
        <v>0</v>
      </c>
      <c r="I444" s="362">
        <f>IF($F$11='Tabla Parámetros'!$O$3,'Tabla Construcción Fijos'!I76,IF(Simulador!$F$11='Tabla Parámetros'!$O$4,'Tabla Construcción Crecientes'!I76,))</f>
        <v>0</v>
      </c>
      <c r="J444" s="362">
        <f>IF($F$11='Tabla Parámetros'!$O$3,'Tabla Construcción Fijos'!J76,IF(Simulador!$F$11='Tabla Parámetros'!$O$4,'Tabla Construcción Crecientes'!J76,))</f>
        <v>0</v>
      </c>
      <c r="K444" s="362">
        <f>IF($F$11='Tabla Parámetros'!$O$3,'Tabla Construcción Fijos'!K76,IF(Simulador!$F$11='Tabla Parámetros'!$O$4,'Tabla Construcción Crecientes'!K76,))</f>
        <v>0</v>
      </c>
      <c r="L444" s="362">
        <f>IF($F$11='Tabla Parámetros'!$O$3,'Tabla Construcción Fijos'!L76,IF(Simulador!$F$11='Tabla Parámetros'!$O$4,'Tabla Construcción Crecientes'!L76,))</f>
        <v>0</v>
      </c>
      <c r="M444" s="362">
        <f>IF($F$11='Tabla Parámetros'!$O$3,'Tabla Construcción Fijos'!M76,IF(Simulador!$F$11='Tabla Parámetros'!$O$4,'Tabla Construcción Crecientes'!M76,))</f>
        <v>0</v>
      </c>
      <c r="N444" s="391">
        <f>IF($F$11='Tabla Parámetros'!$O$3,'Tabla Construcción Fijos'!N76,IF(Simulador!$F$11='Tabla Parámetros'!$O$4,'Tabla Construcción Crecientes'!N76,))</f>
        <v>0</v>
      </c>
      <c r="O444" s="392"/>
      <c r="P444" s="392">
        <f>'Tabla Construcción Fijos'!P76</f>
        <v>0</v>
      </c>
      <c r="Q444" s="362">
        <f>IF($F$11='Tabla Parámetros'!$O$3,'Tabla Construcción Fijos'!Q76,IF(Simulador!$F$11='Tabla Parámetros'!$O$4,'Tabla Construcción Crecientes'!P76,))</f>
        <v>0</v>
      </c>
      <c r="R444" s="362">
        <f>IF($F$11='Tabla Parámetros'!$O$3,'Tabla Construcción Fijos'!R76,IF(Simulador!$F$11='Tabla Parámetros'!$O$4,'Tabla Construcción Crecientes'!Q76,))</f>
        <v>0</v>
      </c>
      <c r="S444" s="272">
        <f t="shared" si="15"/>
        <v>0</v>
      </c>
    </row>
    <row r="445" spans="2:19" ht="15.5" hidden="1" x14ac:dyDescent="0.35">
      <c r="B445" s="378">
        <f t="shared" si="16"/>
        <v>54</v>
      </c>
      <c r="C445" s="378">
        <f t="shared" si="17"/>
        <v>30.4</v>
      </c>
      <c r="D445" s="379">
        <f>IF($F$11='Tabla Parámetros'!$O$3,'Tabla Construcción Fijos'!D77,IF(Simulador!$F$11='Tabla Parámetros'!$O$4,'Tabla Construcción Crecientes'!D77,))</f>
        <v>0</v>
      </c>
      <c r="E445" s="390"/>
      <c r="F445" s="362">
        <f>IF($F$11='Tabla Parámetros'!$O$3,'Tabla Construcción Fijos'!F77,IF(Simulador!$F$11='Tabla Parámetros'!$O$4,'Tabla Construcción Crecientes'!F77,))</f>
        <v>0</v>
      </c>
      <c r="G445" s="362"/>
      <c r="H445" s="362">
        <f>IF($F$11='Tabla Parámetros'!$O$3,'Tabla Construcción Fijos'!H77,IF(Simulador!$F$11='Tabla Parámetros'!$O$4,'Tabla Construcción Crecientes'!H77,))</f>
        <v>0</v>
      </c>
      <c r="I445" s="362">
        <f>IF($F$11='Tabla Parámetros'!$O$3,'Tabla Construcción Fijos'!I77,IF(Simulador!$F$11='Tabla Parámetros'!$O$4,'Tabla Construcción Crecientes'!I77,))</f>
        <v>0</v>
      </c>
      <c r="J445" s="362">
        <f>IF($F$11='Tabla Parámetros'!$O$3,'Tabla Construcción Fijos'!J77,IF(Simulador!$F$11='Tabla Parámetros'!$O$4,'Tabla Construcción Crecientes'!J77,))</f>
        <v>0</v>
      </c>
      <c r="K445" s="362">
        <f>IF($F$11='Tabla Parámetros'!$O$3,'Tabla Construcción Fijos'!K77,IF(Simulador!$F$11='Tabla Parámetros'!$O$4,'Tabla Construcción Crecientes'!K77,))</f>
        <v>0</v>
      </c>
      <c r="L445" s="362">
        <f>IF($F$11='Tabla Parámetros'!$O$3,'Tabla Construcción Fijos'!L77,IF(Simulador!$F$11='Tabla Parámetros'!$O$4,'Tabla Construcción Crecientes'!L77,))</f>
        <v>0</v>
      </c>
      <c r="M445" s="362">
        <f>IF($F$11='Tabla Parámetros'!$O$3,'Tabla Construcción Fijos'!M77,IF(Simulador!$F$11='Tabla Parámetros'!$O$4,'Tabla Construcción Crecientes'!M77,))</f>
        <v>0</v>
      </c>
      <c r="N445" s="391">
        <f>IF($F$11='Tabla Parámetros'!$O$3,'Tabla Construcción Fijos'!N77,IF(Simulador!$F$11='Tabla Parámetros'!$O$4,'Tabla Construcción Crecientes'!N77,))</f>
        <v>0</v>
      </c>
      <c r="O445" s="392"/>
      <c r="P445" s="392">
        <f>'Tabla Construcción Fijos'!P77</f>
        <v>0</v>
      </c>
      <c r="Q445" s="362">
        <f>IF($F$11='Tabla Parámetros'!$O$3,'Tabla Construcción Fijos'!Q77,IF(Simulador!$F$11='Tabla Parámetros'!$O$4,'Tabla Construcción Crecientes'!P77,))</f>
        <v>0</v>
      </c>
      <c r="R445" s="362">
        <f>IF($F$11='Tabla Parámetros'!$O$3,'Tabla Construcción Fijos'!R77,IF(Simulador!$F$11='Tabla Parámetros'!$O$4,'Tabla Construcción Crecientes'!Q77,))</f>
        <v>0</v>
      </c>
      <c r="S445" s="272">
        <f t="shared" si="15"/>
        <v>0</v>
      </c>
    </row>
    <row r="446" spans="2:19" ht="15.5" hidden="1" x14ac:dyDescent="0.35">
      <c r="B446" s="378">
        <f t="shared" si="16"/>
        <v>55</v>
      </c>
      <c r="C446" s="378">
        <f t="shared" si="17"/>
        <v>30.4</v>
      </c>
      <c r="D446" s="379">
        <f>IF($F$11='Tabla Parámetros'!$O$3,'Tabla Construcción Fijos'!D78,IF(Simulador!$F$11='Tabla Parámetros'!$O$4,'Tabla Construcción Crecientes'!D78,))</f>
        <v>0</v>
      </c>
      <c r="E446" s="390"/>
      <c r="F446" s="362">
        <f>IF($F$11='Tabla Parámetros'!$O$3,'Tabla Construcción Fijos'!F78,IF(Simulador!$F$11='Tabla Parámetros'!$O$4,'Tabla Construcción Crecientes'!F78,))</f>
        <v>0</v>
      </c>
      <c r="G446" s="362"/>
      <c r="H446" s="362">
        <f>IF($F$11='Tabla Parámetros'!$O$3,'Tabla Construcción Fijos'!H78,IF(Simulador!$F$11='Tabla Parámetros'!$O$4,'Tabla Construcción Crecientes'!H78,))</f>
        <v>0</v>
      </c>
      <c r="I446" s="362">
        <f>IF($F$11='Tabla Parámetros'!$O$3,'Tabla Construcción Fijos'!I78,IF(Simulador!$F$11='Tabla Parámetros'!$O$4,'Tabla Construcción Crecientes'!I78,))</f>
        <v>0</v>
      </c>
      <c r="J446" s="362">
        <f>IF($F$11='Tabla Parámetros'!$O$3,'Tabla Construcción Fijos'!J78,IF(Simulador!$F$11='Tabla Parámetros'!$O$4,'Tabla Construcción Crecientes'!J78,))</f>
        <v>0</v>
      </c>
      <c r="K446" s="362">
        <f>IF($F$11='Tabla Parámetros'!$O$3,'Tabla Construcción Fijos'!K78,IF(Simulador!$F$11='Tabla Parámetros'!$O$4,'Tabla Construcción Crecientes'!K78,))</f>
        <v>0</v>
      </c>
      <c r="L446" s="362">
        <f>IF($F$11='Tabla Parámetros'!$O$3,'Tabla Construcción Fijos'!L78,IF(Simulador!$F$11='Tabla Parámetros'!$O$4,'Tabla Construcción Crecientes'!L78,))</f>
        <v>0</v>
      </c>
      <c r="M446" s="362">
        <f>IF($F$11='Tabla Parámetros'!$O$3,'Tabla Construcción Fijos'!M78,IF(Simulador!$F$11='Tabla Parámetros'!$O$4,'Tabla Construcción Crecientes'!M78,))</f>
        <v>0</v>
      </c>
      <c r="N446" s="391">
        <f>IF($F$11='Tabla Parámetros'!$O$3,'Tabla Construcción Fijos'!N78,IF(Simulador!$F$11='Tabla Parámetros'!$O$4,'Tabla Construcción Crecientes'!N78,))</f>
        <v>0</v>
      </c>
      <c r="O446" s="392"/>
      <c r="P446" s="392">
        <f>'Tabla Construcción Fijos'!P78</f>
        <v>0</v>
      </c>
      <c r="Q446" s="362">
        <f>IF($F$11='Tabla Parámetros'!$O$3,'Tabla Construcción Fijos'!Q78,IF(Simulador!$F$11='Tabla Parámetros'!$O$4,'Tabla Construcción Crecientes'!P78,))</f>
        <v>0</v>
      </c>
      <c r="R446" s="362">
        <f>IF($F$11='Tabla Parámetros'!$O$3,'Tabla Construcción Fijos'!R78,IF(Simulador!$F$11='Tabla Parámetros'!$O$4,'Tabla Construcción Crecientes'!Q78,))</f>
        <v>0</v>
      </c>
      <c r="S446" s="272">
        <f t="shared" si="15"/>
        <v>0</v>
      </c>
    </row>
    <row r="447" spans="2:19" ht="15.5" hidden="1" x14ac:dyDescent="0.35">
      <c r="B447" s="378">
        <f t="shared" si="16"/>
        <v>56</v>
      </c>
      <c r="C447" s="378">
        <f t="shared" si="17"/>
        <v>30.4</v>
      </c>
      <c r="D447" s="379">
        <f>IF($F$11='Tabla Parámetros'!$O$3,'Tabla Construcción Fijos'!D79,IF(Simulador!$F$11='Tabla Parámetros'!$O$4,'Tabla Construcción Crecientes'!D79,))</f>
        <v>0</v>
      </c>
      <c r="E447" s="390"/>
      <c r="F447" s="362">
        <f>IF($F$11='Tabla Parámetros'!$O$3,'Tabla Construcción Fijos'!F79,IF(Simulador!$F$11='Tabla Parámetros'!$O$4,'Tabla Construcción Crecientes'!F79,))</f>
        <v>0</v>
      </c>
      <c r="G447" s="362"/>
      <c r="H447" s="362">
        <f>IF($F$11='Tabla Parámetros'!$O$3,'Tabla Construcción Fijos'!H79,IF(Simulador!$F$11='Tabla Parámetros'!$O$4,'Tabla Construcción Crecientes'!H79,))</f>
        <v>0</v>
      </c>
      <c r="I447" s="362">
        <f>IF($F$11='Tabla Parámetros'!$O$3,'Tabla Construcción Fijos'!I79,IF(Simulador!$F$11='Tabla Parámetros'!$O$4,'Tabla Construcción Crecientes'!I79,))</f>
        <v>0</v>
      </c>
      <c r="J447" s="362">
        <f>IF($F$11='Tabla Parámetros'!$O$3,'Tabla Construcción Fijos'!J79,IF(Simulador!$F$11='Tabla Parámetros'!$O$4,'Tabla Construcción Crecientes'!J79,))</f>
        <v>0</v>
      </c>
      <c r="K447" s="362">
        <f>IF($F$11='Tabla Parámetros'!$O$3,'Tabla Construcción Fijos'!K79,IF(Simulador!$F$11='Tabla Parámetros'!$O$4,'Tabla Construcción Crecientes'!K79,))</f>
        <v>0</v>
      </c>
      <c r="L447" s="362">
        <f>IF($F$11='Tabla Parámetros'!$O$3,'Tabla Construcción Fijos'!L79,IF(Simulador!$F$11='Tabla Parámetros'!$O$4,'Tabla Construcción Crecientes'!L79,))</f>
        <v>0</v>
      </c>
      <c r="M447" s="362">
        <f>IF($F$11='Tabla Parámetros'!$O$3,'Tabla Construcción Fijos'!M79,IF(Simulador!$F$11='Tabla Parámetros'!$O$4,'Tabla Construcción Crecientes'!M79,))</f>
        <v>0</v>
      </c>
      <c r="N447" s="391">
        <f>IF($F$11='Tabla Parámetros'!$O$3,'Tabla Construcción Fijos'!N79,IF(Simulador!$F$11='Tabla Parámetros'!$O$4,'Tabla Construcción Crecientes'!N79,))</f>
        <v>0</v>
      </c>
      <c r="O447" s="392"/>
      <c r="P447" s="392">
        <f>'Tabla Construcción Fijos'!P79</f>
        <v>0</v>
      </c>
      <c r="Q447" s="362">
        <f>IF($F$11='Tabla Parámetros'!$O$3,'Tabla Construcción Fijos'!Q79,IF(Simulador!$F$11='Tabla Parámetros'!$O$4,'Tabla Construcción Crecientes'!P79,))</f>
        <v>0</v>
      </c>
      <c r="R447" s="362">
        <f>IF($F$11='Tabla Parámetros'!$O$3,'Tabla Construcción Fijos'!R79,IF(Simulador!$F$11='Tabla Parámetros'!$O$4,'Tabla Construcción Crecientes'!Q79,))</f>
        <v>0</v>
      </c>
      <c r="S447" s="272">
        <f t="shared" si="15"/>
        <v>0</v>
      </c>
    </row>
    <row r="448" spans="2:19" ht="15.5" hidden="1" x14ac:dyDescent="0.35">
      <c r="B448" s="378">
        <f t="shared" si="16"/>
        <v>57</v>
      </c>
      <c r="C448" s="378">
        <f t="shared" si="17"/>
        <v>30.4</v>
      </c>
      <c r="D448" s="379">
        <f>IF($F$11='Tabla Parámetros'!$O$3,'Tabla Construcción Fijos'!D80,IF(Simulador!$F$11='Tabla Parámetros'!$O$4,'Tabla Construcción Crecientes'!D80,))</f>
        <v>0</v>
      </c>
      <c r="E448" s="390"/>
      <c r="F448" s="362">
        <f>IF($F$11='Tabla Parámetros'!$O$3,'Tabla Construcción Fijos'!F80,IF(Simulador!$F$11='Tabla Parámetros'!$O$4,'Tabla Construcción Crecientes'!F80,))</f>
        <v>0</v>
      </c>
      <c r="G448" s="362"/>
      <c r="H448" s="362">
        <f>IF($F$11='Tabla Parámetros'!$O$3,'Tabla Construcción Fijos'!H80,IF(Simulador!$F$11='Tabla Parámetros'!$O$4,'Tabla Construcción Crecientes'!H80,))</f>
        <v>0</v>
      </c>
      <c r="I448" s="362">
        <f>IF($F$11='Tabla Parámetros'!$O$3,'Tabla Construcción Fijos'!I80,IF(Simulador!$F$11='Tabla Parámetros'!$O$4,'Tabla Construcción Crecientes'!I80,))</f>
        <v>0</v>
      </c>
      <c r="J448" s="362">
        <f>IF($F$11='Tabla Parámetros'!$O$3,'Tabla Construcción Fijos'!J80,IF(Simulador!$F$11='Tabla Parámetros'!$O$4,'Tabla Construcción Crecientes'!J80,))</f>
        <v>0</v>
      </c>
      <c r="K448" s="362">
        <f>IF($F$11='Tabla Parámetros'!$O$3,'Tabla Construcción Fijos'!K80,IF(Simulador!$F$11='Tabla Parámetros'!$O$4,'Tabla Construcción Crecientes'!K80,))</f>
        <v>0</v>
      </c>
      <c r="L448" s="362">
        <f>IF($F$11='Tabla Parámetros'!$O$3,'Tabla Construcción Fijos'!L80,IF(Simulador!$F$11='Tabla Parámetros'!$O$4,'Tabla Construcción Crecientes'!L80,))</f>
        <v>0</v>
      </c>
      <c r="M448" s="362">
        <f>IF($F$11='Tabla Parámetros'!$O$3,'Tabla Construcción Fijos'!M80,IF(Simulador!$F$11='Tabla Parámetros'!$O$4,'Tabla Construcción Crecientes'!M80,))</f>
        <v>0</v>
      </c>
      <c r="N448" s="391">
        <f>IF($F$11='Tabla Parámetros'!$O$3,'Tabla Construcción Fijos'!N80,IF(Simulador!$F$11='Tabla Parámetros'!$O$4,'Tabla Construcción Crecientes'!N80,))</f>
        <v>0</v>
      </c>
      <c r="O448" s="392"/>
      <c r="P448" s="392">
        <f>'Tabla Construcción Fijos'!P80</f>
        <v>0</v>
      </c>
      <c r="Q448" s="362">
        <f>IF($F$11='Tabla Parámetros'!$O$3,'Tabla Construcción Fijos'!Q80,IF(Simulador!$F$11='Tabla Parámetros'!$O$4,'Tabla Construcción Crecientes'!P80,))</f>
        <v>0</v>
      </c>
      <c r="R448" s="362">
        <f>IF($F$11='Tabla Parámetros'!$O$3,'Tabla Construcción Fijos'!R80,IF(Simulador!$F$11='Tabla Parámetros'!$O$4,'Tabla Construcción Crecientes'!Q80,))</f>
        <v>0</v>
      </c>
      <c r="S448" s="272">
        <f t="shared" si="15"/>
        <v>0</v>
      </c>
    </row>
    <row r="449" spans="2:19" ht="15.5" hidden="1" x14ac:dyDescent="0.35">
      <c r="B449" s="378">
        <f t="shared" si="16"/>
        <v>58</v>
      </c>
      <c r="C449" s="378">
        <f t="shared" si="17"/>
        <v>30.4</v>
      </c>
      <c r="D449" s="379">
        <f>IF($F$11='Tabla Parámetros'!$O$3,'Tabla Construcción Fijos'!D81,IF(Simulador!$F$11='Tabla Parámetros'!$O$4,'Tabla Construcción Crecientes'!D81,))</f>
        <v>0</v>
      </c>
      <c r="E449" s="390"/>
      <c r="F449" s="362">
        <f>IF($F$11='Tabla Parámetros'!$O$3,'Tabla Construcción Fijos'!F81,IF(Simulador!$F$11='Tabla Parámetros'!$O$4,'Tabla Construcción Crecientes'!F81,))</f>
        <v>0</v>
      </c>
      <c r="G449" s="362"/>
      <c r="H449" s="362">
        <f>IF($F$11='Tabla Parámetros'!$O$3,'Tabla Construcción Fijos'!H81,IF(Simulador!$F$11='Tabla Parámetros'!$O$4,'Tabla Construcción Crecientes'!H81,))</f>
        <v>0</v>
      </c>
      <c r="I449" s="362">
        <f>IF($F$11='Tabla Parámetros'!$O$3,'Tabla Construcción Fijos'!I81,IF(Simulador!$F$11='Tabla Parámetros'!$O$4,'Tabla Construcción Crecientes'!I81,))</f>
        <v>0</v>
      </c>
      <c r="J449" s="362">
        <f>IF($F$11='Tabla Parámetros'!$O$3,'Tabla Construcción Fijos'!J81,IF(Simulador!$F$11='Tabla Parámetros'!$O$4,'Tabla Construcción Crecientes'!J81,))</f>
        <v>0</v>
      </c>
      <c r="K449" s="362">
        <f>IF($F$11='Tabla Parámetros'!$O$3,'Tabla Construcción Fijos'!K81,IF(Simulador!$F$11='Tabla Parámetros'!$O$4,'Tabla Construcción Crecientes'!K81,))</f>
        <v>0</v>
      </c>
      <c r="L449" s="362">
        <f>IF($F$11='Tabla Parámetros'!$O$3,'Tabla Construcción Fijos'!L81,IF(Simulador!$F$11='Tabla Parámetros'!$O$4,'Tabla Construcción Crecientes'!L81,))</f>
        <v>0</v>
      </c>
      <c r="M449" s="362">
        <f>IF($F$11='Tabla Parámetros'!$O$3,'Tabla Construcción Fijos'!M81,IF(Simulador!$F$11='Tabla Parámetros'!$O$4,'Tabla Construcción Crecientes'!M81,))</f>
        <v>0</v>
      </c>
      <c r="N449" s="391">
        <f>IF($F$11='Tabla Parámetros'!$O$3,'Tabla Construcción Fijos'!N81,IF(Simulador!$F$11='Tabla Parámetros'!$O$4,'Tabla Construcción Crecientes'!N81,))</f>
        <v>0</v>
      </c>
      <c r="O449" s="392"/>
      <c r="P449" s="392">
        <f>'Tabla Construcción Fijos'!P81</f>
        <v>0</v>
      </c>
      <c r="Q449" s="362">
        <f>IF($F$11='Tabla Parámetros'!$O$3,'Tabla Construcción Fijos'!Q81,IF(Simulador!$F$11='Tabla Parámetros'!$O$4,'Tabla Construcción Crecientes'!P81,))</f>
        <v>0</v>
      </c>
      <c r="R449" s="362">
        <f>IF($F$11='Tabla Parámetros'!$O$3,'Tabla Construcción Fijos'!R81,IF(Simulador!$F$11='Tabla Parámetros'!$O$4,'Tabla Construcción Crecientes'!Q81,))</f>
        <v>0</v>
      </c>
      <c r="S449" s="272">
        <f t="shared" si="15"/>
        <v>0</v>
      </c>
    </row>
    <row r="450" spans="2:19" ht="15.5" hidden="1" x14ac:dyDescent="0.35">
      <c r="B450" s="378">
        <f t="shared" si="16"/>
        <v>59</v>
      </c>
      <c r="C450" s="378">
        <f t="shared" si="17"/>
        <v>30.4</v>
      </c>
      <c r="D450" s="379">
        <f>IF($F$11='Tabla Parámetros'!$O$3,'Tabla Construcción Fijos'!D82,IF(Simulador!$F$11='Tabla Parámetros'!$O$4,'Tabla Construcción Crecientes'!D82,))</f>
        <v>0</v>
      </c>
      <c r="E450" s="390"/>
      <c r="F450" s="362">
        <f>IF($F$11='Tabla Parámetros'!$O$3,'Tabla Construcción Fijos'!F82,IF(Simulador!$F$11='Tabla Parámetros'!$O$4,'Tabla Construcción Crecientes'!F82,))</f>
        <v>0</v>
      </c>
      <c r="G450" s="362"/>
      <c r="H450" s="362">
        <f>IF($F$11='Tabla Parámetros'!$O$3,'Tabla Construcción Fijos'!H82,IF(Simulador!$F$11='Tabla Parámetros'!$O$4,'Tabla Construcción Crecientes'!H82,))</f>
        <v>0</v>
      </c>
      <c r="I450" s="362">
        <f>IF($F$11='Tabla Parámetros'!$O$3,'Tabla Construcción Fijos'!I82,IF(Simulador!$F$11='Tabla Parámetros'!$O$4,'Tabla Construcción Crecientes'!I82,))</f>
        <v>0</v>
      </c>
      <c r="J450" s="362">
        <f>IF($F$11='Tabla Parámetros'!$O$3,'Tabla Construcción Fijos'!J82,IF(Simulador!$F$11='Tabla Parámetros'!$O$4,'Tabla Construcción Crecientes'!J82,))</f>
        <v>0</v>
      </c>
      <c r="K450" s="362">
        <f>IF($F$11='Tabla Parámetros'!$O$3,'Tabla Construcción Fijos'!K82,IF(Simulador!$F$11='Tabla Parámetros'!$O$4,'Tabla Construcción Crecientes'!K82,))</f>
        <v>0</v>
      </c>
      <c r="L450" s="362">
        <f>IF($F$11='Tabla Parámetros'!$O$3,'Tabla Construcción Fijos'!L82,IF(Simulador!$F$11='Tabla Parámetros'!$O$4,'Tabla Construcción Crecientes'!L82,))</f>
        <v>0</v>
      </c>
      <c r="M450" s="362">
        <f>IF($F$11='Tabla Parámetros'!$O$3,'Tabla Construcción Fijos'!M82,IF(Simulador!$F$11='Tabla Parámetros'!$O$4,'Tabla Construcción Crecientes'!M82,))</f>
        <v>0</v>
      </c>
      <c r="N450" s="391">
        <f>IF($F$11='Tabla Parámetros'!$O$3,'Tabla Construcción Fijos'!N82,IF(Simulador!$F$11='Tabla Parámetros'!$O$4,'Tabla Construcción Crecientes'!N82,))</f>
        <v>0</v>
      </c>
      <c r="O450" s="392"/>
      <c r="P450" s="392">
        <f>'Tabla Construcción Fijos'!P82</f>
        <v>0</v>
      </c>
      <c r="Q450" s="362">
        <f>IF($F$11='Tabla Parámetros'!$O$3,'Tabla Construcción Fijos'!Q82,IF(Simulador!$F$11='Tabla Parámetros'!$O$4,'Tabla Construcción Crecientes'!P82,))</f>
        <v>0</v>
      </c>
      <c r="R450" s="362">
        <f>IF($F$11='Tabla Parámetros'!$O$3,'Tabla Construcción Fijos'!R82,IF(Simulador!$F$11='Tabla Parámetros'!$O$4,'Tabla Construcción Crecientes'!Q82,))</f>
        <v>0</v>
      </c>
      <c r="S450" s="272">
        <f t="shared" si="15"/>
        <v>0</v>
      </c>
    </row>
    <row r="451" spans="2:19" ht="15.5" hidden="1" x14ac:dyDescent="0.35">
      <c r="B451" s="378">
        <f t="shared" si="16"/>
        <v>60</v>
      </c>
      <c r="C451" s="378">
        <f t="shared" si="17"/>
        <v>30.4</v>
      </c>
      <c r="D451" s="379">
        <f>IF($F$11='Tabla Parámetros'!$O$3,'Tabla Construcción Fijos'!D83,IF(Simulador!$F$11='Tabla Parámetros'!$O$4,'Tabla Construcción Crecientes'!D83,))</f>
        <v>0</v>
      </c>
      <c r="E451" s="390"/>
      <c r="F451" s="362">
        <f>IF($F$11='Tabla Parámetros'!$O$3,'Tabla Construcción Fijos'!F83,IF(Simulador!$F$11='Tabla Parámetros'!$O$4,'Tabla Construcción Crecientes'!F83,))</f>
        <v>0</v>
      </c>
      <c r="G451" s="362"/>
      <c r="H451" s="362">
        <f>IF($F$11='Tabla Parámetros'!$O$3,'Tabla Construcción Fijos'!H83,IF(Simulador!$F$11='Tabla Parámetros'!$O$4,'Tabla Construcción Crecientes'!H83,))</f>
        <v>0</v>
      </c>
      <c r="I451" s="362">
        <f>IF($F$11='Tabla Parámetros'!$O$3,'Tabla Construcción Fijos'!I83,IF(Simulador!$F$11='Tabla Parámetros'!$O$4,'Tabla Construcción Crecientes'!I83,))</f>
        <v>0</v>
      </c>
      <c r="J451" s="362">
        <f>IF($F$11='Tabla Parámetros'!$O$3,'Tabla Construcción Fijos'!J83,IF(Simulador!$F$11='Tabla Parámetros'!$O$4,'Tabla Construcción Crecientes'!J83,))</f>
        <v>0</v>
      </c>
      <c r="K451" s="362">
        <f>IF($F$11='Tabla Parámetros'!$O$3,'Tabla Construcción Fijos'!K83,IF(Simulador!$F$11='Tabla Parámetros'!$O$4,'Tabla Construcción Crecientes'!K83,))</f>
        <v>0</v>
      </c>
      <c r="L451" s="362">
        <f>IF($F$11='Tabla Parámetros'!$O$3,'Tabla Construcción Fijos'!L83,IF(Simulador!$F$11='Tabla Parámetros'!$O$4,'Tabla Construcción Crecientes'!L83,))</f>
        <v>0</v>
      </c>
      <c r="M451" s="362">
        <f>IF($F$11='Tabla Parámetros'!$O$3,'Tabla Construcción Fijos'!M83,IF(Simulador!$F$11='Tabla Parámetros'!$O$4,'Tabla Construcción Crecientes'!M83,))</f>
        <v>0</v>
      </c>
      <c r="N451" s="391">
        <f>IF($F$11='Tabla Parámetros'!$O$3,'Tabla Construcción Fijos'!N83,IF(Simulador!$F$11='Tabla Parámetros'!$O$4,'Tabla Construcción Crecientes'!N83,))</f>
        <v>0</v>
      </c>
      <c r="O451" s="392"/>
      <c r="P451" s="392">
        <f>'Tabla Construcción Fijos'!P83</f>
        <v>0</v>
      </c>
      <c r="Q451" s="362">
        <f>IF($F$11='Tabla Parámetros'!$O$3,'Tabla Construcción Fijos'!Q83,IF(Simulador!$F$11='Tabla Parámetros'!$O$4,'Tabla Construcción Crecientes'!P83,))</f>
        <v>0</v>
      </c>
      <c r="R451" s="362">
        <f>IF($F$11='Tabla Parámetros'!$O$3,'Tabla Construcción Fijos'!R83,IF(Simulador!$F$11='Tabla Parámetros'!$O$4,'Tabla Construcción Crecientes'!Q83,))</f>
        <v>0</v>
      </c>
      <c r="S451" s="272">
        <f t="shared" si="15"/>
        <v>0</v>
      </c>
    </row>
    <row r="452" spans="2:19" ht="15.5" hidden="1" x14ac:dyDescent="0.35">
      <c r="B452" s="378">
        <f t="shared" si="16"/>
        <v>61</v>
      </c>
      <c r="C452" s="378">
        <f t="shared" si="17"/>
        <v>30.4</v>
      </c>
      <c r="D452" s="379">
        <f>IF($F$11='Tabla Parámetros'!$O$3,'Tabla Construcción Fijos'!D84,IF(Simulador!$F$11='Tabla Parámetros'!$O$4,'Tabla Construcción Crecientes'!D84,))</f>
        <v>0</v>
      </c>
      <c r="E452" s="390"/>
      <c r="F452" s="362">
        <f>IF($F$11='Tabla Parámetros'!$O$3,'Tabla Construcción Fijos'!F84,IF(Simulador!$F$11='Tabla Parámetros'!$O$4,'Tabla Construcción Crecientes'!F84,))</f>
        <v>0</v>
      </c>
      <c r="G452" s="362"/>
      <c r="H452" s="362">
        <f>IF($F$11='Tabla Parámetros'!$O$3,'Tabla Construcción Fijos'!H84,IF(Simulador!$F$11='Tabla Parámetros'!$O$4,'Tabla Construcción Crecientes'!H84,))</f>
        <v>0</v>
      </c>
      <c r="I452" s="362">
        <f>IF($F$11='Tabla Parámetros'!$O$3,'Tabla Construcción Fijos'!I84,IF(Simulador!$F$11='Tabla Parámetros'!$O$4,'Tabla Construcción Crecientes'!I84,))</f>
        <v>0</v>
      </c>
      <c r="J452" s="362">
        <f>IF($F$11='Tabla Parámetros'!$O$3,'Tabla Construcción Fijos'!J84,IF(Simulador!$F$11='Tabla Parámetros'!$O$4,'Tabla Construcción Crecientes'!J84,))</f>
        <v>0</v>
      </c>
      <c r="K452" s="362">
        <f>IF($F$11='Tabla Parámetros'!$O$3,'Tabla Construcción Fijos'!K84,IF(Simulador!$F$11='Tabla Parámetros'!$O$4,'Tabla Construcción Crecientes'!K84,))</f>
        <v>0</v>
      </c>
      <c r="L452" s="362">
        <f>IF($F$11='Tabla Parámetros'!$O$3,'Tabla Construcción Fijos'!L84,IF(Simulador!$F$11='Tabla Parámetros'!$O$4,'Tabla Construcción Crecientes'!L84,))</f>
        <v>0</v>
      </c>
      <c r="M452" s="362">
        <f>IF($F$11='Tabla Parámetros'!$O$3,'Tabla Construcción Fijos'!M84,IF(Simulador!$F$11='Tabla Parámetros'!$O$4,'Tabla Construcción Crecientes'!M84,))</f>
        <v>0</v>
      </c>
      <c r="N452" s="391">
        <f>IF($F$11='Tabla Parámetros'!$O$3,'Tabla Construcción Fijos'!N84,IF(Simulador!$F$11='Tabla Parámetros'!$O$4,'Tabla Construcción Crecientes'!N84,))</f>
        <v>0</v>
      </c>
      <c r="O452" s="392"/>
      <c r="P452" s="392">
        <f>'Tabla Construcción Fijos'!P84</f>
        <v>0</v>
      </c>
      <c r="Q452" s="362">
        <f>IF($F$11='Tabla Parámetros'!$O$3,'Tabla Construcción Fijos'!Q84,IF(Simulador!$F$11='Tabla Parámetros'!$O$4,'Tabla Construcción Crecientes'!P84,))</f>
        <v>0</v>
      </c>
      <c r="R452" s="362">
        <f>IF($F$11='Tabla Parámetros'!$O$3,'Tabla Construcción Fijos'!R84,IF(Simulador!$F$11='Tabla Parámetros'!$O$4,'Tabla Construcción Crecientes'!Q84,))</f>
        <v>0</v>
      </c>
      <c r="S452" s="272">
        <f t="shared" si="15"/>
        <v>0</v>
      </c>
    </row>
    <row r="453" spans="2:19" ht="15.5" hidden="1" x14ac:dyDescent="0.35">
      <c r="B453" s="378">
        <f t="shared" si="16"/>
        <v>62</v>
      </c>
      <c r="C453" s="378">
        <f t="shared" si="17"/>
        <v>30.4</v>
      </c>
      <c r="D453" s="379">
        <f>IF($F$11='Tabla Parámetros'!$O$3,'Tabla Construcción Fijos'!D85,IF(Simulador!$F$11='Tabla Parámetros'!$O$4,'Tabla Construcción Crecientes'!D85,))</f>
        <v>0</v>
      </c>
      <c r="E453" s="390"/>
      <c r="F453" s="362">
        <f>IF($F$11='Tabla Parámetros'!$O$3,'Tabla Construcción Fijos'!F85,IF(Simulador!$F$11='Tabla Parámetros'!$O$4,'Tabla Construcción Crecientes'!F85,))</f>
        <v>0</v>
      </c>
      <c r="G453" s="362"/>
      <c r="H453" s="362">
        <f>IF($F$11='Tabla Parámetros'!$O$3,'Tabla Construcción Fijos'!H85,IF(Simulador!$F$11='Tabla Parámetros'!$O$4,'Tabla Construcción Crecientes'!H85,))</f>
        <v>0</v>
      </c>
      <c r="I453" s="362">
        <f>IF($F$11='Tabla Parámetros'!$O$3,'Tabla Construcción Fijos'!I85,IF(Simulador!$F$11='Tabla Parámetros'!$O$4,'Tabla Construcción Crecientes'!I85,))</f>
        <v>0</v>
      </c>
      <c r="J453" s="362">
        <f>IF($F$11='Tabla Parámetros'!$O$3,'Tabla Construcción Fijos'!J85,IF(Simulador!$F$11='Tabla Parámetros'!$O$4,'Tabla Construcción Crecientes'!J85,))</f>
        <v>0</v>
      </c>
      <c r="K453" s="362">
        <f>IF($F$11='Tabla Parámetros'!$O$3,'Tabla Construcción Fijos'!K85,IF(Simulador!$F$11='Tabla Parámetros'!$O$4,'Tabla Construcción Crecientes'!K85,))</f>
        <v>0</v>
      </c>
      <c r="L453" s="362">
        <f>IF($F$11='Tabla Parámetros'!$O$3,'Tabla Construcción Fijos'!L85,IF(Simulador!$F$11='Tabla Parámetros'!$O$4,'Tabla Construcción Crecientes'!L85,))</f>
        <v>0</v>
      </c>
      <c r="M453" s="362">
        <f>IF($F$11='Tabla Parámetros'!$O$3,'Tabla Construcción Fijos'!M85,IF(Simulador!$F$11='Tabla Parámetros'!$O$4,'Tabla Construcción Crecientes'!M85,))</f>
        <v>0</v>
      </c>
      <c r="N453" s="391">
        <f>IF($F$11='Tabla Parámetros'!$O$3,'Tabla Construcción Fijos'!N85,IF(Simulador!$F$11='Tabla Parámetros'!$O$4,'Tabla Construcción Crecientes'!N85,))</f>
        <v>0</v>
      </c>
      <c r="O453" s="392"/>
      <c r="P453" s="392">
        <f>'Tabla Construcción Fijos'!P85</f>
        <v>0</v>
      </c>
      <c r="Q453" s="362">
        <f>IF($F$11='Tabla Parámetros'!$O$3,'Tabla Construcción Fijos'!Q85,IF(Simulador!$F$11='Tabla Parámetros'!$O$4,'Tabla Construcción Crecientes'!P85,))</f>
        <v>0</v>
      </c>
      <c r="R453" s="362">
        <f>IF($F$11='Tabla Parámetros'!$O$3,'Tabla Construcción Fijos'!R85,IF(Simulador!$F$11='Tabla Parámetros'!$O$4,'Tabla Construcción Crecientes'!Q85,))</f>
        <v>0</v>
      </c>
      <c r="S453" s="272">
        <f t="shared" si="15"/>
        <v>0</v>
      </c>
    </row>
    <row r="454" spans="2:19" ht="15.5" hidden="1" x14ac:dyDescent="0.35">
      <c r="B454" s="378">
        <f t="shared" si="16"/>
        <v>63</v>
      </c>
      <c r="C454" s="378">
        <f t="shared" si="17"/>
        <v>30.4</v>
      </c>
      <c r="D454" s="379">
        <f>IF($F$11='Tabla Parámetros'!$O$3,'Tabla Construcción Fijos'!D86,IF(Simulador!$F$11='Tabla Parámetros'!$O$4,'Tabla Construcción Crecientes'!D86,))</f>
        <v>0</v>
      </c>
      <c r="E454" s="390"/>
      <c r="F454" s="362">
        <f>IF($F$11='Tabla Parámetros'!$O$3,'Tabla Construcción Fijos'!F86,IF(Simulador!$F$11='Tabla Parámetros'!$O$4,'Tabla Construcción Crecientes'!F86,))</f>
        <v>0</v>
      </c>
      <c r="G454" s="362"/>
      <c r="H454" s="362">
        <f>IF($F$11='Tabla Parámetros'!$O$3,'Tabla Construcción Fijos'!H86,IF(Simulador!$F$11='Tabla Parámetros'!$O$4,'Tabla Construcción Crecientes'!H86,))</f>
        <v>0</v>
      </c>
      <c r="I454" s="362">
        <f>IF($F$11='Tabla Parámetros'!$O$3,'Tabla Construcción Fijos'!I86,IF(Simulador!$F$11='Tabla Parámetros'!$O$4,'Tabla Construcción Crecientes'!I86,))</f>
        <v>0</v>
      </c>
      <c r="J454" s="362">
        <f>IF($F$11='Tabla Parámetros'!$O$3,'Tabla Construcción Fijos'!J86,IF(Simulador!$F$11='Tabla Parámetros'!$O$4,'Tabla Construcción Crecientes'!J86,))</f>
        <v>0</v>
      </c>
      <c r="K454" s="362">
        <f>IF($F$11='Tabla Parámetros'!$O$3,'Tabla Construcción Fijos'!K86,IF(Simulador!$F$11='Tabla Parámetros'!$O$4,'Tabla Construcción Crecientes'!K86,))</f>
        <v>0</v>
      </c>
      <c r="L454" s="362">
        <f>IF($F$11='Tabla Parámetros'!$O$3,'Tabla Construcción Fijos'!L86,IF(Simulador!$F$11='Tabla Parámetros'!$O$4,'Tabla Construcción Crecientes'!L86,))</f>
        <v>0</v>
      </c>
      <c r="M454" s="362">
        <f>IF($F$11='Tabla Parámetros'!$O$3,'Tabla Construcción Fijos'!M86,IF(Simulador!$F$11='Tabla Parámetros'!$O$4,'Tabla Construcción Crecientes'!M86,))</f>
        <v>0</v>
      </c>
      <c r="N454" s="391">
        <f>IF($F$11='Tabla Parámetros'!$O$3,'Tabla Construcción Fijos'!N86,IF(Simulador!$F$11='Tabla Parámetros'!$O$4,'Tabla Construcción Crecientes'!N86,))</f>
        <v>0</v>
      </c>
      <c r="O454" s="392"/>
      <c r="P454" s="392">
        <f>'Tabla Construcción Fijos'!P86</f>
        <v>0</v>
      </c>
      <c r="Q454" s="362">
        <f>IF($F$11='Tabla Parámetros'!$O$3,'Tabla Construcción Fijos'!Q86,IF(Simulador!$F$11='Tabla Parámetros'!$O$4,'Tabla Construcción Crecientes'!P86,))</f>
        <v>0</v>
      </c>
      <c r="R454" s="362">
        <f>IF($F$11='Tabla Parámetros'!$O$3,'Tabla Construcción Fijos'!R86,IF(Simulador!$F$11='Tabla Parámetros'!$O$4,'Tabla Construcción Crecientes'!Q86,))</f>
        <v>0</v>
      </c>
      <c r="S454" s="272">
        <f t="shared" si="15"/>
        <v>0</v>
      </c>
    </row>
    <row r="455" spans="2:19" ht="15.5" hidden="1" x14ac:dyDescent="0.35">
      <c r="B455" s="378">
        <f t="shared" si="16"/>
        <v>64</v>
      </c>
      <c r="C455" s="378">
        <f t="shared" si="17"/>
        <v>30.4</v>
      </c>
      <c r="D455" s="379">
        <f>IF($F$11='Tabla Parámetros'!$O$3,'Tabla Construcción Fijos'!D87,IF(Simulador!$F$11='Tabla Parámetros'!$O$4,'Tabla Construcción Crecientes'!D87,))</f>
        <v>0</v>
      </c>
      <c r="E455" s="390"/>
      <c r="F455" s="362">
        <f>IF($F$11='Tabla Parámetros'!$O$3,'Tabla Construcción Fijos'!F87,IF(Simulador!$F$11='Tabla Parámetros'!$O$4,'Tabla Construcción Crecientes'!F87,))</f>
        <v>0</v>
      </c>
      <c r="G455" s="362"/>
      <c r="H455" s="362">
        <f>IF($F$11='Tabla Parámetros'!$O$3,'Tabla Construcción Fijos'!H87,IF(Simulador!$F$11='Tabla Parámetros'!$O$4,'Tabla Construcción Crecientes'!H87,))</f>
        <v>0</v>
      </c>
      <c r="I455" s="362">
        <f>IF($F$11='Tabla Parámetros'!$O$3,'Tabla Construcción Fijos'!I87,IF(Simulador!$F$11='Tabla Parámetros'!$O$4,'Tabla Construcción Crecientes'!I87,))</f>
        <v>0</v>
      </c>
      <c r="J455" s="362">
        <f>IF($F$11='Tabla Parámetros'!$O$3,'Tabla Construcción Fijos'!J87,IF(Simulador!$F$11='Tabla Parámetros'!$O$4,'Tabla Construcción Crecientes'!J87,))</f>
        <v>0</v>
      </c>
      <c r="K455" s="362">
        <f>IF($F$11='Tabla Parámetros'!$O$3,'Tabla Construcción Fijos'!K87,IF(Simulador!$F$11='Tabla Parámetros'!$O$4,'Tabla Construcción Crecientes'!K87,))</f>
        <v>0</v>
      </c>
      <c r="L455" s="362">
        <f>IF($F$11='Tabla Parámetros'!$O$3,'Tabla Construcción Fijos'!L87,IF(Simulador!$F$11='Tabla Parámetros'!$O$4,'Tabla Construcción Crecientes'!L87,))</f>
        <v>0</v>
      </c>
      <c r="M455" s="362">
        <f>IF($F$11='Tabla Parámetros'!$O$3,'Tabla Construcción Fijos'!M87,IF(Simulador!$F$11='Tabla Parámetros'!$O$4,'Tabla Construcción Crecientes'!M87,))</f>
        <v>0</v>
      </c>
      <c r="N455" s="391">
        <f>IF($F$11='Tabla Parámetros'!$O$3,'Tabla Construcción Fijos'!N87,IF(Simulador!$F$11='Tabla Parámetros'!$O$4,'Tabla Construcción Crecientes'!N87,))</f>
        <v>0</v>
      </c>
      <c r="O455" s="392"/>
      <c r="P455" s="392">
        <f>'Tabla Construcción Fijos'!P87</f>
        <v>0</v>
      </c>
      <c r="Q455" s="362">
        <f>IF($F$11='Tabla Parámetros'!$O$3,'Tabla Construcción Fijos'!Q87,IF(Simulador!$F$11='Tabla Parámetros'!$O$4,'Tabla Construcción Crecientes'!P87,))</f>
        <v>0</v>
      </c>
      <c r="R455" s="362">
        <f>IF($F$11='Tabla Parámetros'!$O$3,'Tabla Construcción Fijos'!R87,IF(Simulador!$F$11='Tabla Parámetros'!$O$4,'Tabla Construcción Crecientes'!Q87,))</f>
        <v>0</v>
      </c>
      <c r="S455" s="272">
        <f t="shared" si="15"/>
        <v>0</v>
      </c>
    </row>
    <row r="456" spans="2:19" ht="15.5" hidden="1" x14ac:dyDescent="0.35">
      <c r="B456" s="378">
        <f t="shared" si="16"/>
        <v>65</v>
      </c>
      <c r="C456" s="378">
        <f t="shared" si="17"/>
        <v>30.4</v>
      </c>
      <c r="D456" s="379">
        <f>IF($F$11='Tabla Parámetros'!$O$3,'Tabla Construcción Fijos'!D88,IF(Simulador!$F$11='Tabla Parámetros'!$O$4,'Tabla Construcción Crecientes'!D88,))</f>
        <v>0</v>
      </c>
      <c r="E456" s="390"/>
      <c r="F456" s="362">
        <f>IF($F$11='Tabla Parámetros'!$O$3,'Tabla Construcción Fijos'!F88,IF(Simulador!$F$11='Tabla Parámetros'!$O$4,'Tabla Construcción Crecientes'!F88,))</f>
        <v>0</v>
      </c>
      <c r="G456" s="362"/>
      <c r="H456" s="362">
        <f>IF($F$11='Tabla Parámetros'!$O$3,'Tabla Construcción Fijos'!H88,IF(Simulador!$F$11='Tabla Parámetros'!$O$4,'Tabla Construcción Crecientes'!H88,))</f>
        <v>0</v>
      </c>
      <c r="I456" s="362">
        <f>IF($F$11='Tabla Parámetros'!$O$3,'Tabla Construcción Fijos'!I88,IF(Simulador!$F$11='Tabla Parámetros'!$O$4,'Tabla Construcción Crecientes'!I88,))</f>
        <v>0</v>
      </c>
      <c r="J456" s="362">
        <f>IF($F$11='Tabla Parámetros'!$O$3,'Tabla Construcción Fijos'!J88,IF(Simulador!$F$11='Tabla Parámetros'!$O$4,'Tabla Construcción Crecientes'!J88,))</f>
        <v>0</v>
      </c>
      <c r="K456" s="362">
        <f>IF($F$11='Tabla Parámetros'!$O$3,'Tabla Construcción Fijos'!K88,IF(Simulador!$F$11='Tabla Parámetros'!$O$4,'Tabla Construcción Crecientes'!K88,))</f>
        <v>0</v>
      </c>
      <c r="L456" s="362">
        <f>IF($F$11='Tabla Parámetros'!$O$3,'Tabla Construcción Fijos'!L88,IF(Simulador!$F$11='Tabla Parámetros'!$O$4,'Tabla Construcción Crecientes'!L88,))</f>
        <v>0</v>
      </c>
      <c r="M456" s="362">
        <f>IF($F$11='Tabla Parámetros'!$O$3,'Tabla Construcción Fijos'!M88,IF(Simulador!$F$11='Tabla Parámetros'!$O$4,'Tabla Construcción Crecientes'!M88,))</f>
        <v>0</v>
      </c>
      <c r="N456" s="391">
        <f>IF($F$11='Tabla Parámetros'!$O$3,'Tabla Construcción Fijos'!N88,IF(Simulador!$F$11='Tabla Parámetros'!$O$4,'Tabla Construcción Crecientes'!N88,))</f>
        <v>0</v>
      </c>
      <c r="O456" s="392"/>
      <c r="P456" s="392">
        <f>'Tabla Construcción Fijos'!P88</f>
        <v>0</v>
      </c>
      <c r="Q456" s="362">
        <f>IF($F$11='Tabla Parámetros'!$O$3,'Tabla Construcción Fijos'!Q88,IF(Simulador!$F$11='Tabla Parámetros'!$O$4,'Tabla Construcción Crecientes'!P88,))</f>
        <v>0</v>
      </c>
      <c r="R456" s="362">
        <f>IF($F$11='Tabla Parámetros'!$O$3,'Tabla Construcción Fijos'!R88,IF(Simulador!$F$11='Tabla Parámetros'!$O$4,'Tabla Construcción Crecientes'!Q88,))</f>
        <v>0</v>
      </c>
      <c r="S456" s="272">
        <f t="shared" si="15"/>
        <v>0</v>
      </c>
    </row>
    <row r="457" spans="2:19" ht="15.5" hidden="1" x14ac:dyDescent="0.35">
      <c r="B457" s="378">
        <f t="shared" si="16"/>
        <v>66</v>
      </c>
      <c r="C457" s="378">
        <f t="shared" si="17"/>
        <v>30.4</v>
      </c>
      <c r="D457" s="379">
        <f>IF($F$11='Tabla Parámetros'!$O$3,'Tabla Construcción Fijos'!D89,IF(Simulador!$F$11='Tabla Parámetros'!$O$4,'Tabla Construcción Crecientes'!D89,))</f>
        <v>0</v>
      </c>
      <c r="E457" s="390"/>
      <c r="F457" s="362">
        <f>IF($F$11='Tabla Parámetros'!$O$3,'Tabla Construcción Fijos'!F89,IF(Simulador!$F$11='Tabla Parámetros'!$O$4,'Tabla Construcción Crecientes'!F89,))</f>
        <v>0</v>
      </c>
      <c r="G457" s="362"/>
      <c r="H457" s="362">
        <f>IF($F$11='Tabla Parámetros'!$O$3,'Tabla Construcción Fijos'!H89,IF(Simulador!$F$11='Tabla Parámetros'!$O$4,'Tabla Construcción Crecientes'!H89,))</f>
        <v>0</v>
      </c>
      <c r="I457" s="362">
        <f>IF($F$11='Tabla Parámetros'!$O$3,'Tabla Construcción Fijos'!I89,IF(Simulador!$F$11='Tabla Parámetros'!$O$4,'Tabla Construcción Crecientes'!I89,))</f>
        <v>0</v>
      </c>
      <c r="J457" s="362">
        <f>IF($F$11='Tabla Parámetros'!$O$3,'Tabla Construcción Fijos'!J89,IF(Simulador!$F$11='Tabla Parámetros'!$O$4,'Tabla Construcción Crecientes'!J89,))</f>
        <v>0</v>
      </c>
      <c r="K457" s="362">
        <f>IF($F$11='Tabla Parámetros'!$O$3,'Tabla Construcción Fijos'!K89,IF(Simulador!$F$11='Tabla Parámetros'!$O$4,'Tabla Construcción Crecientes'!K89,))</f>
        <v>0</v>
      </c>
      <c r="L457" s="362">
        <f>IF($F$11='Tabla Parámetros'!$O$3,'Tabla Construcción Fijos'!L89,IF(Simulador!$F$11='Tabla Parámetros'!$O$4,'Tabla Construcción Crecientes'!L89,))</f>
        <v>0</v>
      </c>
      <c r="M457" s="362">
        <f>IF($F$11='Tabla Parámetros'!$O$3,'Tabla Construcción Fijos'!M89,IF(Simulador!$F$11='Tabla Parámetros'!$O$4,'Tabla Construcción Crecientes'!M89,))</f>
        <v>0</v>
      </c>
      <c r="N457" s="391">
        <f>IF($F$11='Tabla Parámetros'!$O$3,'Tabla Construcción Fijos'!N89,IF(Simulador!$F$11='Tabla Parámetros'!$O$4,'Tabla Construcción Crecientes'!N89,))</f>
        <v>0</v>
      </c>
      <c r="O457" s="392"/>
      <c r="P457" s="392">
        <f>'Tabla Construcción Fijos'!P89</f>
        <v>0</v>
      </c>
      <c r="Q457" s="362">
        <f>IF($F$11='Tabla Parámetros'!$O$3,'Tabla Construcción Fijos'!Q89,IF(Simulador!$F$11='Tabla Parámetros'!$O$4,'Tabla Construcción Crecientes'!P89,))</f>
        <v>0</v>
      </c>
      <c r="R457" s="362">
        <f>IF($F$11='Tabla Parámetros'!$O$3,'Tabla Construcción Fijos'!R89,IF(Simulador!$F$11='Tabla Parámetros'!$O$4,'Tabla Construcción Crecientes'!Q89,))</f>
        <v>0</v>
      </c>
      <c r="S457" s="272">
        <f t="shared" ref="S457:S520" si="18">IF(OR($B457="",$F457&lt;=0),0,1)</f>
        <v>0</v>
      </c>
    </row>
    <row r="458" spans="2:19" ht="15.5" hidden="1" x14ac:dyDescent="0.35">
      <c r="B458" s="378">
        <f t="shared" ref="B458:B521" si="19">IF(B457=$F$19,"",IF(B457="","",B457+1))</f>
        <v>67</v>
      </c>
      <c r="C458" s="378">
        <f t="shared" ref="C458:C521" si="20">IF(B458="","",30.4)</f>
        <v>30.4</v>
      </c>
      <c r="D458" s="379">
        <f>IF($F$11='Tabla Parámetros'!$O$3,'Tabla Construcción Fijos'!D90,IF(Simulador!$F$11='Tabla Parámetros'!$O$4,'Tabla Construcción Crecientes'!D90,))</f>
        <v>0</v>
      </c>
      <c r="E458" s="390"/>
      <c r="F458" s="362">
        <f>IF($F$11='Tabla Parámetros'!$O$3,'Tabla Construcción Fijos'!F90,IF(Simulador!$F$11='Tabla Parámetros'!$O$4,'Tabla Construcción Crecientes'!F90,))</f>
        <v>0</v>
      </c>
      <c r="G458" s="362"/>
      <c r="H458" s="362">
        <f>IF($F$11='Tabla Parámetros'!$O$3,'Tabla Construcción Fijos'!H90,IF(Simulador!$F$11='Tabla Parámetros'!$O$4,'Tabla Construcción Crecientes'!H90,))</f>
        <v>0</v>
      </c>
      <c r="I458" s="362">
        <f>IF($F$11='Tabla Parámetros'!$O$3,'Tabla Construcción Fijos'!I90,IF(Simulador!$F$11='Tabla Parámetros'!$O$4,'Tabla Construcción Crecientes'!I90,))</f>
        <v>0</v>
      </c>
      <c r="J458" s="362">
        <f>IF($F$11='Tabla Parámetros'!$O$3,'Tabla Construcción Fijos'!J90,IF(Simulador!$F$11='Tabla Parámetros'!$O$4,'Tabla Construcción Crecientes'!J90,))</f>
        <v>0</v>
      </c>
      <c r="K458" s="362">
        <f>IF($F$11='Tabla Parámetros'!$O$3,'Tabla Construcción Fijos'!K90,IF(Simulador!$F$11='Tabla Parámetros'!$O$4,'Tabla Construcción Crecientes'!K90,))</f>
        <v>0</v>
      </c>
      <c r="L458" s="362">
        <f>IF($F$11='Tabla Parámetros'!$O$3,'Tabla Construcción Fijos'!L90,IF(Simulador!$F$11='Tabla Parámetros'!$O$4,'Tabla Construcción Crecientes'!L90,))</f>
        <v>0</v>
      </c>
      <c r="M458" s="362">
        <f>IF($F$11='Tabla Parámetros'!$O$3,'Tabla Construcción Fijos'!M90,IF(Simulador!$F$11='Tabla Parámetros'!$O$4,'Tabla Construcción Crecientes'!M90,))</f>
        <v>0</v>
      </c>
      <c r="N458" s="391">
        <f>IF($F$11='Tabla Parámetros'!$O$3,'Tabla Construcción Fijos'!N90,IF(Simulador!$F$11='Tabla Parámetros'!$O$4,'Tabla Construcción Crecientes'!N90,))</f>
        <v>0</v>
      </c>
      <c r="O458" s="392"/>
      <c r="P458" s="392">
        <f>'Tabla Construcción Fijos'!P90</f>
        <v>0</v>
      </c>
      <c r="Q458" s="362">
        <f>IF($F$11='Tabla Parámetros'!$O$3,'Tabla Construcción Fijos'!Q90,IF(Simulador!$F$11='Tabla Parámetros'!$O$4,'Tabla Construcción Crecientes'!P90,))</f>
        <v>0</v>
      </c>
      <c r="R458" s="362">
        <f>IF($F$11='Tabla Parámetros'!$O$3,'Tabla Construcción Fijos'!R90,IF(Simulador!$F$11='Tabla Parámetros'!$O$4,'Tabla Construcción Crecientes'!Q90,))</f>
        <v>0</v>
      </c>
      <c r="S458" s="272">
        <f t="shared" si="18"/>
        <v>0</v>
      </c>
    </row>
    <row r="459" spans="2:19" ht="15.5" hidden="1" x14ac:dyDescent="0.35">
      <c r="B459" s="378">
        <f t="shared" si="19"/>
        <v>68</v>
      </c>
      <c r="C459" s="378">
        <f t="shared" si="20"/>
        <v>30.4</v>
      </c>
      <c r="D459" s="379">
        <f>IF($F$11='Tabla Parámetros'!$O$3,'Tabla Construcción Fijos'!D91,IF(Simulador!$F$11='Tabla Parámetros'!$O$4,'Tabla Construcción Crecientes'!D91,))</f>
        <v>0</v>
      </c>
      <c r="E459" s="390"/>
      <c r="F459" s="362">
        <f>IF($F$11='Tabla Parámetros'!$O$3,'Tabla Construcción Fijos'!F91,IF(Simulador!$F$11='Tabla Parámetros'!$O$4,'Tabla Construcción Crecientes'!F91,))</f>
        <v>0</v>
      </c>
      <c r="G459" s="362"/>
      <c r="H459" s="362">
        <f>IF($F$11='Tabla Parámetros'!$O$3,'Tabla Construcción Fijos'!H91,IF(Simulador!$F$11='Tabla Parámetros'!$O$4,'Tabla Construcción Crecientes'!H91,))</f>
        <v>0</v>
      </c>
      <c r="I459" s="362">
        <f>IF($F$11='Tabla Parámetros'!$O$3,'Tabla Construcción Fijos'!I91,IF(Simulador!$F$11='Tabla Parámetros'!$O$4,'Tabla Construcción Crecientes'!I91,))</f>
        <v>0</v>
      </c>
      <c r="J459" s="362">
        <f>IF($F$11='Tabla Parámetros'!$O$3,'Tabla Construcción Fijos'!J91,IF(Simulador!$F$11='Tabla Parámetros'!$O$4,'Tabla Construcción Crecientes'!J91,))</f>
        <v>0</v>
      </c>
      <c r="K459" s="362">
        <f>IF($F$11='Tabla Parámetros'!$O$3,'Tabla Construcción Fijos'!K91,IF(Simulador!$F$11='Tabla Parámetros'!$O$4,'Tabla Construcción Crecientes'!K91,))</f>
        <v>0</v>
      </c>
      <c r="L459" s="362">
        <f>IF($F$11='Tabla Parámetros'!$O$3,'Tabla Construcción Fijos'!L91,IF(Simulador!$F$11='Tabla Parámetros'!$O$4,'Tabla Construcción Crecientes'!L91,))</f>
        <v>0</v>
      </c>
      <c r="M459" s="362">
        <f>IF($F$11='Tabla Parámetros'!$O$3,'Tabla Construcción Fijos'!M91,IF(Simulador!$F$11='Tabla Parámetros'!$O$4,'Tabla Construcción Crecientes'!M91,))</f>
        <v>0</v>
      </c>
      <c r="N459" s="391">
        <f>IF($F$11='Tabla Parámetros'!$O$3,'Tabla Construcción Fijos'!N91,IF(Simulador!$F$11='Tabla Parámetros'!$O$4,'Tabla Construcción Crecientes'!N91,))</f>
        <v>0</v>
      </c>
      <c r="O459" s="392"/>
      <c r="P459" s="392">
        <f>'Tabla Construcción Fijos'!P91</f>
        <v>0</v>
      </c>
      <c r="Q459" s="362">
        <f>IF($F$11='Tabla Parámetros'!$O$3,'Tabla Construcción Fijos'!Q91,IF(Simulador!$F$11='Tabla Parámetros'!$O$4,'Tabla Construcción Crecientes'!P91,))</f>
        <v>0</v>
      </c>
      <c r="R459" s="362">
        <f>IF($F$11='Tabla Parámetros'!$O$3,'Tabla Construcción Fijos'!R91,IF(Simulador!$F$11='Tabla Parámetros'!$O$4,'Tabla Construcción Crecientes'!Q91,))</f>
        <v>0</v>
      </c>
      <c r="S459" s="272">
        <f t="shared" si="18"/>
        <v>0</v>
      </c>
    </row>
    <row r="460" spans="2:19" ht="15.5" hidden="1" x14ac:dyDescent="0.35">
      <c r="B460" s="378">
        <f t="shared" si="19"/>
        <v>69</v>
      </c>
      <c r="C460" s="378">
        <f t="shared" si="20"/>
        <v>30.4</v>
      </c>
      <c r="D460" s="379">
        <f>IF($F$11='Tabla Parámetros'!$O$3,'Tabla Construcción Fijos'!D92,IF(Simulador!$F$11='Tabla Parámetros'!$O$4,'Tabla Construcción Crecientes'!D92,))</f>
        <v>0</v>
      </c>
      <c r="E460" s="390"/>
      <c r="F460" s="362">
        <f>IF($F$11='Tabla Parámetros'!$O$3,'Tabla Construcción Fijos'!F92,IF(Simulador!$F$11='Tabla Parámetros'!$O$4,'Tabla Construcción Crecientes'!F92,))</f>
        <v>0</v>
      </c>
      <c r="G460" s="362"/>
      <c r="H460" s="362">
        <f>IF($F$11='Tabla Parámetros'!$O$3,'Tabla Construcción Fijos'!H92,IF(Simulador!$F$11='Tabla Parámetros'!$O$4,'Tabla Construcción Crecientes'!H92,))</f>
        <v>0</v>
      </c>
      <c r="I460" s="362">
        <f>IF($F$11='Tabla Parámetros'!$O$3,'Tabla Construcción Fijos'!I92,IF(Simulador!$F$11='Tabla Parámetros'!$O$4,'Tabla Construcción Crecientes'!I92,))</f>
        <v>0</v>
      </c>
      <c r="J460" s="362">
        <f>IF($F$11='Tabla Parámetros'!$O$3,'Tabla Construcción Fijos'!J92,IF(Simulador!$F$11='Tabla Parámetros'!$O$4,'Tabla Construcción Crecientes'!J92,))</f>
        <v>0</v>
      </c>
      <c r="K460" s="362">
        <f>IF($F$11='Tabla Parámetros'!$O$3,'Tabla Construcción Fijos'!K92,IF(Simulador!$F$11='Tabla Parámetros'!$O$4,'Tabla Construcción Crecientes'!K92,))</f>
        <v>0</v>
      </c>
      <c r="L460" s="362">
        <f>IF($F$11='Tabla Parámetros'!$O$3,'Tabla Construcción Fijos'!L92,IF(Simulador!$F$11='Tabla Parámetros'!$O$4,'Tabla Construcción Crecientes'!L92,))</f>
        <v>0</v>
      </c>
      <c r="M460" s="362">
        <f>IF($F$11='Tabla Parámetros'!$O$3,'Tabla Construcción Fijos'!M92,IF(Simulador!$F$11='Tabla Parámetros'!$O$4,'Tabla Construcción Crecientes'!M92,))</f>
        <v>0</v>
      </c>
      <c r="N460" s="391">
        <f>IF($F$11='Tabla Parámetros'!$O$3,'Tabla Construcción Fijos'!N92,IF(Simulador!$F$11='Tabla Parámetros'!$O$4,'Tabla Construcción Crecientes'!N92,))</f>
        <v>0</v>
      </c>
      <c r="O460" s="392"/>
      <c r="P460" s="392">
        <f>'Tabla Construcción Fijos'!P92</f>
        <v>0</v>
      </c>
      <c r="Q460" s="362">
        <f>IF($F$11='Tabla Parámetros'!$O$3,'Tabla Construcción Fijos'!Q92,IF(Simulador!$F$11='Tabla Parámetros'!$O$4,'Tabla Construcción Crecientes'!P92,))</f>
        <v>0</v>
      </c>
      <c r="R460" s="362">
        <f>IF($F$11='Tabla Parámetros'!$O$3,'Tabla Construcción Fijos'!R92,IF(Simulador!$F$11='Tabla Parámetros'!$O$4,'Tabla Construcción Crecientes'!Q92,))</f>
        <v>0</v>
      </c>
      <c r="S460" s="272">
        <f t="shared" si="18"/>
        <v>0</v>
      </c>
    </row>
    <row r="461" spans="2:19" ht="15.5" hidden="1" x14ac:dyDescent="0.35">
      <c r="B461" s="378">
        <f t="shared" si="19"/>
        <v>70</v>
      </c>
      <c r="C461" s="378">
        <f t="shared" si="20"/>
        <v>30.4</v>
      </c>
      <c r="D461" s="379">
        <f>IF($F$11='Tabla Parámetros'!$O$3,'Tabla Construcción Fijos'!D93,IF(Simulador!$F$11='Tabla Parámetros'!$O$4,'Tabla Construcción Crecientes'!D93,))</f>
        <v>0</v>
      </c>
      <c r="E461" s="390"/>
      <c r="F461" s="362">
        <f>IF($F$11='Tabla Parámetros'!$O$3,'Tabla Construcción Fijos'!F93,IF(Simulador!$F$11='Tabla Parámetros'!$O$4,'Tabla Construcción Crecientes'!F93,))</f>
        <v>0</v>
      </c>
      <c r="G461" s="362"/>
      <c r="H461" s="362">
        <f>IF($F$11='Tabla Parámetros'!$O$3,'Tabla Construcción Fijos'!H93,IF(Simulador!$F$11='Tabla Parámetros'!$O$4,'Tabla Construcción Crecientes'!H93,))</f>
        <v>0</v>
      </c>
      <c r="I461" s="362">
        <f>IF($F$11='Tabla Parámetros'!$O$3,'Tabla Construcción Fijos'!I93,IF(Simulador!$F$11='Tabla Parámetros'!$O$4,'Tabla Construcción Crecientes'!I93,))</f>
        <v>0</v>
      </c>
      <c r="J461" s="362">
        <f>IF($F$11='Tabla Parámetros'!$O$3,'Tabla Construcción Fijos'!J93,IF(Simulador!$F$11='Tabla Parámetros'!$O$4,'Tabla Construcción Crecientes'!J93,))</f>
        <v>0</v>
      </c>
      <c r="K461" s="362">
        <f>IF($F$11='Tabla Parámetros'!$O$3,'Tabla Construcción Fijos'!K93,IF(Simulador!$F$11='Tabla Parámetros'!$O$4,'Tabla Construcción Crecientes'!K93,))</f>
        <v>0</v>
      </c>
      <c r="L461" s="362">
        <f>IF($F$11='Tabla Parámetros'!$O$3,'Tabla Construcción Fijos'!L93,IF(Simulador!$F$11='Tabla Parámetros'!$O$4,'Tabla Construcción Crecientes'!L93,))</f>
        <v>0</v>
      </c>
      <c r="M461" s="362">
        <f>IF($F$11='Tabla Parámetros'!$O$3,'Tabla Construcción Fijos'!M93,IF(Simulador!$F$11='Tabla Parámetros'!$O$4,'Tabla Construcción Crecientes'!M93,))</f>
        <v>0</v>
      </c>
      <c r="N461" s="391">
        <f>IF($F$11='Tabla Parámetros'!$O$3,'Tabla Construcción Fijos'!N93,IF(Simulador!$F$11='Tabla Parámetros'!$O$4,'Tabla Construcción Crecientes'!N93,))</f>
        <v>0</v>
      </c>
      <c r="O461" s="392"/>
      <c r="P461" s="392">
        <f>'Tabla Construcción Fijos'!P93</f>
        <v>0</v>
      </c>
      <c r="Q461" s="362">
        <f>IF($F$11='Tabla Parámetros'!$O$3,'Tabla Construcción Fijos'!Q93,IF(Simulador!$F$11='Tabla Parámetros'!$O$4,'Tabla Construcción Crecientes'!P93,))</f>
        <v>0</v>
      </c>
      <c r="R461" s="362">
        <f>IF($F$11='Tabla Parámetros'!$O$3,'Tabla Construcción Fijos'!R93,IF(Simulador!$F$11='Tabla Parámetros'!$O$4,'Tabla Construcción Crecientes'!Q93,))</f>
        <v>0</v>
      </c>
      <c r="S461" s="272">
        <f t="shared" si="18"/>
        <v>0</v>
      </c>
    </row>
    <row r="462" spans="2:19" ht="15.5" hidden="1" x14ac:dyDescent="0.35">
      <c r="B462" s="378">
        <f t="shared" si="19"/>
        <v>71</v>
      </c>
      <c r="C462" s="378">
        <f t="shared" si="20"/>
        <v>30.4</v>
      </c>
      <c r="D462" s="379">
        <f>IF($F$11='Tabla Parámetros'!$O$3,'Tabla Construcción Fijos'!D94,IF(Simulador!$F$11='Tabla Parámetros'!$O$4,'Tabla Construcción Crecientes'!D94,))</f>
        <v>0</v>
      </c>
      <c r="E462" s="390"/>
      <c r="F462" s="362">
        <f>IF($F$11='Tabla Parámetros'!$O$3,'Tabla Construcción Fijos'!F94,IF(Simulador!$F$11='Tabla Parámetros'!$O$4,'Tabla Construcción Crecientes'!F94,))</f>
        <v>0</v>
      </c>
      <c r="G462" s="362"/>
      <c r="H462" s="362">
        <f>IF($F$11='Tabla Parámetros'!$O$3,'Tabla Construcción Fijos'!H94,IF(Simulador!$F$11='Tabla Parámetros'!$O$4,'Tabla Construcción Crecientes'!H94,))</f>
        <v>0</v>
      </c>
      <c r="I462" s="362">
        <f>IF($F$11='Tabla Parámetros'!$O$3,'Tabla Construcción Fijos'!I94,IF(Simulador!$F$11='Tabla Parámetros'!$O$4,'Tabla Construcción Crecientes'!I94,))</f>
        <v>0</v>
      </c>
      <c r="J462" s="362">
        <f>IF($F$11='Tabla Parámetros'!$O$3,'Tabla Construcción Fijos'!J94,IF(Simulador!$F$11='Tabla Parámetros'!$O$4,'Tabla Construcción Crecientes'!J94,))</f>
        <v>0</v>
      </c>
      <c r="K462" s="362">
        <f>IF($F$11='Tabla Parámetros'!$O$3,'Tabla Construcción Fijos'!K94,IF(Simulador!$F$11='Tabla Parámetros'!$O$4,'Tabla Construcción Crecientes'!K94,))</f>
        <v>0</v>
      </c>
      <c r="L462" s="362">
        <f>IF($F$11='Tabla Parámetros'!$O$3,'Tabla Construcción Fijos'!L94,IF(Simulador!$F$11='Tabla Parámetros'!$O$4,'Tabla Construcción Crecientes'!L94,))</f>
        <v>0</v>
      </c>
      <c r="M462" s="362">
        <f>IF($F$11='Tabla Parámetros'!$O$3,'Tabla Construcción Fijos'!M94,IF(Simulador!$F$11='Tabla Parámetros'!$O$4,'Tabla Construcción Crecientes'!M94,))</f>
        <v>0</v>
      </c>
      <c r="N462" s="391">
        <f>IF($F$11='Tabla Parámetros'!$O$3,'Tabla Construcción Fijos'!N94,IF(Simulador!$F$11='Tabla Parámetros'!$O$4,'Tabla Construcción Crecientes'!N94,))</f>
        <v>0</v>
      </c>
      <c r="O462" s="392"/>
      <c r="P462" s="392">
        <f>'Tabla Construcción Fijos'!P94</f>
        <v>0</v>
      </c>
      <c r="Q462" s="362">
        <f>IF($F$11='Tabla Parámetros'!$O$3,'Tabla Construcción Fijos'!Q94,IF(Simulador!$F$11='Tabla Parámetros'!$O$4,'Tabla Construcción Crecientes'!P94,))</f>
        <v>0</v>
      </c>
      <c r="R462" s="362">
        <f>IF($F$11='Tabla Parámetros'!$O$3,'Tabla Construcción Fijos'!R94,IF(Simulador!$F$11='Tabla Parámetros'!$O$4,'Tabla Construcción Crecientes'!Q94,))</f>
        <v>0</v>
      </c>
      <c r="S462" s="272">
        <f t="shared" si="18"/>
        <v>0</v>
      </c>
    </row>
    <row r="463" spans="2:19" ht="15.5" hidden="1" x14ac:dyDescent="0.35">
      <c r="B463" s="378">
        <f t="shared" si="19"/>
        <v>72</v>
      </c>
      <c r="C463" s="378">
        <f t="shared" si="20"/>
        <v>30.4</v>
      </c>
      <c r="D463" s="379">
        <f>IF($F$11='Tabla Parámetros'!$O$3,'Tabla Construcción Fijos'!D95,IF(Simulador!$F$11='Tabla Parámetros'!$O$4,'Tabla Construcción Crecientes'!D95,))</f>
        <v>0</v>
      </c>
      <c r="E463" s="390"/>
      <c r="F463" s="362">
        <f>IF($F$11='Tabla Parámetros'!$O$3,'Tabla Construcción Fijos'!F95,IF(Simulador!$F$11='Tabla Parámetros'!$O$4,'Tabla Construcción Crecientes'!F95,))</f>
        <v>0</v>
      </c>
      <c r="G463" s="362"/>
      <c r="H463" s="362">
        <f>IF($F$11='Tabla Parámetros'!$O$3,'Tabla Construcción Fijos'!H95,IF(Simulador!$F$11='Tabla Parámetros'!$O$4,'Tabla Construcción Crecientes'!H95,))</f>
        <v>0</v>
      </c>
      <c r="I463" s="362">
        <f>IF($F$11='Tabla Parámetros'!$O$3,'Tabla Construcción Fijos'!I95,IF(Simulador!$F$11='Tabla Parámetros'!$O$4,'Tabla Construcción Crecientes'!I95,))</f>
        <v>0</v>
      </c>
      <c r="J463" s="362">
        <f>IF($F$11='Tabla Parámetros'!$O$3,'Tabla Construcción Fijos'!J95,IF(Simulador!$F$11='Tabla Parámetros'!$O$4,'Tabla Construcción Crecientes'!J95,))</f>
        <v>0</v>
      </c>
      <c r="K463" s="362">
        <f>IF($F$11='Tabla Parámetros'!$O$3,'Tabla Construcción Fijos'!K95,IF(Simulador!$F$11='Tabla Parámetros'!$O$4,'Tabla Construcción Crecientes'!K95,))</f>
        <v>0</v>
      </c>
      <c r="L463" s="362">
        <f>IF($F$11='Tabla Parámetros'!$O$3,'Tabla Construcción Fijos'!L95,IF(Simulador!$F$11='Tabla Parámetros'!$O$4,'Tabla Construcción Crecientes'!L95,))</f>
        <v>0</v>
      </c>
      <c r="M463" s="362">
        <f>IF($F$11='Tabla Parámetros'!$O$3,'Tabla Construcción Fijos'!M95,IF(Simulador!$F$11='Tabla Parámetros'!$O$4,'Tabla Construcción Crecientes'!M95,))</f>
        <v>0</v>
      </c>
      <c r="N463" s="391">
        <f>IF($F$11='Tabla Parámetros'!$O$3,'Tabla Construcción Fijos'!N95,IF(Simulador!$F$11='Tabla Parámetros'!$O$4,'Tabla Construcción Crecientes'!N95,))</f>
        <v>0</v>
      </c>
      <c r="O463" s="392"/>
      <c r="P463" s="392">
        <f>'Tabla Construcción Fijos'!P95</f>
        <v>0</v>
      </c>
      <c r="Q463" s="362">
        <f>IF($F$11='Tabla Parámetros'!$O$3,'Tabla Construcción Fijos'!Q95,IF(Simulador!$F$11='Tabla Parámetros'!$O$4,'Tabla Construcción Crecientes'!P95,))</f>
        <v>0</v>
      </c>
      <c r="R463" s="362">
        <f>IF($F$11='Tabla Parámetros'!$O$3,'Tabla Construcción Fijos'!R95,IF(Simulador!$F$11='Tabla Parámetros'!$O$4,'Tabla Construcción Crecientes'!Q95,))</f>
        <v>0</v>
      </c>
      <c r="S463" s="272">
        <f t="shared" si="18"/>
        <v>0</v>
      </c>
    </row>
    <row r="464" spans="2:19" ht="15.5" hidden="1" x14ac:dyDescent="0.35">
      <c r="B464" s="378">
        <f t="shared" si="19"/>
        <v>73</v>
      </c>
      <c r="C464" s="378">
        <f t="shared" si="20"/>
        <v>30.4</v>
      </c>
      <c r="D464" s="379">
        <f>IF($F$11='Tabla Parámetros'!$O$3,'Tabla Construcción Fijos'!D96,IF(Simulador!$F$11='Tabla Parámetros'!$O$4,'Tabla Construcción Crecientes'!D96,))</f>
        <v>0</v>
      </c>
      <c r="E464" s="390"/>
      <c r="F464" s="362">
        <f>IF($F$11='Tabla Parámetros'!$O$3,'Tabla Construcción Fijos'!F96,IF(Simulador!$F$11='Tabla Parámetros'!$O$4,'Tabla Construcción Crecientes'!F96,))</f>
        <v>0</v>
      </c>
      <c r="G464" s="362"/>
      <c r="H464" s="362">
        <f>IF($F$11='Tabla Parámetros'!$O$3,'Tabla Construcción Fijos'!H96,IF(Simulador!$F$11='Tabla Parámetros'!$O$4,'Tabla Construcción Crecientes'!H96,))</f>
        <v>0</v>
      </c>
      <c r="I464" s="362">
        <f>IF($F$11='Tabla Parámetros'!$O$3,'Tabla Construcción Fijos'!I96,IF(Simulador!$F$11='Tabla Parámetros'!$O$4,'Tabla Construcción Crecientes'!I96,))</f>
        <v>0</v>
      </c>
      <c r="J464" s="362">
        <f>IF($F$11='Tabla Parámetros'!$O$3,'Tabla Construcción Fijos'!J96,IF(Simulador!$F$11='Tabla Parámetros'!$O$4,'Tabla Construcción Crecientes'!J96,))</f>
        <v>0</v>
      </c>
      <c r="K464" s="362">
        <f>IF($F$11='Tabla Parámetros'!$O$3,'Tabla Construcción Fijos'!K96,IF(Simulador!$F$11='Tabla Parámetros'!$O$4,'Tabla Construcción Crecientes'!K96,))</f>
        <v>0</v>
      </c>
      <c r="L464" s="362">
        <f>IF($F$11='Tabla Parámetros'!$O$3,'Tabla Construcción Fijos'!L96,IF(Simulador!$F$11='Tabla Parámetros'!$O$4,'Tabla Construcción Crecientes'!L96,))</f>
        <v>0</v>
      </c>
      <c r="M464" s="362">
        <f>IF($F$11='Tabla Parámetros'!$O$3,'Tabla Construcción Fijos'!M96,IF(Simulador!$F$11='Tabla Parámetros'!$O$4,'Tabla Construcción Crecientes'!M96,))</f>
        <v>0</v>
      </c>
      <c r="N464" s="391">
        <f>IF($F$11='Tabla Parámetros'!$O$3,'Tabla Construcción Fijos'!N96,IF(Simulador!$F$11='Tabla Parámetros'!$O$4,'Tabla Construcción Crecientes'!N96,))</f>
        <v>0</v>
      </c>
      <c r="O464" s="392"/>
      <c r="P464" s="392">
        <f>'Tabla Construcción Fijos'!P96</f>
        <v>0</v>
      </c>
      <c r="Q464" s="362">
        <f>IF($F$11='Tabla Parámetros'!$O$3,'Tabla Construcción Fijos'!Q96,IF(Simulador!$F$11='Tabla Parámetros'!$O$4,'Tabla Construcción Crecientes'!P96,))</f>
        <v>0</v>
      </c>
      <c r="R464" s="362">
        <f>IF($F$11='Tabla Parámetros'!$O$3,'Tabla Construcción Fijos'!R96,IF(Simulador!$F$11='Tabla Parámetros'!$O$4,'Tabla Construcción Crecientes'!Q96,))</f>
        <v>0</v>
      </c>
      <c r="S464" s="272">
        <f t="shared" si="18"/>
        <v>0</v>
      </c>
    </row>
    <row r="465" spans="2:19" ht="15.5" hidden="1" x14ac:dyDescent="0.35">
      <c r="B465" s="378">
        <f t="shared" si="19"/>
        <v>74</v>
      </c>
      <c r="C465" s="378">
        <f t="shared" si="20"/>
        <v>30.4</v>
      </c>
      <c r="D465" s="379">
        <f>IF($F$11='Tabla Parámetros'!$O$3,'Tabla Construcción Fijos'!D97,IF(Simulador!$F$11='Tabla Parámetros'!$O$4,'Tabla Construcción Crecientes'!D97,))</f>
        <v>0</v>
      </c>
      <c r="E465" s="390"/>
      <c r="F465" s="362">
        <f>IF($F$11='Tabla Parámetros'!$O$3,'Tabla Construcción Fijos'!F97,IF(Simulador!$F$11='Tabla Parámetros'!$O$4,'Tabla Construcción Crecientes'!F97,))</f>
        <v>0</v>
      </c>
      <c r="G465" s="362"/>
      <c r="H465" s="362">
        <f>IF($F$11='Tabla Parámetros'!$O$3,'Tabla Construcción Fijos'!H97,IF(Simulador!$F$11='Tabla Parámetros'!$O$4,'Tabla Construcción Crecientes'!H97,))</f>
        <v>0</v>
      </c>
      <c r="I465" s="362">
        <f>IF($F$11='Tabla Parámetros'!$O$3,'Tabla Construcción Fijos'!I97,IF(Simulador!$F$11='Tabla Parámetros'!$O$4,'Tabla Construcción Crecientes'!I97,))</f>
        <v>0</v>
      </c>
      <c r="J465" s="362">
        <f>IF($F$11='Tabla Parámetros'!$O$3,'Tabla Construcción Fijos'!J97,IF(Simulador!$F$11='Tabla Parámetros'!$O$4,'Tabla Construcción Crecientes'!J97,))</f>
        <v>0</v>
      </c>
      <c r="K465" s="362">
        <f>IF($F$11='Tabla Parámetros'!$O$3,'Tabla Construcción Fijos'!K97,IF(Simulador!$F$11='Tabla Parámetros'!$O$4,'Tabla Construcción Crecientes'!K97,))</f>
        <v>0</v>
      </c>
      <c r="L465" s="362">
        <f>IF($F$11='Tabla Parámetros'!$O$3,'Tabla Construcción Fijos'!L97,IF(Simulador!$F$11='Tabla Parámetros'!$O$4,'Tabla Construcción Crecientes'!L97,))</f>
        <v>0</v>
      </c>
      <c r="M465" s="362">
        <f>IF($F$11='Tabla Parámetros'!$O$3,'Tabla Construcción Fijos'!M97,IF(Simulador!$F$11='Tabla Parámetros'!$O$4,'Tabla Construcción Crecientes'!M97,))</f>
        <v>0</v>
      </c>
      <c r="N465" s="391">
        <f>IF($F$11='Tabla Parámetros'!$O$3,'Tabla Construcción Fijos'!N97,IF(Simulador!$F$11='Tabla Parámetros'!$O$4,'Tabla Construcción Crecientes'!N97,))</f>
        <v>0</v>
      </c>
      <c r="O465" s="392"/>
      <c r="P465" s="392">
        <f>'Tabla Construcción Fijos'!P97</f>
        <v>0</v>
      </c>
      <c r="Q465" s="362">
        <f>IF($F$11='Tabla Parámetros'!$O$3,'Tabla Construcción Fijos'!Q97,IF(Simulador!$F$11='Tabla Parámetros'!$O$4,'Tabla Construcción Crecientes'!P97,))</f>
        <v>0</v>
      </c>
      <c r="R465" s="362">
        <f>IF($F$11='Tabla Parámetros'!$O$3,'Tabla Construcción Fijos'!R97,IF(Simulador!$F$11='Tabla Parámetros'!$O$4,'Tabla Construcción Crecientes'!Q97,))</f>
        <v>0</v>
      </c>
      <c r="S465" s="272">
        <f t="shared" si="18"/>
        <v>0</v>
      </c>
    </row>
    <row r="466" spans="2:19" ht="15.5" hidden="1" x14ac:dyDescent="0.35">
      <c r="B466" s="378">
        <f t="shared" si="19"/>
        <v>75</v>
      </c>
      <c r="C466" s="378">
        <f t="shared" si="20"/>
        <v>30.4</v>
      </c>
      <c r="D466" s="379">
        <f>IF($F$11='Tabla Parámetros'!$O$3,'Tabla Construcción Fijos'!D98,IF(Simulador!$F$11='Tabla Parámetros'!$O$4,'Tabla Construcción Crecientes'!D98,))</f>
        <v>0</v>
      </c>
      <c r="E466" s="390"/>
      <c r="F466" s="362">
        <f>IF($F$11='Tabla Parámetros'!$O$3,'Tabla Construcción Fijos'!F98,IF(Simulador!$F$11='Tabla Parámetros'!$O$4,'Tabla Construcción Crecientes'!F98,))</f>
        <v>0</v>
      </c>
      <c r="G466" s="362"/>
      <c r="H466" s="362">
        <f>IF($F$11='Tabla Parámetros'!$O$3,'Tabla Construcción Fijos'!H98,IF(Simulador!$F$11='Tabla Parámetros'!$O$4,'Tabla Construcción Crecientes'!H98,))</f>
        <v>0</v>
      </c>
      <c r="I466" s="362">
        <f>IF($F$11='Tabla Parámetros'!$O$3,'Tabla Construcción Fijos'!I98,IF(Simulador!$F$11='Tabla Parámetros'!$O$4,'Tabla Construcción Crecientes'!I98,))</f>
        <v>0</v>
      </c>
      <c r="J466" s="362">
        <f>IF($F$11='Tabla Parámetros'!$O$3,'Tabla Construcción Fijos'!J98,IF(Simulador!$F$11='Tabla Parámetros'!$O$4,'Tabla Construcción Crecientes'!J98,))</f>
        <v>0</v>
      </c>
      <c r="K466" s="362">
        <f>IF($F$11='Tabla Parámetros'!$O$3,'Tabla Construcción Fijos'!K98,IF(Simulador!$F$11='Tabla Parámetros'!$O$4,'Tabla Construcción Crecientes'!K98,))</f>
        <v>0</v>
      </c>
      <c r="L466" s="362">
        <f>IF($F$11='Tabla Parámetros'!$O$3,'Tabla Construcción Fijos'!L98,IF(Simulador!$F$11='Tabla Parámetros'!$O$4,'Tabla Construcción Crecientes'!L98,))</f>
        <v>0</v>
      </c>
      <c r="M466" s="362">
        <f>IF($F$11='Tabla Parámetros'!$O$3,'Tabla Construcción Fijos'!M98,IF(Simulador!$F$11='Tabla Parámetros'!$O$4,'Tabla Construcción Crecientes'!M98,))</f>
        <v>0</v>
      </c>
      <c r="N466" s="391">
        <f>IF($F$11='Tabla Parámetros'!$O$3,'Tabla Construcción Fijos'!N98,IF(Simulador!$F$11='Tabla Parámetros'!$O$4,'Tabla Construcción Crecientes'!N98,))</f>
        <v>0</v>
      </c>
      <c r="O466" s="392"/>
      <c r="P466" s="392">
        <f>'Tabla Construcción Fijos'!P98</f>
        <v>0</v>
      </c>
      <c r="Q466" s="362">
        <f>IF($F$11='Tabla Parámetros'!$O$3,'Tabla Construcción Fijos'!Q98,IF(Simulador!$F$11='Tabla Parámetros'!$O$4,'Tabla Construcción Crecientes'!P98,))</f>
        <v>0</v>
      </c>
      <c r="R466" s="362">
        <f>IF($F$11='Tabla Parámetros'!$O$3,'Tabla Construcción Fijos'!R98,IF(Simulador!$F$11='Tabla Parámetros'!$O$4,'Tabla Construcción Crecientes'!Q98,))</f>
        <v>0</v>
      </c>
      <c r="S466" s="272">
        <f t="shared" si="18"/>
        <v>0</v>
      </c>
    </row>
    <row r="467" spans="2:19" ht="15.5" hidden="1" x14ac:dyDescent="0.35">
      <c r="B467" s="378">
        <f t="shared" si="19"/>
        <v>76</v>
      </c>
      <c r="C467" s="378">
        <f t="shared" si="20"/>
        <v>30.4</v>
      </c>
      <c r="D467" s="379">
        <f>IF($F$11='Tabla Parámetros'!$O$3,'Tabla Construcción Fijos'!D99,IF(Simulador!$F$11='Tabla Parámetros'!$O$4,'Tabla Construcción Crecientes'!D99,))</f>
        <v>0</v>
      </c>
      <c r="E467" s="390"/>
      <c r="F467" s="362">
        <f>IF($F$11='Tabla Parámetros'!$O$3,'Tabla Construcción Fijos'!F99,IF(Simulador!$F$11='Tabla Parámetros'!$O$4,'Tabla Construcción Crecientes'!F99,))</f>
        <v>0</v>
      </c>
      <c r="G467" s="362"/>
      <c r="H467" s="362">
        <f>IF($F$11='Tabla Parámetros'!$O$3,'Tabla Construcción Fijos'!H99,IF(Simulador!$F$11='Tabla Parámetros'!$O$4,'Tabla Construcción Crecientes'!H99,))</f>
        <v>0</v>
      </c>
      <c r="I467" s="362">
        <f>IF($F$11='Tabla Parámetros'!$O$3,'Tabla Construcción Fijos'!I99,IF(Simulador!$F$11='Tabla Parámetros'!$O$4,'Tabla Construcción Crecientes'!I99,))</f>
        <v>0</v>
      </c>
      <c r="J467" s="362">
        <f>IF($F$11='Tabla Parámetros'!$O$3,'Tabla Construcción Fijos'!J99,IF(Simulador!$F$11='Tabla Parámetros'!$O$4,'Tabla Construcción Crecientes'!J99,))</f>
        <v>0</v>
      </c>
      <c r="K467" s="362">
        <f>IF($F$11='Tabla Parámetros'!$O$3,'Tabla Construcción Fijos'!K99,IF(Simulador!$F$11='Tabla Parámetros'!$O$4,'Tabla Construcción Crecientes'!K99,))</f>
        <v>0</v>
      </c>
      <c r="L467" s="362">
        <f>IF($F$11='Tabla Parámetros'!$O$3,'Tabla Construcción Fijos'!L99,IF(Simulador!$F$11='Tabla Parámetros'!$O$4,'Tabla Construcción Crecientes'!L99,))</f>
        <v>0</v>
      </c>
      <c r="M467" s="362">
        <f>IF($F$11='Tabla Parámetros'!$O$3,'Tabla Construcción Fijos'!M99,IF(Simulador!$F$11='Tabla Parámetros'!$O$4,'Tabla Construcción Crecientes'!M99,))</f>
        <v>0</v>
      </c>
      <c r="N467" s="391">
        <f>IF($F$11='Tabla Parámetros'!$O$3,'Tabla Construcción Fijos'!N99,IF(Simulador!$F$11='Tabla Parámetros'!$O$4,'Tabla Construcción Crecientes'!N99,))</f>
        <v>0</v>
      </c>
      <c r="O467" s="392"/>
      <c r="P467" s="392">
        <f>'Tabla Construcción Fijos'!P99</f>
        <v>0</v>
      </c>
      <c r="Q467" s="362">
        <f>IF($F$11='Tabla Parámetros'!$O$3,'Tabla Construcción Fijos'!Q99,IF(Simulador!$F$11='Tabla Parámetros'!$O$4,'Tabla Construcción Crecientes'!P99,))</f>
        <v>0</v>
      </c>
      <c r="R467" s="362">
        <f>IF($F$11='Tabla Parámetros'!$O$3,'Tabla Construcción Fijos'!R99,IF(Simulador!$F$11='Tabla Parámetros'!$O$4,'Tabla Construcción Crecientes'!Q99,))</f>
        <v>0</v>
      </c>
      <c r="S467" s="272">
        <f t="shared" si="18"/>
        <v>0</v>
      </c>
    </row>
    <row r="468" spans="2:19" ht="15.5" hidden="1" x14ac:dyDescent="0.35">
      <c r="B468" s="378">
        <f t="shared" si="19"/>
        <v>77</v>
      </c>
      <c r="C468" s="378">
        <f t="shared" si="20"/>
        <v>30.4</v>
      </c>
      <c r="D468" s="379">
        <f>IF($F$11='Tabla Parámetros'!$O$3,'Tabla Construcción Fijos'!D100,IF(Simulador!$F$11='Tabla Parámetros'!$O$4,'Tabla Construcción Crecientes'!D100,))</f>
        <v>0</v>
      </c>
      <c r="E468" s="390"/>
      <c r="F468" s="362">
        <f>IF($F$11='Tabla Parámetros'!$O$3,'Tabla Construcción Fijos'!F100,IF(Simulador!$F$11='Tabla Parámetros'!$O$4,'Tabla Construcción Crecientes'!F100,))</f>
        <v>0</v>
      </c>
      <c r="G468" s="362"/>
      <c r="H468" s="362">
        <f>IF($F$11='Tabla Parámetros'!$O$3,'Tabla Construcción Fijos'!H100,IF(Simulador!$F$11='Tabla Parámetros'!$O$4,'Tabla Construcción Crecientes'!H100,))</f>
        <v>0</v>
      </c>
      <c r="I468" s="362">
        <f>IF($F$11='Tabla Parámetros'!$O$3,'Tabla Construcción Fijos'!I100,IF(Simulador!$F$11='Tabla Parámetros'!$O$4,'Tabla Construcción Crecientes'!I100,))</f>
        <v>0</v>
      </c>
      <c r="J468" s="362">
        <f>IF($F$11='Tabla Parámetros'!$O$3,'Tabla Construcción Fijos'!J100,IF(Simulador!$F$11='Tabla Parámetros'!$O$4,'Tabla Construcción Crecientes'!J100,))</f>
        <v>0</v>
      </c>
      <c r="K468" s="362">
        <f>IF($F$11='Tabla Parámetros'!$O$3,'Tabla Construcción Fijos'!K100,IF(Simulador!$F$11='Tabla Parámetros'!$O$4,'Tabla Construcción Crecientes'!K100,))</f>
        <v>0</v>
      </c>
      <c r="L468" s="362">
        <f>IF($F$11='Tabla Parámetros'!$O$3,'Tabla Construcción Fijos'!L100,IF(Simulador!$F$11='Tabla Parámetros'!$O$4,'Tabla Construcción Crecientes'!L100,))</f>
        <v>0</v>
      </c>
      <c r="M468" s="362">
        <f>IF($F$11='Tabla Parámetros'!$O$3,'Tabla Construcción Fijos'!M100,IF(Simulador!$F$11='Tabla Parámetros'!$O$4,'Tabla Construcción Crecientes'!M100,))</f>
        <v>0</v>
      </c>
      <c r="N468" s="391">
        <f>IF($F$11='Tabla Parámetros'!$O$3,'Tabla Construcción Fijos'!N100,IF(Simulador!$F$11='Tabla Parámetros'!$O$4,'Tabla Construcción Crecientes'!N100,))</f>
        <v>0</v>
      </c>
      <c r="O468" s="392"/>
      <c r="P468" s="392">
        <f>'Tabla Construcción Fijos'!P100</f>
        <v>0</v>
      </c>
      <c r="Q468" s="362">
        <f>IF($F$11='Tabla Parámetros'!$O$3,'Tabla Construcción Fijos'!Q100,IF(Simulador!$F$11='Tabla Parámetros'!$O$4,'Tabla Construcción Crecientes'!P100,))</f>
        <v>0</v>
      </c>
      <c r="R468" s="362">
        <f>IF($F$11='Tabla Parámetros'!$O$3,'Tabla Construcción Fijos'!R100,IF(Simulador!$F$11='Tabla Parámetros'!$O$4,'Tabla Construcción Crecientes'!Q100,))</f>
        <v>0</v>
      </c>
      <c r="S468" s="272">
        <f t="shared" si="18"/>
        <v>0</v>
      </c>
    </row>
    <row r="469" spans="2:19" ht="15.5" hidden="1" x14ac:dyDescent="0.35">
      <c r="B469" s="378">
        <f t="shared" si="19"/>
        <v>78</v>
      </c>
      <c r="C469" s="378">
        <f t="shared" si="20"/>
        <v>30.4</v>
      </c>
      <c r="D469" s="379">
        <f>IF($F$11='Tabla Parámetros'!$O$3,'Tabla Construcción Fijos'!D101,IF(Simulador!$F$11='Tabla Parámetros'!$O$4,'Tabla Construcción Crecientes'!D101,))</f>
        <v>0</v>
      </c>
      <c r="E469" s="390"/>
      <c r="F469" s="362">
        <f>IF($F$11='Tabla Parámetros'!$O$3,'Tabla Construcción Fijos'!F101,IF(Simulador!$F$11='Tabla Parámetros'!$O$4,'Tabla Construcción Crecientes'!F101,))</f>
        <v>0</v>
      </c>
      <c r="G469" s="362"/>
      <c r="H469" s="362">
        <f>IF($F$11='Tabla Parámetros'!$O$3,'Tabla Construcción Fijos'!H101,IF(Simulador!$F$11='Tabla Parámetros'!$O$4,'Tabla Construcción Crecientes'!H101,))</f>
        <v>0</v>
      </c>
      <c r="I469" s="362">
        <f>IF($F$11='Tabla Parámetros'!$O$3,'Tabla Construcción Fijos'!I101,IF(Simulador!$F$11='Tabla Parámetros'!$O$4,'Tabla Construcción Crecientes'!I101,))</f>
        <v>0</v>
      </c>
      <c r="J469" s="362">
        <f>IF($F$11='Tabla Parámetros'!$O$3,'Tabla Construcción Fijos'!J101,IF(Simulador!$F$11='Tabla Parámetros'!$O$4,'Tabla Construcción Crecientes'!J101,))</f>
        <v>0</v>
      </c>
      <c r="K469" s="362">
        <f>IF($F$11='Tabla Parámetros'!$O$3,'Tabla Construcción Fijos'!K101,IF(Simulador!$F$11='Tabla Parámetros'!$O$4,'Tabla Construcción Crecientes'!K101,))</f>
        <v>0</v>
      </c>
      <c r="L469" s="362">
        <f>IF($F$11='Tabla Parámetros'!$O$3,'Tabla Construcción Fijos'!L101,IF(Simulador!$F$11='Tabla Parámetros'!$O$4,'Tabla Construcción Crecientes'!L101,))</f>
        <v>0</v>
      </c>
      <c r="M469" s="362">
        <f>IF($F$11='Tabla Parámetros'!$O$3,'Tabla Construcción Fijos'!M101,IF(Simulador!$F$11='Tabla Parámetros'!$O$4,'Tabla Construcción Crecientes'!M101,))</f>
        <v>0</v>
      </c>
      <c r="N469" s="391">
        <f>IF($F$11='Tabla Parámetros'!$O$3,'Tabla Construcción Fijos'!N101,IF(Simulador!$F$11='Tabla Parámetros'!$O$4,'Tabla Construcción Crecientes'!N101,))</f>
        <v>0</v>
      </c>
      <c r="O469" s="392"/>
      <c r="P469" s="392">
        <f>'Tabla Construcción Fijos'!P101</f>
        <v>0</v>
      </c>
      <c r="Q469" s="362">
        <f>IF($F$11='Tabla Parámetros'!$O$3,'Tabla Construcción Fijos'!Q101,IF(Simulador!$F$11='Tabla Parámetros'!$O$4,'Tabla Construcción Crecientes'!P101,))</f>
        <v>0</v>
      </c>
      <c r="R469" s="362">
        <f>IF($F$11='Tabla Parámetros'!$O$3,'Tabla Construcción Fijos'!R101,IF(Simulador!$F$11='Tabla Parámetros'!$O$4,'Tabla Construcción Crecientes'!Q101,))</f>
        <v>0</v>
      </c>
      <c r="S469" s="272">
        <f t="shared" si="18"/>
        <v>0</v>
      </c>
    </row>
    <row r="470" spans="2:19" ht="15.5" hidden="1" x14ac:dyDescent="0.35">
      <c r="B470" s="378">
        <f t="shared" si="19"/>
        <v>79</v>
      </c>
      <c r="C470" s="378">
        <f t="shared" si="20"/>
        <v>30.4</v>
      </c>
      <c r="D470" s="379">
        <f>IF($F$11='Tabla Parámetros'!$O$3,'Tabla Construcción Fijos'!D102,IF(Simulador!$F$11='Tabla Parámetros'!$O$4,'Tabla Construcción Crecientes'!D102,))</f>
        <v>0</v>
      </c>
      <c r="E470" s="390"/>
      <c r="F470" s="362">
        <f>IF($F$11='Tabla Parámetros'!$O$3,'Tabla Construcción Fijos'!F102,IF(Simulador!$F$11='Tabla Parámetros'!$O$4,'Tabla Construcción Crecientes'!F102,))</f>
        <v>0</v>
      </c>
      <c r="G470" s="362"/>
      <c r="H470" s="362">
        <f>IF($F$11='Tabla Parámetros'!$O$3,'Tabla Construcción Fijos'!H102,IF(Simulador!$F$11='Tabla Parámetros'!$O$4,'Tabla Construcción Crecientes'!H102,))</f>
        <v>0</v>
      </c>
      <c r="I470" s="362">
        <f>IF($F$11='Tabla Parámetros'!$O$3,'Tabla Construcción Fijos'!I102,IF(Simulador!$F$11='Tabla Parámetros'!$O$4,'Tabla Construcción Crecientes'!I102,))</f>
        <v>0</v>
      </c>
      <c r="J470" s="362">
        <f>IF($F$11='Tabla Parámetros'!$O$3,'Tabla Construcción Fijos'!J102,IF(Simulador!$F$11='Tabla Parámetros'!$O$4,'Tabla Construcción Crecientes'!J102,))</f>
        <v>0</v>
      </c>
      <c r="K470" s="362">
        <f>IF($F$11='Tabla Parámetros'!$O$3,'Tabla Construcción Fijos'!K102,IF(Simulador!$F$11='Tabla Parámetros'!$O$4,'Tabla Construcción Crecientes'!K102,))</f>
        <v>0</v>
      </c>
      <c r="L470" s="362">
        <f>IF($F$11='Tabla Parámetros'!$O$3,'Tabla Construcción Fijos'!L102,IF(Simulador!$F$11='Tabla Parámetros'!$O$4,'Tabla Construcción Crecientes'!L102,))</f>
        <v>0</v>
      </c>
      <c r="M470" s="362">
        <f>IF($F$11='Tabla Parámetros'!$O$3,'Tabla Construcción Fijos'!M102,IF(Simulador!$F$11='Tabla Parámetros'!$O$4,'Tabla Construcción Crecientes'!M102,))</f>
        <v>0</v>
      </c>
      <c r="N470" s="391">
        <f>IF($F$11='Tabla Parámetros'!$O$3,'Tabla Construcción Fijos'!N102,IF(Simulador!$F$11='Tabla Parámetros'!$O$4,'Tabla Construcción Crecientes'!N102,))</f>
        <v>0</v>
      </c>
      <c r="O470" s="392"/>
      <c r="P470" s="392">
        <f>'Tabla Construcción Fijos'!P102</f>
        <v>0</v>
      </c>
      <c r="Q470" s="362">
        <f>IF($F$11='Tabla Parámetros'!$O$3,'Tabla Construcción Fijos'!Q102,IF(Simulador!$F$11='Tabla Parámetros'!$O$4,'Tabla Construcción Crecientes'!P102,))</f>
        <v>0</v>
      </c>
      <c r="R470" s="362">
        <f>IF($F$11='Tabla Parámetros'!$O$3,'Tabla Construcción Fijos'!R102,IF(Simulador!$F$11='Tabla Parámetros'!$O$4,'Tabla Construcción Crecientes'!Q102,))</f>
        <v>0</v>
      </c>
      <c r="S470" s="272">
        <f t="shared" si="18"/>
        <v>0</v>
      </c>
    </row>
    <row r="471" spans="2:19" ht="15.5" hidden="1" x14ac:dyDescent="0.35">
      <c r="B471" s="378">
        <f t="shared" si="19"/>
        <v>80</v>
      </c>
      <c r="C471" s="378">
        <f t="shared" si="20"/>
        <v>30.4</v>
      </c>
      <c r="D471" s="379">
        <f>IF($F$11='Tabla Parámetros'!$O$3,'Tabla Construcción Fijos'!D103,IF(Simulador!$F$11='Tabla Parámetros'!$O$4,'Tabla Construcción Crecientes'!D103,))</f>
        <v>0</v>
      </c>
      <c r="E471" s="390"/>
      <c r="F471" s="362">
        <f>IF($F$11='Tabla Parámetros'!$O$3,'Tabla Construcción Fijos'!F103,IF(Simulador!$F$11='Tabla Parámetros'!$O$4,'Tabla Construcción Crecientes'!F103,))</f>
        <v>0</v>
      </c>
      <c r="G471" s="362"/>
      <c r="H471" s="362">
        <f>IF($F$11='Tabla Parámetros'!$O$3,'Tabla Construcción Fijos'!H103,IF(Simulador!$F$11='Tabla Parámetros'!$O$4,'Tabla Construcción Crecientes'!H103,))</f>
        <v>0</v>
      </c>
      <c r="I471" s="362">
        <f>IF($F$11='Tabla Parámetros'!$O$3,'Tabla Construcción Fijos'!I103,IF(Simulador!$F$11='Tabla Parámetros'!$O$4,'Tabla Construcción Crecientes'!I103,))</f>
        <v>0</v>
      </c>
      <c r="J471" s="362">
        <f>IF($F$11='Tabla Parámetros'!$O$3,'Tabla Construcción Fijos'!J103,IF(Simulador!$F$11='Tabla Parámetros'!$O$4,'Tabla Construcción Crecientes'!J103,))</f>
        <v>0</v>
      </c>
      <c r="K471" s="362">
        <f>IF($F$11='Tabla Parámetros'!$O$3,'Tabla Construcción Fijos'!K103,IF(Simulador!$F$11='Tabla Parámetros'!$O$4,'Tabla Construcción Crecientes'!K103,))</f>
        <v>0</v>
      </c>
      <c r="L471" s="362">
        <f>IF($F$11='Tabla Parámetros'!$O$3,'Tabla Construcción Fijos'!L103,IF(Simulador!$F$11='Tabla Parámetros'!$O$4,'Tabla Construcción Crecientes'!L103,))</f>
        <v>0</v>
      </c>
      <c r="M471" s="362">
        <f>IF($F$11='Tabla Parámetros'!$O$3,'Tabla Construcción Fijos'!M103,IF(Simulador!$F$11='Tabla Parámetros'!$O$4,'Tabla Construcción Crecientes'!M103,))</f>
        <v>0</v>
      </c>
      <c r="N471" s="391">
        <f>IF($F$11='Tabla Parámetros'!$O$3,'Tabla Construcción Fijos'!N103,IF(Simulador!$F$11='Tabla Parámetros'!$O$4,'Tabla Construcción Crecientes'!N103,))</f>
        <v>0</v>
      </c>
      <c r="O471" s="392"/>
      <c r="P471" s="392">
        <f>'Tabla Construcción Fijos'!P103</f>
        <v>0</v>
      </c>
      <c r="Q471" s="362">
        <f>IF($F$11='Tabla Parámetros'!$O$3,'Tabla Construcción Fijos'!Q103,IF(Simulador!$F$11='Tabla Parámetros'!$O$4,'Tabla Construcción Crecientes'!P103,))</f>
        <v>0</v>
      </c>
      <c r="R471" s="362">
        <f>IF($F$11='Tabla Parámetros'!$O$3,'Tabla Construcción Fijos'!R103,IF(Simulador!$F$11='Tabla Parámetros'!$O$4,'Tabla Construcción Crecientes'!Q103,))</f>
        <v>0</v>
      </c>
      <c r="S471" s="272">
        <f t="shared" si="18"/>
        <v>0</v>
      </c>
    </row>
    <row r="472" spans="2:19" ht="15.5" hidden="1" x14ac:dyDescent="0.35">
      <c r="B472" s="378">
        <f t="shared" si="19"/>
        <v>81</v>
      </c>
      <c r="C472" s="378">
        <f t="shared" si="20"/>
        <v>30.4</v>
      </c>
      <c r="D472" s="379">
        <f>IF($F$11='Tabla Parámetros'!$O$3,'Tabla Construcción Fijos'!D104,IF(Simulador!$F$11='Tabla Parámetros'!$O$4,'Tabla Construcción Crecientes'!D104,))</f>
        <v>0</v>
      </c>
      <c r="E472" s="390"/>
      <c r="F472" s="362">
        <f>IF($F$11='Tabla Parámetros'!$O$3,'Tabla Construcción Fijos'!F104,IF(Simulador!$F$11='Tabla Parámetros'!$O$4,'Tabla Construcción Crecientes'!F104,))</f>
        <v>0</v>
      </c>
      <c r="G472" s="362"/>
      <c r="H472" s="362">
        <f>IF($F$11='Tabla Parámetros'!$O$3,'Tabla Construcción Fijos'!H104,IF(Simulador!$F$11='Tabla Parámetros'!$O$4,'Tabla Construcción Crecientes'!H104,))</f>
        <v>0</v>
      </c>
      <c r="I472" s="362">
        <f>IF($F$11='Tabla Parámetros'!$O$3,'Tabla Construcción Fijos'!I104,IF(Simulador!$F$11='Tabla Parámetros'!$O$4,'Tabla Construcción Crecientes'!I104,))</f>
        <v>0</v>
      </c>
      <c r="J472" s="362">
        <f>IF($F$11='Tabla Parámetros'!$O$3,'Tabla Construcción Fijos'!J104,IF(Simulador!$F$11='Tabla Parámetros'!$O$4,'Tabla Construcción Crecientes'!J104,))</f>
        <v>0</v>
      </c>
      <c r="K472" s="362">
        <f>IF($F$11='Tabla Parámetros'!$O$3,'Tabla Construcción Fijos'!K104,IF(Simulador!$F$11='Tabla Parámetros'!$O$4,'Tabla Construcción Crecientes'!K104,))</f>
        <v>0</v>
      </c>
      <c r="L472" s="362">
        <f>IF($F$11='Tabla Parámetros'!$O$3,'Tabla Construcción Fijos'!L104,IF(Simulador!$F$11='Tabla Parámetros'!$O$4,'Tabla Construcción Crecientes'!L104,))</f>
        <v>0</v>
      </c>
      <c r="M472" s="362">
        <f>IF($F$11='Tabla Parámetros'!$O$3,'Tabla Construcción Fijos'!M104,IF(Simulador!$F$11='Tabla Parámetros'!$O$4,'Tabla Construcción Crecientes'!M104,))</f>
        <v>0</v>
      </c>
      <c r="N472" s="391">
        <f>IF($F$11='Tabla Parámetros'!$O$3,'Tabla Construcción Fijos'!N104,IF(Simulador!$F$11='Tabla Parámetros'!$O$4,'Tabla Construcción Crecientes'!N104,))</f>
        <v>0</v>
      </c>
      <c r="O472" s="392"/>
      <c r="P472" s="392">
        <f>'Tabla Construcción Fijos'!P104</f>
        <v>0</v>
      </c>
      <c r="Q472" s="362">
        <f>IF($F$11='Tabla Parámetros'!$O$3,'Tabla Construcción Fijos'!Q104,IF(Simulador!$F$11='Tabla Parámetros'!$O$4,'Tabla Construcción Crecientes'!P104,))</f>
        <v>0</v>
      </c>
      <c r="R472" s="362">
        <f>IF($F$11='Tabla Parámetros'!$O$3,'Tabla Construcción Fijos'!R104,IF(Simulador!$F$11='Tabla Parámetros'!$O$4,'Tabla Construcción Crecientes'!Q104,))</f>
        <v>0</v>
      </c>
      <c r="S472" s="272">
        <f t="shared" si="18"/>
        <v>0</v>
      </c>
    </row>
    <row r="473" spans="2:19" ht="15.5" hidden="1" x14ac:dyDescent="0.35">
      <c r="B473" s="378">
        <f t="shared" si="19"/>
        <v>82</v>
      </c>
      <c r="C473" s="378">
        <f t="shared" si="20"/>
        <v>30.4</v>
      </c>
      <c r="D473" s="379">
        <f>IF($F$11='Tabla Parámetros'!$O$3,'Tabla Construcción Fijos'!D105,IF(Simulador!$F$11='Tabla Parámetros'!$O$4,'Tabla Construcción Crecientes'!D105,))</f>
        <v>0</v>
      </c>
      <c r="E473" s="390"/>
      <c r="F473" s="362">
        <f>IF($F$11='Tabla Parámetros'!$O$3,'Tabla Construcción Fijos'!F105,IF(Simulador!$F$11='Tabla Parámetros'!$O$4,'Tabla Construcción Crecientes'!F105,))</f>
        <v>0</v>
      </c>
      <c r="G473" s="362"/>
      <c r="H473" s="362">
        <f>IF($F$11='Tabla Parámetros'!$O$3,'Tabla Construcción Fijos'!H105,IF(Simulador!$F$11='Tabla Parámetros'!$O$4,'Tabla Construcción Crecientes'!H105,))</f>
        <v>0</v>
      </c>
      <c r="I473" s="362">
        <f>IF($F$11='Tabla Parámetros'!$O$3,'Tabla Construcción Fijos'!I105,IF(Simulador!$F$11='Tabla Parámetros'!$O$4,'Tabla Construcción Crecientes'!I105,))</f>
        <v>0</v>
      </c>
      <c r="J473" s="362">
        <f>IF($F$11='Tabla Parámetros'!$O$3,'Tabla Construcción Fijos'!J105,IF(Simulador!$F$11='Tabla Parámetros'!$O$4,'Tabla Construcción Crecientes'!J105,))</f>
        <v>0</v>
      </c>
      <c r="K473" s="362">
        <f>IF($F$11='Tabla Parámetros'!$O$3,'Tabla Construcción Fijos'!K105,IF(Simulador!$F$11='Tabla Parámetros'!$O$4,'Tabla Construcción Crecientes'!K105,))</f>
        <v>0</v>
      </c>
      <c r="L473" s="362">
        <f>IF($F$11='Tabla Parámetros'!$O$3,'Tabla Construcción Fijos'!L105,IF(Simulador!$F$11='Tabla Parámetros'!$O$4,'Tabla Construcción Crecientes'!L105,))</f>
        <v>0</v>
      </c>
      <c r="M473" s="362">
        <f>IF($F$11='Tabla Parámetros'!$O$3,'Tabla Construcción Fijos'!M105,IF(Simulador!$F$11='Tabla Parámetros'!$O$4,'Tabla Construcción Crecientes'!M105,))</f>
        <v>0</v>
      </c>
      <c r="N473" s="391">
        <f>IF($F$11='Tabla Parámetros'!$O$3,'Tabla Construcción Fijos'!N105,IF(Simulador!$F$11='Tabla Parámetros'!$O$4,'Tabla Construcción Crecientes'!N105,))</f>
        <v>0</v>
      </c>
      <c r="O473" s="392"/>
      <c r="P473" s="392">
        <f>'Tabla Construcción Fijos'!P105</f>
        <v>0</v>
      </c>
      <c r="Q473" s="362">
        <f>IF($F$11='Tabla Parámetros'!$O$3,'Tabla Construcción Fijos'!Q105,IF(Simulador!$F$11='Tabla Parámetros'!$O$4,'Tabla Construcción Crecientes'!P105,))</f>
        <v>0</v>
      </c>
      <c r="R473" s="362">
        <f>IF($F$11='Tabla Parámetros'!$O$3,'Tabla Construcción Fijos'!R105,IF(Simulador!$F$11='Tabla Parámetros'!$O$4,'Tabla Construcción Crecientes'!Q105,))</f>
        <v>0</v>
      </c>
      <c r="S473" s="272">
        <f t="shared" si="18"/>
        <v>0</v>
      </c>
    </row>
    <row r="474" spans="2:19" ht="15.5" hidden="1" x14ac:dyDescent="0.35">
      <c r="B474" s="378">
        <f t="shared" si="19"/>
        <v>83</v>
      </c>
      <c r="C474" s="378">
        <f t="shared" si="20"/>
        <v>30.4</v>
      </c>
      <c r="D474" s="379">
        <f>IF($F$11='Tabla Parámetros'!$O$3,'Tabla Construcción Fijos'!D106,IF(Simulador!$F$11='Tabla Parámetros'!$O$4,'Tabla Construcción Crecientes'!D106,))</f>
        <v>0</v>
      </c>
      <c r="E474" s="390"/>
      <c r="F474" s="362">
        <f>IF($F$11='Tabla Parámetros'!$O$3,'Tabla Construcción Fijos'!F106,IF(Simulador!$F$11='Tabla Parámetros'!$O$4,'Tabla Construcción Crecientes'!F106,))</f>
        <v>0</v>
      </c>
      <c r="G474" s="362"/>
      <c r="H474" s="362">
        <f>IF($F$11='Tabla Parámetros'!$O$3,'Tabla Construcción Fijos'!H106,IF(Simulador!$F$11='Tabla Parámetros'!$O$4,'Tabla Construcción Crecientes'!H106,))</f>
        <v>0</v>
      </c>
      <c r="I474" s="362">
        <f>IF($F$11='Tabla Parámetros'!$O$3,'Tabla Construcción Fijos'!I106,IF(Simulador!$F$11='Tabla Parámetros'!$O$4,'Tabla Construcción Crecientes'!I106,))</f>
        <v>0</v>
      </c>
      <c r="J474" s="362">
        <f>IF($F$11='Tabla Parámetros'!$O$3,'Tabla Construcción Fijos'!J106,IF(Simulador!$F$11='Tabla Parámetros'!$O$4,'Tabla Construcción Crecientes'!J106,))</f>
        <v>0</v>
      </c>
      <c r="K474" s="362">
        <f>IF($F$11='Tabla Parámetros'!$O$3,'Tabla Construcción Fijos'!K106,IF(Simulador!$F$11='Tabla Parámetros'!$O$4,'Tabla Construcción Crecientes'!K106,))</f>
        <v>0</v>
      </c>
      <c r="L474" s="362">
        <f>IF($F$11='Tabla Parámetros'!$O$3,'Tabla Construcción Fijos'!L106,IF(Simulador!$F$11='Tabla Parámetros'!$O$4,'Tabla Construcción Crecientes'!L106,))</f>
        <v>0</v>
      </c>
      <c r="M474" s="362">
        <f>IF($F$11='Tabla Parámetros'!$O$3,'Tabla Construcción Fijos'!M106,IF(Simulador!$F$11='Tabla Parámetros'!$O$4,'Tabla Construcción Crecientes'!M106,))</f>
        <v>0</v>
      </c>
      <c r="N474" s="391">
        <f>IF($F$11='Tabla Parámetros'!$O$3,'Tabla Construcción Fijos'!N106,IF(Simulador!$F$11='Tabla Parámetros'!$O$4,'Tabla Construcción Crecientes'!N106,))</f>
        <v>0</v>
      </c>
      <c r="O474" s="392"/>
      <c r="P474" s="392">
        <f>'Tabla Construcción Fijos'!P106</f>
        <v>0</v>
      </c>
      <c r="Q474" s="362">
        <f>IF($F$11='Tabla Parámetros'!$O$3,'Tabla Construcción Fijos'!Q106,IF(Simulador!$F$11='Tabla Parámetros'!$O$4,'Tabla Construcción Crecientes'!P106,))</f>
        <v>0</v>
      </c>
      <c r="R474" s="362">
        <f>IF($F$11='Tabla Parámetros'!$O$3,'Tabla Construcción Fijos'!R106,IF(Simulador!$F$11='Tabla Parámetros'!$O$4,'Tabla Construcción Crecientes'!Q106,))</f>
        <v>0</v>
      </c>
      <c r="S474" s="272">
        <f t="shared" si="18"/>
        <v>0</v>
      </c>
    </row>
    <row r="475" spans="2:19" ht="15.5" hidden="1" x14ac:dyDescent="0.35">
      <c r="B475" s="378">
        <f t="shared" si="19"/>
        <v>84</v>
      </c>
      <c r="C475" s="378">
        <f t="shared" si="20"/>
        <v>30.4</v>
      </c>
      <c r="D475" s="379">
        <f>IF($F$11='Tabla Parámetros'!$O$3,'Tabla Construcción Fijos'!D107,IF(Simulador!$F$11='Tabla Parámetros'!$O$4,'Tabla Construcción Crecientes'!D107,))</f>
        <v>0</v>
      </c>
      <c r="E475" s="390"/>
      <c r="F475" s="362">
        <f>IF($F$11='Tabla Parámetros'!$O$3,'Tabla Construcción Fijos'!F107,IF(Simulador!$F$11='Tabla Parámetros'!$O$4,'Tabla Construcción Crecientes'!F107,))</f>
        <v>0</v>
      </c>
      <c r="G475" s="362"/>
      <c r="H475" s="362">
        <f>IF($F$11='Tabla Parámetros'!$O$3,'Tabla Construcción Fijos'!H107,IF(Simulador!$F$11='Tabla Parámetros'!$O$4,'Tabla Construcción Crecientes'!H107,))</f>
        <v>0</v>
      </c>
      <c r="I475" s="362">
        <f>IF($F$11='Tabla Parámetros'!$O$3,'Tabla Construcción Fijos'!I107,IF(Simulador!$F$11='Tabla Parámetros'!$O$4,'Tabla Construcción Crecientes'!I107,))</f>
        <v>0</v>
      </c>
      <c r="J475" s="362">
        <f>IF($F$11='Tabla Parámetros'!$O$3,'Tabla Construcción Fijos'!J107,IF(Simulador!$F$11='Tabla Parámetros'!$O$4,'Tabla Construcción Crecientes'!J107,))</f>
        <v>0</v>
      </c>
      <c r="K475" s="362">
        <f>IF($F$11='Tabla Parámetros'!$O$3,'Tabla Construcción Fijos'!K107,IF(Simulador!$F$11='Tabla Parámetros'!$O$4,'Tabla Construcción Crecientes'!K107,))</f>
        <v>0</v>
      </c>
      <c r="L475" s="362">
        <f>IF($F$11='Tabla Parámetros'!$O$3,'Tabla Construcción Fijos'!L107,IF(Simulador!$F$11='Tabla Parámetros'!$O$4,'Tabla Construcción Crecientes'!L107,))</f>
        <v>0</v>
      </c>
      <c r="M475" s="362">
        <f>IF($F$11='Tabla Parámetros'!$O$3,'Tabla Construcción Fijos'!M107,IF(Simulador!$F$11='Tabla Parámetros'!$O$4,'Tabla Construcción Crecientes'!M107,))</f>
        <v>0</v>
      </c>
      <c r="N475" s="391">
        <f>IF($F$11='Tabla Parámetros'!$O$3,'Tabla Construcción Fijos'!N107,IF(Simulador!$F$11='Tabla Parámetros'!$O$4,'Tabla Construcción Crecientes'!N107,))</f>
        <v>0</v>
      </c>
      <c r="O475" s="392"/>
      <c r="P475" s="392">
        <f>'Tabla Construcción Fijos'!P107</f>
        <v>0</v>
      </c>
      <c r="Q475" s="362">
        <f>IF($F$11='Tabla Parámetros'!$O$3,'Tabla Construcción Fijos'!Q107,IF(Simulador!$F$11='Tabla Parámetros'!$O$4,'Tabla Construcción Crecientes'!P107,))</f>
        <v>0</v>
      </c>
      <c r="R475" s="362">
        <f>IF($F$11='Tabla Parámetros'!$O$3,'Tabla Construcción Fijos'!R107,IF(Simulador!$F$11='Tabla Parámetros'!$O$4,'Tabla Construcción Crecientes'!Q107,))</f>
        <v>0</v>
      </c>
      <c r="S475" s="272">
        <f t="shared" si="18"/>
        <v>0</v>
      </c>
    </row>
    <row r="476" spans="2:19" ht="15.5" hidden="1" x14ac:dyDescent="0.35">
      <c r="B476" s="378">
        <f t="shared" si="19"/>
        <v>85</v>
      </c>
      <c r="C476" s="378">
        <f t="shared" si="20"/>
        <v>30.4</v>
      </c>
      <c r="D476" s="379">
        <f>IF($F$11='Tabla Parámetros'!$O$3,'Tabla Construcción Fijos'!D108,IF(Simulador!$F$11='Tabla Parámetros'!$O$4,'Tabla Construcción Crecientes'!D108,))</f>
        <v>0</v>
      </c>
      <c r="E476" s="390"/>
      <c r="F476" s="362">
        <f>IF($F$11='Tabla Parámetros'!$O$3,'Tabla Construcción Fijos'!F108,IF(Simulador!$F$11='Tabla Parámetros'!$O$4,'Tabla Construcción Crecientes'!F108,))</f>
        <v>0</v>
      </c>
      <c r="G476" s="362"/>
      <c r="H476" s="362">
        <f>IF($F$11='Tabla Parámetros'!$O$3,'Tabla Construcción Fijos'!H108,IF(Simulador!$F$11='Tabla Parámetros'!$O$4,'Tabla Construcción Crecientes'!H108,))</f>
        <v>0</v>
      </c>
      <c r="I476" s="362">
        <f>IF($F$11='Tabla Parámetros'!$O$3,'Tabla Construcción Fijos'!I108,IF(Simulador!$F$11='Tabla Parámetros'!$O$4,'Tabla Construcción Crecientes'!I108,))</f>
        <v>0</v>
      </c>
      <c r="J476" s="362">
        <f>IF($F$11='Tabla Parámetros'!$O$3,'Tabla Construcción Fijos'!J108,IF(Simulador!$F$11='Tabla Parámetros'!$O$4,'Tabla Construcción Crecientes'!J108,))</f>
        <v>0</v>
      </c>
      <c r="K476" s="362">
        <f>IF($F$11='Tabla Parámetros'!$O$3,'Tabla Construcción Fijos'!K108,IF(Simulador!$F$11='Tabla Parámetros'!$O$4,'Tabla Construcción Crecientes'!K108,))</f>
        <v>0</v>
      </c>
      <c r="L476" s="362">
        <f>IF($F$11='Tabla Parámetros'!$O$3,'Tabla Construcción Fijos'!L108,IF(Simulador!$F$11='Tabla Parámetros'!$O$4,'Tabla Construcción Crecientes'!L108,))</f>
        <v>0</v>
      </c>
      <c r="M476" s="362">
        <f>IF($F$11='Tabla Parámetros'!$O$3,'Tabla Construcción Fijos'!M108,IF(Simulador!$F$11='Tabla Parámetros'!$O$4,'Tabla Construcción Crecientes'!M108,))</f>
        <v>0</v>
      </c>
      <c r="N476" s="391">
        <f>IF($F$11='Tabla Parámetros'!$O$3,'Tabla Construcción Fijos'!N108,IF(Simulador!$F$11='Tabla Parámetros'!$O$4,'Tabla Construcción Crecientes'!N108,))</f>
        <v>0</v>
      </c>
      <c r="O476" s="392"/>
      <c r="P476" s="392">
        <f>'Tabla Construcción Fijos'!P108</f>
        <v>0</v>
      </c>
      <c r="Q476" s="362">
        <f>IF($F$11='Tabla Parámetros'!$O$3,'Tabla Construcción Fijos'!Q108,IF(Simulador!$F$11='Tabla Parámetros'!$O$4,'Tabla Construcción Crecientes'!P108,))</f>
        <v>0</v>
      </c>
      <c r="R476" s="362">
        <f>IF($F$11='Tabla Parámetros'!$O$3,'Tabla Construcción Fijos'!R108,IF(Simulador!$F$11='Tabla Parámetros'!$O$4,'Tabla Construcción Crecientes'!Q108,))</f>
        <v>0</v>
      </c>
      <c r="S476" s="272">
        <f t="shared" si="18"/>
        <v>0</v>
      </c>
    </row>
    <row r="477" spans="2:19" ht="15.5" hidden="1" x14ac:dyDescent="0.35">
      <c r="B477" s="378">
        <f t="shared" si="19"/>
        <v>86</v>
      </c>
      <c r="C477" s="378">
        <f t="shared" si="20"/>
        <v>30.4</v>
      </c>
      <c r="D477" s="379">
        <f>IF($F$11='Tabla Parámetros'!$O$3,'Tabla Construcción Fijos'!D109,IF(Simulador!$F$11='Tabla Parámetros'!$O$4,'Tabla Construcción Crecientes'!D109,))</f>
        <v>0</v>
      </c>
      <c r="E477" s="390"/>
      <c r="F477" s="362">
        <f>IF($F$11='Tabla Parámetros'!$O$3,'Tabla Construcción Fijos'!F109,IF(Simulador!$F$11='Tabla Parámetros'!$O$4,'Tabla Construcción Crecientes'!F109,))</f>
        <v>0</v>
      </c>
      <c r="G477" s="362"/>
      <c r="H477" s="362">
        <f>IF($F$11='Tabla Parámetros'!$O$3,'Tabla Construcción Fijos'!H109,IF(Simulador!$F$11='Tabla Parámetros'!$O$4,'Tabla Construcción Crecientes'!H109,))</f>
        <v>0</v>
      </c>
      <c r="I477" s="362">
        <f>IF($F$11='Tabla Parámetros'!$O$3,'Tabla Construcción Fijos'!I109,IF(Simulador!$F$11='Tabla Parámetros'!$O$4,'Tabla Construcción Crecientes'!I109,))</f>
        <v>0</v>
      </c>
      <c r="J477" s="362">
        <f>IF($F$11='Tabla Parámetros'!$O$3,'Tabla Construcción Fijos'!J109,IF(Simulador!$F$11='Tabla Parámetros'!$O$4,'Tabla Construcción Crecientes'!J109,))</f>
        <v>0</v>
      </c>
      <c r="K477" s="362">
        <f>IF($F$11='Tabla Parámetros'!$O$3,'Tabla Construcción Fijos'!K109,IF(Simulador!$F$11='Tabla Parámetros'!$O$4,'Tabla Construcción Crecientes'!K109,))</f>
        <v>0</v>
      </c>
      <c r="L477" s="362">
        <f>IF($F$11='Tabla Parámetros'!$O$3,'Tabla Construcción Fijos'!L109,IF(Simulador!$F$11='Tabla Parámetros'!$O$4,'Tabla Construcción Crecientes'!L109,))</f>
        <v>0</v>
      </c>
      <c r="M477" s="362">
        <f>IF($F$11='Tabla Parámetros'!$O$3,'Tabla Construcción Fijos'!M109,IF(Simulador!$F$11='Tabla Parámetros'!$O$4,'Tabla Construcción Crecientes'!M109,))</f>
        <v>0</v>
      </c>
      <c r="N477" s="391">
        <f>IF($F$11='Tabla Parámetros'!$O$3,'Tabla Construcción Fijos'!N109,IF(Simulador!$F$11='Tabla Parámetros'!$O$4,'Tabla Construcción Crecientes'!N109,))</f>
        <v>0</v>
      </c>
      <c r="O477" s="392"/>
      <c r="P477" s="392">
        <f>'Tabla Construcción Fijos'!P109</f>
        <v>0</v>
      </c>
      <c r="Q477" s="362">
        <f>IF($F$11='Tabla Parámetros'!$O$3,'Tabla Construcción Fijos'!Q109,IF(Simulador!$F$11='Tabla Parámetros'!$O$4,'Tabla Construcción Crecientes'!P109,))</f>
        <v>0</v>
      </c>
      <c r="R477" s="362">
        <f>IF($F$11='Tabla Parámetros'!$O$3,'Tabla Construcción Fijos'!R109,IF(Simulador!$F$11='Tabla Parámetros'!$O$4,'Tabla Construcción Crecientes'!Q109,))</f>
        <v>0</v>
      </c>
      <c r="S477" s="272">
        <f t="shared" si="18"/>
        <v>0</v>
      </c>
    </row>
    <row r="478" spans="2:19" ht="15.5" hidden="1" x14ac:dyDescent="0.35">
      <c r="B478" s="378">
        <f t="shared" si="19"/>
        <v>87</v>
      </c>
      <c r="C478" s="378">
        <f t="shared" si="20"/>
        <v>30.4</v>
      </c>
      <c r="D478" s="379">
        <f>IF($F$11='Tabla Parámetros'!$O$3,'Tabla Construcción Fijos'!D110,IF(Simulador!$F$11='Tabla Parámetros'!$O$4,'Tabla Construcción Crecientes'!D110,))</f>
        <v>0</v>
      </c>
      <c r="E478" s="390"/>
      <c r="F478" s="362">
        <f>IF($F$11='Tabla Parámetros'!$O$3,'Tabla Construcción Fijos'!F110,IF(Simulador!$F$11='Tabla Parámetros'!$O$4,'Tabla Construcción Crecientes'!F110,))</f>
        <v>0</v>
      </c>
      <c r="G478" s="362"/>
      <c r="H478" s="362">
        <f>IF($F$11='Tabla Parámetros'!$O$3,'Tabla Construcción Fijos'!H110,IF(Simulador!$F$11='Tabla Parámetros'!$O$4,'Tabla Construcción Crecientes'!H110,))</f>
        <v>0</v>
      </c>
      <c r="I478" s="362">
        <f>IF($F$11='Tabla Parámetros'!$O$3,'Tabla Construcción Fijos'!I110,IF(Simulador!$F$11='Tabla Parámetros'!$O$4,'Tabla Construcción Crecientes'!I110,))</f>
        <v>0</v>
      </c>
      <c r="J478" s="362">
        <f>IF($F$11='Tabla Parámetros'!$O$3,'Tabla Construcción Fijos'!J110,IF(Simulador!$F$11='Tabla Parámetros'!$O$4,'Tabla Construcción Crecientes'!J110,))</f>
        <v>0</v>
      </c>
      <c r="K478" s="362">
        <f>IF($F$11='Tabla Parámetros'!$O$3,'Tabla Construcción Fijos'!K110,IF(Simulador!$F$11='Tabla Parámetros'!$O$4,'Tabla Construcción Crecientes'!K110,))</f>
        <v>0</v>
      </c>
      <c r="L478" s="362">
        <f>IF($F$11='Tabla Parámetros'!$O$3,'Tabla Construcción Fijos'!L110,IF(Simulador!$F$11='Tabla Parámetros'!$O$4,'Tabla Construcción Crecientes'!L110,))</f>
        <v>0</v>
      </c>
      <c r="M478" s="362">
        <f>IF($F$11='Tabla Parámetros'!$O$3,'Tabla Construcción Fijos'!M110,IF(Simulador!$F$11='Tabla Parámetros'!$O$4,'Tabla Construcción Crecientes'!M110,))</f>
        <v>0</v>
      </c>
      <c r="N478" s="391">
        <f>IF($F$11='Tabla Parámetros'!$O$3,'Tabla Construcción Fijos'!N110,IF(Simulador!$F$11='Tabla Parámetros'!$O$4,'Tabla Construcción Crecientes'!N110,))</f>
        <v>0</v>
      </c>
      <c r="O478" s="392"/>
      <c r="P478" s="392">
        <f>'Tabla Construcción Fijos'!P110</f>
        <v>0</v>
      </c>
      <c r="Q478" s="362">
        <f>IF($F$11='Tabla Parámetros'!$O$3,'Tabla Construcción Fijos'!Q110,IF(Simulador!$F$11='Tabla Parámetros'!$O$4,'Tabla Construcción Crecientes'!P110,))</f>
        <v>0</v>
      </c>
      <c r="R478" s="362">
        <f>IF($F$11='Tabla Parámetros'!$O$3,'Tabla Construcción Fijos'!R110,IF(Simulador!$F$11='Tabla Parámetros'!$O$4,'Tabla Construcción Crecientes'!Q110,))</f>
        <v>0</v>
      </c>
      <c r="S478" s="272">
        <f t="shared" si="18"/>
        <v>0</v>
      </c>
    </row>
    <row r="479" spans="2:19" ht="15.5" hidden="1" x14ac:dyDescent="0.35">
      <c r="B479" s="378">
        <f t="shared" si="19"/>
        <v>88</v>
      </c>
      <c r="C479" s="378">
        <f t="shared" si="20"/>
        <v>30.4</v>
      </c>
      <c r="D479" s="379">
        <f>IF($F$11='Tabla Parámetros'!$O$3,'Tabla Construcción Fijos'!D111,IF(Simulador!$F$11='Tabla Parámetros'!$O$4,'Tabla Construcción Crecientes'!D111,))</f>
        <v>0</v>
      </c>
      <c r="E479" s="390"/>
      <c r="F479" s="362">
        <f>IF($F$11='Tabla Parámetros'!$O$3,'Tabla Construcción Fijos'!F111,IF(Simulador!$F$11='Tabla Parámetros'!$O$4,'Tabla Construcción Crecientes'!F111,))</f>
        <v>0</v>
      </c>
      <c r="G479" s="362"/>
      <c r="H479" s="362">
        <f>IF($F$11='Tabla Parámetros'!$O$3,'Tabla Construcción Fijos'!H111,IF(Simulador!$F$11='Tabla Parámetros'!$O$4,'Tabla Construcción Crecientes'!H111,))</f>
        <v>0</v>
      </c>
      <c r="I479" s="362">
        <f>IF($F$11='Tabla Parámetros'!$O$3,'Tabla Construcción Fijos'!I111,IF(Simulador!$F$11='Tabla Parámetros'!$O$4,'Tabla Construcción Crecientes'!I111,))</f>
        <v>0</v>
      </c>
      <c r="J479" s="362">
        <f>IF($F$11='Tabla Parámetros'!$O$3,'Tabla Construcción Fijos'!J111,IF(Simulador!$F$11='Tabla Parámetros'!$O$4,'Tabla Construcción Crecientes'!J111,))</f>
        <v>0</v>
      </c>
      <c r="K479" s="362">
        <f>IF($F$11='Tabla Parámetros'!$O$3,'Tabla Construcción Fijos'!K111,IF(Simulador!$F$11='Tabla Parámetros'!$O$4,'Tabla Construcción Crecientes'!K111,))</f>
        <v>0</v>
      </c>
      <c r="L479" s="362">
        <f>IF($F$11='Tabla Parámetros'!$O$3,'Tabla Construcción Fijos'!L111,IF(Simulador!$F$11='Tabla Parámetros'!$O$4,'Tabla Construcción Crecientes'!L111,))</f>
        <v>0</v>
      </c>
      <c r="M479" s="362">
        <f>IF($F$11='Tabla Parámetros'!$O$3,'Tabla Construcción Fijos'!M111,IF(Simulador!$F$11='Tabla Parámetros'!$O$4,'Tabla Construcción Crecientes'!M111,))</f>
        <v>0</v>
      </c>
      <c r="N479" s="391">
        <f>IF($F$11='Tabla Parámetros'!$O$3,'Tabla Construcción Fijos'!N111,IF(Simulador!$F$11='Tabla Parámetros'!$O$4,'Tabla Construcción Crecientes'!N111,))</f>
        <v>0</v>
      </c>
      <c r="O479" s="392"/>
      <c r="P479" s="392">
        <f>'Tabla Construcción Fijos'!P111</f>
        <v>0</v>
      </c>
      <c r="Q479" s="362">
        <f>IF($F$11='Tabla Parámetros'!$O$3,'Tabla Construcción Fijos'!Q111,IF(Simulador!$F$11='Tabla Parámetros'!$O$4,'Tabla Construcción Crecientes'!P111,))</f>
        <v>0</v>
      </c>
      <c r="R479" s="362">
        <f>IF($F$11='Tabla Parámetros'!$O$3,'Tabla Construcción Fijos'!R111,IF(Simulador!$F$11='Tabla Parámetros'!$O$4,'Tabla Construcción Crecientes'!Q111,))</f>
        <v>0</v>
      </c>
      <c r="S479" s="272">
        <f t="shared" si="18"/>
        <v>0</v>
      </c>
    </row>
    <row r="480" spans="2:19" ht="15.5" hidden="1" x14ac:dyDescent="0.35">
      <c r="B480" s="378">
        <f t="shared" si="19"/>
        <v>89</v>
      </c>
      <c r="C480" s="378">
        <f t="shared" si="20"/>
        <v>30.4</v>
      </c>
      <c r="D480" s="379">
        <f>IF($F$11='Tabla Parámetros'!$O$3,'Tabla Construcción Fijos'!D112,IF(Simulador!$F$11='Tabla Parámetros'!$O$4,'Tabla Construcción Crecientes'!D112,))</f>
        <v>0</v>
      </c>
      <c r="E480" s="390"/>
      <c r="F480" s="362">
        <f>IF($F$11='Tabla Parámetros'!$O$3,'Tabla Construcción Fijos'!F112,IF(Simulador!$F$11='Tabla Parámetros'!$O$4,'Tabla Construcción Crecientes'!F112,))</f>
        <v>0</v>
      </c>
      <c r="G480" s="362"/>
      <c r="H480" s="362">
        <f>IF($F$11='Tabla Parámetros'!$O$3,'Tabla Construcción Fijos'!H112,IF(Simulador!$F$11='Tabla Parámetros'!$O$4,'Tabla Construcción Crecientes'!H112,))</f>
        <v>0</v>
      </c>
      <c r="I480" s="362">
        <f>IF($F$11='Tabla Parámetros'!$O$3,'Tabla Construcción Fijos'!I112,IF(Simulador!$F$11='Tabla Parámetros'!$O$4,'Tabla Construcción Crecientes'!I112,))</f>
        <v>0</v>
      </c>
      <c r="J480" s="362">
        <f>IF($F$11='Tabla Parámetros'!$O$3,'Tabla Construcción Fijos'!J112,IF(Simulador!$F$11='Tabla Parámetros'!$O$4,'Tabla Construcción Crecientes'!J112,))</f>
        <v>0</v>
      </c>
      <c r="K480" s="362">
        <f>IF($F$11='Tabla Parámetros'!$O$3,'Tabla Construcción Fijos'!K112,IF(Simulador!$F$11='Tabla Parámetros'!$O$4,'Tabla Construcción Crecientes'!K112,))</f>
        <v>0</v>
      </c>
      <c r="L480" s="362">
        <f>IF($F$11='Tabla Parámetros'!$O$3,'Tabla Construcción Fijos'!L112,IF(Simulador!$F$11='Tabla Parámetros'!$O$4,'Tabla Construcción Crecientes'!L112,))</f>
        <v>0</v>
      </c>
      <c r="M480" s="362">
        <f>IF($F$11='Tabla Parámetros'!$O$3,'Tabla Construcción Fijos'!M112,IF(Simulador!$F$11='Tabla Parámetros'!$O$4,'Tabla Construcción Crecientes'!M112,))</f>
        <v>0</v>
      </c>
      <c r="N480" s="391">
        <f>IF($F$11='Tabla Parámetros'!$O$3,'Tabla Construcción Fijos'!N112,IF(Simulador!$F$11='Tabla Parámetros'!$O$4,'Tabla Construcción Crecientes'!N112,))</f>
        <v>0</v>
      </c>
      <c r="O480" s="392"/>
      <c r="P480" s="392">
        <f>'Tabla Construcción Fijos'!P112</f>
        <v>0</v>
      </c>
      <c r="Q480" s="362">
        <f>IF($F$11='Tabla Parámetros'!$O$3,'Tabla Construcción Fijos'!Q112,IF(Simulador!$F$11='Tabla Parámetros'!$O$4,'Tabla Construcción Crecientes'!P112,))</f>
        <v>0</v>
      </c>
      <c r="R480" s="362">
        <f>IF($F$11='Tabla Parámetros'!$O$3,'Tabla Construcción Fijos'!R112,IF(Simulador!$F$11='Tabla Parámetros'!$O$4,'Tabla Construcción Crecientes'!Q112,))</f>
        <v>0</v>
      </c>
      <c r="S480" s="272">
        <f t="shared" si="18"/>
        <v>0</v>
      </c>
    </row>
    <row r="481" spans="2:19" ht="15.5" hidden="1" x14ac:dyDescent="0.35">
      <c r="B481" s="378">
        <f t="shared" si="19"/>
        <v>90</v>
      </c>
      <c r="C481" s="378">
        <f t="shared" si="20"/>
        <v>30.4</v>
      </c>
      <c r="D481" s="379">
        <f>IF($F$11='Tabla Parámetros'!$O$3,'Tabla Construcción Fijos'!D113,IF(Simulador!$F$11='Tabla Parámetros'!$O$4,'Tabla Construcción Crecientes'!D113,))</f>
        <v>0</v>
      </c>
      <c r="E481" s="390"/>
      <c r="F481" s="362">
        <f>IF($F$11='Tabla Parámetros'!$O$3,'Tabla Construcción Fijos'!F113,IF(Simulador!$F$11='Tabla Parámetros'!$O$4,'Tabla Construcción Crecientes'!F113,))</f>
        <v>0</v>
      </c>
      <c r="G481" s="362"/>
      <c r="H481" s="362">
        <f>IF($F$11='Tabla Parámetros'!$O$3,'Tabla Construcción Fijos'!H113,IF(Simulador!$F$11='Tabla Parámetros'!$O$4,'Tabla Construcción Crecientes'!H113,))</f>
        <v>0</v>
      </c>
      <c r="I481" s="362">
        <f>IF($F$11='Tabla Parámetros'!$O$3,'Tabla Construcción Fijos'!I113,IF(Simulador!$F$11='Tabla Parámetros'!$O$4,'Tabla Construcción Crecientes'!I113,))</f>
        <v>0</v>
      </c>
      <c r="J481" s="362">
        <f>IF($F$11='Tabla Parámetros'!$O$3,'Tabla Construcción Fijos'!J113,IF(Simulador!$F$11='Tabla Parámetros'!$O$4,'Tabla Construcción Crecientes'!J113,))</f>
        <v>0</v>
      </c>
      <c r="K481" s="362">
        <f>IF($F$11='Tabla Parámetros'!$O$3,'Tabla Construcción Fijos'!K113,IF(Simulador!$F$11='Tabla Parámetros'!$O$4,'Tabla Construcción Crecientes'!K113,))</f>
        <v>0</v>
      </c>
      <c r="L481" s="362">
        <f>IF($F$11='Tabla Parámetros'!$O$3,'Tabla Construcción Fijos'!L113,IF(Simulador!$F$11='Tabla Parámetros'!$O$4,'Tabla Construcción Crecientes'!L113,))</f>
        <v>0</v>
      </c>
      <c r="M481" s="362">
        <f>IF($F$11='Tabla Parámetros'!$O$3,'Tabla Construcción Fijos'!M113,IF(Simulador!$F$11='Tabla Parámetros'!$O$4,'Tabla Construcción Crecientes'!M113,))</f>
        <v>0</v>
      </c>
      <c r="N481" s="391">
        <f>IF($F$11='Tabla Parámetros'!$O$3,'Tabla Construcción Fijos'!N113,IF(Simulador!$F$11='Tabla Parámetros'!$O$4,'Tabla Construcción Crecientes'!N113,))</f>
        <v>0</v>
      </c>
      <c r="O481" s="392"/>
      <c r="P481" s="392">
        <f>'Tabla Construcción Fijos'!P113</f>
        <v>0</v>
      </c>
      <c r="Q481" s="362">
        <f>IF($F$11='Tabla Parámetros'!$O$3,'Tabla Construcción Fijos'!Q113,IF(Simulador!$F$11='Tabla Parámetros'!$O$4,'Tabla Construcción Crecientes'!P113,))</f>
        <v>0</v>
      </c>
      <c r="R481" s="362">
        <f>IF($F$11='Tabla Parámetros'!$O$3,'Tabla Construcción Fijos'!R113,IF(Simulador!$F$11='Tabla Parámetros'!$O$4,'Tabla Construcción Crecientes'!Q113,))</f>
        <v>0</v>
      </c>
      <c r="S481" s="272">
        <f t="shared" si="18"/>
        <v>0</v>
      </c>
    </row>
    <row r="482" spans="2:19" ht="15.5" hidden="1" x14ac:dyDescent="0.35">
      <c r="B482" s="378">
        <f t="shared" si="19"/>
        <v>91</v>
      </c>
      <c r="C482" s="378">
        <f t="shared" si="20"/>
        <v>30.4</v>
      </c>
      <c r="D482" s="379">
        <f>IF($F$11='Tabla Parámetros'!$O$3,'Tabla Construcción Fijos'!D114,IF(Simulador!$F$11='Tabla Parámetros'!$O$4,'Tabla Construcción Crecientes'!D114,))</f>
        <v>0</v>
      </c>
      <c r="E482" s="390"/>
      <c r="F482" s="362">
        <f>IF($F$11='Tabla Parámetros'!$O$3,'Tabla Construcción Fijos'!F114,IF(Simulador!$F$11='Tabla Parámetros'!$O$4,'Tabla Construcción Crecientes'!F114,))</f>
        <v>0</v>
      </c>
      <c r="G482" s="362"/>
      <c r="H482" s="362">
        <f>IF($F$11='Tabla Parámetros'!$O$3,'Tabla Construcción Fijos'!H114,IF(Simulador!$F$11='Tabla Parámetros'!$O$4,'Tabla Construcción Crecientes'!H114,))</f>
        <v>0</v>
      </c>
      <c r="I482" s="362">
        <f>IF($F$11='Tabla Parámetros'!$O$3,'Tabla Construcción Fijos'!I114,IF(Simulador!$F$11='Tabla Parámetros'!$O$4,'Tabla Construcción Crecientes'!I114,))</f>
        <v>0</v>
      </c>
      <c r="J482" s="362">
        <f>IF($F$11='Tabla Parámetros'!$O$3,'Tabla Construcción Fijos'!J114,IF(Simulador!$F$11='Tabla Parámetros'!$O$4,'Tabla Construcción Crecientes'!J114,))</f>
        <v>0</v>
      </c>
      <c r="K482" s="362">
        <f>IF($F$11='Tabla Parámetros'!$O$3,'Tabla Construcción Fijos'!K114,IF(Simulador!$F$11='Tabla Parámetros'!$O$4,'Tabla Construcción Crecientes'!K114,))</f>
        <v>0</v>
      </c>
      <c r="L482" s="362">
        <f>IF($F$11='Tabla Parámetros'!$O$3,'Tabla Construcción Fijos'!L114,IF(Simulador!$F$11='Tabla Parámetros'!$O$4,'Tabla Construcción Crecientes'!L114,))</f>
        <v>0</v>
      </c>
      <c r="M482" s="362">
        <f>IF($F$11='Tabla Parámetros'!$O$3,'Tabla Construcción Fijos'!M114,IF(Simulador!$F$11='Tabla Parámetros'!$O$4,'Tabla Construcción Crecientes'!M114,))</f>
        <v>0</v>
      </c>
      <c r="N482" s="391">
        <f>IF($F$11='Tabla Parámetros'!$O$3,'Tabla Construcción Fijos'!N114,IF(Simulador!$F$11='Tabla Parámetros'!$O$4,'Tabla Construcción Crecientes'!N114,))</f>
        <v>0</v>
      </c>
      <c r="O482" s="392"/>
      <c r="P482" s="392">
        <f>'Tabla Construcción Fijos'!P114</f>
        <v>0</v>
      </c>
      <c r="Q482" s="362">
        <f>IF($F$11='Tabla Parámetros'!$O$3,'Tabla Construcción Fijos'!Q114,IF(Simulador!$F$11='Tabla Parámetros'!$O$4,'Tabla Construcción Crecientes'!P114,))</f>
        <v>0</v>
      </c>
      <c r="R482" s="362">
        <f>IF($F$11='Tabla Parámetros'!$O$3,'Tabla Construcción Fijos'!R114,IF(Simulador!$F$11='Tabla Parámetros'!$O$4,'Tabla Construcción Crecientes'!Q114,))</f>
        <v>0</v>
      </c>
      <c r="S482" s="272">
        <f t="shared" si="18"/>
        <v>0</v>
      </c>
    </row>
    <row r="483" spans="2:19" ht="15.5" hidden="1" x14ac:dyDescent="0.35">
      <c r="B483" s="378">
        <f t="shared" si="19"/>
        <v>92</v>
      </c>
      <c r="C483" s="378">
        <f t="shared" si="20"/>
        <v>30.4</v>
      </c>
      <c r="D483" s="379">
        <f>IF($F$11='Tabla Parámetros'!$O$3,'Tabla Construcción Fijos'!D115,IF(Simulador!$F$11='Tabla Parámetros'!$O$4,'Tabla Construcción Crecientes'!D115,))</f>
        <v>0</v>
      </c>
      <c r="E483" s="390"/>
      <c r="F483" s="362">
        <f>IF($F$11='Tabla Parámetros'!$O$3,'Tabla Construcción Fijos'!F115,IF(Simulador!$F$11='Tabla Parámetros'!$O$4,'Tabla Construcción Crecientes'!F115,))</f>
        <v>0</v>
      </c>
      <c r="G483" s="362"/>
      <c r="H483" s="362">
        <f>IF($F$11='Tabla Parámetros'!$O$3,'Tabla Construcción Fijos'!H115,IF(Simulador!$F$11='Tabla Parámetros'!$O$4,'Tabla Construcción Crecientes'!H115,))</f>
        <v>0</v>
      </c>
      <c r="I483" s="362">
        <f>IF($F$11='Tabla Parámetros'!$O$3,'Tabla Construcción Fijos'!I115,IF(Simulador!$F$11='Tabla Parámetros'!$O$4,'Tabla Construcción Crecientes'!I115,))</f>
        <v>0</v>
      </c>
      <c r="J483" s="362">
        <f>IF($F$11='Tabla Parámetros'!$O$3,'Tabla Construcción Fijos'!J115,IF(Simulador!$F$11='Tabla Parámetros'!$O$4,'Tabla Construcción Crecientes'!J115,))</f>
        <v>0</v>
      </c>
      <c r="K483" s="362">
        <f>IF($F$11='Tabla Parámetros'!$O$3,'Tabla Construcción Fijos'!K115,IF(Simulador!$F$11='Tabla Parámetros'!$O$4,'Tabla Construcción Crecientes'!K115,))</f>
        <v>0</v>
      </c>
      <c r="L483" s="362">
        <f>IF($F$11='Tabla Parámetros'!$O$3,'Tabla Construcción Fijos'!L115,IF(Simulador!$F$11='Tabla Parámetros'!$O$4,'Tabla Construcción Crecientes'!L115,))</f>
        <v>0</v>
      </c>
      <c r="M483" s="362">
        <f>IF($F$11='Tabla Parámetros'!$O$3,'Tabla Construcción Fijos'!M115,IF(Simulador!$F$11='Tabla Parámetros'!$O$4,'Tabla Construcción Crecientes'!M115,))</f>
        <v>0</v>
      </c>
      <c r="N483" s="391">
        <f>IF($F$11='Tabla Parámetros'!$O$3,'Tabla Construcción Fijos'!N115,IF(Simulador!$F$11='Tabla Parámetros'!$O$4,'Tabla Construcción Crecientes'!N115,))</f>
        <v>0</v>
      </c>
      <c r="O483" s="392"/>
      <c r="P483" s="392">
        <f>'Tabla Construcción Fijos'!P115</f>
        <v>0</v>
      </c>
      <c r="Q483" s="362">
        <f>IF($F$11='Tabla Parámetros'!$O$3,'Tabla Construcción Fijos'!Q115,IF(Simulador!$F$11='Tabla Parámetros'!$O$4,'Tabla Construcción Crecientes'!P115,))</f>
        <v>0</v>
      </c>
      <c r="R483" s="362">
        <f>IF($F$11='Tabla Parámetros'!$O$3,'Tabla Construcción Fijos'!R115,IF(Simulador!$F$11='Tabla Parámetros'!$O$4,'Tabla Construcción Crecientes'!Q115,))</f>
        <v>0</v>
      </c>
      <c r="S483" s="272">
        <f t="shared" si="18"/>
        <v>0</v>
      </c>
    </row>
    <row r="484" spans="2:19" ht="15.5" hidden="1" x14ac:dyDescent="0.35">
      <c r="B484" s="378">
        <f t="shared" si="19"/>
        <v>93</v>
      </c>
      <c r="C484" s="378">
        <f t="shared" si="20"/>
        <v>30.4</v>
      </c>
      <c r="D484" s="379">
        <f>IF($F$11='Tabla Parámetros'!$O$3,'Tabla Construcción Fijos'!D116,IF(Simulador!$F$11='Tabla Parámetros'!$O$4,'Tabla Construcción Crecientes'!D116,))</f>
        <v>0</v>
      </c>
      <c r="E484" s="390"/>
      <c r="F484" s="362">
        <f>IF($F$11='Tabla Parámetros'!$O$3,'Tabla Construcción Fijos'!F116,IF(Simulador!$F$11='Tabla Parámetros'!$O$4,'Tabla Construcción Crecientes'!F116,))</f>
        <v>0</v>
      </c>
      <c r="G484" s="362"/>
      <c r="H484" s="362">
        <f>IF($F$11='Tabla Parámetros'!$O$3,'Tabla Construcción Fijos'!H116,IF(Simulador!$F$11='Tabla Parámetros'!$O$4,'Tabla Construcción Crecientes'!H116,))</f>
        <v>0</v>
      </c>
      <c r="I484" s="362">
        <f>IF($F$11='Tabla Parámetros'!$O$3,'Tabla Construcción Fijos'!I116,IF(Simulador!$F$11='Tabla Parámetros'!$O$4,'Tabla Construcción Crecientes'!I116,))</f>
        <v>0</v>
      </c>
      <c r="J484" s="362">
        <f>IF($F$11='Tabla Parámetros'!$O$3,'Tabla Construcción Fijos'!J116,IF(Simulador!$F$11='Tabla Parámetros'!$O$4,'Tabla Construcción Crecientes'!J116,))</f>
        <v>0</v>
      </c>
      <c r="K484" s="362">
        <f>IF($F$11='Tabla Parámetros'!$O$3,'Tabla Construcción Fijos'!K116,IF(Simulador!$F$11='Tabla Parámetros'!$O$4,'Tabla Construcción Crecientes'!K116,))</f>
        <v>0</v>
      </c>
      <c r="L484" s="362">
        <f>IF($F$11='Tabla Parámetros'!$O$3,'Tabla Construcción Fijos'!L116,IF(Simulador!$F$11='Tabla Parámetros'!$O$4,'Tabla Construcción Crecientes'!L116,))</f>
        <v>0</v>
      </c>
      <c r="M484" s="362">
        <f>IF($F$11='Tabla Parámetros'!$O$3,'Tabla Construcción Fijos'!M116,IF(Simulador!$F$11='Tabla Parámetros'!$O$4,'Tabla Construcción Crecientes'!M116,))</f>
        <v>0</v>
      </c>
      <c r="N484" s="391">
        <f>IF($F$11='Tabla Parámetros'!$O$3,'Tabla Construcción Fijos'!N116,IF(Simulador!$F$11='Tabla Parámetros'!$O$4,'Tabla Construcción Crecientes'!N116,))</f>
        <v>0</v>
      </c>
      <c r="O484" s="392"/>
      <c r="P484" s="392">
        <f>'Tabla Construcción Fijos'!P116</f>
        <v>0</v>
      </c>
      <c r="Q484" s="362">
        <f>IF($F$11='Tabla Parámetros'!$O$3,'Tabla Construcción Fijos'!Q116,IF(Simulador!$F$11='Tabla Parámetros'!$O$4,'Tabla Construcción Crecientes'!P116,))</f>
        <v>0</v>
      </c>
      <c r="R484" s="362">
        <f>IF($F$11='Tabla Parámetros'!$O$3,'Tabla Construcción Fijos'!R116,IF(Simulador!$F$11='Tabla Parámetros'!$O$4,'Tabla Construcción Crecientes'!Q116,))</f>
        <v>0</v>
      </c>
      <c r="S484" s="272">
        <f t="shared" si="18"/>
        <v>0</v>
      </c>
    </row>
    <row r="485" spans="2:19" ht="15.5" hidden="1" x14ac:dyDescent="0.35">
      <c r="B485" s="378">
        <f t="shared" si="19"/>
        <v>94</v>
      </c>
      <c r="C485" s="378">
        <f t="shared" si="20"/>
        <v>30.4</v>
      </c>
      <c r="D485" s="379">
        <f>IF($F$11='Tabla Parámetros'!$O$3,'Tabla Construcción Fijos'!D117,IF(Simulador!$F$11='Tabla Parámetros'!$O$4,'Tabla Construcción Crecientes'!D117,))</f>
        <v>0</v>
      </c>
      <c r="E485" s="390"/>
      <c r="F485" s="362">
        <f>IF($F$11='Tabla Parámetros'!$O$3,'Tabla Construcción Fijos'!F117,IF(Simulador!$F$11='Tabla Parámetros'!$O$4,'Tabla Construcción Crecientes'!F117,))</f>
        <v>0</v>
      </c>
      <c r="G485" s="362"/>
      <c r="H485" s="362">
        <f>IF($F$11='Tabla Parámetros'!$O$3,'Tabla Construcción Fijos'!H117,IF(Simulador!$F$11='Tabla Parámetros'!$O$4,'Tabla Construcción Crecientes'!H117,))</f>
        <v>0</v>
      </c>
      <c r="I485" s="362">
        <f>IF($F$11='Tabla Parámetros'!$O$3,'Tabla Construcción Fijos'!I117,IF(Simulador!$F$11='Tabla Parámetros'!$O$4,'Tabla Construcción Crecientes'!I117,))</f>
        <v>0</v>
      </c>
      <c r="J485" s="362">
        <f>IF($F$11='Tabla Parámetros'!$O$3,'Tabla Construcción Fijos'!J117,IF(Simulador!$F$11='Tabla Parámetros'!$O$4,'Tabla Construcción Crecientes'!J117,))</f>
        <v>0</v>
      </c>
      <c r="K485" s="362">
        <f>IF($F$11='Tabla Parámetros'!$O$3,'Tabla Construcción Fijos'!K117,IF(Simulador!$F$11='Tabla Parámetros'!$O$4,'Tabla Construcción Crecientes'!K117,))</f>
        <v>0</v>
      </c>
      <c r="L485" s="362">
        <f>IF($F$11='Tabla Parámetros'!$O$3,'Tabla Construcción Fijos'!L117,IF(Simulador!$F$11='Tabla Parámetros'!$O$4,'Tabla Construcción Crecientes'!L117,))</f>
        <v>0</v>
      </c>
      <c r="M485" s="362">
        <f>IF($F$11='Tabla Parámetros'!$O$3,'Tabla Construcción Fijos'!M117,IF(Simulador!$F$11='Tabla Parámetros'!$O$4,'Tabla Construcción Crecientes'!M117,))</f>
        <v>0</v>
      </c>
      <c r="N485" s="391">
        <f>IF($F$11='Tabla Parámetros'!$O$3,'Tabla Construcción Fijos'!N117,IF(Simulador!$F$11='Tabla Parámetros'!$O$4,'Tabla Construcción Crecientes'!N117,))</f>
        <v>0</v>
      </c>
      <c r="O485" s="392"/>
      <c r="P485" s="392">
        <f>'Tabla Construcción Fijos'!P117</f>
        <v>0</v>
      </c>
      <c r="Q485" s="362">
        <f>IF($F$11='Tabla Parámetros'!$O$3,'Tabla Construcción Fijos'!Q117,IF(Simulador!$F$11='Tabla Parámetros'!$O$4,'Tabla Construcción Crecientes'!P117,))</f>
        <v>0</v>
      </c>
      <c r="R485" s="362">
        <f>IF($F$11='Tabla Parámetros'!$O$3,'Tabla Construcción Fijos'!R117,IF(Simulador!$F$11='Tabla Parámetros'!$O$4,'Tabla Construcción Crecientes'!Q117,))</f>
        <v>0</v>
      </c>
      <c r="S485" s="272">
        <f t="shared" si="18"/>
        <v>0</v>
      </c>
    </row>
    <row r="486" spans="2:19" ht="15.5" hidden="1" x14ac:dyDescent="0.35">
      <c r="B486" s="378">
        <f t="shared" si="19"/>
        <v>95</v>
      </c>
      <c r="C486" s="378">
        <f t="shared" si="20"/>
        <v>30.4</v>
      </c>
      <c r="D486" s="379">
        <f>IF($F$11='Tabla Parámetros'!$O$3,'Tabla Construcción Fijos'!D118,IF(Simulador!$F$11='Tabla Parámetros'!$O$4,'Tabla Construcción Crecientes'!D118,))</f>
        <v>0</v>
      </c>
      <c r="E486" s="390"/>
      <c r="F486" s="362">
        <f>IF($F$11='Tabla Parámetros'!$O$3,'Tabla Construcción Fijos'!F118,IF(Simulador!$F$11='Tabla Parámetros'!$O$4,'Tabla Construcción Crecientes'!F118,))</f>
        <v>0</v>
      </c>
      <c r="G486" s="362"/>
      <c r="H486" s="362">
        <f>IF($F$11='Tabla Parámetros'!$O$3,'Tabla Construcción Fijos'!H118,IF(Simulador!$F$11='Tabla Parámetros'!$O$4,'Tabla Construcción Crecientes'!H118,))</f>
        <v>0</v>
      </c>
      <c r="I486" s="362">
        <f>IF($F$11='Tabla Parámetros'!$O$3,'Tabla Construcción Fijos'!I118,IF(Simulador!$F$11='Tabla Parámetros'!$O$4,'Tabla Construcción Crecientes'!I118,))</f>
        <v>0</v>
      </c>
      <c r="J486" s="362">
        <f>IF($F$11='Tabla Parámetros'!$O$3,'Tabla Construcción Fijos'!J118,IF(Simulador!$F$11='Tabla Parámetros'!$O$4,'Tabla Construcción Crecientes'!J118,))</f>
        <v>0</v>
      </c>
      <c r="K486" s="362">
        <f>IF($F$11='Tabla Parámetros'!$O$3,'Tabla Construcción Fijos'!K118,IF(Simulador!$F$11='Tabla Parámetros'!$O$4,'Tabla Construcción Crecientes'!K118,))</f>
        <v>0</v>
      </c>
      <c r="L486" s="362">
        <f>IF($F$11='Tabla Parámetros'!$O$3,'Tabla Construcción Fijos'!L118,IF(Simulador!$F$11='Tabla Parámetros'!$O$4,'Tabla Construcción Crecientes'!L118,))</f>
        <v>0</v>
      </c>
      <c r="M486" s="362">
        <f>IF($F$11='Tabla Parámetros'!$O$3,'Tabla Construcción Fijos'!M118,IF(Simulador!$F$11='Tabla Parámetros'!$O$4,'Tabla Construcción Crecientes'!M118,))</f>
        <v>0</v>
      </c>
      <c r="N486" s="391">
        <f>IF($F$11='Tabla Parámetros'!$O$3,'Tabla Construcción Fijos'!N118,IF(Simulador!$F$11='Tabla Parámetros'!$O$4,'Tabla Construcción Crecientes'!N118,))</f>
        <v>0</v>
      </c>
      <c r="O486" s="392"/>
      <c r="P486" s="392">
        <f>'Tabla Construcción Fijos'!P118</f>
        <v>0</v>
      </c>
      <c r="Q486" s="362">
        <f>IF($F$11='Tabla Parámetros'!$O$3,'Tabla Construcción Fijos'!Q118,IF(Simulador!$F$11='Tabla Parámetros'!$O$4,'Tabla Construcción Crecientes'!P118,))</f>
        <v>0</v>
      </c>
      <c r="R486" s="362">
        <f>IF($F$11='Tabla Parámetros'!$O$3,'Tabla Construcción Fijos'!R118,IF(Simulador!$F$11='Tabla Parámetros'!$O$4,'Tabla Construcción Crecientes'!Q118,))</f>
        <v>0</v>
      </c>
      <c r="S486" s="272">
        <f t="shared" si="18"/>
        <v>0</v>
      </c>
    </row>
    <row r="487" spans="2:19" ht="15.5" hidden="1" x14ac:dyDescent="0.35">
      <c r="B487" s="378">
        <f t="shared" si="19"/>
        <v>96</v>
      </c>
      <c r="C487" s="378">
        <f t="shared" si="20"/>
        <v>30.4</v>
      </c>
      <c r="D487" s="379">
        <f>IF($F$11='Tabla Parámetros'!$O$3,'Tabla Construcción Fijos'!D119,IF(Simulador!$F$11='Tabla Parámetros'!$O$4,'Tabla Construcción Crecientes'!D119,))</f>
        <v>0</v>
      </c>
      <c r="E487" s="390"/>
      <c r="F487" s="362">
        <f>IF($F$11='Tabla Parámetros'!$O$3,'Tabla Construcción Fijos'!F119,IF(Simulador!$F$11='Tabla Parámetros'!$O$4,'Tabla Construcción Crecientes'!F119,))</f>
        <v>0</v>
      </c>
      <c r="G487" s="362"/>
      <c r="H487" s="362">
        <f>IF($F$11='Tabla Parámetros'!$O$3,'Tabla Construcción Fijos'!H119,IF(Simulador!$F$11='Tabla Parámetros'!$O$4,'Tabla Construcción Crecientes'!H119,))</f>
        <v>0</v>
      </c>
      <c r="I487" s="362">
        <f>IF($F$11='Tabla Parámetros'!$O$3,'Tabla Construcción Fijos'!I119,IF(Simulador!$F$11='Tabla Parámetros'!$O$4,'Tabla Construcción Crecientes'!I119,))</f>
        <v>0</v>
      </c>
      <c r="J487" s="362">
        <f>IF($F$11='Tabla Parámetros'!$O$3,'Tabla Construcción Fijos'!J119,IF(Simulador!$F$11='Tabla Parámetros'!$O$4,'Tabla Construcción Crecientes'!J119,))</f>
        <v>0</v>
      </c>
      <c r="K487" s="362">
        <f>IF($F$11='Tabla Parámetros'!$O$3,'Tabla Construcción Fijos'!K119,IF(Simulador!$F$11='Tabla Parámetros'!$O$4,'Tabla Construcción Crecientes'!K119,))</f>
        <v>0</v>
      </c>
      <c r="L487" s="362">
        <f>IF($F$11='Tabla Parámetros'!$O$3,'Tabla Construcción Fijos'!L119,IF(Simulador!$F$11='Tabla Parámetros'!$O$4,'Tabla Construcción Crecientes'!L119,))</f>
        <v>0</v>
      </c>
      <c r="M487" s="362">
        <f>IF($F$11='Tabla Parámetros'!$O$3,'Tabla Construcción Fijos'!M119,IF(Simulador!$F$11='Tabla Parámetros'!$O$4,'Tabla Construcción Crecientes'!M119,))</f>
        <v>0</v>
      </c>
      <c r="N487" s="391">
        <f>IF($F$11='Tabla Parámetros'!$O$3,'Tabla Construcción Fijos'!N119,IF(Simulador!$F$11='Tabla Parámetros'!$O$4,'Tabla Construcción Crecientes'!N119,))</f>
        <v>0</v>
      </c>
      <c r="O487" s="392"/>
      <c r="P487" s="392">
        <f>'Tabla Construcción Fijos'!P119</f>
        <v>0</v>
      </c>
      <c r="Q487" s="362">
        <f>IF($F$11='Tabla Parámetros'!$O$3,'Tabla Construcción Fijos'!Q119,IF(Simulador!$F$11='Tabla Parámetros'!$O$4,'Tabla Construcción Crecientes'!P119,))</f>
        <v>0</v>
      </c>
      <c r="R487" s="362">
        <f>IF($F$11='Tabla Parámetros'!$O$3,'Tabla Construcción Fijos'!R119,IF(Simulador!$F$11='Tabla Parámetros'!$O$4,'Tabla Construcción Crecientes'!Q119,))</f>
        <v>0</v>
      </c>
      <c r="S487" s="272">
        <f t="shared" si="18"/>
        <v>0</v>
      </c>
    </row>
    <row r="488" spans="2:19" ht="15.5" hidden="1" x14ac:dyDescent="0.35">
      <c r="B488" s="378">
        <f t="shared" si="19"/>
        <v>97</v>
      </c>
      <c r="C488" s="378">
        <f t="shared" si="20"/>
        <v>30.4</v>
      </c>
      <c r="D488" s="379">
        <f>IF($F$11='Tabla Parámetros'!$O$3,'Tabla Construcción Fijos'!D120,IF(Simulador!$F$11='Tabla Parámetros'!$O$4,'Tabla Construcción Crecientes'!D120,))</f>
        <v>0</v>
      </c>
      <c r="E488" s="390"/>
      <c r="F488" s="362">
        <f>IF($F$11='Tabla Parámetros'!$O$3,'Tabla Construcción Fijos'!F120,IF(Simulador!$F$11='Tabla Parámetros'!$O$4,'Tabla Construcción Crecientes'!F120,))</f>
        <v>0</v>
      </c>
      <c r="G488" s="362"/>
      <c r="H488" s="362">
        <f>IF($F$11='Tabla Parámetros'!$O$3,'Tabla Construcción Fijos'!H120,IF(Simulador!$F$11='Tabla Parámetros'!$O$4,'Tabla Construcción Crecientes'!H120,))</f>
        <v>0</v>
      </c>
      <c r="I488" s="362">
        <f>IF($F$11='Tabla Parámetros'!$O$3,'Tabla Construcción Fijos'!I120,IF(Simulador!$F$11='Tabla Parámetros'!$O$4,'Tabla Construcción Crecientes'!I120,))</f>
        <v>0</v>
      </c>
      <c r="J488" s="362">
        <f>IF($F$11='Tabla Parámetros'!$O$3,'Tabla Construcción Fijos'!J120,IF(Simulador!$F$11='Tabla Parámetros'!$O$4,'Tabla Construcción Crecientes'!J120,))</f>
        <v>0</v>
      </c>
      <c r="K488" s="362">
        <f>IF($F$11='Tabla Parámetros'!$O$3,'Tabla Construcción Fijos'!K120,IF(Simulador!$F$11='Tabla Parámetros'!$O$4,'Tabla Construcción Crecientes'!K120,))</f>
        <v>0</v>
      </c>
      <c r="L488" s="362">
        <f>IF($F$11='Tabla Parámetros'!$O$3,'Tabla Construcción Fijos'!L120,IF(Simulador!$F$11='Tabla Parámetros'!$O$4,'Tabla Construcción Crecientes'!L120,))</f>
        <v>0</v>
      </c>
      <c r="M488" s="362">
        <f>IF($F$11='Tabla Parámetros'!$O$3,'Tabla Construcción Fijos'!M120,IF(Simulador!$F$11='Tabla Parámetros'!$O$4,'Tabla Construcción Crecientes'!M120,))</f>
        <v>0</v>
      </c>
      <c r="N488" s="391">
        <f>IF($F$11='Tabla Parámetros'!$O$3,'Tabla Construcción Fijos'!N120,IF(Simulador!$F$11='Tabla Parámetros'!$O$4,'Tabla Construcción Crecientes'!N120,))</f>
        <v>0</v>
      </c>
      <c r="O488" s="392"/>
      <c r="P488" s="392">
        <f>'Tabla Construcción Fijos'!P120</f>
        <v>0</v>
      </c>
      <c r="Q488" s="362">
        <f>IF($F$11='Tabla Parámetros'!$O$3,'Tabla Construcción Fijos'!Q120,IF(Simulador!$F$11='Tabla Parámetros'!$O$4,'Tabla Construcción Crecientes'!P120,))</f>
        <v>0</v>
      </c>
      <c r="R488" s="362">
        <f>IF($F$11='Tabla Parámetros'!$O$3,'Tabla Construcción Fijos'!R120,IF(Simulador!$F$11='Tabla Parámetros'!$O$4,'Tabla Construcción Crecientes'!Q120,))</f>
        <v>0</v>
      </c>
      <c r="S488" s="272">
        <f t="shared" si="18"/>
        <v>0</v>
      </c>
    </row>
    <row r="489" spans="2:19" ht="15.5" hidden="1" x14ac:dyDescent="0.35">
      <c r="B489" s="378">
        <f t="shared" si="19"/>
        <v>98</v>
      </c>
      <c r="C489" s="378">
        <f t="shared" si="20"/>
        <v>30.4</v>
      </c>
      <c r="D489" s="379">
        <f>IF($F$11='Tabla Parámetros'!$O$3,'Tabla Construcción Fijos'!D121,IF(Simulador!$F$11='Tabla Parámetros'!$O$4,'Tabla Construcción Crecientes'!D121,))</f>
        <v>0</v>
      </c>
      <c r="E489" s="390"/>
      <c r="F489" s="362">
        <f>IF($F$11='Tabla Parámetros'!$O$3,'Tabla Construcción Fijos'!F121,IF(Simulador!$F$11='Tabla Parámetros'!$O$4,'Tabla Construcción Crecientes'!F121,))</f>
        <v>0</v>
      </c>
      <c r="G489" s="362"/>
      <c r="H489" s="362">
        <f>IF($F$11='Tabla Parámetros'!$O$3,'Tabla Construcción Fijos'!H121,IF(Simulador!$F$11='Tabla Parámetros'!$O$4,'Tabla Construcción Crecientes'!H121,))</f>
        <v>0</v>
      </c>
      <c r="I489" s="362">
        <f>IF($F$11='Tabla Parámetros'!$O$3,'Tabla Construcción Fijos'!I121,IF(Simulador!$F$11='Tabla Parámetros'!$O$4,'Tabla Construcción Crecientes'!I121,))</f>
        <v>0</v>
      </c>
      <c r="J489" s="362">
        <f>IF($F$11='Tabla Parámetros'!$O$3,'Tabla Construcción Fijos'!J121,IF(Simulador!$F$11='Tabla Parámetros'!$O$4,'Tabla Construcción Crecientes'!J121,))</f>
        <v>0</v>
      </c>
      <c r="K489" s="362">
        <f>IF($F$11='Tabla Parámetros'!$O$3,'Tabla Construcción Fijos'!K121,IF(Simulador!$F$11='Tabla Parámetros'!$O$4,'Tabla Construcción Crecientes'!K121,))</f>
        <v>0</v>
      </c>
      <c r="L489" s="362">
        <f>IF($F$11='Tabla Parámetros'!$O$3,'Tabla Construcción Fijos'!L121,IF(Simulador!$F$11='Tabla Parámetros'!$O$4,'Tabla Construcción Crecientes'!L121,))</f>
        <v>0</v>
      </c>
      <c r="M489" s="362">
        <f>IF($F$11='Tabla Parámetros'!$O$3,'Tabla Construcción Fijos'!M121,IF(Simulador!$F$11='Tabla Parámetros'!$O$4,'Tabla Construcción Crecientes'!M121,))</f>
        <v>0</v>
      </c>
      <c r="N489" s="391">
        <f>IF($F$11='Tabla Parámetros'!$O$3,'Tabla Construcción Fijos'!N121,IF(Simulador!$F$11='Tabla Parámetros'!$O$4,'Tabla Construcción Crecientes'!N121,))</f>
        <v>0</v>
      </c>
      <c r="O489" s="392"/>
      <c r="P489" s="392">
        <f>'Tabla Construcción Fijos'!P121</f>
        <v>0</v>
      </c>
      <c r="Q489" s="362">
        <f>IF($F$11='Tabla Parámetros'!$O$3,'Tabla Construcción Fijos'!Q121,IF(Simulador!$F$11='Tabla Parámetros'!$O$4,'Tabla Construcción Crecientes'!P121,))</f>
        <v>0</v>
      </c>
      <c r="R489" s="362">
        <f>IF($F$11='Tabla Parámetros'!$O$3,'Tabla Construcción Fijos'!R121,IF(Simulador!$F$11='Tabla Parámetros'!$O$4,'Tabla Construcción Crecientes'!Q121,))</f>
        <v>0</v>
      </c>
      <c r="S489" s="272">
        <f t="shared" si="18"/>
        <v>0</v>
      </c>
    </row>
    <row r="490" spans="2:19" ht="15.5" hidden="1" x14ac:dyDescent="0.35">
      <c r="B490" s="378">
        <f t="shared" si="19"/>
        <v>99</v>
      </c>
      <c r="C490" s="378">
        <f t="shared" si="20"/>
        <v>30.4</v>
      </c>
      <c r="D490" s="379">
        <f>IF($F$11='Tabla Parámetros'!$O$3,'Tabla Construcción Fijos'!D122,IF(Simulador!$F$11='Tabla Parámetros'!$O$4,'Tabla Construcción Crecientes'!D122,))</f>
        <v>0</v>
      </c>
      <c r="E490" s="390"/>
      <c r="F490" s="362">
        <f>IF($F$11='Tabla Parámetros'!$O$3,'Tabla Construcción Fijos'!F122,IF(Simulador!$F$11='Tabla Parámetros'!$O$4,'Tabla Construcción Crecientes'!F122,))</f>
        <v>0</v>
      </c>
      <c r="G490" s="362"/>
      <c r="H490" s="362">
        <f>IF($F$11='Tabla Parámetros'!$O$3,'Tabla Construcción Fijos'!H122,IF(Simulador!$F$11='Tabla Parámetros'!$O$4,'Tabla Construcción Crecientes'!H122,))</f>
        <v>0</v>
      </c>
      <c r="I490" s="362">
        <f>IF($F$11='Tabla Parámetros'!$O$3,'Tabla Construcción Fijos'!I122,IF(Simulador!$F$11='Tabla Parámetros'!$O$4,'Tabla Construcción Crecientes'!I122,))</f>
        <v>0</v>
      </c>
      <c r="J490" s="362">
        <f>IF($F$11='Tabla Parámetros'!$O$3,'Tabla Construcción Fijos'!J122,IF(Simulador!$F$11='Tabla Parámetros'!$O$4,'Tabla Construcción Crecientes'!J122,))</f>
        <v>0</v>
      </c>
      <c r="K490" s="362">
        <f>IF($F$11='Tabla Parámetros'!$O$3,'Tabla Construcción Fijos'!K122,IF(Simulador!$F$11='Tabla Parámetros'!$O$4,'Tabla Construcción Crecientes'!K122,))</f>
        <v>0</v>
      </c>
      <c r="L490" s="362">
        <f>IF($F$11='Tabla Parámetros'!$O$3,'Tabla Construcción Fijos'!L122,IF(Simulador!$F$11='Tabla Parámetros'!$O$4,'Tabla Construcción Crecientes'!L122,))</f>
        <v>0</v>
      </c>
      <c r="M490" s="362">
        <f>IF($F$11='Tabla Parámetros'!$O$3,'Tabla Construcción Fijos'!M122,IF(Simulador!$F$11='Tabla Parámetros'!$O$4,'Tabla Construcción Crecientes'!M122,))</f>
        <v>0</v>
      </c>
      <c r="N490" s="391">
        <f>IF($F$11='Tabla Parámetros'!$O$3,'Tabla Construcción Fijos'!N122,IF(Simulador!$F$11='Tabla Parámetros'!$O$4,'Tabla Construcción Crecientes'!N122,))</f>
        <v>0</v>
      </c>
      <c r="O490" s="392"/>
      <c r="P490" s="392">
        <f>'Tabla Construcción Fijos'!P122</f>
        <v>0</v>
      </c>
      <c r="Q490" s="362">
        <f>IF($F$11='Tabla Parámetros'!$O$3,'Tabla Construcción Fijos'!Q122,IF(Simulador!$F$11='Tabla Parámetros'!$O$4,'Tabla Construcción Crecientes'!P122,))</f>
        <v>0</v>
      </c>
      <c r="R490" s="362">
        <f>IF($F$11='Tabla Parámetros'!$O$3,'Tabla Construcción Fijos'!R122,IF(Simulador!$F$11='Tabla Parámetros'!$O$4,'Tabla Construcción Crecientes'!Q122,))</f>
        <v>0</v>
      </c>
      <c r="S490" s="272">
        <f t="shared" si="18"/>
        <v>0</v>
      </c>
    </row>
    <row r="491" spans="2:19" ht="15.5" hidden="1" x14ac:dyDescent="0.35">
      <c r="B491" s="378">
        <f t="shared" si="19"/>
        <v>100</v>
      </c>
      <c r="C491" s="378">
        <f t="shared" si="20"/>
        <v>30.4</v>
      </c>
      <c r="D491" s="379">
        <f>IF($F$11='Tabla Parámetros'!$O$3,'Tabla Construcción Fijos'!D123,IF(Simulador!$F$11='Tabla Parámetros'!$O$4,'Tabla Construcción Crecientes'!D123,))</f>
        <v>0</v>
      </c>
      <c r="E491" s="390"/>
      <c r="F491" s="362">
        <f>IF($F$11='Tabla Parámetros'!$O$3,'Tabla Construcción Fijos'!F123,IF(Simulador!$F$11='Tabla Parámetros'!$O$4,'Tabla Construcción Crecientes'!F123,))</f>
        <v>0</v>
      </c>
      <c r="G491" s="362"/>
      <c r="H491" s="362">
        <f>IF($F$11='Tabla Parámetros'!$O$3,'Tabla Construcción Fijos'!H123,IF(Simulador!$F$11='Tabla Parámetros'!$O$4,'Tabla Construcción Crecientes'!H123,))</f>
        <v>0</v>
      </c>
      <c r="I491" s="362">
        <f>IF($F$11='Tabla Parámetros'!$O$3,'Tabla Construcción Fijos'!I123,IF(Simulador!$F$11='Tabla Parámetros'!$O$4,'Tabla Construcción Crecientes'!I123,))</f>
        <v>0</v>
      </c>
      <c r="J491" s="362">
        <f>IF($F$11='Tabla Parámetros'!$O$3,'Tabla Construcción Fijos'!J123,IF(Simulador!$F$11='Tabla Parámetros'!$O$4,'Tabla Construcción Crecientes'!J123,))</f>
        <v>0</v>
      </c>
      <c r="K491" s="362">
        <f>IF($F$11='Tabla Parámetros'!$O$3,'Tabla Construcción Fijos'!K123,IF(Simulador!$F$11='Tabla Parámetros'!$O$4,'Tabla Construcción Crecientes'!K123,))</f>
        <v>0</v>
      </c>
      <c r="L491" s="362">
        <f>IF($F$11='Tabla Parámetros'!$O$3,'Tabla Construcción Fijos'!L123,IF(Simulador!$F$11='Tabla Parámetros'!$O$4,'Tabla Construcción Crecientes'!L123,))</f>
        <v>0</v>
      </c>
      <c r="M491" s="362">
        <f>IF($F$11='Tabla Parámetros'!$O$3,'Tabla Construcción Fijos'!M123,IF(Simulador!$F$11='Tabla Parámetros'!$O$4,'Tabla Construcción Crecientes'!M123,))</f>
        <v>0</v>
      </c>
      <c r="N491" s="391">
        <f>IF($F$11='Tabla Parámetros'!$O$3,'Tabla Construcción Fijos'!N123,IF(Simulador!$F$11='Tabla Parámetros'!$O$4,'Tabla Construcción Crecientes'!N123,))</f>
        <v>0</v>
      </c>
      <c r="O491" s="392"/>
      <c r="P491" s="392">
        <f>'Tabla Construcción Fijos'!P123</f>
        <v>0</v>
      </c>
      <c r="Q491" s="362">
        <f>IF($F$11='Tabla Parámetros'!$O$3,'Tabla Construcción Fijos'!Q123,IF(Simulador!$F$11='Tabla Parámetros'!$O$4,'Tabla Construcción Crecientes'!P123,))</f>
        <v>0</v>
      </c>
      <c r="R491" s="362">
        <f>IF($F$11='Tabla Parámetros'!$O$3,'Tabla Construcción Fijos'!R123,IF(Simulador!$F$11='Tabla Parámetros'!$O$4,'Tabla Construcción Crecientes'!Q123,))</f>
        <v>0</v>
      </c>
      <c r="S491" s="272">
        <f t="shared" si="18"/>
        <v>0</v>
      </c>
    </row>
    <row r="492" spans="2:19" ht="15.5" hidden="1" x14ac:dyDescent="0.35">
      <c r="B492" s="378">
        <f t="shared" si="19"/>
        <v>101</v>
      </c>
      <c r="C492" s="378">
        <f t="shared" si="20"/>
        <v>30.4</v>
      </c>
      <c r="D492" s="379">
        <f>IF($F$11='Tabla Parámetros'!$O$3,'Tabla Construcción Fijos'!D124,IF(Simulador!$F$11='Tabla Parámetros'!$O$4,'Tabla Construcción Crecientes'!D124,))</f>
        <v>0</v>
      </c>
      <c r="E492" s="390"/>
      <c r="F492" s="362">
        <f>IF($F$11='Tabla Parámetros'!$O$3,'Tabla Construcción Fijos'!F124,IF(Simulador!$F$11='Tabla Parámetros'!$O$4,'Tabla Construcción Crecientes'!F124,))</f>
        <v>0</v>
      </c>
      <c r="G492" s="362"/>
      <c r="H492" s="362">
        <f>IF($F$11='Tabla Parámetros'!$O$3,'Tabla Construcción Fijos'!H124,IF(Simulador!$F$11='Tabla Parámetros'!$O$4,'Tabla Construcción Crecientes'!H124,))</f>
        <v>0</v>
      </c>
      <c r="I492" s="362">
        <f>IF($F$11='Tabla Parámetros'!$O$3,'Tabla Construcción Fijos'!I124,IF(Simulador!$F$11='Tabla Parámetros'!$O$4,'Tabla Construcción Crecientes'!I124,))</f>
        <v>0</v>
      </c>
      <c r="J492" s="362">
        <f>IF($F$11='Tabla Parámetros'!$O$3,'Tabla Construcción Fijos'!J124,IF(Simulador!$F$11='Tabla Parámetros'!$O$4,'Tabla Construcción Crecientes'!J124,))</f>
        <v>0</v>
      </c>
      <c r="K492" s="362">
        <f>IF($F$11='Tabla Parámetros'!$O$3,'Tabla Construcción Fijos'!K124,IF(Simulador!$F$11='Tabla Parámetros'!$O$4,'Tabla Construcción Crecientes'!K124,))</f>
        <v>0</v>
      </c>
      <c r="L492" s="362">
        <f>IF($F$11='Tabla Parámetros'!$O$3,'Tabla Construcción Fijos'!L124,IF(Simulador!$F$11='Tabla Parámetros'!$O$4,'Tabla Construcción Crecientes'!L124,))</f>
        <v>0</v>
      </c>
      <c r="M492" s="362">
        <f>IF($F$11='Tabla Parámetros'!$O$3,'Tabla Construcción Fijos'!M124,IF(Simulador!$F$11='Tabla Parámetros'!$O$4,'Tabla Construcción Crecientes'!M124,))</f>
        <v>0</v>
      </c>
      <c r="N492" s="391">
        <f>IF($F$11='Tabla Parámetros'!$O$3,'Tabla Construcción Fijos'!N124,IF(Simulador!$F$11='Tabla Parámetros'!$O$4,'Tabla Construcción Crecientes'!N124,))</f>
        <v>0</v>
      </c>
      <c r="O492" s="392"/>
      <c r="P492" s="392">
        <f>'Tabla Construcción Fijos'!P124</f>
        <v>0</v>
      </c>
      <c r="Q492" s="362">
        <f>IF($F$11='Tabla Parámetros'!$O$3,'Tabla Construcción Fijos'!Q124,IF(Simulador!$F$11='Tabla Parámetros'!$O$4,'Tabla Construcción Crecientes'!P124,))</f>
        <v>0</v>
      </c>
      <c r="R492" s="362">
        <f>IF($F$11='Tabla Parámetros'!$O$3,'Tabla Construcción Fijos'!R124,IF(Simulador!$F$11='Tabla Parámetros'!$O$4,'Tabla Construcción Crecientes'!Q124,))</f>
        <v>0</v>
      </c>
      <c r="S492" s="272">
        <f t="shared" si="18"/>
        <v>0</v>
      </c>
    </row>
    <row r="493" spans="2:19" ht="15.5" hidden="1" x14ac:dyDescent="0.35">
      <c r="B493" s="378">
        <f t="shared" si="19"/>
        <v>102</v>
      </c>
      <c r="C493" s="378">
        <f t="shared" si="20"/>
        <v>30.4</v>
      </c>
      <c r="D493" s="379">
        <f>IF($F$11='Tabla Parámetros'!$O$3,'Tabla Construcción Fijos'!D125,IF(Simulador!$F$11='Tabla Parámetros'!$O$4,'Tabla Construcción Crecientes'!D125,))</f>
        <v>0</v>
      </c>
      <c r="E493" s="390"/>
      <c r="F493" s="362">
        <f>IF($F$11='Tabla Parámetros'!$O$3,'Tabla Construcción Fijos'!F125,IF(Simulador!$F$11='Tabla Parámetros'!$O$4,'Tabla Construcción Crecientes'!F125,))</f>
        <v>0</v>
      </c>
      <c r="G493" s="362"/>
      <c r="H493" s="362">
        <f>IF($F$11='Tabla Parámetros'!$O$3,'Tabla Construcción Fijos'!H125,IF(Simulador!$F$11='Tabla Parámetros'!$O$4,'Tabla Construcción Crecientes'!H125,))</f>
        <v>0</v>
      </c>
      <c r="I493" s="362">
        <f>IF($F$11='Tabla Parámetros'!$O$3,'Tabla Construcción Fijos'!I125,IF(Simulador!$F$11='Tabla Parámetros'!$O$4,'Tabla Construcción Crecientes'!I125,))</f>
        <v>0</v>
      </c>
      <c r="J493" s="362">
        <f>IF($F$11='Tabla Parámetros'!$O$3,'Tabla Construcción Fijos'!J125,IF(Simulador!$F$11='Tabla Parámetros'!$O$4,'Tabla Construcción Crecientes'!J125,))</f>
        <v>0</v>
      </c>
      <c r="K493" s="362">
        <f>IF($F$11='Tabla Parámetros'!$O$3,'Tabla Construcción Fijos'!K125,IF(Simulador!$F$11='Tabla Parámetros'!$O$4,'Tabla Construcción Crecientes'!K125,))</f>
        <v>0</v>
      </c>
      <c r="L493" s="362">
        <f>IF($F$11='Tabla Parámetros'!$O$3,'Tabla Construcción Fijos'!L125,IF(Simulador!$F$11='Tabla Parámetros'!$O$4,'Tabla Construcción Crecientes'!L125,))</f>
        <v>0</v>
      </c>
      <c r="M493" s="362">
        <f>IF($F$11='Tabla Parámetros'!$O$3,'Tabla Construcción Fijos'!M125,IF(Simulador!$F$11='Tabla Parámetros'!$O$4,'Tabla Construcción Crecientes'!M125,))</f>
        <v>0</v>
      </c>
      <c r="N493" s="391">
        <f>IF($F$11='Tabla Parámetros'!$O$3,'Tabla Construcción Fijos'!N125,IF(Simulador!$F$11='Tabla Parámetros'!$O$4,'Tabla Construcción Crecientes'!N125,))</f>
        <v>0</v>
      </c>
      <c r="O493" s="392"/>
      <c r="P493" s="392">
        <f>'Tabla Construcción Fijos'!P125</f>
        <v>0</v>
      </c>
      <c r="Q493" s="362">
        <f>IF($F$11='Tabla Parámetros'!$O$3,'Tabla Construcción Fijos'!Q125,IF(Simulador!$F$11='Tabla Parámetros'!$O$4,'Tabla Construcción Crecientes'!P125,))</f>
        <v>0</v>
      </c>
      <c r="R493" s="362">
        <f>IF($F$11='Tabla Parámetros'!$O$3,'Tabla Construcción Fijos'!R125,IF(Simulador!$F$11='Tabla Parámetros'!$O$4,'Tabla Construcción Crecientes'!Q125,))</f>
        <v>0</v>
      </c>
      <c r="S493" s="272">
        <f t="shared" si="18"/>
        <v>0</v>
      </c>
    </row>
    <row r="494" spans="2:19" ht="15.5" hidden="1" x14ac:dyDescent="0.35">
      <c r="B494" s="378">
        <f t="shared" si="19"/>
        <v>103</v>
      </c>
      <c r="C494" s="378">
        <f t="shared" si="20"/>
        <v>30.4</v>
      </c>
      <c r="D494" s="379">
        <f>IF($F$11='Tabla Parámetros'!$O$3,'Tabla Construcción Fijos'!D126,IF(Simulador!$F$11='Tabla Parámetros'!$O$4,'Tabla Construcción Crecientes'!D126,))</f>
        <v>0</v>
      </c>
      <c r="E494" s="390"/>
      <c r="F494" s="362">
        <f>IF($F$11='Tabla Parámetros'!$O$3,'Tabla Construcción Fijos'!F126,IF(Simulador!$F$11='Tabla Parámetros'!$O$4,'Tabla Construcción Crecientes'!F126,))</f>
        <v>0</v>
      </c>
      <c r="G494" s="362"/>
      <c r="H494" s="362">
        <f>IF($F$11='Tabla Parámetros'!$O$3,'Tabla Construcción Fijos'!H126,IF(Simulador!$F$11='Tabla Parámetros'!$O$4,'Tabla Construcción Crecientes'!H126,))</f>
        <v>0</v>
      </c>
      <c r="I494" s="362">
        <f>IF($F$11='Tabla Parámetros'!$O$3,'Tabla Construcción Fijos'!I126,IF(Simulador!$F$11='Tabla Parámetros'!$O$4,'Tabla Construcción Crecientes'!I126,))</f>
        <v>0</v>
      </c>
      <c r="J494" s="362">
        <f>IF($F$11='Tabla Parámetros'!$O$3,'Tabla Construcción Fijos'!J126,IF(Simulador!$F$11='Tabla Parámetros'!$O$4,'Tabla Construcción Crecientes'!J126,))</f>
        <v>0</v>
      </c>
      <c r="K494" s="362">
        <f>IF($F$11='Tabla Parámetros'!$O$3,'Tabla Construcción Fijos'!K126,IF(Simulador!$F$11='Tabla Parámetros'!$O$4,'Tabla Construcción Crecientes'!K126,))</f>
        <v>0</v>
      </c>
      <c r="L494" s="362">
        <f>IF($F$11='Tabla Parámetros'!$O$3,'Tabla Construcción Fijos'!L126,IF(Simulador!$F$11='Tabla Parámetros'!$O$4,'Tabla Construcción Crecientes'!L126,))</f>
        <v>0</v>
      </c>
      <c r="M494" s="362">
        <f>IF($F$11='Tabla Parámetros'!$O$3,'Tabla Construcción Fijos'!M126,IF(Simulador!$F$11='Tabla Parámetros'!$O$4,'Tabla Construcción Crecientes'!M126,))</f>
        <v>0</v>
      </c>
      <c r="N494" s="391">
        <f>IF($F$11='Tabla Parámetros'!$O$3,'Tabla Construcción Fijos'!N126,IF(Simulador!$F$11='Tabla Parámetros'!$O$4,'Tabla Construcción Crecientes'!N126,))</f>
        <v>0</v>
      </c>
      <c r="O494" s="392"/>
      <c r="P494" s="392">
        <f>'Tabla Construcción Fijos'!P126</f>
        <v>0</v>
      </c>
      <c r="Q494" s="362">
        <f>IF($F$11='Tabla Parámetros'!$O$3,'Tabla Construcción Fijos'!Q126,IF(Simulador!$F$11='Tabla Parámetros'!$O$4,'Tabla Construcción Crecientes'!P126,))</f>
        <v>0</v>
      </c>
      <c r="R494" s="362">
        <f>IF($F$11='Tabla Parámetros'!$O$3,'Tabla Construcción Fijos'!R126,IF(Simulador!$F$11='Tabla Parámetros'!$O$4,'Tabla Construcción Crecientes'!Q126,))</f>
        <v>0</v>
      </c>
      <c r="S494" s="272">
        <f t="shared" si="18"/>
        <v>0</v>
      </c>
    </row>
    <row r="495" spans="2:19" ht="15.5" hidden="1" x14ac:dyDescent="0.35">
      <c r="B495" s="378">
        <f t="shared" si="19"/>
        <v>104</v>
      </c>
      <c r="C495" s="378">
        <f t="shared" si="20"/>
        <v>30.4</v>
      </c>
      <c r="D495" s="379">
        <f>IF($F$11='Tabla Parámetros'!$O$3,'Tabla Construcción Fijos'!D127,IF(Simulador!$F$11='Tabla Parámetros'!$O$4,'Tabla Construcción Crecientes'!D127,))</f>
        <v>0</v>
      </c>
      <c r="E495" s="390"/>
      <c r="F495" s="362">
        <f>IF($F$11='Tabla Parámetros'!$O$3,'Tabla Construcción Fijos'!F127,IF(Simulador!$F$11='Tabla Parámetros'!$O$4,'Tabla Construcción Crecientes'!F127,))</f>
        <v>0</v>
      </c>
      <c r="G495" s="362"/>
      <c r="H495" s="362">
        <f>IF($F$11='Tabla Parámetros'!$O$3,'Tabla Construcción Fijos'!H127,IF(Simulador!$F$11='Tabla Parámetros'!$O$4,'Tabla Construcción Crecientes'!H127,))</f>
        <v>0</v>
      </c>
      <c r="I495" s="362">
        <f>IF($F$11='Tabla Parámetros'!$O$3,'Tabla Construcción Fijos'!I127,IF(Simulador!$F$11='Tabla Parámetros'!$O$4,'Tabla Construcción Crecientes'!I127,))</f>
        <v>0</v>
      </c>
      <c r="J495" s="362">
        <f>IF($F$11='Tabla Parámetros'!$O$3,'Tabla Construcción Fijos'!J127,IF(Simulador!$F$11='Tabla Parámetros'!$O$4,'Tabla Construcción Crecientes'!J127,))</f>
        <v>0</v>
      </c>
      <c r="K495" s="362">
        <f>IF($F$11='Tabla Parámetros'!$O$3,'Tabla Construcción Fijos'!K127,IF(Simulador!$F$11='Tabla Parámetros'!$O$4,'Tabla Construcción Crecientes'!K127,))</f>
        <v>0</v>
      </c>
      <c r="L495" s="362">
        <f>IF($F$11='Tabla Parámetros'!$O$3,'Tabla Construcción Fijos'!L127,IF(Simulador!$F$11='Tabla Parámetros'!$O$4,'Tabla Construcción Crecientes'!L127,))</f>
        <v>0</v>
      </c>
      <c r="M495" s="362">
        <f>IF($F$11='Tabla Parámetros'!$O$3,'Tabla Construcción Fijos'!M127,IF(Simulador!$F$11='Tabla Parámetros'!$O$4,'Tabla Construcción Crecientes'!M127,))</f>
        <v>0</v>
      </c>
      <c r="N495" s="391">
        <f>IF($F$11='Tabla Parámetros'!$O$3,'Tabla Construcción Fijos'!N127,IF(Simulador!$F$11='Tabla Parámetros'!$O$4,'Tabla Construcción Crecientes'!N127,))</f>
        <v>0</v>
      </c>
      <c r="O495" s="392"/>
      <c r="P495" s="392">
        <f>'Tabla Construcción Fijos'!P127</f>
        <v>0</v>
      </c>
      <c r="Q495" s="362">
        <f>IF($F$11='Tabla Parámetros'!$O$3,'Tabla Construcción Fijos'!Q127,IF(Simulador!$F$11='Tabla Parámetros'!$O$4,'Tabla Construcción Crecientes'!P127,))</f>
        <v>0</v>
      </c>
      <c r="R495" s="362">
        <f>IF($F$11='Tabla Parámetros'!$O$3,'Tabla Construcción Fijos'!R127,IF(Simulador!$F$11='Tabla Parámetros'!$O$4,'Tabla Construcción Crecientes'!Q127,))</f>
        <v>0</v>
      </c>
      <c r="S495" s="272">
        <f t="shared" si="18"/>
        <v>0</v>
      </c>
    </row>
    <row r="496" spans="2:19" ht="15.5" hidden="1" x14ac:dyDescent="0.35">
      <c r="B496" s="378">
        <f t="shared" si="19"/>
        <v>105</v>
      </c>
      <c r="C496" s="378">
        <f t="shared" si="20"/>
        <v>30.4</v>
      </c>
      <c r="D496" s="379">
        <f>IF($F$11='Tabla Parámetros'!$O$3,'Tabla Construcción Fijos'!D128,IF(Simulador!$F$11='Tabla Parámetros'!$O$4,'Tabla Construcción Crecientes'!D128,))</f>
        <v>0</v>
      </c>
      <c r="E496" s="390"/>
      <c r="F496" s="362">
        <f>IF($F$11='Tabla Parámetros'!$O$3,'Tabla Construcción Fijos'!F128,IF(Simulador!$F$11='Tabla Parámetros'!$O$4,'Tabla Construcción Crecientes'!F128,))</f>
        <v>0</v>
      </c>
      <c r="G496" s="362"/>
      <c r="H496" s="362">
        <f>IF($F$11='Tabla Parámetros'!$O$3,'Tabla Construcción Fijos'!H128,IF(Simulador!$F$11='Tabla Parámetros'!$O$4,'Tabla Construcción Crecientes'!H128,))</f>
        <v>0</v>
      </c>
      <c r="I496" s="362">
        <f>IF($F$11='Tabla Parámetros'!$O$3,'Tabla Construcción Fijos'!I128,IF(Simulador!$F$11='Tabla Parámetros'!$O$4,'Tabla Construcción Crecientes'!I128,))</f>
        <v>0</v>
      </c>
      <c r="J496" s="362">
        <f>IF($F$11='Tabla Parámetros'!$O$3,'Tabla Construcción Fijos'!J128,IF(Simulador!$F$11='Tabla Parámetros'!$O$4,'Tabla Construcción Crecientes'!J128,))</f>
        <v>0</v>
      </c>
      <c r="K496" s="362">
        <f>IF($F$11='Tabla Parámetros'!$O$3,'Tabla Construcción Fijos'!K128,IF(Simulador!$F$11='Tabla Parámetros'!$O$4,'Tabla Construcción Crecientes'!K128,))</f>
        <v>0</v>
      </c>
      <c r="L496" s="362">
        <f>IF($F$11='Tabla Parámetros'!$O$3,'Tabla Construcción Fijos'!L128,IF(Simulador!$F$11='Tabla Parámetros'!$O$4,'Tabla Construcción Crecientes'!L128,))</f>
        <v>0</v>
      </c>
      <c r="M496" s="362">
        <f>IF($F$11='Tabla Parámetros'!$O$3,'Tabla Construcción Fijos'!M128,IF(Simulador!$F$11='Tabla Parámetros'!$O$4,'Tabla Construcción Crecientes'!M128,))</f>
        <v>0</v>
      </c>
      <c r="N496" s="391">
        <f>IF($F$11='Tabla Parámetros'!$O$3,'Tabla Construcción Fijos'!N128,IF(Simulador!$F$11='Tabla Parámetros'!$O$4,'Tabla Construcción Crecientes'!N128,))</f>
        <v>0</v>
      </c>
      <c r="O496" s="392"/>
      <c r="P496" s="392">
        <f>'Tabla Construcción Fijos'!P128</f>
        <v>0</v>
      </c>
      <c r="Q496" s="362">
        <f>IF($F$11='Tabla Parámetros'!$O$3,'Tabla Construcción Fijos'!Q128,IF(Simulador!$F$11='Tabla Parámetros'!$O$4,'Tabla Construcción Crecientes'!P128,))</f>
        <v>0</v>
      </c>
      <c r="R496" s="362">
        <f>IF($F$11='Tabla Parámetros'!$O$3,'Tabla Construcción Fijos'!R128,IF(Simulador!$F$11='Tabla Parámetros'!$O$4,'Tabla Construcción Crecientes'!Q128,))</f>
        <v>0</v>
      </c>
      <c r="S496" s="272">
        <f t="shared" si="18"/>
        <v>0</v>
      </c>
    </row>
    <row r="497" spans="2:19" ht="15.5" hidden="1" x14ac:dyDescent="0.35">
      <c r="B497" s="378">
        <f t="shared" si="19"/>
        <v>106</v>
      </c>
      <c r="C497" s="378">
        <f t="shared" si="20"/>
        <v>30.4</v>
      </c>
      <c r="D497" s="379">
        <f>IF($F$11='Tabla Parámetros'!$O$3,'Tabla Construcción Fijos'!D129,IF(Simulador!$F$11='Tabla Parámetros'!$O$4,'Tabla Construcción Crecientes'!D129,))</f>
        <v>0</v>
      </c>
      <c r="E497" s="390"/>
      <c r="F497" s="362">
        <f>IF($F$11='Tabla Parámetros'!$O$3,'Tabla Construcción Fijos'!F129,IF(Simulador!$F$11='Tabla Parámetros'!$O$4,'Tabla Construcción Crecientes'!F129,))</f>
        <v>0</v>
      </c>
      <c r="G497" s="362"/>
      <c r="H497" s="362">
        <f>IF($F$11='Tabla Parámetros'!$O$3,'Tabla Construcción Fijos'!H129,IF(Simulador!$F$11='Tabla Parámetros'!$O$4,'Tabla Construcción Crecientes'!H129,))</f>
        <v>0</v>
      </c>
      <c r="I497" s="362">
        <f>IF($F$11='Tabla Parámetros'!$O$3,'Tabla Construcción Fijos'!I129,IF(Simulador!$F$11='Tabla Parámetros'!$O$4,'Tabla Construcción Crecientes'!I129,))</f>
        <v>0</v>
      </c>
      <c r="J497" s="362">
        <f>IF($F$11='Tabla Parámetros'!$O$3,'Tabla Construcción Fijos'!J129,IF(Simulador!$F$11='Tabla Parámetros'!$O$4,'Tabla Construcción Crecientes'!J129,))</f>
        <v>0</v>
      </c>
      <c r="K497" s="362">
        <f>IF($F$11='Tabla Parámetros'!$O$3,'Tabla Construcción Fijos'!K129,IF(Simulador!$F$11='Tabla Parámetros'!$O$4,'Tabla Construcción Crecientes'!K129,))</f>
        <v>0</v>
      </c>
      <c r="L497" s="362">
        <f>IF($F$11='Tabla Parámetros'!$O$3,'Tabla Construcción Fijos'!L129,IF(Simulador!$F$11='Tabla Parámetros'!$O$4,'Tabla Construcción Crecientes'!L129,))</f>
        <v>0</v>
      </c>
      <c r="M497" s="362">
        <f>IF($F$11='Tabla Parámetros'!$O$3,'Tabla Construcción Fijos'!M129,IF(Simulador!$F$11='Tabla Parámetros'!$O$4,'Tabla Construcción Crecientes'!M129,))</f>
        <v>0</v>
      </c>
      <c r="N497" s="391">
        <f>IF($F$11='Tabla Parámetros'!$O$3,'Tabla Construcción Fijos'!N129,IF(Simulador!$F$11='Tabla Parámetros'!$O$4,'Tabla Construcción Crecientes'!N129,))</f>
        <v>0</v>
      </c>
      <c r="O497" s="392"/>
      <c r="P497" s="392">
        <f>'Tabla Construcción Fijos'!P129</f>
        <v>0</v>
      </c>
      <c r="Q497" s="362">
        <f>IF($F$11='Tabla Parámetros'!$O$3,'Tabla Construcción Fijos'!Q129,IF(Simulador!$F$11='Tabla Parámetros'!$O$4,'Tabla Construcción Crecientes'!P129,))</f>
        <v>0</v>
      </c>
      <c r="R497" s="362">
        <f>IF($F$11='Tabla Parámetros'!$O$3,'Tabla Construcción Fijos'!R129,IF(Simulador!$F$11='Tabla Parámetros'!$O$4,'Tabla Construcción Crecientes'!Q129,))</f>
        <v>0</v>
      </c>
      <c r="S497" s="272">
        <f t="shared" si="18"/>
        <v>0</v>
      </c>
    </row>
    <row r="498" spans="2:19" ht="15.5" hidden="1" x14ac:dyDescent="0.35">
      <c r="B498" s="378">
        <f t="shared" si="19"/>
        <v>107</v>
      </c>
      <c r="C498" s="378">
        <f t="shared" si="20"/>
        <v>30.4</v>
      </c>
      <c r="D498" s="379">
        <f>IF($F$11='Tabla Parámetros'!$O$3,'Tabla Construcción Fijos'!D130,IF(Simulador!$F$11='Tabla Parámetros'!$O$4,'Tabla Construcción Crecientes'!D130,))</f>
        <v>0</v>
      </c>
      <c r="E498" s="390"/>
      <c r="F498" s="362">
        <f>IF($F$11='Tabla Parámetros'!$O$3,'Tabla Construcción Fijos'!F130,IF(Simulador!$F$11='Tabla Parámetros'!$O$4,'Tabla Construcción Crecientes'!F130,))</f>
        <v>0</v>
      </c>
      <c r="G498" s="362"/>
      <c r="H498" s="362">
        <f>IF($F$11='Tabla Parámetros'!$O$3,'Tabla Construcción Fijos'!H130,IF(Simulador!$F$11='Tabla Parámetros'!$O$4,'Tabla Construcción Crecientes'!H130,))</f>
        <v>0</v>
      </c>
      <c r="I498" s="362">
        <f>IF($F$11='Tabla Parámetros'!$O$3,'Tabla Construcción Fijos'!I130,IF(Simulador!$F$11='Tabla Parámetros'!$O$4,'Tabla Construcción Crecientes'!I130,))</f>
        <v>0</v>
      </c>
      <c r="J498" s="362">
        <f>IF($F$11='Tabla Parámetros'!$O$3,'Tabla Construcción Fijos'!J130,IF(Simulador!$F$11='Tabla Parámetros'!$O$4,'Tabla Construcción Crecientes'!J130,))</f>
        <v>0</v>
      </c>
      <c r="K498" s="362">
        <f>IF($F$11='Tabla Parámetros'!$O$3,'Tabla Construcción Fijos'!K130,IF(Simulador!$F$11='Tabla Parámetros'!$O$4,'Tabla Construcción Crecientes'!K130,))</f>
        <v>0</v>
      </c>
      <c r="L498" s="362">
        <f>IF($F$11='Tabla Parámetros'!$O$3,'Tabla Construcción Fijos'!L130,IF(Simulador!$F$11='Tabla Parámetros'!$O$4,'Tabla Construcción Crecientes'!L130,))</f>
        <v>0</v>
      </c>
      <c r="M498" s="362">
        <f>IF($F$11='Tabla Parámetros'!$O$3,'Tabla Construcción Fijos'!M130,IF(Simulador!$F$11='Tabla Parámetros'!$O$4,'Tabla Construcción Crecientes'!M130,))</f>
        <v>0</v>
      </c>
      <c r="N498" s="391">
        <f>IF($F$11='Tabla Parámetros'!$O$3,'Tabla Construcción Fijos'!N130,IF(Simulador!$F$11='Tabla Parámetros'!$O$4,'Tabla Construcción Crecientes'!N130,))</f>
        <v>0</v>
      </c>
      <c r="O498" s="392"/>
      <c r="P498" s="392">
        <f>'Tabla Construcción Fijos'!P130</f>
        <v>0</v>
      </c>
      <c r="Q498" s="362">
        <f>IF($F$11='Tabla Parámetros'!$O$3,'Tabla Construcción Fijos'!Q130,IF(Simulador!$F$11='Tabla Parámetros'!$O$4,'Tabla Construcción Crecientes'!P130,))</f>
        <v>0</v>
      </c>
      <c r="R498" s="362">
        <f>IF($F$11='Tabla Parámetros'!$O$3,'Tabla Construcción Fijos'!R130,IF(Simulador!$F$11='Tabla Parámetros'!$O$4,'Tabla Construcción Crecientes'!Q130,))</f>
        <v>0</v>
      </c>
      <c r="S498" s="272">
        <f t="shared" si="18"/>
        <v>0</v>
      </c>
    </row>
    <row r="499" spans="2:19" ht="15.5" hidden="1" x14ac:dyDescent="0.35">
      <c r="B499" s="378">
        <f t="shared" si="19"/>
        <v>108</v>
      </c>
      <c r="C499" s="378">
        <f t="shared" si="20"/>
        <v>30.4</v>
      </c>
      <c r="D499" s="379">
        <f>IF($F$11='Tabla Parámetros'!$O$3,'Tabla Construcción Fijos'!D131,IF(Simulador!$F$11='Tabla Parámetros'!$O$4,'Tabla Construcción Crecientes'!D131,))</f>
        <v>0</v>
      </c>
      <c r="E499" s="390"/>
      <c r="F499" s="362">
        <f>IF($F$11='Tabla Parámetros'!$O$3,'Tabla Construcción Fijos'!F131,IF(Simulador!$F$11='Tabla Parámetros'!$O$4,'Tabla Construcción Crecientes'!F131,))</f>
        <v>0</v>
      </c>
      <c r="G499" s="362"/>
      <c r="H499" s="362">
        <f>IF($F$11='Tabla Parámetros'!$O$3,'Tabla Construcción Fijos'!H131,IF(Simulador!$F$11='Tabla Parámetros'!$O$4,'Tabla Construcción Crecientes'!H131,))</f>
        <v>0</v>
      </c>
      <c r="I499" s="362">
        <f>IF($F$11='Tabla Parámetros'!$O$3,'Tabla Construcción Fijos'!I131,IF(Simulador!$F$11='Tabla Parámetros'!$O$4,'Tabla Construcción Crecientes'!I131,))</f>
        <v>0</v>
      </c>
      <c r="J499" s="362">
        <f>IF($F$11='Tabla Parámetros'!$O$3,'Tabla Construcción Fijos'!J131,IF(Simulador!$F$11='Tabla Parámetros'!$O$4,'Tabla Construcción Crecientes'!J131,))</f>
        <v>0</v>
      </c>
      <c r="K499" s="362">
        <f>IF($F$11='Tabla Parámetros'!$O$3,'Tabla Construcción Fijos'!K131,IF(Simulador!$F$11='Tabla Parámetros'!$O$4,'Tabla Construcción Crecientes'!K131,))</f>
        <v>0</v>
      </c>
      <c r="L499" s="362">
        <f>IF($F$11='Tabla Parámetros'!$O$3,'Tabla Construcción Fijos'!L131,IF(Simulador!$F$11='Tabla Parámetros'!$O$4,'Tabla Construcción Crecientes'!L131,))</f>
        <v>0</v>
      </c>
      <c r="M499" s="362">
        <f>IF($F$11='Tabla Parámetros'!$O$3,'Tabla Construcción Fijos'!M131,IF(Simulador!$F$11='Tabla Parámetros'!$O$4,'Tabla Construcción Crecientes'!M131,))</f>
        <v>0</v>
      </c>
      <c r="N499" s="391">
        <f>IF($F$11='Tabla Parámetros'!$O$3,'Tabla Construcción Fijos'!N131,IF(Simulador!$F$11='Tabla Parámetros'!$O$4,'Tabla Construcción Crecientes'!N131,))</f>
        <v>0</v>
      </c>
      <c r="O499" s="392"/>
      <c r="P499" s="392">
        <f>'Tabla Construcción Fijos'!P131</f>
        <v>0</v>
      </c>
      <c r="Q499" s="362">
        <f>IF($F$11='Tabla Parámetros'!$O$3,'Tabla Construcción Fijos'!Q131,IF(Simulador!$F$11='Tabla Parámetros'!$O$4,'Tabla Construcción Crecientes'!P131,))</f>
        <v>0</v>
      </c>
      <c r="R499" s="362">
        <f>IF($F$11='Tabla Parámetros'!$O$3,'Tabla Construcción Fijos'!R131,IF(Simulador!$F$11='Tabla Parámetros'!$O$4,'Tabla Construcción Crecientes'!Q131,))</f>
        <v>0</v>
      </c>
      <c r="S499" s="272">
        <f t="shared" si="18"/>
        <v>0</v>
      </c>
    </row>
    <row r="500" spans="2:19" ht="15.5" hidden="1" x14ac:dyDescent="0.35">
      <c r="B500" s="378">
        <f t="shared" si="19"/>
        <v>109</v>
      </c>
      <c r="C500" s="378">
        <f t="shared" si="20"/>
        <v>30.4</v>
      </c>
      <c r="D500" s="379">
        <f>IF($F$11='Tabla Parámetros'!$O$3,'Tabla Construcción Fijos'!D132,IF(Simulador!$F$11='Tabla Parámetros'!$O$4,'Tabla Construcción Crecientes'!D132,))</f>
        <v>0</v>
      </c>
      <c r="E500" s="390"/>
      <c r="F500" s="362">
        <f>IF($F$11='Tabla Parámetros'!$O$3,'Tabla Construcción Fijos'!F132,IF(Simulador!$F$11='Tabla Parámetros'!$O$4,'Tabla Construcción Crecientes'!F132,))</f>
        <v>0</v>
      </c>
      <c r="G500" s="362"/>
      <c r="H500" s="362">
        <f>IF($F$11='Tabla Parámetros'!$O$3,'Tabla Construcción Fijos'!H132,IF(Simulador!$F$11='Tabla Parámetros'!$O$4,'Tabla Construcción Crecientes'!H132,))</f>
        <v>0</v>
      </c>
      <c r="I500" s="362">
        <f>IF($F$11='Tabla Parámetros'!$O$3,'Tabla Construcción Fijos'!I132,IF(Simulador!$F$11='Tabla Parámetros'!$O$4,'Tabla Construcción Crecientes'!I132,))</f>
        <v>0</v>
      </c>
      <c r="J500" s="362">
        <f>IF($F$11='Tabla Parámetros'!$O$3,'Tabla Construcción Fijos'!J132,IF(Simulador!$F$11='Tabla Parámetros'!$O$4,'Tabla Construcción Crecientes'!J132,))</f>
        <v>0</v>
      </c>
      <c r="K500" s="362">
        <f>IF($F$11='Tabla Parámetros'!$O$3,'Tabla Construcción Fijos'!K132,IF(Simulador!$F$11='Tabla Parámetros'!$O$4,'Tabla Construcción Crecientes'!K132,))</f>
        <v>0</v>
      </c>
      <c r="L500" s="362">
        <f>IF($F$11='Tabla Parámetros'!$O$3,'Tabla Construcción Fijos'!L132,IF(Simulador!$F$11='Tabla Parámetros'!$O$4,'Tabla Construcción Crecientes'!L132,))</f>
        <v>0</v>
      </c>
      <c r="M500" s="362">
        <f>IF($F$11='Tabla Parámetros'!$O$3,'Tabla Construcción Fijos'!M132,IF(Simulador!$F$11='Tabla Parámetros'!$O$4,'Tabla Construcción Crecientes'!M132,))</f>
        <v>0</v>
      </c>
      <c r="N500" s="391">
        <f>IF($F$11='Tabla Parámetros'!$O$3,'Tabla Construcción Fijos'!N132,IF(Simulador!$F$11='Tabla Parámetros'!$O$4,'Tabla Construcción Crecientes'!N132,))</f>
        <v>0</v>
      </c>
      <c r="O500" s="392"/>
      <c r="P500" s="392">
        <f>'Tabla Construcción Fijos'!P132</f>
        <v>0</v>
      </c>
      <c r="Q500" s="362">
        <f>IF($F$11='Tabla Parámetros'!$O$3,'Tabla Construcción Fijos'!Q132,IF(Simulador!$F$11='Tabla Parámetros'!$O$4,'Tabla Construcción Crecientes'!P132,))</f>
        <v>0</v>
      </c>
      <c r="R500" s="362">
        <f>IF($F$11='Tabla Parámetros'!$O$3,'Tabla Construcción Fijos'!R132,IF(Simulador!$F$11='Tabla Parámetros'!$O$4,'Tabla Construcción Crecientes'!Q132,))</f>
        <v>0</v>
      </c>
      <c r="S500" s="272">
        <f t="shared" si="18"/>
        <v>0</v>
      </c>
    </row>
    <row r="501" spans="2:19" ht="15.5" hidden="1" x14ac:dyDescent="0.35">
      <c r="B501" s="378">
        <f t="shared" si="19"/>
        <v>110</v>
      </c>
      <c r="C501" s="378">
        <f t="shared" si="20"/>
        <v>30.4</v>
      </c>
      <c r="D501" s="379">
        <f>IF($F$11='Tabla Parámetros'!$O$3,'Tabla Construcción Fijos'!D133,IF(Simulador!$F$11='Tabla Parámetros'!$O$4,'Tabla Construcción Crecientes'!D133,))</f>
        <v>0</v>
      </c>
      <c r="E501" s="390"/>
      <c r="F501" s="362">
        <f>IF($F$11='Tabla Parámetros'!$O$3,'Tabla Construcción Fijos'!F133,IF(Simulador!$F$11='Tabla Parámetros'!$O$4,'Tabla Construcción Crecientes'!F133,))</f>
        <v>0</v>
      </c>
      <c r="G501" s="362"/>
      <c r="H501" s="362">
        <f>IF($F$11='Tabla Parámetros'!$O$3,'Tabla Construcción Fijos'!H133,IF(Simulador!$F$11='Tabla Parámetros'!$O$4,'Tabla Construcción Crecientes'!H133,))</f>
        <v>0</v>
      </c>
      <c r="I501" s="362">
        <f>IF($F$11='Tabla Parámetros'!$O$3,'Tabla Construcción Fijos'!I133,IF(Simulador!$F$11='Tabla Parámetros'!$O$4,'Tabla Construcción Crecientes'!I133,))</f>
        <v>0</v>
      </c>
      <c r="J501" s="362">
        <f>IF($F$11='Tabla Parámetros'!$O$3,'Tabla Construcción Fijos'!J133,IF(Simulador!$F$11='Tabla Parámetros'!$O$4,'Tabla Construcción Crecientes'!J133,))</f>
        <v>0</v>
      </c>
      <c r="K501" s="362">
        <f>IF($F$11='Tabla Parámetros'!$O$3,'Tabla Construcción Fijos'!K133,IF(Simulador!$F$11='Tabla Parámetros'!$O$4,'Tabla Construcción Crecientes'!K133,))</f>
        <v>0</v>
      </c>
      <c r="L501" s="362">
        <f>IF($F$11='Tabla Parámetros'!$O$3,'Tabla Construcción Fijos'!L133,IF(Simulador!$F$11='Tabla Parámetros'!$O$4,'Tabla Construcción Crecientes'!L133,))</f>
        <v>0</v>
      </c>
      <c r="M501" s="362">
        <f>IF($F$11='Tabla Parámetros'!$O$3,'Tabla Construcción Fijos'!M133,IF(Simulador!$F$11='Tabla Parámetros'!$O$4,'Tabla Construcción Crecientes'!M133,))</f>
        <v>0</v>
      </c>
      <c r="N501" s="391">
        <f>IF($F$11='Tabla Parámetros'!$O$3,'Tabla Construcción Fijos'!N133,IF(Simulador!$F$11='Tabla Parámetros'!$O$4,'Tabla Construcción Crecientes'!N133,))</f>
        <v>0</v>
      </c>
      <c r="O501" s="392"/>
      <c r="P501" s="392">
        <f>'Tabla Construcción Fijos'!P133</f>
        <v>0</v>
      </c>
      <c r="Q501" s="362">
        <f>IF($F$11='Tabla Parámetros'!$O$3,'Tabla Construcción Fijos'!Q133,IF(Simulador!$F$11='Tabla Parámetros'!$O$4,'Tabla Construcción Crecientes'!P133,))</f>
        <v>0</v>
      </c>
      <c r="R501" s="362">
        <f>IF($F$11='Tabla Parámetros'!$O$3,'Tabla Construcción Fijos'!R133,IF(Simulador!$F$11='Tabla Parámetros'!$O$4,'Tabla Construcción Crecientes'!Q133,))</f>
        <v>0</v>
      </c>
      <c r="S501" s="272">
        <f t="shared" si="18"/>
        <v>0</v>
      </c>
    </row>
    <row r="502" spans="2:19" ht="15.5" hidden="1" x14ac:dyDescent="0.35">
      <c r="B502" s="378">
        <f t="shared" si="19"/>
        <v>111</v>
      </c>
      <c r="C502" s="378">
        <f t="shared" si="20"/>
        <v>30.4</v>
      </c>
      <c r="D502" s="379">
        <f>IF($F$11='Tabla Parámetros'!$O$3,'Tabla Construcción Fijos'!D134,IF(Simulador!$F$11='Tabla Parámetros'!$O$4,'Tabla Construcción Crecientes'!D134,))</f>
        <v>0</v>
      </c>
      <c r="E502" s="390"/>
      <c r="F502" s="362">
        <f>IF($F$11='Tabla Parámetros'!$O$3,'Tabla Construcción Fijos'!F134,IF(Simulador!$F$11='Tabla Parámetros'!$O$4,'Tabla Construcción Crecientes'!F134,))</f>
        <v>0</v>
      </c>
      <c r="G502" s="362"/>
      <c r="H502" s="362">
        <f>IF($F$11='Tabla Parámetros'!$O$3,'Tabla Construcción Fijos'!H134,IF(Simulador!$F$11='Tabla Parámetros'!$O$4,'Tabla Construcción Crecientes'!H134,))</f>
        <v>0</v>
      </c>
      <c r="I502" s="362">
        <f>IF($F$11='Tabla Parámetros'!$O$3,'Tabla Construcción Fijos'!I134,IF(Simulador!$F$11='Tabla Parámetros'!$O$4,'Tabla Construcción Crecientes'!I134,))</f>
        <v>0</v>
      </c>
      <c r="J502" s="362">
        <f>IF($F$11='Tabla Parámetros'!$O$3,'Tabla Construcción Fijos'!J134,IF(Simulador!$F$11='Tabla Parámetros'!$O$4,'Tabla Construcción Crecientes'!J134,))</f>
        <v>0</v>
      </c>
      <c r="K502" s="362">
        <f>IF($F$11='Tabla Parámetros'!$O$3,'Tabla Construcción Fijos'!K134,IF(Simulador!$F$11='Tabla Parámetros'!$O$4,'Tabla Construcción Crecientes'!K134,))</f>
        <v>0</v>
      </c>
      <c r="L502" s="362">
        <f>IF($F$11='Tabla Parámetros'!$O$3,'Tabla Construcción Fijos'!L134,IF(Simulador!$F$11='Tabla Parámetros'!$O$4,'Tabla Construcción Crecientes'!L134,))</f>
        <v>0</v>
      </c>
      <c r="M502" s="362">
        <f>IF($F$11='Tabla Parámetros'!$O$3,'Tabla Construcción Fijos'!M134,IF(Simulador!$F$11='Tabla Parámetros'!$O$4,'Tabla Construcción Crecientes'!M134,))</f>
        <v>0</v>
      </c>
      <c r="N502" s="391">
        <f>IF($F$11='Tabla Parámetros'!$O$3,'Tabla Construcción Fijos'!N134,IF(Simulador!$F$11='Tabla Parámetros'!$O$4,'Tabla Construcción Crecientes'!N134,))</f>
        <v>0</v>
      </c>
      <c r="O502" s="392"/>
      <c r="P502" s="392">
        <f>'Tabla Construcción Fijos'!P134</f>
        <v>0</v>
      </c>
      <c r="Q502" s="362">
        <f>IF($F$11='Tabla Parámetros'!$O$3,'Tabla Construcción Fijos'!Q134,IF(Simulador!$F$11='Tabla Parámetros'!$O$4,'Tabla Construcción Crecientes'!P134,))</f>
        <v>0</v>
      </c>
      <c r="R502" s="362">
        <f>IF($F$11='Tabla Parámetros'!$O$3,'Tabla Construcción Fijos'!R134,IF(Simulador!$F$11='Tabla Parámetros'!$O$4,'Tabla Construcción Crecientes'!Q134,))</f>
        <v>0</v>
      </c>
      <c r="S502" s="272">
        <f t="shared" si="18"/>
        <v>0</v>
      </c>
    </row>
    <row r="503" spans="2:19" ht="15.5" hidden="1" x14ac:dyDescent="0.35">
      <c r="B503" s="378">
        <f t="shared" si="19"/>
        <v>112</v>
      </c>
      <c r="C503" s="378">
        <f t="shared" si="20"/>
        <v>30.4</v>
      </c>
      <c r="D503" s="379">
        <f>IF($F$11='Tabla Parámetros'!$O$3,'Tabla Construcción Fijos'!D135,IF(Simulador!$F$11='Tabla Parámetros'!$O$4,'Tabla Construcción Crecientes'!D135,))</f>
        <v>0</v>
      </c>
      <c r="E503" s="390"/>
      <c r="F503" s="362">
        <f>IF($F$11='Tabla Parámetros'!$O$3,'Tabla Construcción Fijos'!F135,IF(Simulador!$F$11='Tabla Parámetros'!$O$4,'Tabla Construcción Crecientes'!F135,))</f>
        <v>0</v>
      </c>
      <c r="G503" s="362"/>
      <c r="H503" s="362">
        <f>IF($F$11='Tabla Parámetros'!$O$3,'Tabla Construcción Fijos'!H135,IF(Simulador!$F$11='Tabla Parámetros'!$O$4,'Tabla Construcción Crecientes'!H135,))</f>
        <v>0</v>
      </c>
      <c r="I503" s="362">
        <f>IF($F$11='Tabla Parámetros'!$O$3,'Tabla Construcción Fijos'!I135,IF(Simulador!$F$11='Tabla Parámetros'!$O$4,'Tabla Construcción Crecientes'!I135,))</f>
        <v>0</v>
      </c>
      <c r="J503" s="362">
        <f>IF($F$11='Tabla Parámetros'!$O$3,'Tabla Construcción Fijos'!J135,IF(Simulador!$F$11='Tabla Parámetros'!$O$4,'Tabla Construcción Crecientes'!J135,))</f>
        <v>0</v>
      </c>
      <c r="K503" s="362">
        <f>IF($F$11='Tabla Parámetros'!$O$3,'Tabla Construcción Fijos'!K135,IF(Simulador!$F$11='Tabla Parámetros'!$O$4,'Tabla Construcción Crecientes'!K135,))</f>
        <v>0</v>
      </c>
      <c r="L503" s="362">
        <f>IF($F$11='Tabla Parámetros'!$O$3,'Tabla Construcción Fijos'!L135,IF(Simulador!$F$11='Tabla Parámetros'!$O$4,'Tabla Construcción Crecientes'!L135,))</f>
        <v>0</v>
      </c>
      <c r="M503" s="362">
        <f>IF($F$11='Tabla Parámetros'!$O$3,'Tabla Construcción Fijos'!M135,IF(Simulador!$F$11='Tabla Parámetros'!$O$4,'Tabla Construcción Crecientes'!M135,))</f>
        <v>0</v>
      </c>
      <c r="N503" s="391">
        <f>IF($F$11='Tabla Parámetros'!$O$3,'Tabla Construcción Fijos'!N135,IF(Simulador!$F$11='Tabla Parámetros'!$O$4,'Tabla Construcción Crecientes'!N135,))</f>
        <v>0</v>
      </c>
      <c r="O503" s="392"/>
      <c r="P503" s="392">
        <f>'Tabla Construcción Fijos'!P135</f>
        <v>0</v>
      </c>
      <c r="Q503" s="362">
        <f>IF($F$11='Tabla Parámetros'!$O$3,'Tabla Construcción Fijos'!Q135,IF(Simulador!$F$11='Tabla Parámetros'!$O$4,'Tabla Construcción Crecientes'!P135,))</f>
        <v>0</v>
      </c>
      <c r="R503" s="362">
        <f>IF($F$11='Tabla Parámetros'!$O$3,'Tabla Construcción Fijos'!R135,IF(Simulador!$F$11='Tabla Parámetros'!$O$4,'Tabla Construcción Crecientes'!Q135,))</f>
        <v>0</v>
      </c>
      <c r="S503" s="272">
        <f t="shared" si="18"/>
        <v>0</v>
      </c>
    </row>
    <row r="504" spans="2:19" ht="15.5" hidden="1" x14ac:dyDescent="0.35">
      <c r="B504" s="378">
        <f t="shared" si="19"/>
        <v>113</v>
      </c>
      <c r="C504" s="378">
        <f t="shared" si="20"/>
        <v>30.4</v>
      </c>
      <c r="D504" s="379">
        <f>IF($F$11='Tabla Parámetros'!$O$3,'Tabla Construcción Fijos'!D136,IF(Simulador!$F$11='Tabla Parámetros'!$O$4,'Tabla Construcción Crecientes'!D136,))</f>
        <v>0</v>
      </c>
      <c r="E504" s="390"/>
      <c r="F504" s="362">
        <f>IF($F$11='Tabla Parámetros'!$O$3,'Tabla Construcción Fijos'!F136,IF(Simulador!$F$11='Tabla Parámetros'!$O$4,'Tabla Construcción Crecientes'!F136,))</f>
        <v>0</v>
      </c>
      <c r="G504" s="362"/>
      <c r="H504" s="362">
        <f>IF($F$11='Tabla Parámetros'!$O$3,'Tabla Construcción Fijos'!H136,IF(Simulador!$F$11='Tabla Parámetros'!$O$4,'Tabla Construcción Crecientes'!H136,))</f>
        <v>0</v>
      </c>
      <c r="I504" s="362">
        <f>IF($F$11='Tabla Parámetros'!$O$3,'Tabla Construcción Fijos'!I136,IF(Simulador!$F$11='Tabla Parámetros'!$O$4,'Tabla Construcción Crecientes'!I136,))</f>
        <v>0</v>
      </c>
      <c r="J504" s="362">
        <f>IF($F$11='Tabla Parámetros'!$O$3,'Tabla Construcción Fijos'!J136,IF(Simulador!$F$11='Tabla Parámetros'!$O$4,'Tabla Construcción Crecientes'!J136,))</f>
        <v>0</v>
      </c>
      <c r="K504" s="362">
        <f>IF($F$11='Tabla Parámetros'!$O$3,'Tabla Construcción Fijos'!K136,IF(Simulador!$F$11='Tabla Parámetros'!$O$4,'Tabla Construcción Crecientes'!K136,))</f>
        <v>0</v>
      </c>
      <c r="L504" s="362">
        <f>IF($F$11='Tabla Parámetros'!$O$3,'Tabla Construcción Fijos'!L136,IF(Simulador!$F$11='Tabla Parámetros'!$O$4,'Tabla Construcción Crecientes'!L136,))</f>
        <v>0</v>
      </c>
      <c r="M504" s="362">
        <f>IF($F$11='Tabla Parámetros'!$O$3,'Tabla Construcción Fijos'!M136,IF(Simulador!$F$11='Tabla Parámetros'!$O$4,'Tabla Construcción Crecientes'!M136,))</f>
        <v>0</v>
      </c>
      <c r="N504" s="391">
        <f>IF($F$11='Tabla Parámetros'!$O$3,'Tabla Construcción Fijos'!N136,IF(Simulador!$F$11='Tabla Parámetros'!$O$4,'Tabla Construcción Crecientes'!N136,))</f>
        <v>0</v>
      </c>
      <c r="O504" s="392"/>
      <c r="P504" s="392">
        <f>'Tabla Construcción Fijos'!P136</f>
        <v>0</v>
      </c>
      <c r="Q504" s="362">
        <f>IF($F$11='Tabla Parámetros'!$O$3,'Tabla Construcción Fijos'!Q136,IF(Simulador!$F$11='Tabla Parámetros'!$O$4,'Tabla Construcción Crecientes'!P136,))</f>
        <v>0</v>
      </c>
      <c r="R504" s="362">
        <f>IF($F$11='Tabla Parámetros'!$O$3,'Tabla Construcción Fijos'!R136,IF(Simulador!$F$11='Tabla Parámetros'!$O$4,'Tabla Construcción Crecientes'!Q136,))</f>
        <v>0</v>
      </c>
      <c r="S504" s="272">
        <f t="shared" si="18"/>
        <v>0</v>
      </c>
    </row>
    <row r="505" spans="2:19" ht="15.5" hidden="1" x14ac:dyDescent="0.35">
      <c r="B505" s="378">
        <f t="shared" si="19"/>
        <v>114</v>
      </c>
      <c r="C505" s="378">
        <f t="shared" si="20"/>
        <v>30.4</v>
      </c>
      <c r="D505" s="379">
        <f>IF($F$11='Tabla Parámetros'!$O$3,'Tabla Construcción Fijos'!D137,IF(Simulador!$F$11='Tabla Parámetros'!$O$4,'Tabla Construcción Crecientes'!D137,))</f>
        <v>0</v>
      </c>
      <c r="E505" s="390"/>
      <c r="F505" s="362">
        <f>IF($F$11='Tabla Parámetros'!$O$3,'Tabla Construcción Fijos'!F137,IF(Simulador!$F$11='Tabla Parámetros'!$O$4,'Tabla Construcción Crecientes'!F137,))</f>
        <v>0</v>
      </c>
      <c r="G505" s="362"/>
      <c r="H505" s="362">
        <f>IF($F$11='Tabla Parámetros'!$O$3,'Tabla Construcción Fijos'!H137,IF(Simulador!$F$11='Tabla Parámetros'!$O$4,'Tabla Construcción Crecientes'!H137,))</f>
        <v>0</v>
      </c>
      <c r="I505" s="362">
        <f>IF($F$11='Tabla Parámetros'!$O$3,'Tabla Construcción Fijos'!I137,IF(Simulador!$F$11='Tabla Parámetros'!$O$4,'Tabla Construcción Crecientes'!I137,))</f>
        <v>0</v>
      </c>
      <c r="J505" s="362">
        <f>IF($F$11='Tabla Parámetros'!$O$3,'Tabla Construcción Fijos'!J137,IF(Simulador!$F$11='Tabla Parámetros'!$O$4,'Tabla Construcción Crecientes'!J137,))</f>
        <v>0</v>
      </c>
      <c r="K505" s="362">
        <f>IF($F$11='Tabla Parámetros'!$O$3,'Tabla Construcción Fijos'!K137,IF(Simulador!$F$11='Tabla Parámetros'!$O$4,'Tabla Construcción Crecientes'!K137,))</f>
        <v>0</v>
      </c>
      <c r="L505" s="362">
        <f>IF($F$11='Tabla Parámetros'!$O$3,'Tabla Construcción Fijos'!L137,IF(Simulador!$F$11='Tabla Parámetros'!$O$4,'Tabla Construcción Crecientes'!L137,))</f>
        <v>0</v>
      </c>
      <c r="M505" s="362">
        <f>IF($F$11='Tabla Parámetros'!$O$3,'Tabla Construcción Fijos'!M137,IF(Simulador!$F$11='Tabla Parámetros'!$O$4,'Tabla Construcción Crecientes'!M137,))</f>
        <v>0</v>
      </c>
      <c r="N505" s="391">
        <f>IF($F$11='Tabla Parámetros'!$O$3,'Tabla Construcción Fijos'!N137,IF(Simulador!$F$11='Tabla Parámetros'!$O$4,'Tabla Construcción Crecientes'!N137,))</f>
        <v>0</v>
      </c>
      <c r="O505" s="392"/>
      <c r="P505" s="392">
        <f>'Tabla Construcción Fijos'!P137</f>
        <v>0</v>
      </c>
      <c r="Q505" s="362">
        <f>IF($F$11='Tabla Parámetros'!$O$3,'Tabla Construcción Fijos'!Q137,IF(Simulador!$F$11='Tabla Parámetros'!$O$4,'Tabla Construcción Crecientes'!P137,))</f>
        <v>0</v>
      </c>
      <c r="R505" s="362">
        <f>IF($F$11='Tabla Parámetros'!$O$3,'Tabla Construcción Fijos'!R137,IF(Simulador!$F$11='Tabla Parámetros'!$O$4,'Tabla Construcción Crecientes'!Q137,))</f>
        <v>0</v>
      </c>
      <c r="S505" s="272">
        <f t="shared" si="18"/>
        <v>0</v>
      </c>
    </row>
    <row r="506" spans="2:19" ht="15.5" hidden="1" x14ac:dyDescent="0.35">
      <c r="B506" s="378">
        <f t="shared" si="19"/>
        <v>115</v>
      </c>
      <c r="C506" s="378">
        <f t="shared" si="20"/>
        <v>30.4</v>
      </c>
      <c r="D506" s="379">
        <f>IF($F$11='Tabla Parámetros'!$O$3,'Tabla Construcción Fijos'!D138,IF(Simulador!$F$11='Tabla Parámetros'!$O$4,'Tabla Construcción Crecientes'!D138,))</f>
        <v>0</v>
      </c>
      <c r="E506" s="390"/>
      <c r="F506" s="362">
        <f>IF($F$11='Tabla Parámetros'!$O$3,'Tabla Construcción Fijos'!F138,IF(Simulador!$F$11='Tabla Parámetros'!$O$4,'Tabla Construcción Crecientes'!F138,))</f>
        <v>0</v>
      </c>
      <c r="G506" s="362"/>
      <c r="H506" s="362">
        <f>IF($F$11='Tabla Parámetros'!$O$3,'Tabla Construcción Fijos'!H138,IF(Simulador!$F$11='Tabla Parámetros'!$O$4,'Tabla Construcción Crecientes'!H138,))</f>
        <v>0</v>
      </c>
      <c r="I506" s="362">
        <f>IF($F$11='Tabla Parámetros'!$O$3,'Tabla Construcción Fijos'!I138,IF(Simulador!$F$11='Tabla Parámetros'!$O$4,'Tabla Construcción Crecientes'!I138,))</f>
        <v>0</v>
      </c>
      <c r="J506" s="362">
        <f>IF($F$11='Tabla Parámetros'!$O$3,'Tabla Construcción Fijos'!J138,IF(Simulador!$F$11='Tabla Parámetros'!$O$4,'Tabla Construcción Crecientes'!J138,))</f>
        <v>0</v>
      </c>
      <c r="K506" s="362">
        <f>IF($F$11='Tabla Parámetros'!$O$3,'Tabla Construcción Fijos'!K138,IF(Simulador!$F$11='Tabla Parámetros'!$O$4,'Tabla Construcción Crecientes'!K138,))</f>
        <v>0</v>
      </c>
      <c r="L506" s="362">
        <f>IF($F$11='Tabla Parámetros'!$O$3,'Tabla Construcción Fijos'!L138,IF(Simulador!$F$11='Tabla Parámetros'!$O$4,'Tabla Construcción Crecientes'!L138,))</f>
        <v>0</v>
      </c>
      <c r="M506" s="362">
        <f>IF($F$11='Tabla Parámetros'!$O$3,'Tabla Construcción Fijos'!M138,IF(Simulador!$F$11='Tabla Parámetros'!$O$4,'Tabla Construcción Crecientes'!M138,))</f>
        <v>0</v>
      </c>
      <c r="N506" s="391">
        <f>IF($F$11='Tabla Parámetros'!$O$3,'Tabla Construcción Fijos'!N138,IF(Simulador!$F$11='Tabla Parámetros'!$O$4,'Tabla Construcción Crecientes'!N138,))</f>
        <v>0</v>
      </c>
      <c r="O506" s="392"/>
      <c r="P506" s="392">
        <f>'Tabla Construcción Fijos'!P138</f>
        <v>0</v>
      </c>
      <c r="Q506" s="362">
        <f>IF($F$11='Tabla Parámetros'!$O$3,'Tabla Construcción Fijos'!Q138,IF(Simulador!$F$11='Tabla Parámetros'!$O$4,'Tabla Construcción Crecientes'!P138,))</f>
        <v>0</v>
      </c>
      <c r="R506" s="362">
        <f>IF($F$11='Tabla Parámetros'!$O$3,'Tabla Construcción Fijos'!R138,IF(Simulador!$F$11='Tabla Parámetros'!$O$4,'Tabla Construcción Crecientes'!Q138,))</f>
        <v>0</v>
      </c>
      <c r="S506" s="272">
        <f t="shared" si="18"/>
        <v>0</v>
      </c>
    </row>
    <row r="507" spans="2:19" ht="15.5" hidden="1" x14ac:dyDescent="0.35">
      <c r="B507" s="378">
        <f t="shared" si="19"/>
        <v>116</v>
      </c>
      <c r="C507" s="378">
        <f t="shared" si="20"/>
        <v>30.4</v>
      </c>
      <c r="D507" s="379">
        <f>IF($F$11='Tabla Parámetros'!$O$3,'Tabla Construcción Fijos'!D139,IF(Simulador!$F$11='Tabla Parámetros'!$O$4,'Tabla Construcción Crecientes'!D139,))</f>
        <v>0</v>
      </c>
      <c r="E507" s="390"/>
      <c r="F507" s="362">
        <f>IF($F$11='Tabla Parámetros'!$O$3,'Tabla Construcción Fijos'!F139,IF(Simulador!$F$11='Tabla Parámetros'!$O$4,'Tabla Construcción Crecientes'!F139,))</f>
        <v>0</v>
      </c>
      <c r="G507" s="362"/>
      <c r="H507" s="362">
        <f>IF($F$11='Tabla Parámetros'!$O$3,'Tabla Construcción Fijos'!H139,IF(Simulador!$F$11='Tabla Parámetros'!$O$4,'Tabla Construcción Crecientes'!H139,))</f>
        <v>0</v>
      </c>
      <c r="I507" s="362">
        <f>IF($F$11='Tabla Parámetros'!$O$3,'Tabla Construcción Fijos'!I139,IF(Simulador!$F$11='Tabla Parámetros'!$O$4,'Tabla Construcción Crecientes'!I139,))</f>
        <v>0</v>
      </c>
      <c r="J507" s="362">
        <f>IF($F$11='Tabla Parámetros'!$O$3,'Tabla Construcción Fijos'!J139,IF(Simulador!$F$11='Tabla Parámetros'!$O$4,'Tabla Construcción Crecientes'!J139,))</f>
        <v>0</v>
      </c>
      <c r="K507" s="362">
        <f>IF($F$11='Tabla Parámetros'!$O$3,'Tabla Construcción Fijos'!K139,IF(Simulador!$F$11='Tabla Parámetros'!$O$4,'Tabla Construcción Crecientes'!K139,))</f>
        <v>0</v>
      </c>
      <c r="L507" s="362">
        <f>IF($F$11='Tabla Parámetros'!$O$3,'Tabla Construcción Fijos'!L139,IF(Simulador!$F$11='Tabla Parámetros'!$O$4,'Tabla Construcción Crecientes'!L139,))</f>
        <v>0</v>
      </c>
      <c r="M507" s="362">
        <f>IF($F$11='Tabla Parámetros'!$O$3,'Tabla Construcción Fijos'!M139,IF(Simulador!$F$11='Tabla Parámetros'!$O$4,'Tabla Construcción Crecientes'!M139,))</f>
        <v>0</v>
      </c>
      <c r="N507" s="391">
        <f>IF($F$11='Tabla Parámetros'!$O$3,'Tabla Construcción Fijos'!N139,IF(Simulador!$F$11='Tabla Parámetros'!$O$4,'Tabla Construcción Crecientes'!N139,))</f>
        <v>0</v>
      </c>
      <c r="O507" s="392"/>
      <c r="P507" s="392">
        <f>'Tabla Construcción Fijos'!P139</f>
        <v>0</v>
      </c>
      <c r="Q507" s="362">
        <f>IF($F$11='Tabla Parámetros'!$O$3,'Tabla Construcción Fijos'!Q139,IF(Simulador!$F$11='Tabla Parámetros'!$O$4,'Tabla Construcción Crecientes'!P139,))</f>
        <v>0</v>
      </c>
      <c r="R507" s="362">
        <f>IF($F$11='Tabla Parámetros'!$O$3,'Tabla Construcción Fijos'!R139,IF(Simulador!$F$11='Tabla Parámetros'!$O$4,'Tabla Construcción Crecientes'!Q139,))</f>
        <v>0</v>
      </c>
      <c r="S507" s="272">
        <f t="shared" si="18"/>
        <v>0</v>
      </c>
    </row>
    <row r="508" spans="2:19" ht="15.5" hidden="1" x14ac:dyDescent="0.35">
      <c r="B508" s="378">
        <f t="shared" si="19"/>
        <v>117</v>
      </c>
      <c r="C508" s="378">
        <f t="shared" si="20"/>
        <v>30.4</v>
      </c>
      <c r="D508" s="379">
        <f>IF($F$11='Tabla Parámetros'!$O$3,'Tabla Construcción Fijos'!D140,IF(Simulador!$F$11='Tabla Parámetros'!$O$4,'Tabla Construcción Crecientes'!D140,))</f>
        <v>0</v>
      </c>
      <c r="E508" s="390"/>
      <c r="F508" s="362">
        <f>IF($F$11='Tabla Parámetros'!$O$3,'Tabla Construcción Fijos'!F140,IF(Simulador!$F$11='Tabla Parámetros'!$O$4,'Tabla Construcción Crecientes'!F140,))</f>
        <v>0</v>
      </c>
      <c r="G508" s="362"/>
      <c r="H508" s="362">
        <f>IF($F$11='Tabla Parámetros'!$O$3,'Tabla Construcción Fijos'!H140,IF(Simulador!$F$11='Tabla Parámetros'!$O$4,'Tabla Construcción Crecientes'!H140,))</f>
        <v>0</v>
      </c>
      <c r="I508" s="362">
        <f>IF($F$11='Tabla Parámetros'!$O$3,'Tabla Construcción Fijos'!I140,IF(Simulador!$F$11='Tabla Parámetros'!$O$4,'Tabla Construcción Crecientes'!I140,))</f>
        <v>0</v>
      </c>
      <c r="J508" s="362">
        <f>IF($F$11='Tabla Parámetros'!$O$3,'Tabla Construcción Fijos'!J140,IF(Simulador!$F$11='Tabla Parámetros'!$O$4,'Tabla Construcción Crecientes'!J140,))</f>
        <v>0</v>
      </c>
      <c r="K508" s="362">
        <f>IF($F$11='Tabla Parámetros'!$O$3,'Tabla Construcción Fijos'!K140,IF(Simulador!$F$11='Tabla Parámetros'!$O$4,'Tabla Construcción Crecientes'!K140,))</f>
        <v>0</v>
      </c>
      <c r="L508" s="362">
        <f>IF($F$11='Tabla Parámetros'!$O$3,'Tabla Construcción Fijos'!L140,IF(Simulador!$F$11='Tabla Parámetros'!$O$4,'Tabla Construcción Crecientes'!L140,))</f>
        <v>0</v>
      </c>
      <c r="M508" s="362">
        <f>IF($F$11='Tabla Parámetros'!$O$3,'Tabla Construcción Fijos'!M140,IF(Simulador!$F$11='Tabla Parámetros'!$O$4,'Tabla Construcción Crecientes'!M140,))</f>
        <v>0</v>
      </c>
      <c r="N508" s="391">
        <f>IF($F$11='Tabla Parámetros'!$O$3,'Tabla Construcción Fijos'!N140,IF(Simulador!$F$11='Tabla Parámetros'!$O$4,'Tabla Construcción Crecientes'!N140,))</f>
        <v>0</v>
      </c>
      <c r="O508" s="392"/>
      <c r="P508" s="392">
        <f>'Tabla Construcción Fijos'!P140</f>
        <v>0</v>
      </c>
      <c r="Q508" s="362">
        <f>IF($F$11='Tabla Parámetros'!$O$3,'Tabla Construcción Fijos'!Q140,IF(Simulador!$F$11='Tabla Parámetros'!$O$4,'Tabla Construcción Crecientes'!P140,))</f>
        <v>0</v>
      </c>
      <c r="R508" s="362">
        <f>IF($F$11='Tabla Parámetros'!$O$3,'Tabla Construcción Fijos'!R140,IF(Simulador!$F$11='Tabla Parámetros'!$O$4,'Tabla Construcción Crecientes'!Q140,))</f>
        <v>0</v>
      </c>
      <c r="S508" s="272">
        <f t="shared" si="18"/>
        <v>0</v>
      </c>
    </row>
    <row r="509" spans="2:19" ht="15.5" hidden="1" x14ac:dyDescent="0.35">
      <c r="B509" s="378">
        <f t="shared" si="19"/>
        <v>118</v>
      </c>
      <c r="C509" s="378">
        <f t="shared" si="20"/>
        <v>30.4</v>
      </c>
      <c r="D509" s="379">
        <f>IF($F$11='Tabla Parámetros'!$O$3,'Tabla Construcción Fijos'!D141,IF(Simulador!$F$11='Tabla Parámetros'!$O$4,'Tabla Construcción Crecientes'!D141,))</f>
        <v>0</v>
      </c>
      <c r="E509" s="390"/>
      <c r="F509" s="362">
        <f>IF($F$11='Tabla Parámetros'!$O$3,'Tabla Construcción Fijos'!F141,IF(Simulador!$F$11='Tabla Parámetros'!$O$4,'Tabla Construcción Crecientes'!F141,))</f>
        <v>0</v>
      </c>
      <c r="G509" s="362"/>
      <c r="H509" s="362">
        <f>IF($F$11='Tabla Parámetros'!$O$3,'Tabla Construcción Fijos'!H141,IF(Simulador!$F$11='Tabla Parámetros'!$O$4,'Tabla Construcción Crecientes'!H141,))</f>
        <v>0</v>
      </c>
      <c r="I509" s="362">
        <f>IF($F$11='Tabla Parámetros'!$O$3,'Tabla Construcción Fijos'!I141,IF(Simulador!$F$11='Tabla Parámetros'!$O$4,'Tabla Construcción Crecientes'!I141,))</f>
        <v>0</v>
      </c>
      <c r="J509" s="362">
        <f>IF($F$11='Tabla Parámetros'!$O$3,'Tabla Construcción Fijos'!J141,IF(Simulador!$F$11='Tabla Parámetros'!$O$4,'Tabla Construcción Crecientes'!J141,))</f>
        <v>0</v>
      </c>
      <c r="K509" s="362">
        <f>IF($F$11='Tabla Parámetros'!$O$3,'Tabla Construcción Fijos'!K141,IF(Simulador!$F$11='Tabla Parámetros'!$O$4,'Tabla Construcción Crecientes'!K141,))</f>
        <v>0</v>
      </c>
      <c r="L509" s="362">
        <f>IF($F$11='Tabla Parámetros'!$O$3,'Tabla Construcción Fijos'!L141,IF(Simulador!$F$11='Tabla Parámetros'!$O$4,'Tabla Construcción Crecientes'!L141,))</f>
        <v>0</v>
      </c>
      <c r="M509" s="362">
        <f>IF($F$11='Tabla Parámetros'!$O$3,'Tabla Construcción Fijos'!M141,IF(Simulador!$F$11='Tabla Parámetros'!$O$4,'Tabla Construcción Crecientes'!M141,))</f>
        <v>0</v>
      </c>
      <c r="N509" s="391">
        <f>IF($F$11='Tabla Parámetros'!$O$3,'Tabla Construcción Fijos'!N141,IF(Simulador!$F$11='Tabla Parámetros'!$O$4,'Tabla Construcción Crecientes'!N141,))</f>
        <v>0</v>
      </c>
      <c r="O509" s="392"/>
      <c r="P509" s="392">
        <f>'Tabla Construcción Fijos'!P141</f>
        <v>0</v>
      </c>
      <c r="Q509" s="362">
        <f>IF($F$11='Tabla Parámetros'!$O$3,'Tabla Construcción Fijos'!Q141,IF(Simulador!$F$11='Tabla Parámetros'!$O$4,'Tabla Construcción Crecientes'!P141,))</f>
        <v>0</v>
      </c>
      <c r="R509" s="362">
        <f>IF($F$11='Tabla Parámetros'!$O$3,'Tabla Construcción Fijos'!R141,IF(Simulador!$F$11='Tabla Parámetros'!$O$4,'Tabla Construcción Crecientes'!Q141,))</f>
        <v>0</v>
      </c>
      <c r="S509" s="272">
        <f t="shared" si="18"/>
        <v>0</v>
      </c>
    </row>
    <row r="510" spans="2:19" ht="15.5" hidden="1" x14ac:dyDescent="0.35">
      <c r="B510" s="378">
        <f t="shared" si="19"/>
        <v>119</v>
      </c>
      <c r="C510" s="378">
        <f t="shared" si="20"/>
        <v>30.4</v>
      </c>
      <c r="D510" s="379">
        <f>IF($F$11='Tabla Parámetros'!$O$3,'Tabla Construcción Fijos'!D142,IF(Simulador!$F$11='Tabla Parámetros'!$O$4,'Tabla Construcción Crecientes'!D142,))</f>
        <v>0</v>
      </c>
      <c r="E510" s="390"/>
      <c r="F510" s="362">
        <f>IF($F$11='Tabla Parámetros'!$O$3,'Tabla Construcción Fijos'!F142,IF(Simulador!$F$11='Tabla Parámetros'!$O$4,'Tabla Construcción Crecientes'!F142,))</f>
        <v>0</v>
      </c>
      <c r="G510" s="362"/>
      <c r="H510" s="362">
        <f>IF($F$11='Tabla Parámetros'!$O$3,'Tabla Construcción Fijos'!H142,IF(Simulador!$F$11='Tabla Parámetros'!$O$4,'Tabla Construcción Crecientes'!H142,))</f>
        <v>0</v>
      </c>
      <c r="I510" s="362">
        <f>IF($F$11='Tabla Parámetros'!$O$3,'Tabla Construcción Fijos'!I142,IF(Simulador!$F$11='Tabla Parámetros'!$O$4,'Tabla Construcción Crecientes'!I142,))</f>
        <v>0</v>
      </c>
      <c r="J510" s="362">
        <f>IF($F$11='Tabla Parámetros'!$O$3,'Tabla Construcción Fijos'!J142,IF(Simulador!$F$11='Tabla Parámetros'!$O$4,'Tabla Construcción Crecientes'!J142,))</f>
        <v>0</v>
      </c>
      <c r="K510" s="362">
        <f>IF($F$11='Tabla Parámetros'!$O$3,'Tabla Construcción Fijos'!K142,IF(Simulador!$F$11='Tabla Parámetros'!$O$4,'Tabla Construcción Crecientes'!K142,))</f>
        <v>0</v>
      </c>
      <c r="L510" s="362">
        <f>IF($F$11='Tabla Parámetros'!$O$3,'Tabla Construcción Fijos'!L142,IF(Simulador!$F$11='Tabla Parámetros'!$O$4,'Tabla Construcción Crecientes'!L142,))</f>
        <v>0</v>
      </c>
      <c r="M510" s="362">
        <f>IF($F$11='Tabla Parámetros'!$O$3,'Tabla Construcción Fijos'!M142,IF(Simulador!$F$11='Tabla Parámetros'!$O$4,'Tabla Construcción Crecientes'!M142,))</f>
        <v>0</v>
      </c>
      <c r="N510" s="391">
        <f>IF($F$11='Tabla Parámetros'!$O$3,'Tabla Construcción Fijos'!N142,IF(Simulador!$F$11='Tabla Parámetros'!$O$4,'Tabla Construcción Crecientes'!N142,))</f>
        <v>0</v>
      </c>
      <c r="O510" s="392"/>
      <c r="P510" s="392">
        <f>'Tabla Construcción Fijos'!P142</f>
        <v>0</v>
      </c>
      <c r="Q510" s="362">
        <f>IF($F$11='Tabla Parámetros'!$O$3,'Tabla Construcción Fijos'!Q142,IF(Simulador!$F$11='Tabla Parámetros'!$O$4,'Tabla Construcción Crecientes'!P142,))</f>
        <v>0</v>
      </c>
      <c r="R510" s="362">
        <f>IF($F$11='Tabla Parámetros'!$O$3,'Tabla Construcción Fijos'!R142,IF(Simulador!$F$11='Tabla Parámetros'!$O$4,'Tabla Construcción Crecientes'!Q142,))</f>
        <v>0</v>
      </c>
      <c r="S510" s="272">
        <f t="shared" si="18"/>
        <v>0</v>
      </c>
    </row>
    <row r="511" spans="2:19" ht="15.5" hidden="1" x14ac:dyDescent="0.35">
      <c r="B511" s="378">
        <f t="shared" si="19"/>
        <v>120</v>
      </c>
      <c r="C511" s="378">
        <f t="shared" si="20"/>
        <v>30.4</v>
      </c>
      <c r="D511" s="379">
        <f>IF($F$11='Tabla Parámetros'!$O$3,'Tabla Construcción Fijos'!D143,IF(Simulador!$F$11='Tabla Parámetros'!$O$4,'Tabla Construcción Crecientes'!D143,))</f>
        <v>0</v>
      </c>
      <c r="E511" s="390"/>
      <c r="F511" s="362">
        <f>IF($F$11='Tabla Parámetros'!$O$3,'Tabla Construcción Fijos'!F143,IF(Simulador!$F$11='Tabla Parámetros'!$O$4,'Tabla Construcción Crecientes'!F143,))</f>
        <v>0</v>
      </c>
      <c r="G511" s="362"/>
      <c r="H511" s="362">
        <f>IF($F$11='Tabla Parámetros'!$O$3,'Tabla Construcción Fijos'!H143,IF(Simulador!$F$11='Tabla Parámetros'!$O$4,'Tabla Construcción Crecientes'!H143,))</f>
        <v>0</v>
      </c>
      <c r="I511" s="362">
        <f>IF($F$11='Tabla Parámetros'!$O$3,'Tabla Construcción Fijos'!I143,IF(Simulador!$F$11='Tabla Parámetros'!$O$4,'Tabla Construcción Crecientes'!I143,))</f>
        <v>0</v>
      </c>
      <c r="J511" s="362">
        <f>IF($F$11='Tabla Parámetros'!$O$3,'Tabla Construcción Fijos'!J143,IF(Simulador!$F$11='Tabla Parámetros'!$O$4,'Tabla Construcción Crecientes'!J143,))</f>
        <v>0</v>
      </c>
      <c r="K511" s="362">
        <f>IF($F$11='Tabla Parámetros'!$O$3,'Tabla Construcción Fijos'!K143,IF(Simulador!$F$11='Tabla Parámetros'!$O$4,'Tabla Construcción Crecientes'!K143,))</f>
        <v>0</v>
      </c>
      <c r="L511" s="362">
        <f>IF($F$11='Tabla Parámetros'!$O$3,'Tabla Construcción Fijos'!L143,IF(Simulador!$F$11='Tabla Parámetros'!$O$4,'Tabla Construcción Crecientes'!L143,))</f>
        <v>0</v>
      </c>
      <c r="M511" s="362">
        <f>IF($F$11='Tabla Parámetros'!$O$3,'Tabla Construcción Fijos'!M143,IF(Simulador!$F$11='Tabla Parámetros'!$O$4,'Tabla Construcción Crecientes'!M143,))</f>
        <v>0</v>
      </c>
      <c r="N511" s="391">
        <f>IF($F$11='Tabla Parámetros'!$O$3,'Tabla Construcción Fijos'!N143,IF(Simulador!$F$11='Tabla Parámetros'!$O$4,'Tabla Construcción Crecientes'!N143,))</f>
        <v>0</v>
      </c>
      <c r="O511" s="392"/>
      <c r="P511" s="392">
        <f>'Tabla Construcción Fijos'!P143</f>
        <v>0</v>
      </c>
      <c r="Q511" s="362">
        <f>IF($F$11='Tabla Parámetros'!$O$3,'Tabla Construcción Fijos'!Q143,IF(Simulador!$F$11='Tabla Parámetros'!$O$4,'Tabla Construcción Crecientes'!P143,))</f>
        <v>0</v>
      </c>
      <c r="R511" s="362">
        <f>IF($F$11='Tabla Parámetros'!$O$3,'Tabla Construcción Fijos'!R143,IF(Simulador!$F$11='Tabla Parámetros'!$O$4,'Tabla Construcción Crecientes'!Q143,))</f>
        <v>0</v>
      </c>
      <c r="S511" s="272">
        <f t="shared" si="18"/>
        <v>0</v>
      </c>
    </row>
    <row r="512" spans="2:19" ht="15.5" hidden="1" x14ac:dyDescent="0.35">
      <c r="B512" s="378">
        <f t="shared" si="19"/>
        <v>121</v>
      </c>
      <c r="C512" s="378">
        <f t="shared" si="20"/>
        <v>30.4</v>
      </c>
      <c r="D512" s="379">
        <f>IF($F$11='Tabla Parámetros'!$O$3,'Tabla Construcción Fijos'!D144,IF(Simulador!$F$11='Tabla Parámetros'!$O$4,'Tabla Construcción Crecientes'!D144,))</f>
        <v>0</v>
      </c>
      <c r="E512" s="390"/>
      <c r="F512" s="362">
        <f>IF($F$11='Tabla Parámetros'!$O$3,'Tabla Construcción Fijos'!F144,IF(Simulador!$F$11='Tabla Parámetros'!$O$4,'Tabla Construcción Crecientes'!F144,))</f>
        <v>0</v>
      </c>
      <c r="G512" s="362"/>
      <c r="H512" s="362">
        <f>IF($F$11='Tabla Parámetros'!$O$3,'Tabla Construcción Fijos'!H144,IF(Simulador!$F$11='Tabla Parámetros'!$O$4,'Tabla Construcción Crecientes'!H144,))</f>
        <v>0</v>
      </c>
      <c r="I512" s="362">
        <f>IF($F$11='Tabla Parámetros'!$O$3,'Tabla Construcción Fijos'!I144,IF(Simulador!$F$11='Tabla Parámetros'!$O$4,'Tabla Construcción Crecientes'!I144,))</f>
        <v>0</v>
      </c>
      <c r="J512" s="362">
        <f>IF($F$11='Tabla Parámetros'!$O$3,'Tabla Construcción Fijos'!J144,IF(Simulador!$F$11='Tabla Parámetros'!$O$4,'Tabla Construcción Crecientes'!J144,))</f>
        <v>0</v>
      </c>
      <c r="K512" s="362">
        <f>IF($F$11='Tabla Parámetros'!$O$3,'Tabla Construcción Fijos'!K144,IF(Simulador!$F$11='Tabla Parámetros'!$O$4,'Tabla Construcción Crecientes'!K144,))</f>
        <v>0</v>
      </c>
      <c r="L512" s="362">
        <f>IF($F$11='Tabla Parámetros'!$O$3,'Tabla Construcción Fijos'!L144,IF(Simulador!$F$11='Tabla Parámetros'!$O$4,'Tabla Construcción Crecientes'!L144,))</f>
        <v>0</v>
      </c>
      <c r="M512" s="362">
        <f>IF($F$11='Tabla Parámetros'!$O$3,'Tabla Construcción Fijos'!M144,IF(Simulador!$F$11='Tabla Parámetros'!$O$4,'Tabla Construcción Crecientes'!M144,))</f>
        <v>0</v>
      </c>
      <c r="N512" s="391">
        <f>IF($F$11='Tabla Parámetros'!$O$3,'Tabla Construcción Fijos'!N144,IF(Simulador!$F$11='Tabla Parámetros'!$O$4,'Tabla Construcción Crecientes'!N144,))</f>
        <v>0</v>
      </c>
      <c r="O512" s="392"/>
      <c r="P512" s="392">
        <f>'Tabla Construcción Fijos'!P144</f>
        <v>0</v>
      </c>
      <c r="Q512" s="362">
        <f>IF($F$11='Tabla Parámetros'!$O$3,'Tabla Construcción Fijos'!Q144,IF(Simulador!$F$11='Tabla Parámetros'!$O$4,'Tabla Construcción Crecientes'!P144,))</f>
        <v>0</v>
      </c>
      <c r="R512" s="362">
        <f>IF($F$11='Tabla Parámetros'!$O$3,'Tabla Construcción Fijos'!R144,IF(Simulador!$F$11='Tabla Parámetros'!$O$4,'Tabla Construcción Crecientes'!Q144,))</f>
        <v>0</v>
      </c>
      <c r="S512" s="272">
        <f t="shared" si="18"/>
        <v>0</v>
      </c>
    </row>
    <row r="513" spans="2:19" ht="15.5" hidden="1" x14ac:dyDescent="0.35">
      <c r="B513" s="378">
        <f t="shared" si="19"/>
        <v>122</v>
      </c>
      <c r="C513" s="378">
        <f t="shared" si="20"/>
        <v>30.4</v>
      </c>
      <c r="D513" s="379">
        <f>IF($F$11='Tabla Parámetros'!$O$3,'Tabla Construcción Fijos'!D145,IF(Simulador!$F$11='Tabla Parámetros'!$O$4,'Tabla Construcción Crecientes'!D145,))</f>
        <v>0</v>
      </c>
      <c r="E513" s="390"/>
      <c r="F513" s="362">
        <f>IF($F$11='Tabla Parámetros'!$O$3,'Tabla Construcción Fijos'!F145,IF(Simulador!$F$11='Tabla Parámetros'!$O$4,'Tabla Construcción Crecientes'!F145,))</f>
        <v>0</v>
      </c>
      <c r="G513" s="362"/>
      <c r="H513" s="362">
        <f>IF($F$11='Tabla Parámetros'!$O$3,'Tabla Construcción Fijos'!H145,IF(Simulador!$F$11='Tabla Parámetros'!$O$4,'Tabla Construcción Crecientes'!H145,))</f>
        <v>0</v>
      </c>
      <c r="I513" s="362">
        <f>IF($F$11='Tabla Parámetros'!$O$3,'Tabla Construcción Fijos'!I145,IF(Simulador!$F$11='Tabla Parámetros'!$O$4,'Tabla Construcción Crecientes'!I145,))</f>
        <v>0</v>
      </c>
      <c r="J513" s="362">
        <f>IF($F$11='Tabla Parámetros'!$O$3,'Tabla Construcción Fijos'!J145,IF(Simulador!$F$11='Tabla Parámetros'!$O$4,'Tabla Construcción Crecientes'!J145,))</f>
        <v>0</v>
      </c>
      <c r="K513" s="362">
        <f>IF($F$11='Tabla Parámetros'!$O$3,'Tabla Construcción Fijos'!K145,IF(Simulador!$F$11='Tabla Parámetros'!$O$4,'Tabla Construcción Crecientes'!K145,))</f>
        <v>0</v>
      </c>
      <c r="L513" s="362">
        <f>IF($F$11='Tabla Parámetros'!$O$3,'Tabla Construcción Fijos'!L145,IF(Simulador!$F$11='Tabla Parámetros'!$O$4,'Tabla Construcción Crecientes'!L145,))</f>
        <v>0</v>
      </c>
      <c r="M513" s="362">
        <f>IF($F$11='Tabla Parámetros'!$O$3,'Tabla Construcción Fijos'!M145,IF(Simulador!$F$11='Tabla Parámetros'!$O$4,'Tabla Construcción Crecientes'!M145,))</f>
        <v>0</v>
      </c>
      <c r="N513" s="391">
        <f>IF($F$11='Tabla Parámetros'!$O$3,'Tabla Construcción Fijos'!N145,IF(Simulador!$F$11='Tabla Parámetros'!$O$4,'Tabla Construcción Crecientes'!N145,))</f>
        <v>0</v>
      </c>
      <c r="O513" s="392"/>
      <c r="P513" s="392">
        <f>'Tabla Construcción Fijos'!P145</f>
        <v>0</v>
      </c>
      <c r="Q513" s="362">
        <f>IF($F$11='Tabla Parámetros'!$O$3,'Tabla Construcción Fijos'!Q145,IF(Simulador!$F$11='Tabla Parámetros'!$O$4,'Tabla Construcción Crecientes'!P145,))</f>
        <v>0</v>
      </c>
      <c r="R513" s="362">
        <f>IF($F$11='Tabla Parámetros'!$O$3,'Tabla Construcción Fijos'!R145,IF(Simulador!$F$11='Tabla Parámetros'!$O$4,'Tabla Construcción Crecientes'!Q145,))</f>
        <v>0</v>
      </c>
      <c r="S513" s="272">
        <f t="shared" si="18"/>
        <v>0</v>
      </c>
    </row>
    <row r="514" spans="2:19" ht="15.5" hidden="1" x14ac:dyDescent="0.35">
      <c r="B514" s="378">
        <f t="shared" si="19"/>
        <v>123</v>
      </c>
      <c r="C514" s="378">
        <f t="shared" si="20"/>
        <v>30.4</v>
      </c>
      <c r="D514" s="379">
        <f>IF($F$11='Tabla Parámetros'!$O$3,'Tabla Construcción Fijos'!D146,IF(Simulador!$F$11='Tabla Parámetros'!$O$4,'Tabla Construcción Crecientes'!D146,))</f>
        <v>0</v>
      </c>
      <c r="E514" s="390"/>
      <c r="F514" s="362">
        <f>IF($F$11='Tabla Parámetros'!$O$3,'Tabla Construcción Fijos'!F146,IF(Simulador!$F$11='Tabla Parámetros'!$O$4,'Tabla Construcción Crecientes'!F146,))</f>
        <v>0</v>
      </c>
      <c r="G514" s="362"/>
      <c r="H514" s="362">
        <f>IF($F$11='Tabla Parámetros'!$O$3,'Tabla Construcción Fijos'!H146,IF(Simulador!$F$11='Tabla Parámetros'!$O$4,'Tabla Construcción Crecientes'!H146,))</f>
        <v>0</v>
      </c>
      <c r="I514" s="362">
        <f>IF($F$11='Tabla Parámetros'!$O$3,'Tabla Construcción Fijos'!I146,IF(Simulador!$F$11='Tabla Parámetros'!$O$4,'Tabla Construcción Crecientes'!I146,))</f>
        <v>0</v>
      </c>
      <c r="J514" s="362">
        <f>IF($F$11='Tabla Parámetros'!$O$3,'Tabla Construcción Fijos'!J146,IF(Simulador!$F$11='Tabla Parámetros'!$O$4,'Tabla Construcción Crecientes'!J146,))</f>
        <v>0</v>
      </c>
      <c r="K514" s="362">
        <f>IF($F$11='Tabla Parámetros'!$O$3,'Tabla Construcción Fijos'!K146,IF(Simulador!$F$11='Tabla Parámetros'!$O$4,'Tabla Construcción Crecientes'!K146,))</f>
        <v>0</v>
      </c>
      <c r="L514" s="362">
        <f>IF($F$11='Tabla Parámetros'!$O$3,'Tabla Construcción Fijos'!L146,IF(Simulador!$F$11='Tabla Parámetros'!$O$4,'Tabla Construcción Crecientes'!L146,))</f>
        <v>0</v>
      </c>
      <c r="M514" s="362">
        <f>IF($F$11='Tabla Parámetros'!$O$3,'Tabla Construcción Fijos'!M146,IF(Simulador!$F$11='Tabla Parámetros'!$O$4,'Tabla Construcción Crecientes'!M146,))</f>
        <v>0</v>
      </c>
      <c r="N514" s="391">
        <f>IF($F$11='Tabla Parámetros'!$O$3,'Tabla Construcción Fijos'!N146,IF(Simulador!$F$11='Tabla Parámetros'!$O$4,'Tabla Construcción Crecientes'!N146,))</f>
        <v>0</v>
      </c>
      <c r="O514" s="392"/>
      <c r="P514" s="392">
        <f>'Tabla Construcción Fijos'!P146</f>
        <v>0</v>
      </c>
      <c r="Q514" s="362">
        <f>IF($F$11='Tabla Parámetros'!$O$3,'Tabla Construcción Fijos'!Q146,IF(Simulador!$F$11='Tabla Parámetros'!$O$4,'Tabla Construcción Crecientes'!P146,))</f>
        <v>0</v>
      </c>
      <c r="R514" s="362">
        <f>IF($F$11='Tabla Parámetros'!$O$3,'Tabla Construcción Fijos'!R146,IF(Simulador!$F$11='Tabla Parámetros'!$O$4,'Tabla Construcción Crecientes'!Q146,))</f>
        <v>0</v>
      </c>
      <c r="S514" s="272">
        <f t="shared" si="18"/>
        <v>0</v>
      </c>
    </row>
    <row r="515" spans="2:19" ht="15.5" hidden="1" x14ac:dyDescent="0.35">
      <c r="B515" s="378">
        <f t="shared" si="19"/>
        <v>124</v>
      </c>
      <c r="C515" s="378">
        <f t="shared" si="20"/>
        <v>30.4</v>
      </c>
      <c r="D515" s="379">
        <f>IF($F$11='Tabla Parámetros'!$O$3,'Tabla Construcción Fijos'!D147,IF(Simulador!$F$11='Tabla Parámetros'!$O$4,'Tabla Construcción Crecientes'!D147,))</f>
        <v>0</v>
      </c>
      <c r="E515" s="390"/>
      <c r="F515" s="362">
        <f>IF($F$11='Tabla Parámetros'!$O$3,'Tabla Construcción Fijos'!F147,IF(Simulador!$F$11='Tabla Parámetros'!$O$4,'Tabla Construcción Crecientes'!F147,))</f>
        <v>0</v>
      </c>
      <c r="G515" s="362"/>
      <c r="H515" s="362">
        <f>IF($F$11='Tabla Parámetros'!$O$3,'Tabla Construcción Fijos'!H147,IF(Simulador!$F$11='Tabla Parámetros'!$O$4,'Tabla Construcción Crecientes'!H147,))</f>
        <v>0</v>
      </c>
      <c r="I515" s="362">
        <f>IF($F$11='Tabla Parámetros'!$O$3,'Tabla Construcción Fijos'!I147,IF(Simulador!$F$11='Tabla Parámetros'!$O$4,'Tabla Construcción Crecientes'!I147,))</f>
        <v>0</v>
      </c>
      <c r="J515" s="362">
        <f>IF($F$11='Tabla Parámetros'!$O$3,'Tabla Construcción Fijos'!J147,IF(Simulador!$F$11='Tabla Parámetros'!$O$4,'Tabla Construcción Crecientes'!J147,))</f>
        <v>0</v>
      </c>
      <c r="K515" s="362">
        <f>IF($F$11='Tabla Parámetros'!$O$3,'Tabla Construcción Fijos'!K147,IF(Simulador!$F$11='Tabla Parámetros'!$O$4,'Tabla Construcción Crecientes'!K147,))</f>
        <v>0</v>
      </c>
      <c r="L515" s="362">
        <f>IF($F$11='Tabla Parámetros'!$O$3,'Tabla Construcción Fijos'!L147,IF(Simulador!$F$11='Tabla Parámetros'!$O$4,'Tabla Construcción Crecientes'!L147,))</f>
        <v>0</v>
      </c>
      <c r="M515" s="362">
        <f>IF($F$11='Tabla Parámetros'!$O$3,'Tabla Construcción Fijos'!M147,IF(Simulador!$F$11='Tabla Parámetros'!$O$4,'Tabla Construcción Crecientes'!M147,))</f>
        <v>0</v>
      </c>
      <c r="N515" s="391">
        <f>IF($F$11='Tabla Parámetros'!$O$3,'Tabla Construcción Fijos'!N147,IF(Simulador!$F$11='Tabla Parámetros'!$O$4,'Tabla Construcción Crecientes'!N147,))</f>
        <v>0</v>
      </c>
      <c r="O515" s="392"/>
      <c r="P515" s="392">
        <f>'Tabla Construcción Fijos'!P147</f>
        <v>0</v>
      </c>
      <c r="Q515" s="362">
        <f>IF($F$11='Tabla Parámetros'!$O$3,'Tabla Construcción Fijos'!Q147,IF(Simulador!$F$11='Tabla Parámetros'!$O$4,'Tabla Construcción Crecientes'!P147,))</f>
        <v>0</v>
      </c>
      <c r="R515" s="362">
        <f>IF($F$11='Tabla Parámetros'!$O$3,'Tabla Construcción Fijos'!R147,IF(Simulador!$F$11='Tabla Parámetros'!$O$4,'Tabla Construcción Crecientes'!Q147,))</f>
        <v>0</v>
      </c>
      <c r="S515" s="272">
        <f t="shared" si="18"/>
        <v>0</v>
      </c>
    </row>
    <row r="516" spans="2:19" ht="15.5" hidden="1" x14ac:dyDescent="0.35">
      <c r="B516" s="378">
        <f t="shared" si="19"/>
        <v>125</v>
      </c>
      <c r="C516" s="378">
        <f t="shared" si="20"/>
        <v>30.4</v>
      </c>
      <c r="D516" s="379">
        <f>IF($F$11='Tabla Parámetros'!$O$3,'Tabla Construcción Fijos'!D148,IF(Simulador!$F$11='Tabla Parámetros'!$O$4,'Tabla Construcción Crecientes'!D148,))</f>
        <v>0</v>
      </c>
      <c r="E516" s="390"/>
      <c r="F516" s="362">
        <f>IF($F$11='Tabla Parámetros'!$O$3,'Tabla Construcción Fijos'!F148,IF(Simulador!$F$11='Tabla Parámetros'!$O$4,'Tabla Construcción Crecientes'!F148,))</f>
        <v>0</v>
      </c>
      <c r="G516" s="362"/>
      <c r="H516" s="362">
        <f>IF($F$11='Tabla Parámetros'!$O$3,'Tabla Construcción Fijos'!H148,IF(Simulador!$F$11='Tabla Parámetros'!$O$4,'Tabla Construcción Crecientes'!H148,))</f>
        <v>0</v>
      </c>
      <c r="I516" s="362">
        <f>IF($F$11='Tabla Parámetros'!$O$3,'Tabla Construcción Fijos'!I148,IF(Simulador!$F$11='Tabla Parámetros'!$O$4,'Tabla Construcción Crecientes'!I148,))</f>
        <v>0</v>
      </c>
      <c r="J516" s="362">
        <f>IF($F$11='Tabla Parámetros'!$O$3,'Tabla Construcción Fijos'!J148,IF(Simulador!$F$11='Tabla Parámetros'!$O$4,'Tabla Construcción Crecientes'!J148,))</f>
        <v>0</v>
      </c>
      <c r="K516" s="362">
        <f>IF($F$11='Tabla Parámetros'!$O$3,'Tabla Construcción Fijos'!K148,IF(Simulador!$F$11='Tabla Parámetros'!$O$4,'Tabla Construcción Crecientes'!K148,))</f>
        <v>0</v>
      </c>
      <c r="L516" s="362">
        <f>IF($F$11='Tabla Parámetros'!$O$3,'Tabla Construcción Fijos'!L148,IF(Simulador!$F$11='Tabla Parámetros'!$O$4,'Tabla Construcción Crecientes'!L148,))</f>
        <v>0</v>
      </c>
      <c r="M516" s="362">
        <f>IF($F$11='Tabla Parámetros'!$O$3,'Tabla Construcción Fijos'!M148,IF(Simulador!$F$11='Tabla Parámetros'!$O$4,'Tabla Construcción Crecientes'!M148,))</f>
        <v>0</v>
      </c>
      <c r="N516" s="391">
        <f>IF($F$11='Tabla Parámetros'!$O$3,'Tabla Construcción Fijos'!N148,IF(Simulador!$F$11='Tabla Parámetros'!$O$4,'Tabla Construcción Crecientes'!N148,))</f>
        <v>0</v>
      </c>
      <c r="O516" s="392"/>
      <c r="P516" s="392">
        <f>'Tabla Construcción Fijos'!P148</f>
        <v>0</v>
      </c>
      <c r="Q516" s="362">
        <f>IF($F$11='Tabla Parámetros'!$O$3,'Tabla Construcción Fijos'!Q148,IF(Simulador!$F$11='Tabla Parámetros'!$O$4,'Tabla Construcción Crecientes'!P148,))</f>
        <v>0</v>
      </c>
      <c r="R516" s="362">
        <f>IF($F$11='Tabla Parámetros'!$O$3,'Tabla Construcción Fijos'!R148,IF(Simulador!$F$11='Tabla Parámetros'!$O$4,'Tabla Construcción Crecientes'!Q148,))</f>
        <v>0</v>
      </c>
      <c r="S516" s="272">
        <f t="shared" si="18"/>
        <v>0</v>
      </c>
    </row>
    <row r="517" spans="2:19" ht="15.5" hidden="1" x14ac:dyDescent="0.35">
      <c r="B517" s="378">
        <f t="shared" si="19"/>
        <v>126</v>
      </c>
      <c r="C517" s="378">
        <f t="shared" si="20"/>
        <v>30.4</v>
      </c>
      <c r="D517" s="379">
        <f>IF($F$11='Tabla Parámetros'!$O$3,'Tabla Construcción Fijos'!D149,IF(Simulador!$F$11='Tabla Parámetros'!$O$4,'Tabla Construcción Crecientes'!D149,))</f>
        <v>0</v>
      </c>
      <c r="E517" s="390"/>
      <c r="F517" s="362">
        <f>IF($F$11='Tabla Parámetros'!$O$3,'Tabla Construcción Fijos'!F149,IF(Simulador!$F$11='Tabla Parámetros'!$O$4,'Tabla Construcción Crecientes'!F149,))</f>
        <v>0</v>
      </c>
      <c r="G517" s="362"/>
      <c r="H517" s="362">
        <f>IF($F$11='Tabla Parámetros'!$O$3,'Tabla Construcción Fijos'!H149,IF(Simulador!$F$11='Tabla Parámetros'!$O$4,'Tabla Construcción Crecientes'!H149,))</f>
        <v>0</v>
      </c>
      <c r="I517" s="362">
        <f>IF($F$11='Tabla Parámetros'!$O$3,'Tabla Construcción Fijos'!I149,IF(Simulador!$F$11='Tabla Parámetros'!$O$4,'Tabla Construcción Crecientes'!I149,))</f>
        <v>0</v>
      </c>
      <c r="J517" s="362">
        <f>IF($F$11='Tabla Parámetros'!$O$3,'Tabla Construcción Fijos'!J149,IF(Simulador!$F$11='Tabla Parámetros'!$O$4,'Tabla Construcción Crecientes'!J149,))</f>
        <v>0</v>
      </c>
      <c r="K517" s="362">
        <f>IF($F$11='Tabla Parámetros'!$O$3,'Tabla Construcción Fijos'!K149,IF(Simulador!$F$11='Tabla Parámetros'!$O$4,'Tabla Construcción Crecientes'!K149,))</f>
        <v>0</v>
      </c>
      <c r="L517" s="362">
        <f>IF($F$11='Tabla Parámetros'!$O$3,'Tabla Construcción Fijos'!L149,IF(Simulador!$F$11='Tabla Parámetros'!$O$4,'Tabla Construcción Crecientes'!L149,))</f>
        <v>0</v>
      </c>
      <c r="M517" s="362">
        <f>IF($F$11='Tabla Parámetros'!$O$3,'Tabla Construcción Fijos'!M149,IF(Simulador!$F$11='Tabla Parámetros'!$O$4,'Tabla Construcción Crecientes'!M149,))</f>
        <v>0</v>
      </c>
      <c r="N517" s="391">
        <f>IF($F$11='Tabla Parámetros'!$O$3,'Tabla Construcción Fijos'!N149,IF(Simulador!$F$11='Tabla Parámetros'!$O$4,'Tabla Construcción Crecientes'!N149,))</f>
        <v>0</v>
      </c>
      <c r="O517" s="392"/>
      <c r="P517" s="392">
        <f>'Tabla Construcción Fijos'!P149</f>
        <v>0</v>
      </c>
      <c r="Q517" s="362">
        <f>IF($F$11='Tabla Parámetros'!$O$3,'Tabla Construcción Fijos'!Q149,IF(Simulador!$F$11='Tabla Parámetros'!$O$4,'Tabla Construcción Crecientes'!P149,))</f>
        <v>0</v>
      </c>
      <c r="R517" s="362">
        <f>IF($F$11='Tabla Parámetros'!$O$3,'Tabla Construcción Fijos'!R149,IF(Simulador!$F$11='Tabla Parámetros'!$O$4,'Tabla Construcción Crecientes'!Q149,))</f>
        <v>0</v>
      </c>
      <c r="S517" s="272">
        <f t="shared" si="18"/>
        <v>0</v>
      </c>
    </row>
    <row r="518" spans="2:19" ht="15.5" hidden="1" x14ac:dyDescent="0.35">
      <c r="B518" s="378">
        <f t="shared" si="19"/>
        <v>127</v>
      </c>
      <c r="C518" s="378">
        <f t="shared" si="20"/>
        <v>30.4</v>
      </c>
      <c r="D518" s="379">
        <f>IF($F$11='Tabla Parámetros'!$O$3,'Tabla Construcción Fijos'!D150,IF(Simulador!$F$11='Tabla Parámetros'!$O$4,'Tabla Construcción Crecientes'!D150,))</f>
        <v>0</v>
      </c>
      <c r="E518" s="390"/>
      <c r="F518" s="362">
        <f>IF($F$11='Tabla Parámetros'!$O$3,'Tabla Construcción Fijos'!F150,IF(Simulador!$F$11='Tabla Parámetros'!$O$4,'Tabla Construcción Crecientes'!F150,))</f>
        <v>0</v>
      </c>
      <c r="G518" s="362"/>
      <c r="H518" s="362">
        <f>IF($F$11='Tabla Parámetros'!$O$3,'Tabla Construcción Fijos'!H150,IF(Simulador!$F$11='Tabla Parámetros'!$O$4,'Tabla Construcción Crecientes'!H150,))</f>
        <v>0</v>
      </c>
      <c r="I518" s="362">
        <f>IF($F$11='Tabla Parámetros'!$O$3,'Tabla Construcción Fijos'!I150,IF(Simulador!$F$11='Tabla Parámetros'!$O$4,'Tabla Construcción Crecientes'!I150,))</f>
        <v>0</v>
      </c>
      <c r="J518" s="362">
        <f>IF($F$11='Tabla Parámetros'!$O$3,'Tabla Construcción Fijos'!J150,IF(Simulador!$F$11='Tabla Parámetros'!$O$4,'Tabla Construcción Crecientes'!J150,))</f>
        <v>0</v>
      </c>
      <c r="K518" s="362">
        <f>IF($F$11='Tabla Parámetros'!$O$3,'Tabla Construcción Fijos'!K150,IF(Simulador!$F$11='Tabla Parámetros'!$O$4,'Tabla Construcción Crecientes'!K150,))</f>
        <v>0</v>
      </c>
      <c r="L518" s="362">
        <f>IF($F$11='Tabla Parámetros'!$O$3,'Tabla Construcción Fijos'!L150,IF(Simulador!$F$11='Tabla Parámetros'!$O$4,'Tabla Construcción Crecientes'!L150,))</f>
        <v>0</v>
      </c>
      <c r="M518" s="362">
        <f>IF($F$11='Tabla Parámetros'!$O$3,'Tabla Construcción Fijos'!M150,IF(Simulador!$F$11='Tabla Parámetros'!$O$4,'Tabla Construcción Crecientes'!M150,))</f>
        <v>0</v>
      </c>
      <c r="N518" s="391">
        <f>IF($F$11='Tabla Parámetros'!$O$3,'Tabla Construcción Fijos'!N150,IF(Simulador!$F$11='Tabla Parámetros'!$O$4,'Tabla Construcción Crecientes'!N150,))</f>
        <v>0</v>
      </c>
      <c r="O518" s="392"/>
      <c r="P518" s="392">
        <f>'Tabla Construcción Fijos'!P150</f>
        <v>0</v>
      </c>
      <c r="Q518" s="362">
        <f>IF($F$11='Tabla Parámetros'!$O$3,'Tabla Construcción Fijos'!Q150,IF(Simulador!$F$11='Tabla Parámetros'!$O$4,'Tabla Construcción Crecientes'!P150,))</f>
        <v>0</v>
      </c>
      <c r="R518" s="362">
        <f>IF($F$11='Tabla Parámetros'!$O$3,'Tabla Construcción Fijos'!R150,IF(Simulador!$F$11='Tabla Parámetros'!$O$4,'Tabla Construcción Crecientes'!Q150,))</f>
        <v>0</v>
      </c>
      <c r="S518" s="272">
        <f t="shared" si="18"/>
        <v>0</v>
      </c>
    </row>
    <row r="519" spans="2:19" ht="15.5" hidden="1" x14ac:dyDescent="0.35">
      <c r="B519" s="378">
        <f t="shared" si="19"/>
        <v>128</v>
      </c>
      <c r="C519" s="378">
        <f t="shared" si="20"/>
        <v>30.4</v>
      </c>
      <c r="D519" s="379">
        <f>IF($F$11='Tabla Parámetros'!$O$3,'Tabla Construcción Fijos'!D151,IF(Simulador!$F$11='Tabla Parámetros'!$O$4,'Tabla Construcción Crecientes'!D151,))</f>
        <v>0</v>
      </c>
      <c r="E519" s="390"/>
      <c r="F519" s="362">
        <f>IF($F$11='Tabla Parámetros'!$O$3,'Tabla Construcción Fijos'!F151,IF(Simulador!$F$11='Tabla Parámetros'!$O$4,'Tabla Construcción Crecientes'!F151,))</f>
        <v>0</v>
      </c>
      <c r="G519" s="362"/>
      <c r="H519" s="362">
        <f>IF($F$11='Tabla Parámetros'!$O$3,'Tabla Construcción Fijos'!H151,IF(Simulador!$F$11='Tabla Parámetros'!$O$4,'Tabla Construcción Crecientes'!H151,))</f>
        <v>0</v>
      </c>
      <c r="I519" s="362">
        <f>IF($F$11='Tabla Parámetros'!$O$3,'Tabla Construcción Fijos'!I151,IF(Simulador!$F$11='Tabla Parámetros'!$O$4,'Tabla Construcción Crecientes'!I151,))</f>
        <v>0</v>
      </c>
      <c r="J519" s="362">
        <f>IF($F$11='Tabla Parámetros'!$O$3,'Tabla Construcción Fijos'!J151,IF(Simulador!$F$11='Tabla Parámetros'!$O$4,'Tabla Construcción Crecientes'!J151,))</f>
        <v>0</v>
      </c>
      <c r="K519" s="362">
        <f>IF($F$11='Tabla Parámetros'!$O$3,'Tabla Construcción Fijos'!K151,IF(Simulador!$F$11='Tabla Parámetros'!$O$4,'Tabla Construcción Crecientes'!K151,))</f>
        <v>0</v>
      </c>
      <c r="L519" s="362">
        <f>IF($F$11='Tabla Parámetros'!$O$3,'Tabla Construcción Fijos'!L151,IF(Simulador!$F$11='Tabla Parámetros'!$O$4,'Tabla Construcción Crecientes'!L151,))</f>
        <v>0</v>
      </c>
      <c r="M519" s="362">
        <f>IF($F$11='Tabla Parámetros'!$O$3,'Tabla Construcción Fijos'!M151,IF(Simulador!$F$11='Tabla Parámetros'!$O$4,'Tabla Construcción Crecientes'!M151,))</f>
        <v>0</v>
      </c>
      <c r="N519" s="391">
        <f>IF($F$11='Tabla Parámetros'!$O$3,'Tabla Construcción Fijos'!N151,IF(Simulador!$F$11='Tabla Parámetros'!$O$4,'Tabla Construcción Crecientes'!N151,))</f>
        <v>0</v>
      </c>
      <c r="O519" s="392"/>
      <c r="P519" s="392">
        <f>'Tabla Construcción Fijos'!P151</f>
        <v>0</v>
      </c>
      <c r="Q519" s="362">
        <f>IF($F$11='Tabla Parámetros'!$O$3,'Tabla Construcción Fijos'!Q151,IF(Simulador!$F$11='Tabla Parámetros'!$O$4,'Tabla Construcción Crecientes'!P151,))</f>
        <v>0</v>
      </c>
      <c r="R519" s="362">
        <f>IF($F$11='Tabla Parámetros'!$O$3,'Tabla Construcción Fijos'!R151,IF(Simulador!$F$11='Tabla Parámetros'!$O$4,'Tabla Construcción Crecientes'!Q151,))</f>
        <v>0</v>
      </c>
      <c r="S519" s="272">
        <f t="shared" si="18"/>
        <v>0</v>
      </c>
    </row>
    <row r="520" spans="2:19" ht="15.5" hidden="1" x14ac:dyDescent="0.35">
      <c r="B520" s="378">
        <f t="shared" si="19"/>
        <v>129</v>
      </c>
      <c r="C520" s="378">
        <f t="shared" si="20"/>
        <v>30.4</v>
      </c>
      <c r="D520" s="379">
        <f>IF($F$11='Tabla Parámetros'!$O$3,'Tabla Construcción Fijos'!D152,IF(Simulador!$F$11='Tabla Parámetros'!$O$4,'Tabla Construcción Crecientes'!D152,))</f>
        <v>0</v>
      </c>
      <c r="E520" s="390"/>
      <c r="F520" s="362">
        <f>IF($F$11='Tabla Parámetros'!$O$3,'Tabla Construcción Fijos'!F152,IF(Simulador!$F$11='Tabla Parámetros'!$O$4,'Tabla Construcción Crecientes'!F152,))</f>
        <v>0</v>
      </c>
      <c r="G520" s="362"/>
      <c r="H520" s="362">
        <f>IF($F$11='Tabla Parámetros'!$O$3,'Tabla Construcción Fijos'!H152,IF(Simulador!$F$11='Tabla Parámetros'!$O$4,'Tabla Construcción Crecientes'!H152,))</f>
        <v>0</v>
      </c>
      <c r="I520" s="362">
        <f>IF($F$11='Tabla Parámetros'!$O$3,'Tabla Construcción Fijos'!I152,IF(Simulador!$F$11='Tabla Parámetros'!$O$4,'Tabla Construcción Crecientes'!I152,))</f>
        <v>0</v>
      </c>
      <c r="J520" s="362">
        <f>IF($F$11='Tabla Parámetros'!$O$3,'Tabla Construcción Fijos'!J152,IF(Simulador!$F$11='Tabla Parámetros'!$O$4,'Tabla Construcción Crecientes'!J152,))</f>
        <v>0</v>
      </c>
      <c r="K520" s="362">
        <f>IF($F$11='Tabla Parámetros'!$O$3,'Tabla Construcción Fijos'!K152,IF(Simulador!$F$11='Tabla Parámetros'!$O$4,'Tabla Construcción Crecientes'!K152,))</f>
        <v>0</v>
      </c>
      <c r="L520" s="362">
        <f>IF($F$11='Tabla Parámetros'!$O$3,'Tabla Construcción Fijos'!L152,IF(Simulador!$F$11='Tabla Parámetros'!$O$4,'Tabla Construcción Crecientes'!L152,))</f>
        <v>0</v>
      </c>
      <c r="M520" s="362">
        <f>IF($F$11='Tabla Parámetros'!$O$3,'Tabla Construcción Fijos'!M152,IF(Simulador!$F$11='Tabla Parámetros'!$O$4,'Tabla Construcción Crecientes'!M152,))</f>
        <v>0</v>
      </c>
      <c r="N520" s="391">
        <f>IF($F$11='Tabla Parámetros'!$O$3,'Tabla Construcción Fijos'!N152,IF(Simulador!$F$11='Tabla Parámetros'!$O$4,'Tabla Construcción Crecientes'!N152,))</f>
        <v>0</v>
      </c>
      <c r="O520" s="392"/>
      <c r="P520" s="392">
        <f>'Tabla Construcción Fijos'!P152</f>
        <v>0</v>
      </c>
      <c r="Q520" s="362">
        <f>IF($F$11='Tabla Parámetros'!$O$3,'Tabla Construcción Fijos'!Q152,IF(Simulador!$F$11='Tabla Parámetros'!$O$4,'Tabla Construcción Crecientes'!P152,))</f>
        <v>0</v>
      </c>
      <c r="R520" s="362">
        <f>IF($F$11='Tabla Parámetros'!$O$3,'Tabla Construcción Fijos'!R152,IF(Simulador!$F$11='Tabla Parámetros'!$O$4,'Tabla Construcción Crecientes'!Q152,))</f>
        <v>0</v>
      </c>
      <c r="S520" s="272">
        <f t="shared" si="18"/>
        <v>0</v>
      </c>
    </row>
    <row r="521" spans="2:19" ht="15.5" hidden="1" x14ac:dyDescent="0.35">
      <c r="B521" s="378">
        <f t="shared" si="19"/>
        <v>130</v>
      </c>
      <c r="C521" s="378">
        <f t="shared" si="20"/>
        <v>30.4</v>
      </c>
      <c r="D521" s="379">
        <f>IF($F$11='Tabla Parámetros'!$O$3,'Tabla Construcción Fijos'!D153,IF(Simulador!$F$11='Tabla Parámetros'!$O$4,'Tabla Construcción Crecientes'!D153,))</f>
        <v>0</v>
      </c>
      <c r="E521" s="390"/>
      <c r="F521" s="362">
        <f>IF($F$11='Tabla Parámetros'!$O$3,'Tabla Construcción Fijos'!F153,IF(Simulador!$F$11='Tabla Parámetros'!$O$4,'Tabla Construcción Crecientes'!F153,))</f>
        <v>0</v>
      </c>
      <c r="G521" s="362"/>
      <c r="H521" s="362">
        <f>IF($F$11='Tabla Parámetros'!$O$3,'Tabla Construcción Fijos'!H153,IF(Simulador!$F$11='Tabla Parámetros'!$O$4,'Tabla Construcción Crecientes'!H153,))</f>
        <v>0</v>
      </c>
      <c r="I521" s="362">
        <f>IF($F$11='Tabla Parámetros'!$O$3,'Tabla Construcción Fijos'!I153,IF(Simulador!$F$11='Tabla Parámetros'!$O$4,'Tabla Construcción Crecientes'!I153,))</f>
        <v>0</v>
      </c>
      <c r="J521" s="362">
        <f>IF($F$11='Tabla Parámetros'!$O$3,'Tabla Construcción Fijos'!J153,IF(Simulador!$F$11='Tabla Parámetros'!$O$4,'Tabla Construcción Crecientes'!J153,))</f>
        <v>0</v>
      </c>
      <c r="K521" s="362">
        <f>IF($F$11='Tabla Parámetros'!$O$3,'Tabla Construcción Fijos'!K153,IF(Simulador!$F$11='Tabla Parámetros'!$O$4,'Tabla Construcción Crecientes'!K153,))</f>
        <v>0</v>
      </c>
      <c r="L521" s="362">
        <f>IF($F$11='Tabla Parámetros'!$O$3,'Tabla Construcción Fijos'!L153,IF(Simulador!$F$11='Tabla Parámetros'!$O$4,'Tabla Construcción Crecientes'!L153,))</f>
        <v>0</v>
      </c>
      <c r="M521" s="362">
        <f>IF($F$11='Tabla Parámetros'!$O$3,'Tabla Construcción Fijos'!M153,IF(Simulador!$F$11='Tabla Parámetros'!$O$4,'Tabla Construcción Crecientes'!M153,))</f>
        <v>0</v>
      </c>
      <c r="N521" s="391">
        <f>IF($F$11='Tabla Parámetros'!$O$3,'Tabla Construcción Fijos'!N153,IF(Simulador!$F$11='Tabla Parámetros'!$O$4,'Tabla Construcción Crecientes'!N153,))</f>
        <v>0</v>
      </c>
      <c r="O521" s="392"/>
      <c r="P521" s="392">
        <f>'Tabla Construcción Fijos'!P153</f>
        <v>0</v>
      </c>
      <c r="Q521" s="362">
        <f>IF($F$11='Tabla Parámetros'!$O$3,'Tabla Construcción Fijos'!Q153,IF(Simulador!$F$11='Tabla Parámetros'!$O$4,'Tabla Construcción Crecientes'!P153,))</f>
        <v>0</v>
      </c>
      <c r="R521" s="362">
        <f>IF($F$11='Tabla Parámetros'!$O$3,'Tabla Construcción Fijos'!R153,IF(Simulador!$F$11='Tabla Parámetros'!$O$4,'Tabla Construcción Crecientes'!Q153,))</f>
        <v>0</v>
      </c>
      <c r="S521" s="272">
        <f t="shared" ref="S521:S584" si="21">IF(OR($B521="",$F521&lt;=0),0,1)</f>
        <v>0</v>
      </c>
    </row>
    <row r="522" spans="2:19" ht="15.5" hidden="1" x14ac:dyDescent="0.35">
      <c r="B522" s="378">
        <f t="shared" ref="B522:B585" si="22">IF(B521=$F$19,"",IF(B521="","",B521+1))</f>
        <v>131</v>
      </c>
      <c r="C522" s="378">
        <f t="shared" ref="C522:C585" si="23">IF(B522="","",30.4)</f>
        <v>30.4</v>
      </c>
      <c r="D522" s="379">
        <f>IF($F$11='Tabla Parámetros'!$O$3,'Tabla Construcción Fijos'!D154,IF(Simulador!$F$11='Tabla Parámetros'!$O$4,'Tabla Construcción Crecientes'!D154,))</f>
        <v>0</v>
      </c>
      <c r="E522" s="390"/>
      <c r="F522" s="362">
        <f>IF($F$11='Tabla Parámetros'!$O$3,'Tabla Construcción Fijos'!F154,IF(Simulador!$F$11='Tabla Parámetros'!$O$4,'Tabla Construcción Crecientes'!F154,))</f>
        <v>0</v>
      </c>
      <c r="G522" s="362"/>
      <c r="H522" s="362">
        <f>IF($F$11='Tabla Parámetros'!$O$3,'Tabla Construcción Fijos'!H154,IF(Simulador!$F$11='Tabla Parámetros'!$O$4,'Tabla Construcción Crecientes'!H154,))</f>
        <v>0</v>
      </c>
      <c r="I522" s="362">
        <f>IF($F$11='Tabla Parámetros'!$O$3,'Tabla Construcción Fijos'!I154,IF(Simulador!$F$11='Tabla Parámetros'!$O$4,'Tabla Construcción Crecientes'!I154,))</f>
        <v>0</v>
      </c>
      <c r="J522" s="362">
        <f>IF($F$11='Tabla Parámetros'!$O$3,'Tabla Construcción Fijos'!J154,IF(Simulador!$F$11='Tabla Parámetros'!$O$4,'Tabla Construcción Crecientes'!J154,))</f>
        <v>0</v>
      </c>
      <c r="K522" s="362">
        <f>IF($F$11='Tabla Parámetros'!$O$3,'Tabla Construcción Fijos'!K154,IF(Simulador!$F$11='Tabla Parámetros'!$O$4,'Tabla Construcción Crecientes'!K154,))</f>
        <v>0</v>
      </c>
      <c r="L522" s="362">
        <f>IF($F$11='Tabla Parámetros'!$O$3,'Tabla Construcción Fijos'!L154,IF(Simulador!$F$11='Tabla Parámetros'!$O$4,'Tabla Construcción Crecientes'!L154,))</f>
        <v>0</v>
      </c>
      <c r="M522" s="362">
        <f>IF($F$11='Tabla Parámetros'!$O$3,'Tabla Construcción Fijos'!M154,IF(Simulador!$F$11='Tabla Parámetros'!$O$4,'Tabla Construcción Crecientes'!M154,))</f>
        <v>0</v>
      </c>
      <c r="N522" s="391">
        <f>IF($F$11='Tabla Parámetros'!$O$3,'Tabla Construcción Fijos'!N154,IF(Simulador!$F$11='Tabla Parámetros'!$O$4,'Tabla Construcción Crecientes'!N154,))</f>
        <v>0</v>
      </c>
      <c r="O522" s="392"/>
      <c r="P522" s="392">
        <f>'Tabla Construcción Fijos'!P154</f>
        <v>0</v>
      </c>
      <c r="Q522" s="362">
        <f>IF($F$11='Tabla Parámetros'!$O$3,'Tabla Construcción Fijos'!Q154,IF(Simulador!$F$11='Tabla Parámetros'!$O$4,'Tabla Construcción Crecientes'!P154,))</f>
        <v>0</v>
      </c>
      <c r="R522" s="362">
        <f>IF($F$11='Tabla Parámetros'!$O$3,'Tabla Construcción Fijos'!R154,IF(Simulador!$F$11='Tabla Parámetros'!$O$4,'Tabla Construcción Crecientes'!Q154,))</f>
        <v>0</v>
      </c>
      <c r="S522" s="272">
        <f t="shared" si="21"/>
        <v>0</v>
      </c>
    </row>
    <row r="523" spans="2:19" ht="15.5" hidden="1" x14ac:dyDescent="0.35">
      <c r="B523" s="378">
        <f t="shared" si="22"/>
        <v>132</v>
      </c>
      <c r="C523" s="378">
        <f t="shared" si="23"/>
        <v>30.4</v>
      </c>
      <c r="D523" s="379">
        <f>IF($F$11='Tabla Parámetros'!$O$3,'Tabla Construcción Fijos'!D155,IF(Simulador!$F$11='Tabla Parámetros'!$O$4,'Tabla Construcción Crecientes'!D155,))</f>
        <v>0</v>
      </c>
      <c r="E523" s="390"/>
      <c r="F523" s="362">
        <f>IF($F$11='Tabla Parámetros'!$O$3,'Tabla Construcción Fijos'!F155,IF(Simulador!$F$11='Tabla Parámetros'!$O$4,'Tabla Construcción Crecientes'!F155,))</f>
        <v>0</v>
      </c>
      <c r="G523" s="362"/>
      <c r="H523" s="362">
        <f>IF($F$11='Tabla Parámetros'!$O$3,'Tabla Construcción Fijos'!H155,IF(Simulador!$F$11='Tabla Parámetros'!$O$4,'Tabla Construcción Crecientes'!H155,))</f>
        <v>0</v>
      </c>
      <c r="I523" s="362">
        <f>IF($F$11='Tabla Parámetros'!$O$3,'Tabla Construcción Fijos'!I155,IF(Simulador!$F$11='Tabla Parámetros'!$O$4,'Tabla Construcción Crecientes'!I155,))</f>
        <v>0</v>
      </c>
      <c r="J523" s="362">
        <f>IF($F$11='Tabla Parámetros'!$O$3,'Tabla Construcción Fijos'!J155,IF(Simulador!$F$11='Tabla Parámetros'!$O$4,'Tabla Construcción Crecientes'!J155,))</f>
        <v>0</v>
      </c>
      <c r="K523" s="362">
        <f>IF($F$11='Tabla Parámetros'!$O$3,'Tabla Construcción Fijos'!K155,IF(Simulador!$F$11='Tabla Parámetros'!$O$4,'Tabla Construcción Crecientes'!K155,))</f>
        <v>0</v>
      </c>
      <c r="L523" s="362">
        <f>IF($F$11='Tabla Parámetros'!$O$3,'Tabla Construcción Fijos'!L155,IF(Simulador!$F$11='Tabla Parámetros'!$O$4,'Tabla Construcción Crecientes'!L155,))</f>
        <v>0</v>
      </c>
      <c r="M523" s="362">
        <f>IF($F$11='Tabla Parámetros'!$O$3,'Tabla Construcción Fijos'!M155,IF(Simulador!$F$11='Tabla Parámetros'!$O$4,'Tabla Construcción Crecientes'!M155,))</f>
        <v>0</v>
      </c>
      <c r="N523" s="391">
        <f>IF($F$11='Tabla Parámetros'!$O$3,'Tabla Construcción Fijos'!N155,IF(Simulador!$F$11='Tabla Parámetros'!$O$4,'Tabla Construcción Crecientes'!N155,))</f>
        <v>0</v>
      </c>
      <c r="O523" s="392"/>
      <c r="P523" s="392">
        <f>'Tabla Construcción Fijos'!P155</f>
        <v>0</v>
      </c>
      <c r="Q523" s="362">
        <f>IF($F$11='Tabla Parámetros'!$O$3,'Tabla Construcción Fijos'!Q155,IF(Simulador!$F$11='Tabla Parámetros'!$O$4,'Tabla Construcción Crecientes'!P155,))</f>
        <v>0</v>
      </c>
      <c r="R523" s="362">
        <f>IF($F$11='Tabla Parámetros'!$O$3,'Tabla Construcción Fijos'!R155,IF(Simulador!$F$11='Tabla Parámetros'!$O$4,'Tabla Construcción Crecientes'!Q155,))</f>
        <v>0</v>
      </c>
      <c r="S523" s="272">
        <f t="shared" si="21"/>
        <v>0</v>
      </c>
    </row>
    <row r="524" spans="2:19" ht="15.5" hidden="1" x14ac:dyDescent="0.35">
      <c r="B524" s="378">
        <f t="shared" si="22"/>
        <v>133</v>
      </c>
      <c r="C524" s="378">
        <f t="shared" si="23"/>
        <v>30.4</v>
      </c>
      <c r="D524" s="379">
        <f>IF($F$11='Tabla Parámetros'!$O$3,'Tabla Construcción Fijos'!D156,IF(Simulador!$F$11='Tabla Parámetros'!$O$4,'Tabla Construcción Crecientes'!D156,))</f>
        <v>0</v>
      </c>
      <c r="E524" s="390"/>
      <c r="F524" s="362">
        <f>IF($F$11='Tabla Parámetros'!$O$3,'Tabla Construcción Fijos'!F156,IF(Simulador!$F$11='Tabla Parámetros'!$O$4,'Tabla Construcción Crecientes'!F156,))</f>
        <v>0</v>
      </c>
      <c r="G524" s="362"/>
      <c r="H524" s="362">
        <f>IF($F$11='Tabla Parámetros'!$O$3,'Tabla Construcción Fijos'!H156,IF(Simulador!$F$11='Tabla Parámetros'!$O$4,'Tabla Construcción Crecientes'!H156,))</f>
        <v>0</v>
      </c>
      <c r="I524" s="362">
        <f>IF($F$11='Tabla Parámetros'!$O$3,'Tabla Construcción Fijos'!I156,IF(Simulador!$F$11='Tabla Parámetros'!$O$4,'Tabla Construcción Crecientes'!I156,))</f>
        <v>0</v>
      </c>
      <c r="J524" s="362">
        <f>IF($F$11='Tabla Parámetros'!$O$3,'Tabla Construcción Fijos'!J156,IF(Simulador!$F$11='Tabla Parámetros'!$O$4,'Tabla Construcción Crecientes'!J156,))</f>
        <v>0</v>
      </c>
      <c r="K524" s="362">
        <f>IF($F$11='Tabla Parámetros'!$O$3,'Tabla Construcción Fijos'!K156,IF(Simulador!$F$11='Tabla Parámetros'!$O$4,'Tabla Construcción Crecientes'!K156,))</f>
        <v>0</v>
      </c>
      <c r="L524" s="362">
        <f>IF($F$11='Tabla Parámetros'!$O$3,'Tabla Construcción Fijos'!L156,IF(Simulador!$F$11='Tabla Parámetros'!$O$4,'Tabla Construcción Crecientes'!L156,))</f>
        <v>0</v>
      </c>
      <c r="M524" s="362">
        <f>IF($F$11='Tabla Parámetros'!$O$3,'Tabla Construcción Fijos'!M156,IF(Simulador!$F$11='Tabla Parámetros'!$O$4,'Tabla Construcción Crecientes'!M156,))</f>
        <v>0</v>
      </c>
      <c r="N524" s="391">
        <f>IF($F$11='Tabla Parámetros'!$O$3,'Tabla Construcción Fijos'!N156,IF(Simulador!$F$11='Tabla Parámetros'!$O$4,'Tabla Construcción Crecientes'!N156,))</f>
        <v>0</v>
      </c>
      <c r="O524" s="392"/>
      <c r="P524" s="392">
        <f>'Tabla Construcción Fijos'!P156</f>
        <v>0</v>
      </c>
      <c r="Q524" s="362">
        <f>IF($F$11='Tabla Parámetros'!$O$3,'Tabla Construcción Fijos'!Q156,IF(Simulador!$F$11='Tabla Parámetros'!$O$4,'Tabla Construcción Crecientes'!P156,))</f>
        <v>0</v>
      </c>
      <c r="R524" s="362">
        <f>IF($F$11='Tabla Parámetros'!$O$3,'Tabla Construcción Fijos'!R156,IF(Simulador!$F$11='Tabla Parámetros'!$O$4,'Tabla Construcción Crecientes'!Q156,))</f>
        <v>0</v>
      </c>
      <c r="S524" s="272">
        <f t="shared" si="21"/>
        <v>0</v>
      </c>
    </row>
    <row r="525" spans="2:19" ht="15.5" hidden="1" x14ac:dyDescent="0.35">
      <c r="B525" s="378">
        <f t="shared" si="22"/>
        <v>134</v>
      </c>
      <c r="C525" s="378">
        <f t="shared" si="23"/>
        <v>30.4</v>
      </c>
      <c r="D525" s="379">
        <f>IF($F$11='Tabla Parámetros'!$O$3,'Tabla Construcción Fijos'!D157,IF(Simulador!$F$11='Tabla Parámetros'!$O$4,'Tabla Construcción Crecientes'!D157,))</f>
        <v>0</v>
      </c>
      <c r="E525" s="390"/>
      <c r="F525" s="362">
        <f>IF($F$11='Tabla Parámetros'!$O$3,'Tabla Construcción Fijos'!F157,IF(Simulador!$F$11='Tabla Parámetros'!$O$4,'Tabla Construcción Crecientes'!F157,))</f>
        <v>0</v>
      </c>
      <c r="G525" s="362"/>
      <c r="H525" s="362">
        <f>IF($F$11='Tabla Parámetros'!$O$3,'Tabla Construcción Fijos'!H157,IF(Simulador!$F$11='Tabla Parámetros'!$O$4,'Tabla Construcción Crecientes'!H157,))</f>
        <v>0</v>
      </c>
      <c r="I525" s="362">
        <f>IF($F$11='Tabla Parámetros'!$O$3,'Tabla Construcción Fijos'!I157,IF(Simulador!$F$11='Tabla Parámetros'!$O$4,'Tabla Construcción Crecientes'!I157,))</f>
        <v>0</v>
      </c>
      <c r="J525" s="362">
        <f>IF($F$11='Tabla Parámetros'!$O$3,'Tabla Construcción Fijos'!J157,IF(Simulador!$F$11='Tabla Parámetros'!$O$4,'Tabla Construcción Crecientes'!J157,))</f>
        <v>0</v>
      </c>
      <c r="K525" s="362">
        <f>IF($F$11='Tabla Parámetros'!$O$3,'Tabla Construcción Fijos'!K157,IF(Simulador!$F$11='Tabla Parámetros'!$O$4,'Tabla Construcción Crecientes'!K157,))</f>
        <v>0</v>
      </c>
      <c r="L525" s="362">
        <f>IF($F$11='Tabla Parámetros'!$O$3,'Tabla Construcción Fijos'!L157,IF(Simulador!$F$11='Tabla Parámetros'!$O$4,'Tabla Construcción Crecientes'!L157,))</f>
        <v>0</v>
      </c>
      <c r="M525" s="362">
        <f>IF($F$11='Tabla Parámetros'!$O$3,'Tabla Construcción Fijos'!M157,IF(Simulador!$F$11='Tabla Parámetros'!$O$4,'Tabla Construcción Crecientes'!M157,))</f>
        <v>0</v>
      </c>
      <c r="N525" s="391">
        <f>IF($F$11='Tabla Parámetros'!$O$3,'Tabla Construcción Fijos'!N157,IF(Simulador!$F$11='Tabla Parámetros'!$O$4,'Tabla Construcción Crecientes'!N157,))</f>
        <v>0</v>
      </c>
      <c r="O525" s="392"/>
      <c r="P525" s="392">
        <f>'Tabla Construcción Fijos'!P157</f>
        <v>0</v>
      </c>
      <c r="Q525" s="362">
        <f>IF($F$11='Tabla Parámetros'!$O$3,'Tabla Construcción Fijos'!Q157,IF(Simulador!$F$11='Tabla Parámetros'!$O$4,'Tabla Construcción Crecientes'!P157,))</f>
        <v>0</v>
      </c>
      <c r="R525" s="362">
        <f>IF($F$11='Tabla Parámetros'!$O$3,'Tabla Construcción Fijos'!R157,IF(Simulador!$F$11='Tabla Parámetros'!$O$4,'Tabla Construcción Crecientes'!Q157,))</f>
        <v>0</v>
      </c>
      <c r="S525" s="272">
        <f t="shared" si="21"/>
        <v>0</v>
      </c>
    </row>
    <row r="526" spans="2:19" ht="15.5" hidden="1" x14ac:dyDescent="0.35">
      <c r="B526" s="378">
        <f t="shared" si="22"/>
        <v>135</v>
      </c>
      <c r="C526" s="378">
        <f t="shared" si="23"/>
        <v>30.4</v>
      </c>
      <c r="D526" s="379">
        <f>IF($F$11='Tabla Parámetros'!$O$3,'Tabla Construcción Fijos'!D158,IF(Simulador!$F$11='Tabla Parámetros'!$O$4,'Tabla Construcción Crecientes'!D158,))</f>
        <v>0</v>
      </c>
      <c r="E526" s="390"/>
      <c r="F526" s="362">
        <f>IF($F$11='Tabla Parámetros'!$O$3,'Tabla Construcción Fijos'!F158,IF(Simulador!$F$11='Tabla Parámetros'!$O$4,'Tabla Construcción Crecientes'!F158,))</f>
        <v>0</v>
      </c>
      <c r="G526" s="362"/>
      <c r="H526" s="362">
        <f>IF($F$11='Tabla Parámetros'!$O$3,'Tabla Construcción Fijos'!H158,IF(Simulador!$F$11='Tabla Parámetros'!$O$4,'Tabla Construcción Crecientes'!H158,))</f>
        <v>0</v>
      </c>
      <c r="I526" s="362">
        <f>IF($F$11='Tabla Parámetros'!$O$3,'Tabla Construcción Fijos'!I158,IF(Simulador!$F$11='Tabla Parámetros'!$O$4,'Tabla Construcción Crecientes'!I158,))</f>
        <v>0</v>
      </c>
      <c r="J526" s="362">
        <f>IF($F$11='Tabla Parámetros'!$O$3,'Tabla Construcción Fijos'!J158,IF(Simulador!$F$11='Tabla Parámetros'!$O$4,'Tabla Construcción Crecientes'!J158,))</f>
        <v>0</v>
      </c>
      <c r="K526" s="362">
        <f>IF($F$11='Tabla Parámetros'!$O$3,'Tabla Construcción Fijos'!K158,IF(Simulador!$F$11='Tabla Parámetros'!$O$4,'Tabla Construcción Crecientes'!K158,))</f>
        <v>0</v>
      </c>
      <c r="L526" s="362">
        <f>IF($F$11='Tabla Parámetros'!$O$3,'Tabla Construcción Fijos'!L158,IF(Simulador!$F$11='Tabla Parámetros'!$O$4,'Tabla Construcción Crecientes'!L158,))</f>
        <v>0</v>
      </c>
      <c r="M526" s="362">
        <f>IF($F$11='Tabla Parámetros'!$O$3,'Tabla Construcción Fijos'!M158,IF(Simulador!$F$11='Tabla Parámetros'!$O$4,'Tabla Construcción Crecientes'!M158,))</f>
        <v>0</v>
      </c>
      <c r="N526" s="391">
        <f>IF($F$11='Tabla Parámetros'!$O$3,'Tabla Construcción Fijos'!N158,IF(Simulador!$F$11='Tabla Parámetros'!$O$4,'Tabla Construcción Crecientes'!N158,))</f>
        <v>0</v>
      </c>
      <c r="O526" s="392"/>
      <c r="P526" s="392">
        <f>'Tabla Construcción Fijos'!P158</f>
        <v>0</v>
      </c>
      <c r="Q526" s="362">
        <f>IF($F$11='Tabla Parámetros'!$O$3,'Tabla Construcción Fijos'!Q158,IF(Simulador!$F$11='Tabla Parámetros'!$O$4,'Tabla Construcción Crecientes'!P158,))</f>
        <v>0</v>
      </c>
      <c r="R526" s="362">
        <f>IF($F$11='Tabla Parámetros'!$O$3,'Tabla Construcción Fijos'!R158,IF(Simulador!$F$11='Tabla Parámetros'!$O$4,'Tabla Construcción Crecientes'!Q158,))</f>
        <v>0</v>
      </c>
      <c r="S526" s="272">
        <f t="shared" si="21"/>
        <v>0</v>
      </c>
    </row>
    <row r="527" spans="2:19" ht="15.5" hidden="1" x14ac:dyDescent="0.35">
      <c r="B527" s="378">
        <f t="shared" si="22"/>
        <v>136</v>
      </c>
      <c r="C527" s="378">
        <f t="shared" si="23"/>
        <v>30.4</v>
      </c>
      <c r="D527" s="379">
        <f>IF($F$11='Tabla Parámetros'!$O$3,'Tabla Construcción Fijos'!D159,IF(Simulador!$F$11='Tabla Parámetros'!$O$4,'Tabla Construcción Crecientes'!D159,))</f>
        <v>0</v>
      </c>
      <c r="E527" s="390"/>
      <c r="F527" s="362">
        <f>IF($F$11='Tabla Parámetros'!$O$3,'Tabla Construcción Fijos'!F159,IF(Simulador!$F$11='Tabla Parámetros'!$O$4,'Tabla Construcción Crecientes'!F159,))</f>
        <v>0</v>
      </c>
      <c r="G527" s="362"/>
      <c r="H527" s="362">
        <f>IF($F$11='Tabla Parámetros'!$O$3,'Tabla Construcción Fijos'!H159,IF(Simulador!$F$11='Tabla Parámetros'!$O$4,'Tabla Construcción Crecientes'!H159,))</f>
        <v>0</v>
      </c>
      <c r="I527" s="362">
        <f>IF($F$11='Tabla Parámetros'!$O$3,'Tabla Construcción Fijos'!I159,IF(Simulador!$F$11='Tabla Parámetros'!$O$4,'Tabla Construcción Crecientes'!I159,))</f>
        <v>0</v>
      </c>
      <c r="J527" s="362">
        <f>IF($F$11='Tabla Parámetros'!$O$3,'Tabla Construcción Fijos'!J159,IF(Simulador!$F$11='Tabla Parámetros'!$O$4,'Tabla Construcción Crecientes'!J159,))</f>
        <v>0</v>
      </c>
      <c r="K527" s="362">
        <f>IF($F$11='Tabla Parámetros'!$O$3,'Tabla Construcción Fijos'!K159,IF(Simulador!$F$11='Tabla Parámetros'!$O$4,'Tabla Construcción Crecientes'!K159,))</f>
        <v>0</v>
      </c>
      <c r="L527" s="362">
        <f>IF($F$11='Tabla Parámetros'!$O$3,'Tabla Construcción Fijos'!L159,IF(Simulador!$F$11='Tabla Parámetros'!$O$4,'Tabla Construcción Crecientes'!L159,))</f>
        <v>0</v>
      </c>
      <c r="M527" s="362">
        <f>IF($F$11='Tabla Parámetros'!$O$3,'Tabla Construcción Fijos'!M159,IF(Simulador!$F$11='Tabla Parámetros'!$O$4,'Tabla Construcción Crecientes'!M159,))</f>
        <v>0</v>
      </c>
      <c r="N527" s="391">
        <f>IF($F$11='Tabla Parámetros'!$O$3,'Tabla Construcción Fijos'!N159,IF(Simulador!$F$11='Tabla Parámetros'!$O$4,'Tabla Construcción Crecientes'!N159,))</f>
        <v>0</v>
      </c>
      <c r="O527" s="392"/>
      <c r="P527" s="392">
        <f>'Tabla Construcción Fijos'!P159</f>
        <v>0</v>
      </c>
      <c r="Q527" s="362">
        <f>IF($F$11='Tabla Parámetros'!$O$3,'Tabla Construcción Fijos'!Q159,IF(Simulador!$F$11='Tabla Parámetros'!$O$4,'Tabla Construcción Crecientes'!P159,))</f>
        <v>0</v>
      </c>
      <c r="R527" s="362">
        <f>IF($F$11='Tabla Parámetros'!$O$3,'Tabla Construcción Fijos'!R159,IF(Simulador!$F$11='Tabla Parámetros'!$O$4,'Tabla Construcción Crecientes'!Q159,))</f>
        <v>0</v>
      </c>
      <c r="S527" s="272">
        <f t="shared" si="21"/>
        <v>0</v>
      </c>
    </row>
    <row r="528" spans="2:19" ht="15.5" hidden="1" x14ac:dyDescent="0.35">
      <c r="B528" s="378">
        <f t="shared" si="22"/>
        <v>137</v>
      </c>
      <c r="C528" s="378">
        <f t="shared" si="23"/>
        <v>30.4</v>
      </c>
      <c r="D528" s="379">
        <f>IF($F$11='Tabla Parámetros'!$O$3,'Tabla Construcción Fijos'!D160,IF(Simulador!$F$11='Tabla Parámetros'!$O$4,'Tabla Construcción Crecientes'!D160,))</f>
        <v>0</v>
      </c>
      <c r="E528" s="390"/>
      <c r="F528" s="362">
        <f>IF($F$11='Tabla Parámetros'!$O$3,'Tabla Construcción Fijos'!F160,IF(Simulador!$F$11='Tabla Parámetros'!$O$4,'Tabla Construcción Crecientes'!F160,))</f>
        <v>0</v>
      </c>
      <c r="G528" s="362"/>
      <c r="H528" s="362">
        <f>IF($F$11='Tabla Parámetros'!$O$3,'Tabla Construcción Fijos'!H160,IF(Simulador!$F$11='Tabla Parámetros'!$O$4,'Tabla Construcción Crecientes'!H160,))</f>
        <v>0</v>
      </c>
      <c r="I528" s="362">
        <f>IF($F$11='Tabla Parámetros'!$O$3,'Tabla Construcción Fijos'!I160,IF(Simulador!$F$11='Tabla Parámetros'!$O$4,'Tabla Construcción Crecientes'!I160,))</f>
        <v>0</v>
      </c>
      <c r="J528" s="362">
        <f>IF($F$11='Tabla Parámetros'!$O$3,'Tabla Construcción Fijos'!J160,IF(Simulador!$F$11='Tabla Parámetros'!$O$4,'Tabla Construcción Crecientes'!J160,))</f>
        <v>0</v>
      </c>
      <c r="K528" s="362">
        <f>IF($F$11='Tabla Parámetros'!$O$3,'Tabla Construcción Fijos'!K160,IF(Simulador!$F$11='Tabla Parámetros'!$O$4,'Tabla Construcción Crecientes'!K160,))</f>
        <v>0</v>
      </c>
      <c r="L528" s="362">
        <f>IF($F$11='Tabla Parámetros'!$O$3,'Tabla Construcción Fijos'!L160,IF(Simulador!$F$11='Tabla Parámetros'!$O$4,'Tabla Construcción Crecientes'!L160,))</f>
        <v>0</v>
      </c>
      <c r="M528" s="362">
        <f>IF($F$11='Tabla Parámetros'!$O$3,'Tabla Construcción Fijos'!M160,IF(Simulador!$F$11='Tabla Parámetros'!$O$4,'Tabla Construcción Crecientes'!M160,))</f>
        <v>0</v>
      </c>
      <c r="N528" s="391">
        <f>IF($F$11='Tabla Parámetros'!$O$3,'Tabla Construcción Fijos'!N160,IF(Simulador!$F$11='Tabla Parámetros'!$O$4,'Tabla Construcción Crecientes'!N160,))</f>
        <v>0</v>
      </c>
      <c r="O528" s="392"/>
      <c r="P528" s="392">
        <f>'Tabla Construcción Fijos'!P160</f>
        <v>0</v>
      </c>
      <c r="Q528" s="362">
        <f>IF($F$11='Tabla Parámetros'!$O$3,'Tabla Construcción Fijos'!Q160,IF(Simulador!$F$11='Tabla Parámetros'!$O$4,'Tabla Construcción Crecientes'!P160,))</f>
        <v>0</v>
      </c>
      <c r="R528" s="362">
        <f>IF($F$11='Tabla Parámetros'!$O$3,'Tabla Construcción Fijos'!R160,IF(Simulador!$F$11='Tabla Parámetros'!$O$4,'Tabla Construcción Crecientes'!Q160,))</f>
        <v>0</v>
      </c>
      <c r="S528" s="272">
        <f t="shared" si="21"/>
        <v>0</v>
      </c>
    </row>
    <row r="529" spans="2:19" ht="15.5" hidden="1" x14ac:dyDescent="0.35">
      <c r="B529" s="378">
        <f t="shared" si="22"/>
        <v>138</v>
      </c>
      <c r="C529" s="378">
        <f t="shared" si="23"/>
        <v>30.4</v>
      </c>
      <c r="D529" s="379">
        <f>IF($F$11='Tabla Parámetros'!$O$3,'Tabla Construcción Fijos'!D161,IF(Simulador!$F$11='Tabla Parámetros'!$O$4,'Tabla Construcción Crecientes'!D161,))</f>
        <v>0</v>
      </c>
      <c r="E529" s="390"/>
      <c r="F529" s="362">
        <f>IF($F$11='Tabla Parámetros'!$O$3,'Tabla Construcción Fijos'!F161,IF(Simulador!$F$11='Tabla Parámetros'!$O$4,'Tabla Construcción Crecientes'!F161,))</f>
        <v>0</v>
      </c>
      <c r="G529" s="362"/>
      <c r="H529" s="362">
        <f>IF($F$11='Tabla Parámetros'!$O$3,'Tabla Construcción Fijos'!H161,IF(Simulador!$F$11='Tabla Parámetros'!$O$4,'Tabla Construcción Crecientes'!H161,))</f>
        <v>0</v>
      </c>
      <c r="I529" s="362">
        <f>IF($F$11='Tabla Parámetros'!$O$3,'Tabla Construcción Fijos'!I161,IF(Simulador!$F$11='Tabla Parámetros'!$O$4,'Tabla Construcción Crecientes'!I161,))</f>
        <v>0</v>
      </c>
      <c r="J529" s="362">
        <f>IF($F$11='Tabla Parámetros'!$O$3,'Tabla Construcción Fijos'!J161,IF(Simulador!$F$11='Tabla Parámetros'!$O$4,'Tabla Construcción Crecientes'!J161,))</f>
        <v>0</v>
      </c>
      <c r="K529" s="362">
        <f>IF($F$11='Tabla Parámetros'!$O$3,'Tabla Construcción Fijos'!K161,IF(Simulador!$F$11='Tabla Parámetros'!$O$4,'Tabla Construcción Crecientes'!K161,))</f>
        <v>0</v>
      </c>
      <c r="L529" s="362">
        <f>IF($F$11='Tabla Parámetros'!$O$3,'Tabla Construcción Fijos'!L161,IF(Simulador!$F$11='Tabla Parámetros'!$O$4,'Tabla Construcción Crecientes'!L161,))</f>
        <v>0</v>
      </c>
      <c r="M529" s="362">
        <f>IF($F$11='Tabla Parámetros'!$O$3,'Tabla Construcción Fijos'!M161,IF(Simulador!$F$11='Tabla Parámetros'!$O$4,'Tabla Construcción Crecientes'!M161,))</f>
        <v>0</v>
      </c>
      <c r="N529" s="391">
        <f>IF($F$11='Tabla Parámetros'!$O$3,'Tabla Construcción Fijos'!N161,IF(Simulador!$F$11='Tabla Parámetros'!$O$4,'Tabla Construcción Crecientes'!N161,))</f>
        <v>0</v>
      </c>
      <c r="O529" s="392"/>
      <c r="P529" s="392">
        <f>'Tabla Construcción Fijos'!P161</f>
        <v>0</v>
      </c>
      <c r="Q529" s="362">
        <f>IF($F$11='Tabla Parámetros'!$O$3,'Tabla Construcción Fijos'!Q161,IF(Simulador!$F$11='Tabla Parámetros'!$O$4,'Tabla Construcción Crecientes'!P161,))</f>
        <v>0</v>
      </c>
      <c r="R529" s="362">
        <f>IF($F$11='Tabla Parámetros'!$O$3,'Tabla Construcción Fijos'!R161,IF(Simulador!$F$11='Tabla Parámetros'!$O$4,'Tabla Construcción Crecientes'!Q161,))</f>
        <v>0</v>
      </c>
      <c r="S529" s="272">
        <f t="shared" si="21"/>
        <v>0</v>
      </c>
    </row>
    <row r="530" spans="2:19" ht="15.5" hidden="1" x14ac:dyDescent="0.35">
      <c r="B530" s="378">
        <f t="shared" si="22"/>
        <v>139</v>
      </c>
      <c r="C530" s="378">
        <f t="shared" si="23"/>
        <v>30.4</v>
      </c>
      <c r="D530" s="379">
        <f>IF($F$11='Tabla Parámetros'!$O$3,'Tabla Construcción Fijos'!D162,IF(Simulador!$F$11='Tabla Parámetros'!$O$4,'Tabla Construcción Crecientes'!D162,))</f>
        <v>0</v>
      </c>
      <c r="E530" s="390"/>
      <c r="F530" s="362">
        <f>IF($F$11='Tabla Parámetros'!$O$3,'Tabla Construcción Fijos'!F162,IF(Simulador!$F$11='Tabla Parámetros'!$O$4,'Tabla Construcción Crecientes'!F162,))</f>
        <v>0</v>
      </c>
      <c r="G530" s="362"/>
      <c r="H530" s="362">
        <f>IF($F$11='Tabla Parámetros'!$O$3,'Tabla Construcción Fijos'!H162,IF(Simulador!$F$11='Tabla Parámetros'!$O$4,'Tabla Construcción Crecientes'!H162,))</f>
        <v>0</v>
      </c>
      <c r="I530" s="362">
        <f>IF($F$11='Tabla Parámetros'!$O$3,'Tabla Construcción Fijos'!I162,IF(Simulador!$F$11='Tabla Parámetros'!$O$4,'Tabla Construcción Crecientes'!I162,))</f>
        <v>0</v>
      </c>
      <c r="J530" s="362">
        <f>IF($F$11='Tabla Parámetros'!$O$3,'Tabla Construcción Fijos'!J162,IF(Simulador!$F$11='Tabla Parámetros'!$O$4,'Tabla Construcción Crecientes'!J162,))</f>
        <v>0</v>
      </c>
      <c r="K530" s="362">
        <f>IF($F$11='Tabla Parámetros'!$O$3,'Tabla Construcción Fijos'!K162,IF(Simulador!$F$11='Tabla Parámetros'!$O$4,'Tabla Construcción Crecientes'!K162,))</f>
        <v>0</v>
      </c>
      <c r="L530" s="362">
        <f>IF($F$11='Tabla Parámetros'!$O$3,'Tabla Construcción Fijos'!L162,IF(Simulador!$F$11='Tabla Parámetros'!$O$4,'Tabla Construcción Crecientes'!L162,))</f>
        <v>0</v>
      </c>
      <c r="M530" s="362">
        <f>IF($F$11='Tabla Parámetros'!$O$3,'Tabla Construcción Fijos'!M162,IF(Simulador!$F$11='Tabla Parámetros'!$O$4,'Tabla Construcción Crecientes'!M162,))</f>
        <v>0</v>
      </c>
      <c r="N530" s="391">
        <f>IF($F$11='Tabla Parámetros'!$O$3,'Tabla Construcción Fijos'!N162,IF(Simulador!$F$11='Tabla Parámetros'!$O$4,'Tabla Construcción Crecientes'!N162,))</f>
        <v>0</v>
      </c>
      <c r="O530" s="392"/>
      <c r="P530" s="392">
        <f>'Tabla Construcción Fijos'!P162</f>
        <v>0</v>
      </c>
      <c r="Q530" s="362">
        <f>IF($F$11='Tabla Parámetros'!$O$3,'Tabla Construcción Fijos'!Q162,IF(Simulador!$F$11='Tabla Parámetros'!$O$4,'Tabla Construcción Crecientes'!P162,))</f>
        <v>0</v>
      </c>
      <c r="R530" s="362">
        <f>IF($F$11='Tabla Parámetros'!$O$3,'Tabla Construcción Fijos'!R162,IF(Simulador!$F$11='Tabla Parámetros'!$O$4,'Tabla Construcción Crecientes'!Q162,))</f>
        <v>0</v>
      </c>
      <c r="S530" s="272">
        <f t="shared" si="21"/>
        <v>0</v>
      </c>
    </row>
    <row r="531" spans="2:19" ht="15.5" hidden="1" x14ac:dyDescent="0.35">
      <c r="B531" s="378">
        <f t="shared" si="22"/>
        <v>140</v>
      </c>
      <c r="C531" s="378">
        <f t="shared" si="23"/>
        <v>30.4</v>
      </c>
      <c r="D531" s="379">
        <f>IF($F$11='Tabla Parámetros'!$O$3,'Tabla Construcción Fijos'!D163,IF(Simulador!$F$11='Tabla Parámetros'!$O$4,'Tabla Construcción Crecientes'!D163,))</f>
        <v>0</v>
      </c>
      <c r="E531" s="390"/>
      <c r="F531" s="362">
        <f>IF($F$11='Tabla Parámetros'!$O$3,'Tabla Construcción Fijos'!F163,IF(Simulador!$F$11='Tabla Parámetros'!$O$4,'Tabla Construcción Crecientes'!F163,))</f>
        <v>0</v>
      </c>
      <c r="G531" s="362"/>
      <c r="H531" s="362">
        <f>IF($F$11='Tabla Parámetros'!$O$3,'Tabla Construcción Fijos'!H163,IF(Simulador!$F$11='Tabla Parámetros'!$O$4,'Tabla Construcción Crecientes'!H163,))</f>
        <v>0</v>
      </c>
      <c r="I531" s="362">
        <f>IF($F$11='Tabla Parámetros'!$O$3,'Tabla Construcción Fijos'!I163,IF(Simulador!$F$11='Tabla Parámetros'!$O$4,'Tabla Construcción Crecientes'!I163,))</f>
        <v>0</v>
      </c>
      <c r="J531" s="362">
        <f>IF($F$11='Tabla Parámetros'!$O$3,'Tabla Construcción Fijos'!J163,IF(Simulador!$F$11='Tabla Parámetros'!$O$4,'Tabla Construcción Crecientes'!J163,))</f>
        <v>0</v>
      </c>
      <c r="K531" s="362">
        <f>IF($F$11='Tabla Parámetros'!$O$3,'Tabla Construcción Fijos'!K163,IF(Simulador!$F$11='Tabla Parámetros'!$O$4,'Tabla Construcción Crecientes'!K163,))</f>
        <v>0</v>
      </c>
      <c r="L531" s="362">
        <f>IF($F$11='Tabla Parámetros'!$O$3,'Tabla Construcción Fijos'!L163,IF(Simulador!$F$11='Tabla Parámetros'!$O$4,'Tabla Construcción Crecientes'!L163,))</f>
        <v>0</v>
      </c>
      <c r="M531" s="362">
        <f>IF($F$11='Tabla Parámetros'!$O$3,'Tabla Construcción Fijos'!M163,IF(Simulador!$F$11='Tabla Parámetros'!$O$4,'Tabla Construcción Crecientes'!M163,))</f>
        <v>0</v>
      </c>
      <c r="N531" s="391">
        <f>IF($F$11='Tabla Parámetros'!$O$3,'Tabla Construcción Fijos'!N163,IF(Simulador!$F$11='Tabla Parámetros'!$O$4,'Tabla Construcción Crecientes'!N163,))</f>
        <v>0</v>
      </c>
      <c r="O531" s="392"/>
      <c r="P531" s="392">
        <f>'Tabla Construcción Fijos'!P163</f>
        <v>0</v>
      </c>
      <c r="Q531" s="362">
        <f>IF($F$11='Tabla Parámetros'!$O$3,'Tabla Construcción Fijos'!Q163,IF(Simulador!$F$11='Tabla Parámetros'!$O$4,'Tabla Construcción Crecientes'!P163,))</f>
        <v>0</v>
      </c>
      <c r="R531" s="362">
        <f>IF($F$11='Tabla Parámetros'!$O$3,'Tabla Construcción Fijos'!R163,IF(Simulador!$F$11='Tabla Parámetros'!$O$4,'Tabla Construcción Crecientes'!Q163,))</f>
        <v>0</v>
      </c>
      <c r="S531" s="272">
        <f t="shared" si="21"/>
        <v>0</v>
      </c>
    </row>
    <row r="532" spans="2:19" ht="15.5" hidden="1" x14ac:dyDescent="0.35">
      <c r="B532" s="378">
        <f t="shared" si="22"/>
        <v>141</v>
      </c>
      <c r="C532" s="378">
        <f t="shared" si="23"/>
        <v>30.4</v>
      </c>
      <c r="D532" s="379">
        <f>IF($F$11='Tabla Parámetros'!$O$3,'Tabla Construcción Fijos'!D164,IF(Simulador!$F$11='Tabla Parámetros'!$O$4,'Tabla Construcción Crecientes'!D164,))</f>
        <v>0</v>
      </c>
      <c r="E532" s="390"/>
      <c r="F532" s="362">
        <f>IF($F$11='Tabla Parámetros'!$O$3,'Tabla Construcción Fijos'!F164,IF(Simulador!$F$11='Tabla Parámetros'!$O$4,'Tabla Construcción Crecientes'!F164,))</f>
        <v>0</v>
      </c>
      <c r="G532" s="362"/>
      <c r="H532" s="362">
        <f>IF($F$11='Tabla Parámetros'!$O$3,'Tabla Construcción Fijos'!H164,IF(Simulador!$F$11='Tabla Parámetros'!$O$4,'Tabla Construcción Crecientes'!H164,))</f>
        <v>0</v>
      </c>
      <c r="I532" s="362">
        <f>IF($F$11='Tabla Parámetros'!$O$3,'Tabla Construcción Fijos'!I164,IF(Simulador!$F$11='Tabla Parámetros'!$O$4,'Tabla Construcción Crecientes'!I164,))</f>
        <v>0</v>
      </c>
      <c r="J532" s="362">
        <f>IF($F$11='Tabla Parámetros'!$O$3,'Tabla Construcción Fijos'!J164,IF(Simulador!$F$11='Tabla Parámetros'!$O$4,'Tabla Construcción Crecientes'!J164,))</f>
        <v>0</v>
      </c>
      <c r="K532" s="362">
        <f>IF($F$11='Tabla Parámetros'!$O$3,'Tabla Construcción Fijos'!K164,IF(Simulador!$F$11='Tabla Parámetros'!$O$4,'Tabla Construcción Crecientes'!K164,))</f>
        <v>0</v>
      </c>
      <c r="L532" s="362">
        <f>IF($F$11='Tabla Parámetros'!$O$3,'Tabla Construcción Fijos'!L164,IF(Simulador!$F$11='Tabla Parámetros'!$O$4,'Tabla Construcción Crecientes'!L164,))</f>
        <v>0</v>
      </c>
      <c r="M532" s="362">
        <f>IF($F$11='Tabla Parámetros'!$O$3,'Tabla Construcción Fijos'!M164,IF(Simulador!$F$11='Tabla Parámetros'!$O$4,'Tabla Construcción Crecientes'!M164,))</f>
        <v>0</v>
      </c>
      <c r="N532" s="391">
        <f>IF($F$11='Tabla Parámetros'!$O$3,'Tabla Construcción Fijos'!N164,IF(Simulador!$F$11='Tabla Parámetros'!$O$4,'Tabla Construcción Crecientes'!N164,))</f>
        <v>0</v>
      </c>
      <c r="O532" s="392"/>
      <c r="P532" s="392">
        <f>'Tabla Construcción Fijos'!P164</f>
        <v>0</v>
      </c>
      <c r="Q532" s="362">
        <f>IF($F$11='Tabla Parámetros'!$O$3,'Tabla Construcción Fijos'!Q164,IF(Simulador!$F$11='Tabla Parámetros'!$O$4,'Tabla Construcción Crecientes'!P164,))</f>
        <v>0</v>
      </c>
      <c r="R532" s="362">
        <f>IF($F$11='Tabla Parámetros'!$O$3,'Tabla Construcción Fijos'!R164,IF(Simulador!$F$11='Tabla Parámetros'!$O$4,'Tabla Construcción Crecientes'!Q164,))</f>
        <v>0</v>
      </c>
      <c r="S532" s="272">
        <f t="shared" si="21"/>
        <v>0</v>
      </c>
    </row>
    <row r="533" spans="2:19" ht="15.5" hidden="1" x14ac:dyDescent="0.35">
      <c r="B533" s="378">
        <f t="shared" si="22"/>
        <v>142</v>
      </c>
      <c r="C533" s="378">
        <f t="shared" si="23"/>
        <v>30.4</v>
      </c>
      <c r="D533" s="379">
        <f>IF($F$11='Tabla Parámetros'!$O$3,'Tabla Construcción Fijos'!D165,IF(Simulador!$F$11='Tabla Parámetros'!$O$4,'Tabla Construcción Crecientes'!D165,))</f>
        <v>0</v>
      </c>
      <c r="E533" s="390"/>
      <c r="F533" s="362">
        <f>IF($F$11='Tabla Parámetros'!$O$3,'Tabla Construcción Fijos'!F165,IF(Simulador!$F$11='Tabla Parámetros'!$O$4,'Tabla Construcción Crecientes'!F165,))</f>
        <v>0</v>
      </c>
      <c r="G533" s="362"/>
      <c r="H533" s="362">
        <f>IF($F$11='Tabla Parámetros'!$O$3,'Tabla Construcción Fijos'!H165,IF(Simulador!$F$11='Tabla Parámetros'!$O$4,'Tabla Construcción Crecientes'!H165,))</f>
        <v>0</v>
      </c>
      <c r="I533" s="362">
        <f>IF($F$11='Tabla Parámetros'!$O$3,'Tabla Construcción Fijos'!I165,IF(Simulador!$F$11='Tabla Parámetros'!$O$4,'Tabla Construcción Crecientes'!I165,))</f>
        <v>0</v>
      </c>
      <c r="J533" s="362">
        <f>IF($F$11='Tabla Parámetros'!$O$3,'Tabla Construcción Fijos'!J165,IF(Simulador!$F$11='Tabla Parámetros'!$O$4,'Tabla Construcción Crecientes'!J165,))</f>
        <v>0</v>
      </c>
      <c r="K533" s="362">
        <f>IF($F$11='Tabla Parámetros'!$O$3,'Tabla Construcción Fijos'!K165,IF(Simulador!$F$11='Tabla Parámetros'!$O$4,'Tabla Construcción Crecientes'!K165,))</f>
        <v>0</v>
      </c>
      <c r="L533" s="362">
        <f>IF($F$11='Tabla Parámetros'!$O$3,'Tabla Construcción Fijos'!L165,IF(Simulador!$F$11='Tabla Parámetros'!$O$4,'Tabla Construcción Crecientes'!L165,))</f>
        <v>0</v>
      </c>
      <c r="M533" s="362">
        <f>IF($F$11='Tabla Parámetros'!$O$3,'Tabla Construcción Fijos'!M165,IF(Simulador!$F$11='Tabla Parámetros'!$O$4,'Tabla Construcción Crecientes'!M165,))</f>
        <v>0</v>
      </c>
      <c r="N533" s="391">
        <f>IF($F$11='Tabla Parámetros'!$O$3,'Tabla Construcción Fijos'!N165,IF(Simulador!$F$11='Tabla Parámetros'!$O$4,'Tabla Construcción Crecientes'!N165,))</f>
        <v>0</v>
      </c>
      <c r="O533" s="392"/>
      <c r="P533" s="392">
        <f>'Tabla Construcción Fijos'!P165</f>
        <v>0</v>
      </c>
      <c r="Q533" s="362">
        <f>IF($F$11='Tabla Parámetros'!$O$3,'Tabla Construcción Fijos'!Q165,IF(Simulador!$F$11='Tabla Parámetros'!$O$4,'Tabla Construcción Crecientes'!P165,))</f>
        <v>0</v>
      </c>
      <c r="R533" s="362">
        <f>IF($F$11='Tabla Parámetros'!$O$3,'Tabla Construcción Fijos'!R165,IF(Simulador!$F$11='Tabla Parámetros'!$O$4,'Tabla Construcción Crecientes'!Q165,))</f>
        <v>0</v>
      </c>
      <c r="S533" s="272">
        <f t="shared" si="21"/>
        <v>0</v>
      </c>
    </row>
    <row r="534" spans="2:19" ht="15.5" hidden="1" x14ac:dyDescent="0.35">
      <c r="B534" s="378">
        <f t="shared" si="22"/>
        <v>143</v>
      </c>
      <c r="C534" s="378">
        <f t="shared" si="23"/>
        <v>30.4</v>
      </c>
      <c r="D534" s="379">
        <f>IF($F$11='Tabla Parámetros'!$O$3,'Tabla Construcción Fijos'!D166,IF(Simulador!$F$11='Tabla Parámetros'!$O$4,'Tabla Construcción Crecientes'!D166,))</f>
        <v>0</v>
      </c>
      <c r="E534" s="390"/>
      <c r="F534" s="362">
        <f>IF($F$11='Tabla Parámetros'!$O$3,'Tabla Construcción Fijos'!F166,IF(Simulador!$F$11='Tabla Parámetros'!$O$4,'Tabla Construcción Crecientes'!F166,))</f>
        <v>0</v>
      </c>
      <c r="G534" s="362"/>
      <c r="H534" s="362">
        <f>IF($F$11='Tabla Parámetros'!$O$3,'Tabla Construcción Fijos'!H166,IF(Simulador!$F$11='Tabla Parámetros'!$O$4,'Tabla Construcción Crecientes'!H166,))</f>
        <v>0</v>
      </c>
      <c r="I534" s="362">
        <f>IF($F$11='Tabla Parámetros'!$O$3,'Tabla Construcción Fijos'!I166,IF(Simulador!$F$11='Tabla Parámetros'!$O$4,'Tabla Construcción Crecientes'!I166,))</f>
        <v>0</v>
      </c>
      <c r="J534" s="362">
        <f>IF($F$11='Tabla Parámetros'!$O$3,'Tabla Construcción Fijos'!J166,IF(Simulador!$F$11='Tabla Parámetros'!$O$4,'Tabla Construcción Crecientes'!J166,))</f>
        <v>0</v>
      </c>
      <c r="K534" s="362">
        <f>IF($F$11='Tabla Parámetros'!$O$3,'Tabla Construcción Fijos'!K166,IF(Simulador!$F$11='Tabla Parámetros'!$O$4,'Tabla Construcción Crecientes'!K166,))</f>
        <v>0</v>
      </c>
      <c r="L534" s="362">
        <f>IF($F$11='Tabla Parámetros'!$O$3,'Tabla Construcción Fijos'!L166,IF(Simulador!$F$11='Tabla Parámetros'!$O$4,'Tabla Construcción Crecientes'!L166,))</f>
        <v>0</v>
      </c>
      <c r="M534" s="362">
        <f>IF($F$11='Tabla Parámetros'!$O$3,'Tabla Construcción Fijos'!M166,IF(Simulador!$F$11='Tabla Parámetros'!$O$4,'Tabla Construcción Crecientes'!M166,))</f>
        <v>0</v>
      </c>
      <c r="N534" s="391">
        <f>IF($F$11='Tabla Parámetros'!$O$3,'Tabla Construcción Fijos'!N166,IF(Simulador!$F$11='Tabla Parámetros'!$O$4,'Tabla Construcción Crecientes'!N166,))</f>
        <v>0</v>
      </c>
      <c r="O534" s="392"/>
      <c r="P534" s="392">
        <f>'Tabla Construcción Fijos'!P166</f>
        <v>0</v>
      </c>
      <c r="Q534" s="362">
        <f>IF($F$11='Tabla Parámetros'!$O$3,'Tabla Construcción Fijos'!Q166,IF(Simulador!$F$11='Tabla Parámetros'!$O$4,'Tabla Construcción Crecientes'!P166,))</f>
        <v>0</v>
      </c>
      <c r="R534" s="362">
        <f>IF($F$11='Tabla Parámetros'!$O$3,'Tabla Construcción Fijos'!R166,IF(Simulador!$F$11='Tabla Parámetros'!$O$4,'Tabla Construcción Crecientes'!Q166,))</f>
        <v>0</v>
      </c>
      <c r="S534" s="272">
        <f t="shared" si="21"/>
        <v>0</v>
      </c>
    </row>
    <row r="535" spans="2:19" ht="15.5" hidden="1" x14ac:dyDescent="0.35">
      <c r="B535" s="378">
        <f t="shared" si="22"/>
        <v>144</v>
      </c>
      <c r="C535" s="378">
        <f t="shared" si="23"/>
        <v>30.4</v>
      </c>
      <c r="D535" s="379">
        <f>IF($F$11='Tabla Parámetros'!$O$3,'Tabla Construcción Fijos'!D167,IF(Simulador!$F$11='Tabla Parámetros'!$O$4,'Tabla Construcción Crecientes'!D167,))</f>
        <v>0</v>
      </c>
      <c r="E535" s="390"/>
      <c r="F535" s="362">
        <f>IF($F$11='Tabla Parámetros'!$O$3,'Tabla Construcción Fijos'!F167,IF(Simulador!$F$11='Tabla Parámetros'!$O$4,'Tabla Construcción Crecientes'!F167,))</f>
        <v>0</v>
      </c>
      <c r="G535" s="362"/>
      <c r="H535" s="362">
        <f>IF($F$11='Tabla Parámetros'!$O$3,'Tabla Construcción Fijos'!H167,IF(Simulador!$F$11='Tabla Parámetros'!$O$4,'Tabla Construcción Crecientes'!H167,))</f>
        <v>0</v>
      </c>
      <c r="I535" s="362">
        <f>IF($F$11='Tabla Parámetros'!$O$3,'Tabla Construcción Fijos'!I167,IF(Simulador!$F$11='Tabla Parámetros'!$O$4,'Tabla Construcción Crecientes'!I167,))</f>
        <v>0</v>
      </c>
      <c r="J535" s="362">
        <f>IF($F$11='Tabla Parámetros'!$O$3,'Tabla Construcción Fijos'!J167,IF(Simulador!$F$11='Tabla Parámetros'!$O$4,'Tabla Construcción Crecientes'!J167,))</f>
        <v>0</v>
      </c>
      <c r="K535" s="362">
        <f>IF($F$11='Tabla Parámetros'!$O$3,'Tabla Construcción Fijos'!K167,IF(Simulador!$F$11='Tabla Parámetros'!$O$4,'Tabla Construcción Crecientes'!K167,))</f>
        <v>0</v>
      </c>
      <c r="L535" s="362">
        <f>IF($F$11='Tabla Parámetros'!$O$3,'Tabla Construcción Fijos'!L167,IF(Simulador!$F$11='Tabla Parámetros'!$O$4,'Tabla Construcción Crecientes'!L167,))</f>
        <v>0</v>
      </c>
      <c r="M535" s="362">
        <f>IF($F$11='Tabla Parámetros'!$O$3,'Tabla Construcción Fijos'!M167,IF(Simulador!$F$11='Tabla Parámetros'!$O$4,'Tabla Construcción Crecientes'!M167,))</f>
        <v>0</v>
      </c>
      <c r="N535" s="391">
        <f>IF($F$11='Tabla Parámetros'!$O$3,'Tabla Construcción Fijos'!N167,IF(Simulador!$F$11='Tabla Parámetros'!$O$4,'Tabla Construcción Crecientes'!N167,))</f>
        <v>0</v>
      </c>
      <c r="O535" s="392"/>
      <c r="P535" s="392">
        <f>'Tabla Construcción Fijos'!P167</f>
        <v>0</v>
      </c>
      <c r="Q535" s="362">
        <f>IF($F$11='Tabla Parámetros'!$O$3,'Tabla Construcción Fijos'!Q167,IF(Simulador!$F$11='Tabla Parámetros'!$O$4,'Tabla Construcción Crecientes'!P167,))</f>
        <v>0</v>
      </c>
      <c r="R535" s="362">
        <f>IF($F$11='Tabla Parámetros'!$O$3,'Tabla Construcción Fijos'!R167,IF(Simulador!$F$11='Tabla Parámetros'!$O$4,'Tabla Construcción Crecientes'!Q167,))</f>
        <v>0</v>
      </c>
      <c r="S535" s="272">
        <f t="shared" si="21"/>
        <v>0</v>
      </c>
    </row>
    <row r="536" spans="2:19" ht="15.5" hidden="1" x14ac:dyDescent="0.35">
      <c r="B536" s="378">
        <f t="shared" si="22"/>
        <v>145</v>
      </c>
      <c r="C536" s="378">
        <f t="shared" si="23"/>
        <v>30.4</v>
      </c>
      <c r="D536" s="379">
        <f>IF($F$11='Tabla Parámetros'!$O$3,'Tabla Construcción Fijos'!D168,IF(Simulador!$F$11='Tabla Parámetros'!$O$4,'Tabla Construcción Crecientes'!D168,))</f>
        <v>0</v>
      </c>
      <c r="E536" s="390"/>
      <c r="F536" s="362">
        <f>IF($F$11='Tabla Parámetros'!$O$3,'Tabla Construcción Fijos'!F168,IF(Simulador!$F$11='Tabla Parámetros'!$O$4,'Tabla Construcción Crecientes'!F168,))</f>
        <v>0</v>
      </c>
      <c r="G536" s="362"/>
      <c r="H536" s="362">
        <f>IF($F$11='Tabla Parámetros'!$O$3,'Tabla Construcción Fijos'!H168,IF(Simulador!$F$11='Tabla Parámetros'!$O$4,'Tabla Construcción Crecientes'!H168,))</f>
        <v>0</v>
      </c>
      <c r="I536" s="362">
        <f>IF($F$11='Tabla Parámetros'!$O$3,'Tabla Construcción Fijos'!I168,IF(Simulador!$F$11='Tabla Parámetros'!$O$4,'Tabla Construcción Crecientes'!I168,))</f>
        <v>0</v>
      </c>
      <c r="J536" s="362">
        <f>IF($F$11='Tabla Parámetros'!$O$3,'Tabla Construcción Fijos'!J168,IF(Simulador!$F$11='Tabla Parámetros'!$O$4,'Tabla Construcción Crecientes'!J168,))</f>
        <v>0</v>
      </c>
      <c r="K536" s="362">
        <f>IF($F$11='Tabla Parámetros'!$O$3,'Tabla Construcción Fijos'!K168,IF(Simulador!$F$11='Tabla Parámetros'!$O$4,'Tabla Construcción Crecientes'!K168,))</f>
        <v>0</v>
      </c>
      <c r="L536" s="362">
        <f>IF($F$11='Tabla Parámetros'!$O$3,'Tabla Construcción Fijos'!L168,IF(Simulador!$F$11='Tabla Parámetros'!$O$4,'Tabla Construcción Crecientes'!L168,))</f>
        <v>0</v>
      </c>
      <c r="M536" s="362">
        <f>IF($F$11='Tabla Parámetros'!$O$3,'Tabla Construcción Fijos'!M168,IF(Simulador!$F$11='Tabla Parámetros'!$O$4,'Tabla Construcción Crecientes'!M168,))</f>
        <v>0</v>
      </c>
      <c r="N536" s="391">
        <f>IF($F$11='Tabla Parámetros'!$O$3,'Tabla Construcción Fijos'!N168,IF(Simulador!$F$11='Tabla Parámetros'!$O$4,'Tabla Construcción Crecientes'!N168,))</f>
        <v>0</v>
      </c>
      <c r="O536" s="392"/>
      <c r="P536" s="392">
        <f>'Tabla Construcción Fijos'!P168</f>
        <v>0</v>
      </c>
      <c r="Q536" s="362">
        <f>IF($F$11='Tabla Parámetros'!$O$3,'Tabla Construcción Fijos'!Q168,IF(Simulador!$F$11='Tabla Parámetros'!$O$4,'Tabla Construcción Crecientes'!P168,))</f>
        <v>0</v>
      </c>
      <c r="R536" s="362">
        <f>IF($F$11='Tabla Parámetros'!$O$3,'Tabla Construcción Fijos'!R168,IF(Simulador!$F$11='Tabla Parámetros'!$O$4,'Tabla Construcción Crecientes'!Q168,))</f>
        <v>0</v>
      </c>
      <c r="S536" s="272">
        <f t="shared" si="21"/>
        <v>0</v>
      </c>
    </row>
    <row r="537" spans="2:19" ht="15.5" hidden="1" x14ac:dyDescent="0.35">
      <c r="B537" s="378">
        <f t="shared" si="22"/>
        <v>146</v>
      </c>
      <c r="C537" s="378">
        <f t="shared" si="23"/>
        <v>30.4</v>
      </c>
      <c r="D537" s="379">
        <f>IF($F$11='Tabla Parámetros'!$O$3,'Tabla Construcción Fijos'!D169,IF(Simulador!$F$11='Tabla Parámetros'!$O$4,'Tabla Construcción Crecientes'!D169,))</f>
        <v>0</v>
      </c>
      <c r="E537" s="390"/>
      <c r="F537" s="362">
        <f>IF($F$11='Tabla Parámetros'!$O$3,'Tabla Construcción Fijos'!F169,IF(Simulador!$F$11='Tabla Parámetros'!$O$4,'Tabla Construcción Crecientes'!F169,))</f>
        <v>0</v>
      </c>
      <c r="G537" s="362"/>
      <c r="H537" s="362">
        <f>IF($F$11='Tabla Parámetros'!$O$3,'Tabla Construcción Fijos'!H169,IF(Simulador!$F$11='Tabla Parámetros'!$O$4,'Tabla Construcción Crecientes'!H169,))</f>
        <v>0</v>
      </c>
      <c r="I537" s="362">
        <f>IF($F$11='Tabla Parámetros'!$O$3,'Tabla Construcción Fijos'!I169,IF(Simulador!$F$11='Tabla Parámetros'!$O$4,'Tabla Construcción Crecientes'!I169,))</f>
        <v>0</v>
      </c>
      <c r="J537" s="362">
        <f>IF($F$11='Tabla Parámetros'!$O$3,'Tabla Construcción Fijos'!J169,IF(Simulador!$F$11='Tabla Parámetros'!$O$4,'Tabla Construcción Crecientes'!J169,))</f>
        <v>0</v>
      </c>
      <c r="K537" s="362">
        <f>IF($F$11='Tabla Parámetros'!$O$3,'Tabla Construcción Fijos'!K169,IF(Simulador!$F$11='Tabla Parámetros'!$O$4,'Tabla Construcción Crecientes'!K169,))</f>
        <v>0</v>
      </c>
      <c r="L537" s="362">
        <f>IF($F$11='Tabla Parámetros'!$O$3,'Tabla Construcción Fijos'!L169,IF(Simulador!$F$11='Tabla Parámetros'!$O$4,'Tabla Construcción Crecientes'!L169,))</f>
        <v>0</v>
      </c>
      <c r="M537" s="362">
        <f>IF($F$11='Tabla Parámetros'!$O$3,'Tabla Construcción Fijos'!M169,IF(Simulador!$F$11='Tabla Parámetros'!$O$4,'Tabla Construcción Crecientes'!M169,))</f>
        <v>0</v>
      </c>
      <c r="N537" s="391">
        <f>IF($F$11='Tabla Parámetros'!$O$3,'Tabla Construcción Fijos'!N169,IF(Simulador!$F$11='Tabla Parámetros'!$O$4,'Tabla Construcción Crecientes'!N169,))</f>
        <v>0</v>
      </c>
      <c r="O537" s="392"/>
      <c r="P537" s="392">
        <f>'Tabla Construcción Fijos'!P169</f>
        <v>0</v>
      </c>
      <c r="Q537" s="362">
        <f>IF($F$11='Tabla Parámetros'!$O$3,'Tabla Construcción Fijos'!Q169,IF(Simulador!$F$11='Tabla Parámetros'!$O$4,'Tabla Construcción Crecientes'!P169,))</f>
        <v>0</v>
      </c>
      <c r="R537" s="362">
        <f>IF($F$11='Tabla Parámetros'!$O$3,'Tabla Construcción Fijos'!R169,IF(Simulador!$F$11='Tabla Parámetros'!$O$4,'Tabla Construcción Crecientes'!Q169,))</f>
        <v>0</v>
      </c>
      <c r="S537" s="272">
        <f t="shared" si="21"/>
        <v>0</v>
      </c>
    </row>
    <row r="538" spans="2:19" ht="15.5" hidden="1" x14ac:dyDescent="0.35">
      <c r="B538" s="378">
        <f t="shared" si="22"/>
        <v>147</v>
      </c>
      <c r="C538" s="378">
        <f t="shared" si="23"/>
        <v>30.4</v>
      </c>
      <c r="D538" s="379">
        <f>IF($F$11='Tabla Parámetros'!$O$3,'Tabla Construcción Fijos'!D170,IF(Simulador!$F$11='Tabla Parámetros'!$O$4,'Tabla Construcción Crecientes'!D170,))</f>
        <v>0</v>
      </c>
      <c r="E538" s="390"/>
      <c r="F538" s="362">
        <f>IF($F$11='Tabla Parámetros'!$O$3,'Tabla Construcción Fijos'!F170,IF(Simulador!$F$11='Tabla Parámetros'!$O$4,'Tabla Construcción Crecientes'!F170,))</f>
        <v>0</v>
      </c>
      <c r="G538" s="362"/>
      <c r="H538" s="362">
        <f>IF($F$11='Tabla Parámetros'!$O$3,'Tabla Construcción Fijos'!H170,IF(Simulador!$F$11='Tabla Parámetros'!$O$4,'Tabla Construcción Crecientes'!H170,))</f>
        <v>0</v>
      </c>
      <c r="I538" s="362">
        <f>IF($F$11='Tabla Parámetros'!$O$3,'Tabla Construcción Fijos'!I170,IF(Simulador!$F$11='Tabla Parámetros'!$O$4,'Tabla Construcción Crecientes'!I170,))</f>
        <v>0</v>
      </c>
      <c r="J538" s="362">
        <f>IF($F$11='Tabla Parámetros'!$O$3,'Tabla Construcción Fijos'!J170,IF(Simulador!$F$11='Tabla Parámetros'!$O$4,'Tabla Construcción Crecientes'!J170,))</f>
        <v>0</v>
      </c>
      <c r="K538" s="362">
        <f>IF($F$11='Tabla Parámetros'!$O$3,'Tabla Construcción Fijos'!K170,IF(Simulador!$F$11='Tabla Parámetros'!$O$4,'Tabla Construcción Crecientes'!K170,))</f>
        <v>0</v>
      </c>
      <c r="L538" s="362">
        <f>IF($F$11='Tabla Parámetros'!$O$3,'Tabla Construcción Fijos'!L170,IF(Simulador!$F$11='Tabla Parámetros'!$O$4,'Tabla Construcción Crecientes'!L170,))</f>
        <v>0</v>
      </c>
      <c r="M538" s="362">
        <f>IF($F$11='Tabla Parámetros'!$O$3,'Tabla Construcción Fijos'!M170,IF(Simulador!$F$11='Tabla Parámetros'!$O$4,'Tabla Construcción Crecientes'!M170,))</f>
        <v>0</v>
      </c>
      <c r="N538" s="391">
        <f>IF($F$11='Tabla Parámetros'!$O$3,'Tabla Construcción Fijos'!N170,IF(Simulador!$F$11='Tabla Parámetros'!$O$4,'Tabla Construcción Crecientes'!N170,))</f>
        <v>0</v>
      </c>
      <c r="O538" s="392"/>
      <c r="P538" s="392">
        <f>'Tabla Construcción Fijos'!P170</f>
        <v>0</v>
      </c>
      <c r="Q538" s="362">
        <f>IF($F$11='Tabla Parámetros'!$O$3,'Tabla Construcción Fijos'!Q170,IF(Simulador!$F$11='Tabla Parámetros'!$O$4,'Tabla Construcción Crecientes'!P170,))</f>
        <v>0</v>
      </c>
      <c r="R538" s="362">
        <f>IF($F$11='Tabla Parámetros'!$O$3,'Tabla Construcción Fijos'!R170,IF(Simulador!$F$11='Tabla Parámetros'!$O$4,'Tabla Construcción Crecientes'!Q170,))</f>
        <v>0</v>
      </c>
      <c r="S538" s="272">
        <f t="shared" si="21"/>
        <v>0</v>
      </c>
    </row>
    <row r="539" spans="2:19" ht="15.5" hidden="1" x14ac:dyDescent="0.35">
      <c r="B539" s="378">
        <f t="shared" si="22"/>
        <v>148</v>
      </c>
      <c r="C539" s="378">
        <f t="shared" si="23"/>
        <v>30.4</v>
      </c>
      <c r="D539" s="379">
        <f>IF($F$11='Tabla Parámetros'!$O$3,'Tabla Construcción Fijos'!D171,IF(Simulador!$F$11='Tabla Parámetros'!$O$4,'Tabla Construcción Crecientes'!D171,))</f>
        <v>0</v>
      </c>
      <c r="E539" s="390"/>
      <c r="F539" s="362">
        <f>IF($F$11='Tabla Parámetros'!$O$3,'Tabla Construcción Fijos'!F171,IF(Simulador!$F$11='Tabla Parámetros'!$O$4,'Tabla Construcción Crecientes'!F171,))</f>
        <v>0</v>
      </c>
      <c r="G539" s="362"/>
      <c r="H539" s="362">
        <f>IF($F$11='Tabla Parámetros'!$O$3,'Tabla Construcción Fijos'!H171,IF(Simulador!$F$11='Tabla Parámetros'!$O$4,'Tabla Construcción Crecientes'!H171,))</f>
        <v>0</v>
      </c>
      <c r="I539" s="362">
        <f>IF($F$11='Tabla Parámetros'!$O$3,'Tabla Construcción Fijos'!I171,IF(Simulador!$F$11='Tabla Parámetros'!$O$4,'Tabla Construcción Crecientes'!I171,))</f>
        <v>0</v>
      </c>
      <c r="J539" s="362">
        <f>IF($F$11='Tabla Parámetros'!$O$3,'Tabla Construcción Fijos'!J171,IF(Simulador!$F$11='Tabla Parámetros'!$O$4,'Tabla Construcción Crecientes'!J171,))</f>
        <v>0</v>
      </c>
      <c r="K539" s="362">
        <f>IF($F$11='Tabla Parámetros'!$O$3,'Tabla Construcción Fijos'!K171,IF(Simulador!$F$11='Tabla Parámetros'!$O$4,'Tabla Construcción Crecientes'!K171,))</f>
        <v>0</v>
      </c>
      <c r="L539" s="362">
        <f>IF($F$11='Tabla Parámetros'!$O$3,'Tabla Construcción Fijos'!L171,IF(Simulador!$F$11='Tabla Parámetros'!$O$4,'Tabla Construcción Crecientes'!L171,))</f>
        <v>0</v>
      </c>
      <c r="M539" s="362">
        <f>IF($F$11='Tabla Parámetros'!$O$3,'Tabla Construcción Fijos'!M171,IF(Simulador!$F$11='Tabla Parámetros'!$O$4,'Tabla Construcción Crecientes'!M171,))</f>
        <v>0</v>
      </c>
      <c r="N539" s="391">
        <f>IF($F$11='Tabla Parámetros'!$O$3,'Tabla Construcción Fijos'!N171,IF(Simulador!$F$11='Tabla Parámetros'!$O$4,'Tabla Construcción Crecientes'!N171,))</f>
        <v>0</v>
      </c>
      <c r="O539" s="392"/>
      <c r="P539" s="392">
        <f>'Tabla Construcción Fijos'!P171</f>
        <v>0</v>
      </c>
      <c r="Q539" s="362">
        <f>IF($F$11='Tabla Parámetros'!$O$3,'Tabla Construcción Fijos'!Q171,IF(Simulador!$F$11='Tabla Parámetros'!$O$4,'Tabla Construcción Crecientes'!P171,))</f>
        <v>0</v>
      </c>
      <c r="R539" s="362">
        <f>IF($F$11='Tabla Parámetros'!$O$3,'Tabla Construcción Fijos'!R171,IF(Simulador!$F$11='Tabla Parámetros'!$O$4,'Tabla Construcción Crecientes'!Q171,))</f>
        <v>0</v>
      </c>
      <c r="S539" s="272">
        <f t="shared" si="21"/>
        <v>0</v>
      </c>
    </row>
    <row r="540" spans="2:19" ht="15.5" hidden="1" x14ac:dyDescent="0.35">
      <c r="B540" s="378">
        <f t="shared" si="22"/>
        <v>149</v>
      </c>
      <c r="C540" s="378">
        <f t="shared" si="23"/>
        <v>30.4</v>
      </c>
      <c r="D540" s="379">
        <f>IF($F$11='Tabla Parámetros'!$O$3,'Tabla Construcción Fijos'!D172,IF(Simulador!$F$11='Tabla Parámetros'!$O$4,'Tabla Construcción Crecientes'!D172,))</f>
        <v>0</v>
      </c>
      <c r="E540" s="390"/>
      <c r="F540" s="362">
        <f>IF($F$11='Tabla Parámetros'!$O$3,'Tabla Construcción Fijos'!F172,IF(Simulador!$F$11='Tabla Parámetros'!$O$4,'Tabla Construcción Crecientes'!F172,))</f>
        <v>0</v>
      </c>
      <c r="G540" s="362"/>
      <c r="H540" s="362">
        <f>IF($F$11='Tabla Parámetros'!$O$3,'Tabla Construcción Fijos'!H172,IF(Simulador!$F$11='Tabla Parámetros'!$O$4,'Tabla Construcción Crecientes'!H172,))</f>
        <v>0</v>
      </c>
      <c r="I540" s="362">
        <f>IF($F$11='Tabla Parámetros'!$O$3,'Tabla Construcción Fijos'!I172,IF(Simulador!$F$11='Tabla Parámetros'!$O$4,'Tabla Construcción Crecientes'!I172,))</f>
        <v>0</v>
      </c>
      <c r="J540" s="362">
        <f>IF($F$11='Tabla Parámetros'!$O$3,'Tabla Construcción Fijos'!J172,IF(Simulador!$F$11='Tabla Parámetros'!$O$4,'Tabla Construcción Crecientes'!J172,))</f>
        <v>0</v>
      </c>
      <c r="K540" s="362">
        <f>IF($F$11='Tabla Parámetros'!$O$3,'Tabla Construcción Fijos'!K172,IF(Simulador!$F$11='Tabla Parámetros'!$O$4,'Tabla Construcción Crecientes'!K172,))</f>
        <v>0</v>
      </c>
      <c r="L540" s="362">
        <f>IF($F$11='Tabla Parámetros'!$O$3,'Tabla Construcción Fijos'!L172,IF(Simulador!$F$11='Tabla Parámetros'!$O$4,'Tabla Construcción Crecientes'!L172,))</f>
        <v>0</v>
      </c>
      <c r="M540" s="362">
        <f>IF($F$11='Tabla Parámetros'!$O$3,'Tabla Construcción Fijos'!M172,IF(Simulador!$F$11='Tabla Parámetros'!$O$4,'Tabla Construcción Crecientes'!M172,))</f>
        <v>0</v>
      </c>
      <c r="N540" s="391">
        <f>IF($F$11='Tabla Parámetros'!$O$3,'Tabla Construcción Fijos'!N172,IF(Simulador!$F$11='Tabla Parámetros'!$O$4,'Tabla Construcción Crecientes'!N172,))</f>
        <v>0</v>
      </c>
      <c r="O540" s="392"/>
      <c r="P540" s="392">
        <f>'Tabla Construcción Fijos'!P172</f>
        <v>0</v>
      </c>
      <c r="Q540" s="362">
        <f>IF($F$11='Tabla Parámetros'!$O$3,'Tabla Construcción Fijos'!Q172,IF(Simulador!$F$11='Tabla Parámetros'!$O$4,'Tabla Construcción Crecientes'!P172,))</f>
        <v>0</v>
      </c>
      <c r="R540" s="362">
        <f>IF($F$11='Tabla Parámetros'!$O$3,'Tabla Construcción Fijos'!R172,IF(Simulador!$F$11='Tabla Parámetros'!$O$4,'Tabla Construcción Crecientes'!Q172,))</f>
        <v>0</v>
      </c>
      <c r="S540" s="272">
        <f t="shared" si="21"/>
        <v>0</v>
      </c>
    </row>
    <row r="541" spans="2:19" ht="15.5" hidden="1" x14ac:dyDescent="0.35">
      <c r="B541" s="378">
        <f t="shared" si="22"/>
        <v>150</v>
      </c>
      <c r="C541" s="378">
        <f t="shared" si="23"/>
        <v>30.4</v>
      </c>
      <c r="D541" s="379">
        <f>IF($F$11='Tabla Parámetros'!$O$3,'Tabla Construcción Fijos'!D173,IF(Simulador!$F$11='Tabla Parámetros'!$O$4,'Tabla Construcción Crecientes'!D173,))</f>
        <v>0</v>
      </c>
      <c r="E541" s="390"/>
      <c r="F541" s="362">
        <f>IF($F$11='Tabla Parámetros'!$O$3,'Tabla Construcción Fijos'!F173,IF(Simulador!$F$11='Tabla Parámetros'!$O$4,'Tabla Construcción Crecientes'!F173,))</f>
        <v>0</v>
      </c>
      <c r="G541" s="362"/>
      <c r="H541" s="362">
        <f>IF($F$11='Tabla Parámetros'!$O$3,'Tabla Construcción Fijos'!H173,IF(Simulador!$F$11='Tabla Parámetros'!$O$4,'Tabla Construcción Crecientes'!H173,))</f>
        <v>0</v>
      </c>
      <c r="I541" s="362">
        <f>IF($F$11='Tabla Parámetros'!$O$3,'Tabla Construcción Fijos'!I173,IF(Simulador!$F$11='Tabla Parámetros'!$O$4,'Tabla Construcción Crecientes'!I173,))</f>
        <v>0</v>
      </c>
      <c r="J541" s="362">
        <f>IF($F$11='Tabla Parámetros'!$O$3,'Tabla Construcción Fijos'!J173,IF(Simulador!$F$11='Tabla Parámetros'!$O$4,'Tabla Construcción Crecientes'!J173,))</f>
        <v>0</v>
      </c>
      <c r="K541" s="362">
        <f>IF($F$11='Tabla Parámetros'!$O$3,'Tabla Construcción Fijos'!K173,IF(Simulador!$F$11='Tabla Parámetros'!$O$4,'Tabla Construcción Crecientes'!K173,))</f>
        <v>0</v>
      </c>
      <c r="L541" s="362">
        <f>IF($F$11='Tabla Parámetros'!$O$3,'Tabla Construcción Fijos'!L173,IF(Simulador!$F$11='Tabla Parámetros'!$O$4,'Tabla Construcción Crecientes'!L173,))</f>
        <v>0</v>
      </c>
      <c r="M541" s="362">
        <f>IF($F$11='Tabla Parámetros'!$O$3,'Tabla Construcción Fijos'!M173,IF(Simulador!$F$11='Tabla Parámetros'!$O$4,'Tabla Construcción Crecientes'!M173,))</f>
        <v>0</v>
      </c>
      <c r="N541" s="391">
        <f>IF($F$11='Tabla Parámetros'!$O$3,'Tabla Construcción Fijos'!N173,IF(Simulador!$F$11='Tabla Parámetros'!$O$4,'Tabla Construcción Crecientes'!N173,))</f>
        <v>0</v>
      </c>
      <c r="O541" s="392"/>
      <c r="P541" s="392">
        <f>'Tabla Construcción Fijos'!P173</f>
        <v>0</v>
      </c>
      <c r="Q541" s="362">
        <f>IF($F$11='Tabla Parámetros'!$O$3,'Tabla Construcción Fijos'!Q173,IF(Simulador!$F$11='Tabla Parámetros'!$O$4,'Tabla Construcción Crecientes'!P173,))</f>
        <v>0</v>
      </c>
      <c r="R541" s="362">
        <f>IF($F$11='Tabla Parámetros'!$O$3,'Tabla Construcción Fijos'!R173,IF(Simulador!$F$11='Tabla Parámetros'!$O$4,'Tabla Construcción Crecientes'!Q173,))</f>
        <v>0</v>
      </c>
      <c r="S541" s="272">
        <f t="shared" si="21"/>
        <v>0</v>
      </c>
    </row>
    <row r="542" spans="2:19" ht="15.5" hidden="1" x14ac:dyDescent="0.35">
      <c r="B542" s="378">
        <f t="shared" si="22"/>
        <v>151</v>
      </c>
      <c r="C542" s="378">
        <f t="shared" si="23"/>
        <v>30.4</v>
      </c>
      <c r="D542" s="379">
        <f>IF($F$11='Tabla Parámetros'!$O$3,'Tabla Construcción Fijos'!D174,IF(Simulador!$F$11='Tabla Parámetros'!$O$4,'Tabla Construcción Crecientes'!D174,))</f>
        <v>0</v>
      </c>
      <c r="E542" s="390"/>
      <c r="F542" s="362">
        <f>IF($F$11='Tabla Parámetros'!$O$3,'Tabla Construcción Fijos'!F174,IF(Simulador!$F$11='Tabla Parámetros'!$O$4,'Tabla Construcción Crecientes'!F174,))</f>
        <v>0</v>
      </c>
      <c r="G542" s="362"/>
      <c r="H542" s="362">
        <f>IF($F$11='Tabla Parámetros'!$O$3,'Tabla Construcción Fijos'!H174,IF(Simulador!$F$11='Tabla Parámetros'!$O$4,'Tabla Construcción Crecientes'!H174,))</f>
        <v>0</v>
      </c>
      <c r="I542" s="362">
        <f>IF($F$11='Tabla Parámetros'!$O$3,'Tabla Construcción Fijos'!I174,IF(Simulador!$F$11='Tabla Parámetros'!$O$4,'Tabla Construcción Crecientes'!I174,))</f>
        <v>0</v>
      </c>
      <c r="J542" s="362">
        <f>IF($F$11='Tabla Parámetros'!$O$3,'Tabla Construcción Fijos'!J174,IF(Simulador!$F$11='Tabla Parámetros'!$O$4,'Tabla Construcción Crecientes'!J174,))</f>
        <v>0</v>
      </c>
      <c r="K542" s="362">
        <f>IF($F$11='Tabla Parámetros'!$O$3,'Tabla Construcción Fijos'!K174,IF(Simulador!$F$11='Tabla Parámetros'!$O$4,'Tabla Construcción Crecientes'!K174,))</f>
        <v>0</v>
      </c>
      <c r="L542" s="362">
        <f>IF($F$11='Tabla Parámetros'!$O$3,'Tabla Construcción Fijos'!L174,IF(Simulador!$F$11='Tabla Parámetros'!$O$4,'Tabla Construcción Crecientes'!L174,))</f>
        <v>0</v>
      </c>
      <c r="M542" s="362">
        <f>IF($F$11='Tabla Parámetros'!$O$3,'Tabla Construcción Fijos'!M174,IF(Simulador!$F$11='Tabla Parámetros'!$O$4,'Tabla Construcción Crecientes'!M174,))</f>
        <v>0</v>
      </c>
      <c r="N542" s="391">
        <f>IF($F$11='Tabla Parámetros'!$O$3,'Tabla Construcción Fijos'!N174,IF(Simulador!$F$11='Tabla Parámetros'!$O$4,'Tabla Construcción Crecientes'!N174,))</f>
        <v>0</v>
      </c>
      <c r="O542" s="392"/>
      <c r="P542" s="392">
        <f>'Tabla Construcción Fijos'!P174</f>
        <v>0</v>
      </c>
      <c r="Q542" s="362">
        <f>IF($F$11='Tabla Parámetros'!$O$3,'Tabla Construcción Fijos'!Q174,IF(Simulador!$F$11='Tabla Parámetros'!$O$4,'Tabla Construcción Crecientes'!P174,))</f>
        <v>0</v>
      </c>
      <c r="R542" s="362">
        <f>IF($F$11='Tabla Parámetros'!$O$3,'Tabla Construcción Fijos'!R174,IF(Simulador!$F$11='Tabla Parámetros'!$O$4,'Tabla Construcción Crecientes'!Q174,))</f>
        <v>0</v>
      </c>
      <c r="S542" s="272">
        <f t="shared" si="21"/>
        <v>0</v>
      </c>
    </row>
    <row r="543" spans="2:19" ht="15.5" hidden="1" x14ac:dyDescent="0.35">
      <c r="B543" s="378">
        <f t="shared" si="22"/>
        <v>152</v>
      </c>
      <c r="C543" s="378">
        <f t="shared" si="23"/>
        <v>30.4</v>
      </c>
      <c r="D543" s="379">
        <f>IF($F$11='Tabla Parámetros'!$O$3,'Tabla Construcción Fijos'!D175,IF(Simulador!$F$11='Tabla Parámetros'!$O$4,'Tabla Construcción Crecientes'!D175,))</f>
        <v>0</v>
      </c>
      <c r="E543" s="390"/>
      <c r="F543" s="362">
        <f>IF($F$11='Tabla Parámetros'!$O$3,'Tabla Construcción Fijos'!F175,IF(Simulador!$F$11='Tabla Parámetros'!$O$4,'Tabla Construcción Crecientes'!F175,))</f>
        <v>0</v>
      </c>
      <c r="G543" s="362"/>
      <c r="H543" s="362">
        <f>IF($F$11='Tabla Parámetros'!$O$3,'Tabla Construcción Fijos'!H175,IF(Simulador!$F$11='Tabla Parámetros'!$O$4,'Tabla Construcción Crecientes'!H175,))</f>
        <v>0</v>
      </c>
      <c r="I543" s="362">
        <f>IF($F$11='Tabla Parámetros'!$O$3,'Tabla Construcción Fijos'!I175,IF(Simulador!$F$11='Tabla Parámetros'!$O$4,'Tabla Construcción Crecientes'!I175,))</f>
        <v>0</v>
      </c>
      <c r="J543" s="362">
        <f>IF($F$11='Tabla Parámetros'!$O$3,'Tabla Construcción Fijos'!J175,IF(Simulador!$F$11='Tabla Parámetros'!$O$4,'Tabla Construcción Crecientes'!J175,))</f>
        <v>0</v>
      </c>
      <c r="K543" s="362">
        <f>IF($F$11='Tabla Parámetros'!$O$3,'Tabla Construcción Fijos'!K175,IF(Simulador!$F$11='Tabla Parámetros'!$O$4,'Tabla Construcción Crecientes'!K175,))</f>
        <v>0</v>
      </c>
      <c r="L543" s="362">
        <f>IF($F$11='Tabla Parámetros'!$O$3,'Tabla Construcción Fijos'!L175,IF(Simulador!$F$11='Tabla Parámetros'!$O$4,'Tabla Construcción Crecientes'!L175,))</f>
        <v>0</v>
      </c>
      <c r="M543" s="362">
        <f>IF($F$11='Tabla Parámetros'!$O$3,'Tabla Construcción Fijos'!M175,IF(Simulador!$F$11='Tabla Parámetros'!$O$4,'Tabla Construcción Crecientes'!M175,))</f>
        <v>0</v>
      </c>
      <c r="N543" s="391">
        <f>IF($F$11='Tabla Parámetros'!$O$3,'Tabla Construcción Fijos'!N175,IF(Simulador!$F$11='Tabla Parámetros'!$O$4,'Tabla Construcción Crecientes'!N175,))</f>
        <v>0</v>
      </c>
      <c r="O543" s="392"/>
      <c r="P543" s="392">
        <f>'Tabla Construcción Fijos'!P175</f>
        <v>0</v>
      </c>
      <c r="Q543" s="362">
        <f>IF($F$11='Tabla Parámetros'!$O$3,'Tabla Construcción Fijos'!Q175,IF(Simulador!$F$11='Tabla Parámetros'!$O$4,'Tabla Construcción Crecientes'!P175,))</f>
        <v>0</v>
      </c>
      <c r="R543" s="362">
        <f>IF($F$11='Tabla Parámetros'!$O$3,'Tabla Construcción Fijos'!R175,IF(Simulador!$F$11='Tabla Parámetros'!$O$4,'Tabla Construcción Crecientes'!Q175,))</f>
        <v>0</v>
      </c>
      <c r="S543" s="272">
        <f t="shared" si="21"/>
        <v>0</v>
      </c>
    </row>
    <row r="544" spans="2:19" ht="15.5" hidden="1" x14ac:dyDescent="0.35">
      <c r="B544" s="378">
        <f t="shared" si="22"/>
        <v>153</v>
      </c>
      <c r="C544" s="378">
        <f t="shared" si="23"/>
        <v>30.4</v>
      </c>
      <c r="D544" s="379">
        <f>IF($F$11='Tabla Parámetros'!$O$3,'Tabla Construcción Fijos'!D176,IF(Simulador!$F$11='Tabla Parámetros'!$O$4,'Tabla Construcción Crecientes'!D176,))</f>
        <v>0</v>
      </c>
      <c r="E544" s="390"/>
      <c r="F544" s="362">
        <f>IF($F$11='Tabla Parámetros'!$O$3,'Tabla Construcción Fijos'!F176,IF(Simulador!$F$11='Tabla Parámetros'!$O$4,'Tabla Construcción Crecientes'!F176,))</f>
        <v>0</v>
      </c>
      <c r="G544" s="362"/>
      <c r="H544" s="362">
        <f>IF($F$11='Tabla Parámetros'!$O$3,'Tabla Construcción Fijos'!H176,IF(Simulador!$F$11='Tabla Parámetros'!$O$4,'Tabla Construcción Crecientes'!H176,))</f>
        <v>0</v>
      </c>
      <c r="I544" s="362">
        <f>IF($F$11='Tabla Parámetros'!$O$3,'Tabla Construcción Fijos'!I176,IF(Simulador!$F$11='Tabla Parámetros'!$O$4,'Tabla Construcción Crecientes'!I176,))</f>
        <v>0</v>
      </c>
      <c r="J544" s="362">
        <f>IF($F$11='Tabla Parámetros'!$O$3,'Tabla Construcción Fijos'!J176,IF(Simulador!$F$11='Tabla Parámetros'!$O$4,'Tabla Construcción Crecientes'!J176,))</f>
        <v>0</v>
      </c>
      <c r="K544" s="362">
        <f>IF($F$11='Tabla Parámetros'!$O$3,'Tabla Construcción Fijos'!K176,IF(Simulador!$F$11='Tabla Parámetros'!$O$4,'Tabla Construcción Crecientes'!K176,))</f>
        <v>0</v>
      </c>
      <c r="L544" s="362">
        <f>IF($F$11='Tabla Parámetros'!$O$3,'Tabla Construcción Fijos'!L176,IF(Simulador!$F$11='Tabla Parámetros'!$O$4,'Tabla Construcción Crecientes'!L176,))</f>
        <v>0</v>
      </c>
      <c r="M544" s="362">
        <f>IF($F$11='Tabla Parámetros'!$O$3,'Tabla Construcción Fijos'!M176,IF(Simulador!$F$11='Tabla Parámetros'!$O$4,'Tabla Construcción Crecientes'!M176,))</f>
        <v>0</v>
      </c>
      <c r="N544" s="391">
        <f>IF($F$11='Tabla Parámetros'!$O$3,'Tabla Construcción Fijos'!N176,IF(Simulador!$F$11='Tabla Parámetros'!$O$4,'Tabla Construcción Crecientes'!N176,))</f>
        <v>0</v>
      </c>
      <c r="O544" s="392"/>
      <c r="P544" s="392">
        <f>'Tabla Construcción Fijos'!P176</f>
        <v>0</v>
      </c>
      <c r="Q544" s="362">
        <f>IF($F$11='Tabla Parámetros'!$O$3,'Tabla Construcción Fijos'!Q176,IF(Simulador!$F$11='Tabla Parámetros'!$O$4,'Tabla Construcción Crecientes'!P176,))</f>
        <v>0</v>
      </c>
      <c r="R544" s="362">
        <f>IF($F$11='Tabla Parámetros'!$O$3,'Tabla Construcción Fijos'!R176,IF(Simulador!$F$11='Tabla Parámetros'!$O$4,'Tabla Construcción Crecientes'!Q176,))</f>
        <v>0</v>
      </c>
      <c r="S544" s="272">
        <f t="shared" si="21"/>
        <v>0</v>
      </c>
    </row>
    <row r="545" spans="2:19" ht="15.5" hidden="1" x14ac:dyDescent="0.35">
      <c r="B545" s="378">
        <f t="shared" si="22"/>
        <v>154</v>
      </c>
      <c r="C545" s="378">
        <f t="shared" si="23"/>
        <v>30.4</v>
      </c>
      <c r="D545" s="379">
        <f>IF($F$11='Tabla Parámetros'!$O$3,'Tabla Construcción Fijos'!D177,IF(Simulador!$F$11='Tabla Parámetros'!$O$4,'Tabla Construcción Crecientes'!D177,))</f>
        <v>0</v>
      </c>
      <c r="E545" s="390"/>
      <c r="F545" s="362">
        <f>IF($F$11='Tabla Parámetros'!$O$3,'Tabla Construcción Fijos'!F177,IF(Simulador!$F$11='Tabla Parámetros'!$O$4,'Tabla Construcción Crecientes'!F177,))</f>
        <v>0</v>
      </c>
      <c r="G545" s="362"/>
      <c r="H545" s="362">
        <f>IF($F$11='Tabla Parámetros'!$O$3,'Tabla Construcción Fijos'!H177,IF(Simulador!$F$11='Tabla Parámetros'!$O$4,'Tabla Construcción Crecientes'!H177,))</f>
        <v>0</v>
      </c>
      <c r="I545" s="362">
        <f>IF($F$11='Tabla Parámetros'!$O$3,'Tabla Construcción Fijos'!I177,IF(Simulador!$F$11='Tabla Parámetros'!$O$4,'Tabla Construcción Crecientes'!I177,))</f>
        <v>0</v>
      </c>
      <c r="J545" s="362">
        <f>IF($F$11='Tabla Parámetros'!$O$3,'Tabla Construcción Fijos'!J177,IF(Simulador!$F$11='Tabla Parámetros'!$O$4,'Tabla Construcción Crecientes'!J177,))</f>
        <v>0</v>
      </c>
      <c r="K545" s="362">
        <f>IF($F$11='Tabla Parámetros'!$O$3,'Tabla Construcción Fijos'!K177,IF(Simulador!$F$11='Tabla Parámetros'!$O$4,'Tabla Construcción Crecientes'!K177,))</f>
        <v>0</v>
      </c>
      <c r="L545" s="362">
        <f>IF($F$11='Tabla Parámetros'!$O$3,'Tabla Construcción Fijos'!L177,IF(Simulador!$F$11='Tabla Parámetros'!$O$4,'Tabla Construcción Crecientes'!L177,))</f>
        <v>0</v>
      </c>
      <c r="M545" s="362">
        <f>IF($F$11='Tabla Parámetros'!$O$3,'Tabla Construcción Fijos'!M177,IF(Simulador!$F$11='Tabla Parámetros'!$O$4,'Tabla Construcción Crecientes'!M177,))</f>
        <v>0</v>
      </c>
      <c r="N545" s="391">
        <f>IF($F$11='Tabla Parámetros'!$O$3,'Tabla Construcción Fijos'!N177,IF(Simulador!$F$11='Tabla Parámetros'!$O$4,'Tabla Construcción Crecientes'!N177,))</f>
        <v>0</v>
      </c>
      <c r="O545" s="392"/>
      <c r="P545" s="392">
        <f>'Tabla Construcción Fijos'!P177</f>
        <v>0</v>
      </c>
      <c r="Q545" s="362">
        <f>IF($F$11='Tabla Parámetros'!$O$3,'Tabla Construcción Fijos'!Q177,IF(Simulador!$F$11='Tabla Parámetros'!$O$4,'Tabla Construcción Crecientes'!P177,))</f>
        <v>0</v>
      </c>
      <c r="R545" s="362">
        <f>IF($F$11='Tabla Parámetros'!$O$3,'Tabla Construcción Fijos'!R177,IF(Simulador!$F$11='Tabla Parámetros'!$O$4,'Tabla Construcción Crecientes'!Q177,))</f>
        <v>0</v>
      </c>
      <c r="S545" s="272">
        <f t="shared" si="21"/>
        <v>0</v>
      </c>
    </row>
    <row r="546" spans="2:19" ht="15.5" hidden="1" x14ac:dyDescent="0.35">
      <c r="B546" s="378">
        <f t="shared" si="22"/>
        <v>155</v>
      </c>
      <c r="C546" s="378">
        <f t="shared" si="23"/>
        <v>30.4</v>
      </c>
      <c r="D546" s="379">
        <f>IF($F$11='Tabla Parámetros'!$O$3,'Tabla Construcción Fijos'!D178,IF(Simulador!$F$11='Tabla Parámetros'!$O$4,'Tabla Construcción Crecientes'!D178,))</f>
        <v>0</v>
      </c>
      <c r="E546" s="390"/>
      <c r="F546" s="362">
        <f>IF($F$11='Tabla Parámetros'!$O$3,'Tabla Construcción Fijos'!F178,IF(Simulador!$F$11='Tabla Parámetros'!$O$4,'Tabla Construcción Crecientes'!F178,))</f>
        <v>0</v>
      </c>
      <c r="G546" s="362"/>
      <c r="H546" s="362">
        <f>IF($F$11='Tabla Parámetros'!$O$3,'Tabla Construcción Fijos'!H178,IF(Simulador!$F$11='Tabla Parámetros'!$O$4,'Tabla Construcción Crecientes'!H178,))</f>
        <v>0</v>
      </c>
      <c r="I546" s="362">
        <f>IF($F$11='Tabla Parámetros'!$O$3,'Tabla Construcción Fijos'!I178,IF(Simulador!$F$11='Tabla Parámetros'!$O$4,'Tabla Construcción Crecientes'!I178,))</f>
        <v>0</v>
      </c>
      <c r="J546" s="362">
        <f>IF($F$11='Tabla Parámetros'!$O$3,'Tabla Construcción Fijos'!J178,IF(Simulador!$F$11='Tabla Parámetros'!$O$4,'Tabla Construcción Crecientes'!J178,))</f>
        <v>0</v>
      </c>
      <c r="K546" s="362">
        <f>IF($F$11='Tabla Parámetros'!$O$3,'Tabla Construcción Fijos'!K178,IF(Simulador!$F$11='Tabla Parámetros'!$O$4,'Tabla Construcción Crecientes'!K178,))</f>
        <v>0</v>
      </c>
      <c r="L546" s="362">
        <f>IF($F$11='Tabla Parámetros'!$O$3,'Tabla Construcción Fijos'!L178,IF(Simulador!$F$11='Tabla Parámetros'!$O$4,'Tabla Construcción Crecientes'!L178,))</f>
        <v>0</v>
      </c>
      <c r="M546" s="362">
        <f>IF($F$11='Tabla Parámetros'!$O$3,'Tabla Construcción Fijos'!M178,IF(Simulador!$F$11='Tabla Parámetros'!$O$4,'Tabla Construcción Crecientes'!M178,))</f>
        <v>0</v>
      </c>
      <c r="N546" s="391">
        <f>IF($F$11='Tabla Parámetros'!$O$3,'Tabla Construcción Fijos'!N178,IF(Simulador!$F$11='Tabla Parámetros'!$O$4,'Tabla Construcción Crecientes'!N178,))</f>
        <v>0</v>
      </c>
      <c r="O546" s="392"/>
      <c r="P546" s="392">
        <f>'Tabla Construcción Fijos'!P178</f>
        <v>0</v>
      </c>
      <c r="Q546" s="362">
        <f>IF($F$11='Tabla Parámetros'!$O$3,'Tabla Construcción Fijos'!Q178,IF(Simulador!$F$11='Tabla Parámetros'!$O$4,'Tabla Construcción Crecientes'!P178,))</f>
        <v>0</v>
      </c>
      <c r="R546" s="362">
        <f>IF($F$11='Tabla Parámetros'!$O$3,'Tabla Construcción Fijos'!R178,IF(Simulador!$F$11='Tabla Parámetros'!$O$4,'Tabla Construcción Crecientes'!Q178,))</f>
        <v>0</v>
      </c>
      <c r="S546" s="272">
        <f t="shared" si="21"/>
        <v>0</v>
      </c>
    </row>
    <row r="547" spans="2:19" ht="15.5" hidden="1" x14ac:dyDescent="0.35">
      <c r="B547" s="378">
        <f t="shared" si="22"/>
        <v>156</v>
      </c>
      <c r="C547" s="378">
        <f t="shared" si="23"/>
        <v>30.4</v>
      </c>
      <c r="D547" s="379">
        <f>IF($F$11='Tabla Parámetros'!$O$3,'Tabla Construcción Fijos'!D179,IF(Simulador!$F$11='Tabla Parámetros'!$O$4,'Tabla Construcción Crecientes'!D179,))</f>
        <v>0</v>
      </c>
      <c r="E547" s="390"/>
      <c r="F547" s="362">
        <f>IF($F$11='Tabla Parámetros'!$O$3,'Tabla Construcción Fijos'!F179,IF(Simulador!$F$11='Tabla Parámetros'!$O$4,'Tabla Construcción Crecientes'!F179,))</f>
        <v>0</v>
      </c>
      <c r="G547" s="362"/>
      <c r="H547" s="362">
        <f>IF($F$11='Tabla Parámetros'!$O$3,'Tabla Construcción Fijos'!H179,IF(Simulador!$F$11='Tabla Parámetros'!$O$4,'Tabla Construcción Crecientes'!H179,))</f>
        <v>0</v>
      </c>
      <c r="I547" s="362">
        <f>IF($F$11='Tabla Parámetros'!$O$3,'Tabla Construcción Fijos'!I179,IF(Simulador!$F$11='Tabla Parámetros'!$O$4,'Tabla Construcción Crecientes'!I179,))</f>
        <v>0</v>
      </c>
      <c r="J547" s="362">
        <f>IF($F$11='Tabla Parámetros'!$O$3,'Tabla Construcción Fijos'!J179,IF(Simulador!$F$11='Tabla Parámetros'!$O$4,'Tabla Construcción Crecientes'!J179,))</f>
        <v>0</v>
      </c>
      <c r="K547" s="362">
        <f>IF($F$11='Tabla Parámetros'!$O$3,'Tabla Construcción Fijos'!K179,IF(Simulador!$F$11='Tabla Parámetros'!$O$4,'Tabla Construcción Crecientes'!K179,))</f>
        <v>0</v>
      </c>
      <c r="L547" s="362">
        <f>IF($F$11='Tabla Parámetros'!$O$3,'Tabla Construcción Fijos'!L179,IF(Simulador!$F$11='Tabla Parámetros'!$O$4,'Tabla Construcción Crecientes'!L179,))</f>
        <v>0</v>
      </c>
      <c r="M547" s="362">
        <f>IF($F$11='Tabla Parámetros'!$O$3,'Tabla Construcción Fijos'!M179,IF(Simulador!$F$11='Tabla Parámetros'!$O$4,'Tabla Construcción Crecientes'!M179,))</f>
        <v>0</v>
      </c>
      <c r="N547" s="391">
        <f>IF($F$11='Tabla Parámetros'!$O$3,'Tabla Construcción Fijos'!N179,IF(Simulador!$F$11='Tabla Parámetros'!$O$4,'Tabla Construcción Crecientes'!N179,))</f>
        <v>0</v>
      </c>
      <c r="O547" s="392"/>
      <c r="P547" s="392">
        <f>'Tabla Construcción Fijos'!P179</f>
        <v>0</v>
      </c>
      <c r="Q547" s="362">
        <f>IF($F$11='Tabla Parámetros'!$O$3,'Tabla Construcción Fijos'!Q179,IF(Simulador!$F$11='Tabla Parámetros'!$O$4,'Tabla Construcción Crecientes'!P179,))</f>
        <v>0</v>
      </c>
      <c r="R547" s="362">
        <f>IF($F$11='Tabla Parámetros'!$O$3,'Tabla Construcción Fijos'!R179,IF(Simulador!$F$11='Tabla Parámetros'!$O$4,'Tabla Construcción Crecientes'!Q179,))</f>
        <v>0</v>
      </c>
      <c r="S547" s="272">
        <f t="shared" si="21"/>
        <v>0</v>
      </c>
    </row>
    <row r="548" spans="2:19" ht="15.5" hidden="1" x14ac:dyDescent="0.35">
      <c r="B548" s="378">
        <f t="shared" si="22"/>
        <v>157</v>
      </c>
      <c r="C548" s="378">
        <f t="shared" si="23"/>
        <v>30.4</v>
      </c>
      <c r="D548" s="379">
        <f>IF($F$11='Tabla Parámetros'!$O$3,'Tabla Construcción Fijos'!D180,IF(Simulador!$F$11='Tabla Parámetros'!$O$4,'Tabla Construcción Crecientes'!D180,))</f>
        <v>0</v>
      </c>
      <c r="E548" s="390"/>
      <c r="F548" s="362">
        <f>IF($F$11='Tabla Parámetros'!$O$3,'Tabla Construcción Fijos'!F180,IF(Simulador!$F$11='Tabla Parámetros'!$O$4,'Tabla Construcción Crecientes'!F180,))</f>
        <v>0</v>
      </c>
      <c r="G548" s="362"/>
      <c r="H548" s="362">
        <f>IF($F$11='Tabla Parámetros'!$O$3,'Tabla Construcción Fijos'!H180,IF(Simulador!$F$11='Tabla Parámetros'!$O$4,'Tabla Construcción Crecientes'!H180,))</f>
        <v>0</v>
      </c>
      <c r="I548" s="362">
        <f>IF($F$11='Tabla Parámetros'!$O$3,'Tabla Construcción Fijos'!I180,IF(Simulador!$F$11='Tabla Parámetros'!$O$4,'Tabla Construcción Crecientes'!I180,))</f>
        <v>0</v>
      </c>
      <c r="J548" s="362">
        <f>IF($F$11='Tabla Parámetros'!$O$3,'Tabla Construcción Fijos'!J180,IF(Simulador!$F$11='Tabla Parámetros'!$O$4,'Tabla Construcción Crecientes'!J180,))</f>
        <v>0</v>
      </c>
      <c r="K548" s="362">
        <f>IF($F$11='Tabla Parámetros'!$O$3,'Tabla Construcción Fijos'!K180,IF(Simulador!$F$11='Tabla Parámetros'!$O$4,'Tabla Construcción Crecientes'!K180,))</f>
        <v>0</v>
      </c>
      <c r="L548" s="362">
        <f>IF($F$11='Tabla Parámetros'!$O$3,'Tabla Construcción Fijos'!L180,IF(Simulador!$F$11='Tabla Parámetros'!$O$4,'Tabla Construcción Crecientes'!L180,))</f>
        <v>0</v>
      </c>
      <c r="M548" s="362">
        <f>IF($F$11='Tabla Parámetros'!$O$3,'Tabla Construcción Fijos'!M180,IF(Simulador!$F$11='Tabla Parámetros'!$O$4,'Tabla Construcción Crecientes'!M180,))</f>
        <v>0</v>
      </c>
      <c r="N548" s="391">
        <f>IF($F$11='Tabla Parámetros'!$O$3,'Tabla Construcción Fijos'!N180,IF(Simulador!$F$11='Tabla Parámetros'!$O$4,'Tabla Construcción Crecientes'!N180,))</f>
        <v>0</v>
      </c>
      <c r="O548" s="392"/>
      <c r="P548" s="392">
        <f>'Tabla Construcción Fijos'!P180</f>
        <v>0</v>
      </c>
      <c r="Q548" s="362">
        <f>IF($F$11='Tabla Parámetros'!$O$3,'Tabla Construcción Fijos'!Q180,IF(Simulador!$F$11='Tabla Parámetros'!$O$4,'Tabla Construcción Crecientes'!P180,))</f>
        <v>0</v>
      </c>
      <c r="R548" s="362">
        <f>IF($F$11='Tabla Parámetros'!$O$3,'Tabla Construcción Fijos'!R180,IF(Simulador!$F$11='Tabla Parámetros'!$O$4,'Tabla Construcción Crecientes'!Q180,))</f>
        <v>0</v>
      </c>
      <c r="S548" s="272">
        <f t="shared" si="21"/>
        <v>0</v>
      </c>
    </row>
    <row r="549" spans="2:19" ht="15.5" hidden="1" x14ac:dyDescent="0.35">
      <c r="B549" s="378">
        <f t="shared" si="22"/>
        <v>158</v>
      </c>
      <c r="C549" s="378">
        <f t="shared" si="23"/>
        <v>30.4</v>
      </c>
      <c r="D549" s="379">
        <f>IF($F$11='Tabla Parámetros'!$O$3,'Tabla Construcción Fijos'!D181,IF(Simulador!$F$11='Tabla Parámetros'!$O$4,'Tabla Construcción Crecientes'!D181,))</f>
        <v>0</v>
      </c>
      <c r="E549" s="390"/>
      <c r="F549" s="362">
        <f>IF($F$11='Tabla Parámetros'!$O$3,'Tabla Construcción Fijos'!F181,IF(Simulador!$F$11='Tabla Parámetros'!$O$4,'Tabla Construcción Crecientes'!F181,))</f>
        <v>0</v>
      </c>
      <c r="G549" s="362"/>
      <c r="H549" s="362">
        <f>IF($F$11='Tabla Parámetros'!$O$3,'Tabla Construcción Fijos'!H181,IF(Simulador!$F$11='Tabla Parámetros'!$O$4,'Tabla Construcción Crecientes'!H181,))</f>
        <v>0</v>
      </c>
      <c r="I549" s="362">
        <f>IF($F$11='Tabla Parámetros'!$O$3,'Tabla Construcción Fijos'!I181,IF(Simulador!$F$11='Tabla Parámetros'!$O$4,'Tabla Construcción Crecientes'!I181,))</f>
        <v>0</v>
      </c>
      <c r="J549" s="362">
        <f>IF($F$11='Tabla Parámetros'!$O$3,'Tabla Construcción Fijos'!J181,IF(Simulador!$F$11='Tabla Parámetros'!$O$4,'Tabla Construcción Crecientes'!J181,))</f>
        <v>0</v>
      </c>
      <c r="K549" s="362">
        <f>IF($F$11='Tabla Parámetros'!$O$3,'Tabla Construcción Fijos'!K181,IF(Simulador!$F$11='Tabla Parámetros'!$O$4,'Tabla Construcción Crecientes'!K181,))</f>
        <v>0</v>
      </c>
      <c r="L549" s="362">
        <f>IF($F$11='Tabla Parámetros'!$O$3,'Tabla Construcción Fijos'!L181,IF(Simulador!$F$11='Tabla Parámetros'!$O$4,'Tabla Construcción Crecientes'!L181,))</f>
        <v>0</v>
      </c>
      <c r="M549" s="362">
        <f>IF($F$11='Tabla Parámetros'!$O$3,'Tabla Construcción Fijos'!M181,IF(Simulador!$F$11='Tabla Parámetros'!$O$4,'Tabla Construcción Crecientes'!M181,))</f>
        <v>0</v>
      </c>
      <c r="N549" s="391">
        <f>IF($F$11='Tabla Parámetros'!$O$3,'Tabla Construcción Fijos'!N181,IF(Simulador!$F$11='Tabla Parámetros'!$O$4,'Tabla Construcción Crecientes'!N181,))</f>
        <v>0</v>
      </c>
      <c r="O549" s="392"/>
      <c r="P549" s="392">
        <f>'Tabla Construcción Fijos'!P181</f>
        <v>0</v>
      </c>
      <c r="Q549" s="362">
        <f>IF($F$11='Tabla Parámetros'!$O$3,'Tabla Construcción Fijos'!Q181,IF(Simulador!$F$11='Tabla Parámetros'!$O$4,'Tabla Construcción Crecientes'!P181,))</f>
        <v>0</v>
      </c>
      <c r="R549" s="362">
        <f>IF($F$11='Tabla Parámetros'!$O$3,'Tabla Construcción Fijos'!R181,IF(Simulador!$F$11='Tabla Parámetros'!$O$4,'Tabla Construcción Crecientes'!Q181,))</f>
        <v>0</v>
      </c>
      <c r="S549" s="272">
        <f t="shared" si="21"/>
        <v>0</v>
      </c>
    </row>
    <row r="550" spans="2:19" ht="15.5" hidden="1" x14ac:dyDescent="0.35">
      <c r="B550" s="378">
        <f t="shared" si="22"/>
        <v>159</v>
      </c>
      <c r="C550" s="378">
        <f t="shared" si="23"/>
        <v>30.4</v>
      </c>
      <c r="D550" s="379">
        <f>IF($F$11='Tabla Parámetros'!$O$3,'Tabla Construcción Fijos'!D182,IF(Simulador!$F$11='Tabla Parámetros'!$O$4,'Tabla Construcción Crecientes'!D182,))</f>
        <v>0</v>
      </c>
      <c r="E550" s="390"/>
      <c r="F550" s="362">
        <f>IF($F$11='Tabla Parámetros'!$O$3,'Tabla Construcción Fijos'!F182,IF(Simulador!$F$11='Tabla Parámetros'!$O$4,'Tabla Construcción Crecientes'!F182,))</f>
        <v>0</v>
      </c>
      <c r="G550" s="362"/>
      <c r="H550" s="362">
        <f>IF($F$11='Tabla Parámetros'!$O$3,'Tabla Construcción Fijos'!H182,IF(Simulador!$F$11='Tabla Parámetros'!$O$4,'Tabla Construcción Crecientes'!H182,))</f>
        <v>0</v>
      </c>
      <c r="I550" s="362">
        <f>IF($F$11='Tabla Parámetros'!$O$3,'Tabla Construcción Fijos'!I182,IF(Simulador!$F$11='Tabla Parámetros'!$O$4,'Tabla Construcción Crecientes'!I182,))</f>
        <v>0</v>
      </c>
      <c r="J550" s="362">
        <f>IF($F$11='Tabla Parámetros'!$O$3,'Tabla Construcción Fijos'!J182,IF(Simulador!$F$11='Tabla Parámetros'!$O$4,'Tabla Construcción Crecientes'!J182,))</f>
        <v>0</v>
      </c>
      <c r="K550" s="362">
        <f>IF($F$11='Tabla Parámetros'!$O$3,'Tabla Construcción Fijos'!K182,IF(Simulador!$F$11='Tabla Parámetros'!$O$4,'Tabla Construcción Crecientes'!K182,))</f>
        <v>0</v>
      </c>
      <c r="L550" s="362">
        <f>IF($F$11='Tabla Parámetros'!$O$3,'Tabla Construcción Fijos'!L182,IF(Simulador!$F$11='Tabla Parámetros'!$O$4,'Tabla Construcción Crecientes'!L182,))</f>
        <v>0</v>
      </c>
      <c r="M550" s="362">
        <f>IF($F$11='Tabla Parámetros'!$O$3,'Tabla Construcción Fijos'!M182,IF(Simulador!$F$11='Tabla Parámetros'!$O$4,'Tabla Construcción Crecientes'!M182,))</f>
        <v>0</v>
      </c>
      <c r="N550" s="391">
        <f>IF($F$11='Tabla Parámetros'!$O$3,'Tabla Construcción Fijos'!N182,IF(Simulador!$F$11='Tabla Parámetros'!$O$4,'Tabla Construcción Crecientes'!N182,))</f>
        <v>0</v>
      </c>
      <c r="O550" s="392"/>
      <c r="P550" s="392">
        <f>'Tabla Construcción Fijos'!P182</f>
        <v>0</v>
      </c>
      <c r="Q550" s="362">
        <f>IF($F$11='Tabla Parámetros'!$O$3,'Tabla Construcción Fijos'!Q182,IF(Simulador!$F$11='Tabla Parámetros'!$O$4,'Tabla Construcción Crecientes'!P182,))</f>
        <v>0</v>
      </c>
      <c r="R550" s="362">
        <f>IF($F$11='Tabla Parámetros'!$O$3,'Tabla Construcción Fijos'!R182,IF(Simulador!$F$11='Tabla Parámetros'!$O$4,'Tabla Construcción Crecientes'!Q182,))</f>
        <v>0</v>
      </c>
      <c r="S550" s="272">
        <f t="shared" si="21"/>
        <v>0</v>
      </c>
    </row>
    <row r="551" spans="2:19" ht="15.5" hidden="1" x14ac:dyDescent="0.35">
      <c r="B551" s="378">
        <f t="shared" si="22"/>
        <v>160</v>
      </c>
      <c r="C551" s="378">
        <f t="shared" si="23"/>
        <v>30.4</v>
      </c>
      <c r="D551" s="379">
        <f>IF($F$11='Tabla Parámetros'!$O$3,'Tabla Construcción Fijos'!D183,IF(Simulador!$F$11='Tabla Parámetros'!$O$4,'Tabla Construcción Crecientes'!D183,))</f>
        <v>0</v>
      </c>
      <c r="E551" s="390"/>
      <c r="F551" s="362">
        <f>IF($F$11='Tabla Parámetros'!$O$3,'Tabla Construcción Fijos'!F183,IF(Simulador!$F$11='Tabla Parámetros'!$O$4,'Tabla Construcción Crecientes'!F183,))</f>
        <v>0</v>
      </c>
      <c r="G551" s="362"/>
      <c r="H551" s="362">
        <f>IF($F$11='Tabla Parámetros'!$O$3,'Tabla Construcción Fijos'!H183,IF(Simulador!$F$11='Tabla Parámetros'!$O$4,'Tabla Construcción Crecientes'!H183,))</f>
        <v>0</v>
      </c>
      <c r="I551" s="362">
        <f>IF($F$11='Tabla Parámetros'!$O$3,'Tabla Construcción Fijos'!I183,IF(Simulador!$F$11='Tabla Parámetros'!$O$4,'Tabla Construcción Crecientes'!I183,))</f>
        <v>0</v>
      </c>
      <c r="J551" s="362">
        <f>IF($F$11='Tabla Parámetros'!$O$3,'Tabla Construcción Fijos'!J183,IF(Simulador!$F$11='Tabla Parámetros'!$O$4,'Tabla Construcción Crecientes'!J183,))</f>
        <v>0</v>
      </c>
      <c r="K551" s="362">
        <f>IF($F$11='Tabla Parámetros'!$O$3,'Tabla Construcción Fijos'!K183,IF(Simulador!$F$11='Tabla Parámetros'!$O$4,'Tabla Construcción Crecientes'!K183,))</f>
        <v>0</v>
      </c>
      <c r="L551" s="362">
        <f>IF($F$11='Tabla Parámetros'!$O$3,'Tabla Construcción Fijos'!L183,IF(Simulador!$F$11='Tabla Parámetros'!$O$4,'Tabla Construcción Crecientes'!L183,))</f>
        <v>0</v>
      </c>
      <c r="M551" s="362">
        <f>IF($F$11='Tabla Parámetros'!$O$3,'Tabla Construcción Fijos'!M183,IF(Simulador!$F$11='Tabla Parámetros'!$O$4,'Tabla Construcción Crecientes'!M183,))</f>
        <v>0</v>
      </c>
      <c r="N551" s="391">
        <f>IF($F$11='Tabla Parámetros'!$O$3,'Tabla Construcción Fijos'!N183,IF(Simulador!$F$11='Tabla Parámetros'!$O$4,'Tabla Construcción Crecientes'!N183,))</f>
        <v>0</v>
      </c>
      <c r="O551" s="392"/>
      <c r="P551" s="392">
        <f>'Tabla Construcción Fijos'!P183</f>
        <v>0</v>
      </c>
      <c r="Q551" s="362">
        <f>IF($F$11='Tabla Parámetros'!$O$3,'Tabla Construcción Fijos'!Q183,IF(Simulador!$F$11='Tabla Parámetros'!$O$4,'Tabla Construcción Crecientes'!P183,))</f>
        <v>0</v>
      </c>
      <c r="R551" s="362">
        <f>IF($F$11='Tabla Parámetros'!$O$3,'Tabla Construcción Fijos'!R183,IF(Simulador!$F$11='Tabla Parámetros'!$O$4,'Tabla Construcción Crecientes'!Q183,))</f>
        <v>0</v>
      </c>
      <c r="S551" s="272">
        <f t="shared" si="21"/>
        <v>0</v>
      </c>
    </row>
    <row r="552" spans="2:19" ht="15.5" hidden="1" x14ac:dyDescent="0.35">
      <c r="B552" s="378">
        <f t="shared" si="22"/>
        <v>161</v>
      </c>
      <c r="C552" s="378">
        <f t="shared" si="23"/>
        <v>30.4</v>
      </c>
      <c r="D552" s="379">
        <f>IF($F$11='Tabla Parámetros'!$O$3,'Tabla Construcción Fijos'!D184,IF(Simulador!$F$11='Tabla Parámetros'!$O$4,'Tabla Construcción Crecientes'!D184,))</f>
        <v>0</v>
      </c>
      <c r="E552" s="390"/>
      <c r="F552" s="362">
        <f>IF($F$11='Tabla Parámetros'!$O$3,'Tabla Construcción Fijos'!F184,IF(Simulador!$F$11='Tabla Parámetros'!$O$4,'Tabla Construcción Crecientes'!F184,))</f>
        <v>0</v>
      </c>
      <c r="G552" s="362"/>
      <c r="H552" s="362">
        <f>IF($F$11='Tabla Parámetros'!$O$3,'Tabla Construcción Fijos'!H184,IF(Simulador!$F$11='Tabla Parámetros'!$O$4,'Tabla Construcción Crecientes'!H184,))</f>
        <v>0</v>
      </c>
      <c r="I552" s="362">
        <f>IF($F$11='Tabla Parámetros'!$O$3,'Tabla Construcción Fijos'!I184,IF(Simulador!$F$11='Tabla Parámetros'!$O$4,'Tabla Construcción Crecientes'!I184,))</f>
        <v>0</v>
      </c>
      <c r="J552" s="362">
        <f>IF($F$11='Tabla Parámetros'!$O$3,'Tabla Construcción Fijos'!J184,IF(Simulador!$F$11='Tabla Parámetros'!$O$4,'Tabla Construcción Crecientes'!J184,))</f>
        <v>0</v>
      </c>
      <c r="K552" s="362">
        <f>IF($F$11='Tabla Parámetros'!$O$3,'Tabla Construcción Fijos'!K184,IF(Simulador!$F$11='Tabla Parámetros'!$O$4,'Tabla Construcción Crecientes'!K184,))</f>
        <v>0</v>
      </c>
      <c r="L552" s="362">
        <f>IF($F$11='Tabla Parámetros'!$O$3,'Tabla Construcción Fijos'!L184,IF(Simulador!$F$11='Tabla Parámetros'!$O$4,'Tabla Construcción Crecientes'!L184,))</f>
        <v>0</v>
      </c>
      <c r="M552" s="362">
        <f>IF($F$11='Tabla Parámetros'!$O$3,'Tabla Construcción Fijos'!M184,IF(Simulador!$F$11='Tabla Parámetros'!$O$4,'Tabla Construcción Crecientes'!M184,))</f>
        <v>0</v>
      </c>
      <c r="N552" s="391">
        <f>IF($F$11='Tabla Parámetros'!$O$3,'Tabla Construcción Fijos'!N184,IF(Simulador!$F$11='Tabla Parámetros'!$O$4,'Tabla Construcción Crecientes'!N184,))</f>
        <v>0</v>
      </c>
      <c r="O552" s="392"/>
      <c r="P552" s="392">
        <f>'Tabla Construcción Fijos'!P184</f>
        <v>0</v>
      </c>
      <c r="Q552" s="362">
        <f>IF($F$11='Tabla Parámetros'!$O$3,'Tabla Construcción Fijos'!Q184,IF(Simulador!$F$11='Tabla Parámetros'!$O$4,'Tabla Construcción Crecientes'!P184,))</f>
        <v>0</v>
      </c>
      <c r="R552" s="362">
        <f>IF($F$11='Tabla Parámetros'!$O$3,'Tabla Construcción Fijos'!R184,IF(Simulador!$F$11='Tabla Parámetros'!$O$4,'Tabla Construcción Crecientes'!Q184,))</f>
        <v>0</v>
      </c>
      <c r="S552" s="272">
        <f t="shared" si="21"/>
        <v>0</v>
      </c>
    </row>
    <row r="553" spans="2:19" ht="15.5" hidden="1" x14ac:dyDescent="0.35">
      <c r="B553" s="378">
        <f t="shared" si="22"/>
        <v>162</v>
      </c>
      <c r="C553" s="378">
        <f t="shared" si="23"/>
        <v>30.4</v>
      </c>
      <c r="D553" s="379">
        <f>IF($F$11='Tabla Parámetros'!$O$3,'Tabla Construcción Fijos'!D185,IF(Simulador!$F$11='Tabla Parámetros'!$O$4,'Tabla Construcción Crecientes'!D185,))</f>
        <v>0</v>
      </c>
      <c r="E553" s="390"/>
      <c r="F553" s="362">
        <f>IF($F$11='Tabla Parámetros'!$O$3,'Tabla Construcción Fijos'!F185,IF(Simulador!$F$11='Tabla Parámetros'!$O$4,'Tabla Construcción Crecientes'!F185,))</f>
        <v>0</v>
      </c>
      <c r="G553" s="362"/>
      <c r="H553" s="362">
        <f>IF($F$11='Tabla Parámetros'!$O$3,'Tabla Construcción Fijos'!H185,IF(Simulador!$F$11='Tabla Parámetros'!$O$4,'Tabla Construcción Crecientes'!H185,))</f>
        <v>0</v>
      </c>
      <c r="I553" s="362">
        <f>IF($F$11='Tabla Parámetros'!$O$3,'Tabla Construcción Fijos'!I185,IF(Simulador!$F$11='Tabla Parámetros'!$O$4,'Tabla Construcción Crecientes'!I185,))</f>
        <v>0</v>
      </c>
      <c r="J553" s="362">
        <f>IF($F$11='Tabla Parámetros'!$O$3,'Tabla Construcción Fijos'!J185,IF(Simulador!$F$11='Tabla Parámetros'!$O$4,'Tabla Construcción Crecientes'!J185,))</f>
        <v>0</v>
      </c>
      <c r="K553" s="362">
        <f>IF($F$11='Tabla Parámetros'!$O$3,'Tabla Construcción Fijos'!K185,IF(Simulador!$F$11='Tabla Parámetros'!$O$4,'Tabla Construcción Crecientes'!K185,))</f>
        <v>0</v>
      </c>
      <c r="L553" s="362">
        <f>IF($F$11='Tabla Parámetros'!$O$3,'Tabla Construcción Fijos'!L185,IF(Simulador!$F$11='Tabla Parámetros'!$O$4,'Tabla Construcción Crecientes'!L185,))</f>
        <v>0</v>
      </c>
      <c r="M553" s="362">
        <f>IF($F$11='Tabla Parámetros'!$O$3,'Tabla Construcción Fijos'!M185,IF(Simulador!$F$11='Tabla Parámetros'!$O$4,'Tabla Construcción Crecientes'!M185,))</f>
        <v>0</v>
      </c>
      <c r="N553" s="391">
        <f>IF($F$11='Tabla Parámetros'!$O$3,'Tabla Construcción Fijos'!N185,IF(Simulador!$F$11='Tabla Parámetros'!$O$4,'Tabla Construcción Crecientes'!N185,))</f>
        <v>0</v>
      </c>
      <c r="O553" s="392"/>
      <c r="P553" s="392">
        <f>'Tabla Construcción Fijos'!P185</f>
        <v>0</v>
      </c>
      <c r="Q553" s="362">
        <f>IF($F$11='Tabla Parámetros'!$O$3,'Tabla Construcción Fijos'!Q185,IF(Simulador!$F$11='Tabla Parámetros'!$O$4,'Tabla Construcción Crecientes'!P185,))</f>
        <v>0</v>
      </c>
      <c r="R553" s="362">
        <f>IF($F$11='Tabla Parámetros'!$O$3,'Tabla Construcción Fijos'!R185,IF(Simulador!$F$11='Tabla Parámetros'!$O$4,'Tabla Construcción Crecientes'!Q185,))</f>
        <v>0</v>
      </c>
      <c r="S553" s="272">
        <f t="shared" si="21"/>
        <v>0</v>
      </c>
    </row>
    <row r="554" spans="2:19" ht="15.5" hidden="1" x14ac:dyDescent="0.35">
      <c r="B554" s="378">
        <f t="shared" si="22"/>
        <v>163</v>
      </c>
      <c r="C554" s="378">
        <f t="shared" si="23"/>
        <v>30.4</v>
      </c>
      <c r="D554" s="379">
        <f>IF($F$11='Tabla Parámetros'!$O$3,'Tabla Construcción Fijos'!D186,IF(Simulador!$F$11='Tabla Parámetros'!$O$4,'Tabla Construcción Crecientes'!D186,))</f>
        <v>0</v>
      </c>
      <c r="E554" s="390"/>
      <c r="F554" s="362">
        <f>IF($F$11='Tabla Parámetros'!$O$3,'Tabla Construcción Fijos'!F186,IF(Simulador!$F$11='Tabla Parámetros'!$O$4,'Tabla Construcción Crecientes'!F186,))</f>
        <v>0</v>
      </c>
      <c r="G554" s="362"/>
      <c r="H554" s="362">
        <f>IF($F$11='Tabla Parámetros'!$O$3,'Tabla Construcción Fijos'!H186,IF(Simulador!$F$11='Tabla Parámetros'!$O$4,'Tabla Construcción Crecientes'!H186,))</f>
        <v>0</v>
      </c>
      <c r="I554" s="362">
        <f>IF($F$11='Tabla Parámetros'!$O$3,'Tabla Construcción Fijos'!I186,IF(Simulador!$F$11='Tabla Parámetros'!$O$4,'Tabla Construcción Crecientes'!I186,))</f>
        <v>0</v>
      </c>
      <c r="J554" s="362">
        <f>IF($F$11='Tabla Parámetros'!$O$3,'Tabla Construcción Fijos'!J186,IF(Simulador!$F$11='Tabla Parámetros'!$O$4,'Tabla Construcción Crecientes'!J186,))</f>
        <v>0</v>
      </c>
      <c r="K554" s="362">
        <f>IF($F$11='Tabla Parámetros'!$O$3,'Tabla Construcción Fijos'!K186,IF(Simulador!$F$11='Tabla Parámetros'!$O$4,'Tabla Construcción Crecientes'!K186,))</f>
        <v>0</v>
      </c>
      <c r="L554" s="362">
        <f>IF($F$11='Tabla Parámetros'!$O$3,'Tabla Construcción Fijos'!L186,IF(Simulador!$F$11='Tabla Parámetros'!$O$4,'Tabla Construcción Crecientes'!L186,))</f>
        <v>0</v>
      </c>
      <c r="M554" s="362">
        <f>IF($F$11='Tabla Parámetros'!$O$3,'Tabla Construcción Fijos'!M186,IF(Simulador!$F$11='Tabla Parámetros'!$O$4,'Tabla Construcción Crecientes'!M186,))</f>
        <v>0</v>
      </c>
      <c r="N554" s="391">
        <f>IF($F$11='Tabla Parámetros'!$O$3,'Tabla Construcción Fijos'!N186,IF(Simulador!$F$11='Tabla Parámetros'!$O$4,'Tabla Construcción Crecientes'!N186,))</f>
        <v>0</v>
      </c>
      <c r="O554" s="392"/>
      <c r="P554" s="392">
        <f>'Tabla Construcción Fijos'!P186</f>
        <v>0</v>
      </c>
      <c r="Q554" s="362">
        <f>IF($F$11='Tabla Parámetros'!$O$3,'Tabla Construcción Fijos'!Q186,IF(Simulador!$F$11='Tabla Parámetros'!$O$4,'Tabla Construcción Crecientes'!P186,))</f>
        <v>0</v>
      </c>
      <c r="R554" s="362">
        <f>IF($F$11='Tabla Parámetros'!$O$3,'Tabla Construcción Fijos'!R186,IF(Simulador!$F$11='Tabla Parámetros'!$O$4,'Tabla Construcción Crecientes'!Q186,))</f>
        <v>0</v>
      </c>
      <c r="S554" s="272">
        <f t="shared" si="21"/>
        <v>0</v>
      </c>
    </row>
    <row r="555" spans="2:19" ht="15.5" hidden="1" x14ac:dyDescent="0.35">
      <c r="B555" s="378">
        <f t="shared" si="22"/>
        <v>164</v>
      </c>
      <c r="C555" s="378">
        <f t="shared" si="23"/>
        <v>30.4</v>
      </c>
      <c r="D555" s="379">
        <f>IF($F$11='Tabla Parámetros'!$O$3,'Tabla Construcción Fijos'!D187,IF(Simulador!$F$11='Tabla Parámetros'!$O$4,'Tabla Construcción Crecientes'!D187,))</f>
        <v>0</v>
      </c>
      <c r="E555" s="390"/>
      <c r="F555" s="362">
        <f>IF($F$11='Tabla Parámetros'!$O$3,'Tabla Construcción Fijos'!F187,IF(Simulador!$F$11='Tabla Parámetros'!$O$4,'Tabla Construcción Crecientes'!F187,))</f>
        <v>0</v>
      </c>
      <c r="G555" s="362"/>
      <c r="H555" s="362">
        <f>IF($F$11='Tabla Parámetros'!$O$3,'Tabla Construcción Fijos'!H187,IF(Simulador!$F$11='Tabla Parámetros'!$O$4,'Tabla Construcción Crecientes'!H187,))</f>
        <v>0</v>
      </c>
      <c r="I555" s="362">
        <f>IF($F$11='Tabla Parámetros'!$O$3,'Tabla Construcción Fijos'!I187,IF(Simulador!$F$11='Tabla Parámetros'!$O$4,'Tabla Construcción Crecientes'!I187,))</f>
        <v>0</v>
      </c>
      <c r="J555" s="362">
        <f>IF($F$11='Tabla Parámetros'!$O$3,'Tabla Construcción Fijos'!J187,IF(Simulador!$F$11='Tabla Parámetros'!$O$4,'Tabla Construcción Crecientes'!J187,))</f>
        <v>0</v>
      </c>
      <c r="K555" s="362">
        <f>IF($F$11='Tabla Parámetros'!$O$3,'Tabla Construcción Fijos'!K187,IF(Simulador!$F$11='Tabla Parámetros'!$O$4,'Tabla Construcción Crecientes'!K187,))</f>
        <v>0</v>
      </c>
      <c r="L555" s="362">
        <f>IF($F$11='Tabla Parámetros'!$O$3,'Tabla Construcción Fijos'!L187,IF(Simulador!$F$11='Tabla Parámetros'!$O$4,'Tabla Construcción Crecientes'!L187,))</f>
        <v>0</v>
      </c>
      <c r="M555" s="362">
        <f>IF($F$11='Tabla Parámetros'!$O$3,'Tabla Construcción Fijos'!M187,IF(Simulador!$F$11='Tabla Parámetros'!$O$4,'Tabla Construcción Crecientes'!M187,))</f>
        <v>0</v>
      </c>
      <c r="N555" s="391">
        <f>IF($F$11='Tabla Parámetros'!$O$3,'Tabla Construcción Fijos'!N187,IF(Simulador!$F$11='Tabla Parámetros'!$O$4,'Tabla Construcción Crecientes'!N187,))</f>
        <v>0</v>
      </c>
      <c r="O555" s="392"/>
      <c r="P555" s="392">
        <f>'Tabla Construcción Fijos'!P187</f>
        <v>0</v>
      </c>
      <c r="Q555" s="362">
        <f>IF($F$11='Tabla Parámetros'!$O$3,'Tabla Construcción Fijos'!Q187,IF(Simulador!$F$11='Tabla Parámetros'!$O$4,'Tabla Construcción Crecientes'!P187,))</f>
        <v>0</v>
      </c>
      <c r="R555" s="362">
        <f>IF($F$11='Tabla Parámetros'!$O$3,'Tabla Construcción Fijos'!R187,IF(Simulador!$F$11='Tabla Parámetros'!$O$4,'Tabla Construcción Crecientes'!Q187,))</f>
        <v>0</v>
      </c>
      <c r="S555" s="272">
        <f t="shared" si="21"/>
        <v>0</v>
      </c>
    </row>
    <row r="556" spans="2:19" ht="15.5" hidden="1" x14ac:dyDescent="0.35">
      <c r="B556" s="378">
        <f t="shared" si="22"/>
        <v>165</v>
      </c>
      <c r="C556" s="378">
        <f t="shared" si="23"/>
        <v>30.4</v>
      </c>
      <c r="D556" s="379">
        <f>IF($F$11='Tabla Parámetros'!$O$3,'Tabla Construcción Fijos'!D188,IF(Simulador!$F$11='Tabla Parámetros'!$O$4,'Tabla Construcción Crecientes'!D188,))</f>
        <v>0</v>
      </c>
      <c r="E556" s="390"/>
      <c r="F556" s="362">
        <f>IF($F$11='Tabla Parámetros'!$O$3,'Tabla Construcción Fijos'!F188,IF(Simulador!$F$11='Tabla Parámetros'!$O$4,'Tabla Construcción Crecientes'!F188,))</f>
        <v>0</v>
      </c>
      <c r="G556" s="362"/>
      <c r="H556" s="362">
        <f>IF($F$11='Tabla Parámetros'!$O$3,'Tabla Construcción Fijos'!H188,IF(Simulador!$F$11='Tabla Parámetros'!$O$4,'Tabla Construcción Crecientes'!H188,))</f>
        <v>0</v>
      </c>
      <c r="I556" s="362">
        <f>IF($F$11='Tabla Parámetros'!$O$3,'Tabla Construcción Fijos'!I188,IF(Simulador!$F$11='Tabla Parámetros'!$O$4,'Tabla Construcción Crecientes'!I188,))</f>
        <v>0</v>
      </c>
      <c r="J556" s="362">
        <f>IF($F$11='Tabla Parámetros'!$O$3,'Tabla Construcción Fijos'!J188,IF(Simulador!$F$11='Tabla Parámetros'!$O$4,'Tabla Construcción Crecientes'!J188,))</f>
        <v>0</v>
      </c>
      <c r="K556" s="362">
        <f>IF($F$11='Tabla Parámetros'!$O$3,'Tabla Construcción Fijos'!K188,IF(Simulador!$F$11='Tabla Parámetros'!$O$4,'Tabla Construcción Crecientes'!K188,))</f>
        <v>0</v>
      </c>
      <c r="L556" s="362">
        <f>IF($F$11='Tabla Parámetros'!$O$3,'Tabla Construcción Fijos'!L188,IF(Simulador!$F$11='Tabla Parámetros'!$O$4,'Tabla Construcción Crecientes'!L188,))</f>
        <v>0</v>
      </c>
      <c r="M556" s="362">
        <f>IF($F$11='Tabla Parámetros'!$O$3,'Tabla Construcción Fijos'!M188,IF(Simulador!$F$11='Tabla Parámetros'!$O$4,'Tabla Construcción Crecientes'!M188,))</f>
        <v>0</v>
      </c>
      <c r="N556" s="391">
        <f>IF($F$11='Tabla Parámetros'!$O$3,'Tabla Construcción Fijos'!N188,IF(Simulador!$F$11='Tabla Parámetros'!$O$4,'Tabla Construcción Crecientes'!N188,))</f>
        <v>0</v>
      </c>
      <c r="O556" s="392"/>
      <c r="P556" s="392">
        <f>'Tabla Construcción Fijos'!P188</f>
        <v>0</v>
      </c>
      <c r="Q556" s="362">
        <f>IF($F$11='Tabla Parámetros'!$O$3,'Tabla Construcción Fijos'!Q188,IF(Simulador!$F$11='Tabla Parámetros'!$O$4,'Tabla Construcción Crecientes'!P188,))</f>
        <v>0</v>
      </c>
      <c r="R556" s="362">
        <f>IF($F$11='Tabla Parámetros'!$O$3,'Tabla Construcción Fijos'!R188,IF(Simulador!$F$11='Tabla Parámetros'!$O$4,'Tabla Construcción Crecientes'!Q188,))</f>
        <v>0</v>
      </c>
      <c r="S556" s="272">
        <f t="shared" si="21"/>
        <v>0</v>
      </c>
    </row>
    <row r="557" spans="2:19" ht="15.5" hidden="1" x14ac:dyDescent="0.35">
      <c r="B557" s="378">
        <f t="shared" si="22"/>
        <v>166</v>
      </c>
      <c r="C557" s="378">
        <f t="shared" si="23"/>
        <v>30.4</v>
      </c>
      <c r="D557" s="379">
        <f>IF($F$11='Tabla Parámetros'!$O$3,'Tabla Construcción Fijos'!D189,IF(Simulador!$F$11='Tabla Parámetros'!$O$4,'Tabla Construcción Crecientes'!D189,))</f>
        <v>0</v>
      </c>
      <c r="E557" s="390"/>
      <c r="F557" s="362">
        <f>IF($F$11='Tabla Parámetros'!$O$3,'Tabla Construcción Fijos'!F189,IF(Simulador!$F$11='Tabla Parámetros'!$O$4,'Tabla Construcción Crecientes'!F189,))</f>
        <v>0</v>
      </c>
      <c r="G557" s="362"/>
      <c r="H557" s="362">
        <f>IF($F$11='Tabla Parámetros'!$O$3,'Tabla Construcción Fijos'!H189,IF(Simulador!$F$11='Tabla Parámetros'!$O$4,'Tabla Construcción Crecientes'!H189,))</f>
        <v>0</v>
      </c>
      <c r="I557" s="362">
        <f>IF($F$11='Tabla Parámetros'!$O$3,'Tabla Construcción Fijos'!I189,IF(Simulador!$F$11='Tabla Parámetros'!$O$4,'Tabla Construcción Crecientes'!I189,))</f>
        <v>0</v>
      </c>
      <c r="J557" s="362">
        <f>IF($F$11='Tabla Parámetros'!$O$3,'Tabla Construcción Fijos'!J189,IF(Simulador!$F$11='Tabla Parámetros'!$O$4,'Tabla Construcción Crecientes'!J189,))</f>
        <v>0</v>
      </c>
      <c r="K557" s="362">
        <f>IF($F$11='Tabla Parámetros'!$O$3,'Tabla Construcción Fijos'!K189,IF(Simulador!$F$11='Tabla Parámetros'!$O$4,'Tabla Construcción Crecientes'!K189,))</f>
        <v>0</v>
      </c>
      <c r="L557" s="362">
        <f>IF($F$11='Tabla Parámetros'!$O$3,'Tabla Construcción Fijos'!L189,IF(Simulador!$F$11='Tabla Parámetros'!$O$4,'Tabla Construcción Crecientes'!L189,))</f>
        <v>0</v>
      </c>
      <c r="M557" s="362">
        <f>IF($F$11='Tabla Parámetros'!$O$3,'Tabla Construcción Fijos'!M189,IF(Simulador!$F$11='Tabla Parámetros'!$O$4,'Tabla Construcción Crecientes'!M189,))</f>
        <v>0</v>
      </c>
      <c r="N557" s="391">
        <f>IF($F$11='Tabla Parámetros'!$O$3,'Tabla Construcción Fijos'!N189,IF(Simulador!$F$11='Tabla Parámetros'!$O$4,'Tabla Construcción Crecientes'!N189,))</f>
        <v>0</v>
      </c>
      <c r="O557" s="392"/>
      <c r="P557" s="392">
        <f>'Tabla Construcción Fijos'!P189</f>
        <v>0</v>
      </c>
      <c r="Q557" s="362">
        <f>IF($F$11='Tabla Parámetros'!$O$3,'Tabla Construcción Fijos'!Q189,IF(Simulador!$F$11='Tabla Parámetros'!$O$4,'Tabla Construcción Crecientes'!P189,))</f>
        <v>0</v>
      </c>
      <c r="R557" s="362">
        <f>IF($F$11='Tabla Parámetros'!$O$3,'Tabla Construcción Fijos'!R189,IF(Simulador!$F$11='Tabla Parámetros'!$O$4,'Tabla Construcción Crecientes'!Q189,))</f>
        <v>0</v>
      </c>
      <c r="S557" s="272">
        <f t="shared" si="21"/>
        <v>0</v>
      </c>
    </row>
    <row r="558" spans="2:19" ht="15.5" hidden="1" x14ac:dyDescent="0.35">
      <c r="B558" s="378">
        <f t="shared" si="22"/>
        <v>167</v>
      </c>
      <c r="C558" s="378">
        <f t="shared" si="23"/>
        <v>30.4</v>
      </c>
      <c r="D558" s="379">
        <f>IF($F$11='Tabla Parámetros'!$O$3,'Tabla Construcción Fijos'!D190,IF(Simulador!$F$11='Tabla Parámetros'!$O$4,'Tabla Construcción Crecientes'!D190,))</f>
        <v>0</v>
      </c>
      <c r="E558" s="390"/>
      <c r="F558" s="362">
        <f>IF($F$11='Tabla Parámetros'!$O$3,'Tabla Construcción Fijos'!F190,IF(Simulador!$F$11='Tabla Parámetros'!$O$4,'Tabla Construcción Crecientes'!F190,))</f>
        <v>0</v>
      </c>
      <c r="G558" s="362"/>
      <c r="H558" s="362">
        <f>IF($F$11='Tabla Parámetros'!$O$3,'Tabla Construcción Fijos'!H190,IF(Simulador!$F$11='Tabla Parámetros'!$O$4,'Tabla Construcción Crecientes'!H190,))</f>
        <v>0</v>
      </c>
      <c r="I558" s="362">
        <f>IF($F$11='Tabla Parámetros'!$O$3,'Tabla Construcción Fijos'!I190,IF(Simulador!$F$11='Tabla Parámetros'!$O$4,'Tabla Construcción Crecientes'!I190,))</f>
        <v>0</v>
      </c>
      <c r="J558" s="362">
        <f>IF($F$11='Tabla Parámetros'!$O$3,'Tabla Construcción Fijos'!J190,IF(Simulador!$F$11='Tabla Parámetros'!$O$4,'Tabla Construcción Crecientes'!J190,))</f>
        <v>0</v>
      </c>
      <c r="K558" s="362">
        <f>IF($F$11='Tabla Parámetros'!$O$3,'Tabla Construcción Fijos'!K190,IF(Simulador!$F$11='Tabla Parámetros'!$O$4,'Tabla Construcción Crecientes'!K190,))</f>
        <v>0</v>
      </c>
      <c r="L558" s="362">
        <f>IF($F$11='Tabla Parámetros'!$O$3,'Tabla Construcción Fijos'!L190,IF(Simulador!$F$11='Tabla Parámetros'!$O$4,'Tabla Construcción Crecientes'!L190,))</f>
        <v>0</v>
      </c>
      <c r="M558" s="362">
        <f>IF($F$11='Tabla Parámetros'!$O$3,'Tabla Construcción Fijos'!M190,IF(Simulador!$F$11='Tabla Parámetros'!$O$4,'Tabla Construcción Crecientes'!M190,))</f>
        <v>0</v>
      </c>
      <c r="N558" s="391">
        <f>IF($F$11='Tabla Parámetros'!$O$3,'Tabla Construcción Fijos'!N190,IF(Simulador!$F$11='Tabla Parámetros'!$O$4,'Tabla Construcción Crecientes'!N190,))</f>
        <v>0</v>
      </c>
      <c r="O558" s="392"/>
      <c r="P558" s="392">
        <f>'Tabla Construcción Fijos'!P190</f>
        <v>0</v>
      </c>
      <c r="Q558" s="362">
        <f>IF($F$11='Tabla Parámetros'!$O$3,'Tabla Construcción Fijos'!Q190,IF(Simulador!$F$11='Tabla Parámetros'!$O$4,'Tabla Construcción Crecientes'!P190,))</f>
        <v>0</v>
      </c>
      <c r="R558" s="362">
        <f>IF($F$11='Tabla Parámetros'!$O$3,'Tabla Construcción Fijos'!R190,IF(Simulador!$F$11='Tabla Parámetros'!$O$4,'Tabla Construcción Crecientes'!Q190,))</f>
        <v>0</v>
      </c>
      <c r="S558" s="272">
        <f t="shared" si="21"/>
        <v>0</v>
      </c>
    </row>
    <row r="559" spans="2:19" ht="15.5" hidden="1" x14ac:dyDescent="0.35">
      <c r="B559" s="378">
        <f t="shared" si="22"/>
        <v>168</v>
      </c>
      <c r="C559" s="378">
        <f t="shared" si="23"/>
        <v>30.4</v>
      </c>
      <c r="D559" s="379">
        <f>IF($F$11='Tabla Parámetros'!$O$3,'Tabla Construcción Fijos'!D191,IF(Simulador!$F$11='Tabla Parámetros'!$O$4,'Tabla Construcción Crecientes'!D191,))</f>
        <v>0</v>
      </c>
      <c r="E559" s="390"/>
      <c r="F559" s="362">
        <f>IF($F$11='Tabla Parámetros'!$O$3,'Tabla Construcción Fijos'!F191,IF(Simulador!$F$11='Tabla Parámetros'!$O$4,'Tabla Construcción Crecientes'!F191,))</f>
        <v>0</v>
      </c>
      <c r="G559" s="362"/>
      <c r="H559" s="362">
        <f>IF($F$11='Tabla Parámetros'!$O$3,'Tabla Construcción Fijos'!H191,IF(Simulador!$F$11='Tabla Parámetros'!$O$4,'Tabla Construcción Crecientes'!H191,))</f>
        <v>0</v>
      </c>
      <c r="I559" s="362">
        <f>IF($F$11='Tabla Parámetros'!$O$3,'Tabla Construcción Fijos'!I191,IF(Simulador!$F$11='Tabla Parámetros'!$O$4,'Tabla Construcción Crecientes'!I191,))</f>
        <v>0</v>
      </c>
      <c r="J559" s="362">
        <f>IF($F$11='Tabla Parámetros'!$O$3,'Tabla Construcción Fijos'!J191,IF(Simulador!$F$11='Tabla Parámetros'!$O$4,'Tabla Construcción Crecientes'!J191,))</f>
        <v>0</v>
      </c>
      <c r="K559" s="362">
        <f>IF($F$11='Tabla Parámetros'!$O$3,'Tabla Construcción Fijos'!K191,IF(Simulador!$F$11='Tabla Parámetros'!$O$4,'Tabla Construcción Crecientes'!K191,))</f>
        <v>0</v>
      </c>
      <c r="L559" s="362">
        <f>IF($F$11='Tabla Parámetros'!$O$3,'Tabla Construcción Fijos'!L191,IF(Simulador!$F$11='Tabla Parámetros'!$O$4,'Tabla Construcción Crecientes'!L191,))</f>
        <v>0</v>
      </c>
      <c r="M559" s="362">
        <f>IF($F$11='Tabla Parámetros'!$O$3,'Tabla Construcción Fijos'!M191,IF(Simulador!$F$11='Tabla Parámetros'!$O$4,'Tabla Construcción Crecientes'!M191,))</f>
        <v>0</v>
      </c>
      <c r="N559" s="391">
        <f>IF($F$11='Tabla Parámetros'!$O$3,'Tabla Construcción Fijos'!N191,IF(Simulador!$F$11='Tabla Parámetros'!$O$4,'Tabla Construcción Crecientes'!N191,))</f>
        <v>0</v>
      </c>
      <c r="O559" s="392"/>
      <c r="P559" s="392">
        <f>'Tabla Construcción Fijos'!P191</f>
        <v>0</v>
      </c>
      <c r="Q559" s="362">
        <f>IF($F$11='Tabla Parámetros'!$O$3,'Tabla Construcción Fijos'!Q191,IF(Simulador!$F$11='Tabla Parámetros'!$O$4,'Tabla Construcción Crecientes'!P191,))</f>
        <v>0</v>
      </c>
      <c r="R559" s="362">
        <f>IF($F$11='Tabla Parámetros'!$O$3,'Tabla Construcción Fijos'!R191,IF(Simulador!$F$11='Tabla Parámetros'!$O$4,'Tabla Construcción Crecientes'!Q191,))</f>
        <v>0</v>
      </c>
      <c r="S559" s="272">
        <f t="shared" si="21"/>
        <v>0</v>
      </c>
    </row>
    <row r="560" spans="2:19" ht="15.5" hidden="1" x14ac:dyDescent="0.35">
      <c r="B560" s="378">
        <f t="shared" si="22"/>
        <v>169</v>
      </c>
      <c r="C560" s="378">
        <f t="shared" si="23"/>
        <v>30.4</v>
      </c>
      <c r="D560" s="379">
        <f>IF($F$11='Tabla Parámetros'!$O$3,'Tabla Construcción Fijos'!D192,IF(Simulador!$F$11='Tabla Parámetros'!$O$4,'Tabla Construcción Crecientes'!D192,))</f>
        <v>0</v>
      </c>
      <c r="E560" s="390"/>
      <c r="F560" s="362">
        <f>IF($F$11='Tabla Parámetros'!$O$3,'Tabla Construcción Fijos'!F192,IF(Simulador!$F$11='Tabla Parámetros'!$O$4,'Tabla Construcción Crecientes'!F192,))</f>
        <v>0</v>
      </c>
      <c r="G560" s="362"/>
      <c r="H560" s="362">
        <f>IF($F$11='Tabla Parámetros'!$O$3,'Tabla Construcción Fijos'!H192,IF(Simulador!$F$11='Tabla Parámetros'!$O$4,'Tabla Construcción Crecientes'!H192,))</f>
        <v>0</v>
      </c>
      <c r="I560" s="362">
        <f>IF($F$11='Tabla Parámetros'!$O$3,'Tabla Construcción Fijos'!I192,IF(Simulador!$F$11='Tabla Parámetros'!$O$4,'Tabla Construcción Crecientes'!I192,))</f>
        <v>0</v>
      </c>
      <c r="J560" s="362">
        <f>IF($F$11='Tabla Parámetros'!$O$3,'Tabla Construcción Fijos'!J192,IF(Simulador!$F$11='Tabla Parámetros'!$O$4,'Tabla Construcción Crecientes'!J192,))</f>
        <v>0</v>
      </c>
      <c r="K560" s="362">
        <f>IF($F$11='Tabla Parámetros'!$O$3,'Tabla Construcción Fijos'!K192,IF(Simulador!$F$11='Tabla Parámetros'!$O$4,'Tabla Construcción Crecientes'!K192,))</f>
        <v>0</v>
      </c>
      <c r="L560" s="362">
        <f>IF($F$11='Tabla Parámetros'!$O$3,'Tabla Construcción Fijos'!L192,IF(Simulador!$F$11='Tabla Parámetros'!$O$4,'Tabla Construcción Crecientes'!L192,))</f>
        <v>0</v>
      </c>
      <c r="M560" s="362">
        <f>IF($F$11='Tabla Parámetros'!$O$3,'Tabla Construcción Fijos'!M192,IF(Simulador!$F$11='Tabla Parámetros'!$O$4,'Tabla Construcción Crecientes'!M192,))</f>
        <v>0</v>
      </c>
      <c r="N560" s="391">
        <f>IF($F$11='Tabla Parámetros'!$O$3,'Tabla Construcción Fijos'!N192,IF(Simulador!$F$11='Tabla Parámetros'!$O$4,'Tabla Construcción Crecientes'!N192,))</f>
        <v>0</v>
      </c>
      <c r="O560" s="392"/>
      <c r="P560" s="392">
        <f>'Tabla Construcción Fijos'!P192</f>
        <v>0</v>
      </c>
      <c r="Q560" s="362">
        <f>IF($F$11='Tabla Parámetros'!$O$3,'Tabla Construcción Fijos'!Q192,IF(Simulador!$F$11='Tabla Parámetros'!$O$4,'Tabla Construcción Crecientes'!P192,))</f>
        <v>0</v>
      </c>
      <c r="R560" s="362">
        <f>IF($F$11='Tabla Parámetros'!$O$3,'Tabla Construcción Fijos'!R192,IF(Simulador!$F$11='Tabla Parámetros'!$O$4,'Tabla Construcción Crecientes'!Q192,))</f>
        <v>0</v>
      </c>
      <c r="S560" s="272">
        <f t="shared" si="21"/>
        <v>0</v>
      </c>
    </row>
    <row r="561" spans="2:19" ht="15.5" hidden="1" x14ac:dyDescent="0.35">
      <c r="B561" s="378">
        <f t="shared" si="22"/>
        <v>170</v>
      </c>
      <c r="C561" s="378">
        <f t="shared" si="23"/>
        <v>30.4</v>
      </c>
      <c r="D561" s="379">
        <f>IF($F$11='Tabla Parámetros'!$O$3,'Tabla Construcción Fijos'!D193,IF(Simulador!$F$11='Tabla Parámetros'!$O$4,'Tabla Construcción Crecientes'!D193,))</f>
        <v>0</v>
      </c>
      <c r="E561" s="390"/>
      <c r="F561" s="362">
        <f>IF($F$11='Tabla Parámetros'!$O$3,'Tabla Construcción Fijos'!F193,IF(Simulador!$F$11='Tabla Parámetros'!$O$4,'Tabla Construcción Crecientes'!F193,))</f>
        <v>0</v>
      </c>
      <c r="G561" s="362"/>
      <c r="H561" s="362">
        <f>IF($F$11='Tabla Parámetros'!$O$3,'Tabla Construcción Fijos'!H193,IF(Simulador!$F$11='Tabla Parámetros'!$O$4,'Tabla Construcción Crecientes'!H193,))</f>
        <v>0</v>
      </c>
      <c r="I561" s="362">
        <f>IF($F$11='Tabla Parámetros'!$O$3,'Tabla Construcción Fijos'!I193,IF(Simulador!$F$11='Tabla Parámetros'!$O$4,'Tabla Construcción Crecientes'!I193,))</f>
        <v>0</v>
      </c>
      <c r="J561" s="362">
        <f>IF($F$11='Tabla Parámetros'!$O$3,'Tabla Construcción Fijos'!J193,IF(Simulador!$F$11='Tabla Parámetros'!$O$4,'Tabla Construcción Crecientes'!J193,))</f>
        <v>0</v>
      </c>
      <c r="K561" s="362">
        <f>IF($F$11='Tabla Parámetros'!$O$3,'Tabla Construcción Fijos'!K193,IF(Simulador!$F$11='Tabla Parámetros'!$O$4,'Tabla Construcción Crecientes'!K193,))</f>
        <v>0</v>
      </c>
      <c r="L561" s="362">
        <f>IF($F$11='Tabla Parámetros'!$O$3,'Tabla Construcción Fijos'!L193,IF(Simulador!$F$11='Tabla Parámetros'!$O$4,'Tabla Construcción Crecientes'!L193,))</f>
        <v>0</v>
      </c>
      <c r="M561" s="362">
        <f>IF($F$11='Tabla Parámetros'!$O$3,'Tabla Construcción Fijos'!M193,IF(Simulador!$F$11='Tabla Parámetros'!$O$4,'Tabla Construcción Crecientes'!M193,))</f>
        <v>0</v>
      </c>
      <c r="N561" s="391">
        <f>IF($F$11='Tabla Parámetros'!$O$3,'Tabla Construcción Fijos'!N193,IF(Simulador!$F$11='Tabla Parámetros'!$O$4,'Tabla Construcción Crecientes'!N193,))</f>
        <v>0</v>
      </c>
      <c r="O561" s="392"/>
      <c r="P561" s="392">
        <f>'Tabla Construcción Fijos'!P193</f>
        <v>0</v>
      </c>
      <c r="Q561" s="362">
        <f>IF($F$11='Tabla Parámetros'!$O$3,'Tabla Construcción Fijos'!Q193,IF(Simulador!$F$11='Tabla Parámetros'!$O$4,'Tabla Construcción Crecientes'!P193,))</f>
        <v>0</v>
      </c>
      <c r="R561" s="362">
        <f>IF($F$11='Tabla Parámetros'!$O$3,'Tabla Construcción Fijos'!R193,IF(Simulador!$F$11='Tabla Parámetros'!$O$4,'Tabla Construcción Crecientes'!Q193,))</f>
        <v>0</v>
      </c>
      <c r="S561" s="272">
        <f t="shared" si="21"/>
        <v>0</v>
      </c>
    </row>
    <row r="562" spans="2:19" ht="15.5" hidden="1" x14ac:dyDescent="0.35">
      <c r="B562" s="378">
        <f t="shared" si="22"/>
        <v>171</v>
      </c>
      <c r="C562" s="378">
        <f t="shared" si="23"/>
        <v>30.4</v>
      </c>
      <c r="D562" s="379">
        <f>IF($F$11='Tabla Parámetros'!$O$3,'Tabla Construcción Fijos'!D194,IF(Simulador!$F$11='Tabla Parámetros'!$O$4,'Tabla Construcción Crecientes'!D194,))</f>
        <v>0</v>
      </c>
      <c r="E562" s="390"/>
      <c r="F562" s="362">
        <f>IF($F$11='Tabla Parámetros'!$O$3,'Tabla Construcción Fijos'!F194,IF(Simulador!$F$11='Tabla Parámetros'!$O$4,'Tabla Construcción Crecientes'!F194,))</f>
        <v>0</v>
      </c>
      <c r="G562" s="362"/>
      <c r="H562" s="362">
        <f>IF($F$11='Tabla Parámetros'!$O$3,'Tabla Construcción Fijos'!H194,IF(Simulador!$F$11='Tabla Parámetros'!$O$4,'Tabla Construcción Crecientes'!H194,))</f>
        <v>0</v>
      </c>
      <c r="I562" s="362">
        <f>IF($F$11='Tabla Parámetros'!$O$3,'Tabla Construcción Fijos'!I194,IF(Simulador!$F$11='Tabla Parámetros'!$O$4,'Tabla Construcción Crecientes'!I194,))</f>
        <v>0</v>
      </c>
      <c r="J562" s="362">
        <f>IF($F$11='Tabla Parámetros'!$O$3,'Tabla Construcción Fijos'!J194,IF(Simulador!$F$11='Tabla Parámetros'!$O$4,'Tabla Construcción Crecientes'!J194,))</f>
        <v>0</v>
      </c>
      <c r="K562" s="362">
        <f>IF($F$11='Tabla Parámetros'!$O$3,'Tabla Construcción Fijos'!K194,IF(Simulador!$F$11='Tabla Parámetros'!$O$4,'Tabla Construcción Crecientes'!K194,))</f>
        <v>0</v>
      </c>
      <c r="L562" s="362">
        <f>IF($F$11='Tabla Parámetros'!$O$3,'Tabla Construcción Fijos'!L194,IF(Simulador!$F$11='Tabla Parámetros'!$O$4,'Tabla Construcción Crecientes'!L194,))</f>
        <v>0</v>
      </c>
      <c r="M562" s="362">
        <f>IF($F$11='Tabla Parámetros'!$O$3,'Tabla Construcción Fijos'!M194,IF(Simulador!$F$11='Tabla Parámetros'!$O$4,'Tabla Construcción Crecientes'!M194,))</f>
        <v>0</v>
      </c>
      <c r="N562" s="391">
        <f>IF($F$11='Tabla Parámetros'!$O$3,'Tabla Construcción Fijos'!N194,IF(Simulador!$F$11='Tabla Parámetros'!$O$4,'Tabla Construcción Crecientes'!N194,))</f>
        <v>0</v>
      </c>
      <c r="O562" s="392"/>
      <c r="P562" s="392">
        <f>'Tabla Construcción Fijos'!P194</f>
        <v>0</v>
      </c>
      <c r="Q562" s="362">
        <f>IF($F$11='Tabla Parámetros'!$O$3,'Tabla Construcción Fijos'!Q194,IF(Simulador!$F$11='Tabla Parámetros'!$O$4,'Tabla Construcción Crecientes'!P194,))</f>
        <v>0</v>
      </c>
      <c r="R562" s="362">
        <f>IF($F$11='Tabla Parámetros'!$O$3,'Tabla Construcción Fijos'!R194,IF(Simulador!$F$11='Tabla Parámetros'!$O$4,'Tabla Construcción Crecientes'!Q194,))</f>
        <v>0</v>
      </c>
      <c r="S562" s="272">
        <f t="shared" si="21"/>
        <v>0</v>
      </c>
    </row>
    <row r="563" spans="2:19" ht="15.5" hidden="1" x14ac:dyDescent="0.35">
      <c r="B563" s="378">
        <f t="shared" si="22"/>
        <v>172</v>
      </c>
      <c r="C563" s="378">
        <f t="shared" si="23"/>
        <v>30.4</v>
      </c>
      <c r="D563" s="379">
        <f>IF($F$11='Tabla Parámetros'!$O$3,'Tabla Construcción Fijos'!D195,IF(Simulador!$F$11='Tabla Parámetros'!$O$4,'Tabla Construcción Crecientes'!D195,))</f>
        <v>0</v>
      </c>
      <c r="E563" s="390"/>
      <c r="F563" s="362">
        <f>IF($F$11='Tabla Parámetros'!$O$3,'Tabla Construcción Fijos'!F195,IF(Simulador!$F$11='Tabla Parámetros'!$O$4,'Tabla Construcción Crecientes'!F195,))</f>
        <v>0</v>
      </c>
      <c r="G563" s="362"/>
      <c r="H563" s="362">
        <f>IF($F$11='Tabla Parámetros'!$O$3,'Tabla Construcción Fijos'!H195,IF(Simulador!$F$11='Tabla Parámetros'!$O$4,'Tabla Construcción Crecientes'!H195,))</f>
        <v>0</v>
      </c>
      <c r="I563" s="362">
        <f>IF($F$11='Tabla Parámetros'!$O$3,'Tabla Construcción Fijos'!I195,IF(Simulador!$F$11='Tabla Parámetros'!$O$4,'Tabla Construcción Crecientes'!I195,))</f>
        <v>0</v>
      </c>
      <c r="J563" s="362">
        <f>IF($F$11='Tabla Parámetros'!$O$3,'Tabla Construcción Fijos'!J195,IF(Simulador!$F$11='Tabla Parámetros'!$O$4,'Tabla Construcción Crecientes'!J195,))</f>
        <v>0</v>
      </c>
      <c r="K563" s="362">
        <f>IF($F$11='Tabla Parámetros'!$O$3,'Tabla Construcción Fijos'!K195,IF(Simulador!$F$11='Tabla Parámetros'!$O$4,'Tabla Construcción Crecientes'!K195,))</f>
        <v>0</v>
      </c>
      <c r="L563" s="362">
        <f>IF($F$11='Tabla Parámetros'!$O$3,'Tabla Construcción Fijos'!L195,IF(Simulador!$F$11='Tabla Parámetros'!$O$4,'Tabla Construcción Crecientes'!L195,))</f>
        <v>0</v>
      </c>
      <c r="M563" s="362">
        <f>IF($F$11='Tabla Parámetros'!$O$3,'Tabla Construcción Fijos'!M195,IF(Simulador!$F$11='Tabla Parámetros'!$O$4,'Tabla Construcción Crecientes'!M195,))</f>
        <v>0</v>
      </c>
      <c r="N563" s="391">
        <f>IF($F$11='Tabla Parámetros'!$O$3,'Tabla Construcción Fijos'!N195,IF(Simulador!$F$11='Tabla Parámetros'!$O$4,'Tabla Construcción Crecientes'!N195,))</f>
        <v>0</v>
      </c>
      <c r="O563" s="392"/>
      <c r="P563" s="392">
        <f>'Tabla Construcción Fijos'!P195</f>
        <v>0</v>
      </c>
      <c r="Q563" s="362">
        <f>IF($F$11='Tabla Parámetros'!$O$3,'Tabla Construcción Fijos'!Q195,IF(Simulador!$F$11='Tabla Parámetros'!$O$4,'Tabla Construcción Crecientes'!P195,))</f>
        <v>0</v>
      </c>
      <c r="R563" s="362">
        <f>IF($F$11='Tabla Parámetros'!$O$3,'Tabla Construcción Fijos'!R195,IF(Simulador!$F$11='Tabla Parámetros'!$O$4,'Tabla Construcción Crecientes'!Q195,))</f>
        <v>0</v>
      </c>
      <c r="S563" s="272">
        <f t="shared" si="21"/>
        <v>0</v>
      </c>
    </row>
    <row r="564" spans="2:19" ht="15.5" hidden="1" x14ac:dyDescent="0.35">
      <c r="B564" s="378">
        <f t="shared" si="22"/>
        <v>173</v>
      </c>
      <c r="C564" s="378">
        <f t="shared" si="23"/>
        <v>30.4</v>
      </c>
      <c r="D564" s="379">
        <f>IF($F$11='Tabla Parámetros'!$O$3,'Tabla Construcción Fijos'!D196,IF(Simulador!$F$11='Tabla Parámetros'!$O$4,'Tabla Construcción Crecientes'!D196,))</f>
        <v>0</v>
      </c>
      <c r="E564" s="390"/>
      <c r="F564" s="362">
        <f>IF($F$11='Tabla Parámetros'!$O$3,'Tabla Construcción Fijos'!F196,IF(Simulador!$F$11='Tabla Parámetros'!$O$4,'Tabla Construcción Crecientes'!F196,))</f>
        <v>0</v>
      </c>
      <c r="G564" s="362"/>
      <c r="H564" s="362">
        <f>IF($F$11='Tabla Parámetros'!$O$3,'Tabla Construcción Fijos'!H196,IF(Simulador!$F$11='Tabla Parámetros'!$O$4,'Tabla Construcción Crecientes'!H196,))</f>
        <v>0</v>
      </c>
      <c r="I564" s="362">
        <f>IF($F$11='Tabla Parámetros'!$O$3,'Tabla Construcción Fijos'!I196,IF(Simulador!$F$11='Tabla Parámetros'!$O$4,'Tabla Construcción Crecientes'!I196,))</f>
        <v>0</v>
      </c>
      <c r="J564" s="362">
        <f>IF($F$11='Tabla Parámetros'!$O$3,'Tabla Construcción Fijos'!J196,IF(Simulador!$F$11='Tabla Parámetros'!$O$4,'Tabla Construcción Crecientes'!J196,))</f>
        <v>0</v>
      </c>
      <c r="K564" s="362">
        <f>IF($F$11='Tabla Parámetros'!$O$3,'Tabla Construcción Fijos'!K196,IF(Simulador!$F$11='Tabla Parámetros'!$O$4,'Tabla Construcción Crecientes'!K196,))</f>
        <v>0</v>
      </c>
      <c r="L564" s="362">
        <f>IF($F$11='Tabla Parámetros'!$O$3,'Tabla Construcción Fijos'!L196,IF(Simulador!$F$11='Tabla Parámetros'!$O$4,'Tabla Construcción Crecientes'!L196,))</f>
        <v>0</v>
      </c>
      <c r="M564" s="362">
        <f>IF($F$11='Tabla Parámetros'!$O$3,'Tabla Construcción Fijos'!M196,IF(Simulador!$F$11='Tabla Parámetros'!$O$4,'Tabla Construcción Crecientes'!M196,))</f>
        <v>0</v>
      </c>
      <c r="N564" s="391">
        <f>IF($F$11='Tabla Parámetros'!$O$3,'Tabla Construcción Fijos'!N196,IF(Simulador!$F$11='Tabla Parámetros'!$O$4,'Tabla Construcción Crecientes'!N196,))</f>
        <v>0</v>
      </c>
      <c r="O564" s="392"/>
      <c r="P564" s="392">
        <f>'Tabla Construcción Fijos'!P196</f>
        <v>0</v>
      </c>
      <c r="Q564" s="362">
        <f>IF($F$11='Tabla Parámetros'!$O$3,'Tabla Construcción Fijos'!Q196,IF(Simulador!$F$11='Tabla Parámetros'!$O$4,'Tabla Construcción Crecientes'!P196,))</f>
        <v>0</v>
      </c>
      <c r="R564" s="362">
        <f>IF($F$11='Tabla Parámetros'!$O$3,'Tabla Construcción Fijos'!R196,IF(Simulador!$F$11='Tabla Parámetros'!$O$4,'Tabla Construcción Crecientes'!Q196,))</f>
        <v>0</v>
      </c>
      <c r="S564" s="272">
        <f t="shared" si="21"/>
        <v>0</v>
      </c>
    </row>
    <row r="565" spans="2:19" ht="15.5" hidden="1" x14ac:dyDescent="0.35">
      <c r="B565" s="378">
        <f t="shared" si="22"/>
        <v>174</v>
      </c>
      <c r="C565" s="378">
        <f t="shared" si="23"/>
        <v>30.4</v>
      </c>
      <c r="D565" s="379">
        <f>IF($F$11='Tabla Parámetros'!$O$3,'Tabla Construcción Fijos'!D197,IF(Simulador!$F$11='Tabla Parámetros'!$O$4,'Tabla Construcción Crecientes'!D197,))</f>
        <v>0</v>
      </c>
      <c r="E565" s="390"/>
      <c r="F565" s="362">
        <f>IF($F$11='Tabla Parámetros'!$O$3,'Tabla Construcción Fijos'!F197,IF(Simulador!$F$11='Tabla Parámetros'!$O$4,'Tabla Construcción Crecientes'!F197,))</f>
        <v>0</v>
      </c>
      <c r="G565" s="362"/>
      <c r="H565" s="362">
        <f>IF($F$11='Tabla Parámetros'!$O$3,'Tabla Construcción Fijos'!H197,IF(Simulador!$F$11='Tabla Parámetros'!$O$4,'Tabla Construcción Crecientes'!H197,))</f>
        <v>0</v>
      </c>
      <c r="I565" s="362">
        <f>IF($F$11='Tabla Parámetros'!$O$3,'Tabla Construcción Fijos'!I197,IF(Simulador!$F$11='Tabla Parámetros'!$O$4,'Tabla Construcción Crecientes'!I197,))</f>
        <v>0</v>
      </c>
      <c r="J565" s="362">
        <f>IF($F$11='Tabla Parámetros'!$O$3,'Tabla Construcción Fijos'!J197,IF(Simulador!$F$11='Tabla Parámetros'!$O$4,'Tabla Construcción Crecientes'!J197,))</f>
        <v>0</v>
      </c>
      <c r="K565" s="362">
        <f>IF($F$11='Tabla Parámetros'!$O$3,'Tabla Construcción Fijos'!K197,IF(Simulador!$F$11='Tabla Parámetros'!$O$4,'Tabla Construcción Crecientes'!K197,))</f>
        <v>0</v>
      </c>
      <c r="L565" s="362">
        <f>IF($F$11='Tabla Parámetros'!$O$3,'Tabla Construcción Fijos'!L197,IF(Simulador!$F$11='Tabla Parámetros'!$O$4,'Tabla Construcción Crecientes'!L197,))</f>
        <v>0</v>
      </c>
      <c r="M565" s="362">
        <f>IF($F$11='Tabla Parámetros'!$O$3,'Tabla Construcción Fijos'!M197,IF(Simulador!$F$11='Tabla Parámetros'!$O$4,'Tabla Construcción Crecientes'!M197,))</f>
        <v>0</v>
      </c>
      <c r="N565" s="391">
        <f>IF($F$11='Tabla Parámetros'!$O$3,'Tabla Construcción Fijos'!N197,IF(Simulador!$F$11='Tabla Parámetros'!$O$4,'Tabla Construcción Crecientes'!N197,))</f>
        <v>0</v>
      </c>
      <c r="O565" s="392"/>
      <c r="P565" s="392">
        <f>'Tabla Construcción Fijos'!P197</f>
        <v>0</v>
      </c>
      <c r="Q565" s="362">
        <f>IF($F$11='Tabla Parámetros'!$O$3,'Tabla Construcción Fijos'!Q197,IF(Simulador!$F$11='Tabla Parámetros'!$O$4,'Tabla Construcción Crecientes'!P197,))</f>
        <v>0</v>
      </c>
      <c r="R565" s="362">
        <f>IF($F$11='Tabla Parámetros'!$O$3,'Tabla Construcción Fijos'!R197,IF(Simulador!$F$11='Tabla Parámetros'!$O$4,'Tabla Construcción Crecientes'!Q197,))</f>
        <v>0</v>
      </c>
      <c r="S565" s="272">
        <f t="shared" si="21"/>
        <v>0</v>
      </c>
    </row>
    <row r="566" spans="2:19" ht="15.5" hidden="1" x14ac:dyDescent="0.35">
      <c r="B566" s="378">
        <f t="shared" si="22"/>
        <v>175</v>
      </c>
      <c r="C566" s="378">
        <f t="shared" si="23"/>
        <v>30.4</v>
      </c>
      <c r="D566" s="379">
        <f>IF($F$11='Tabla Parámetros'!$O$3,'Tabla Construcción Fijos'!D198,IF(Simulador!$F$11='Tabla Parámetros'!$O$4,'Tabla Construcción Crecientes'!D198,))</f>
        <v>0</v>
      </c>
      <c r="E566" s="390"/>
      <c r="F566" s="362">
        <f>IF($F$11='Tabla Parámetros'!$O$3,'Tabla Construcción Fijos'!F198,IF(Simulador!$F$11='Tabla Parámetros'!$O$4,'Tabla Construcción Crecientes'!F198,))</f>
        <v>0</v>
      </c>
      <c r="G566" s="362"/>
      <c r="H566" s="362">
        <f>IF($F$11='Tabla Parámetros'!$O$3,'Tabla Construcción Fijos'!H198,IF(Simulador!$F$11='Tabla Parámetros'!$O$4,'Tabla Construcción Crecientes'!H198,))</f>
        <v>0</v>
      </c>
      <c r="I566" s="362">
        <f>IF($F$11='Tabla Parámetros'!$O$3,'Tabla Construcción Fijos'!I198,IF(Simulador!$F$11='Tabla Parámetros'!$O$4,'Tabla Construcción Crecientes'!I198,))</f>
        <v>0</v>
      </c>
      <c r="J566" s="362">
        <f>IF($F$11='Tabla Parámetros'!$O$3,'Tabla Construcción Fijos'!J198,IF(Simulador!$F$11='Tabla Parámetros'!$O$4,'Tabla Construcción Crecientes'!J198,))</f>
        <v>0</v>
      </c>
      <c r="K566" s="362">
        <f>IF($F$11='Tabla Parámetros'!$O$3,'Tabla Construcción Fijos'!K198,IF(Simulador!$F$11='Tabla Parámetros'!$O$4,'Tabla Construcción Crecientes'!K198,))</f>
        <v>0</v>
      </c>
      <c r="L566" s="362">
        <f>IF($F$11='Tabla Parámetros'!$O$3,'Tabla Construcción Fijos'!L198,IF(Simulador!$F$11='Tabla Parámetros'!$O$4,'Tabla Construcción Crecientes'!L198,))</f>
        <v>0</v>
      </c>
      <c r="M566" s="362">
        <f>IF($F$11='Tabla Parámetros'!$O$3,'Tabla Construcción Fijos'!M198,IF(Simulador!$F$11='Tabla Parámetros'!$O$4,'Tabla Construcción Crecientes'!M198,))</f>
        <v>0</v>
      </c>
      <c r="N566" s="391">
        <f>IF($F$11='Tabla Parámetros'!$O$3,'Tabla Construcción Fijos'!N198,IF(Simulador!$F$11='Tabla Parámetros'!$O$4,'Tabla Construcción Crecientes'!N198,))</f>
        <v>0</v>
      </c>
      <c r="O566" s="392"/>
      <c r="P566" s="392">
        <f>'Tabla Construcción Fijos'!P198</f>
        <v>0</v>
      </c>
      <c r="Q566" s="362">
        <f>IF($F$11='Tabla Parámetros'!$O$3,'Tabla Construcción Fijos'!Q198,IF(Simulador!$F$11='Tabla Parámetros'!$O$4,'Tabla Construcción Crecientes'!P198,))</f>
        <v>0</v>
      </c>
      <c r="R566" s="362">
        <f>IF($F$11='Tabla Parámetros'!$O$3,'Tabla Construcción Fijos'!R198,IF(Simulador!$F$11='Tabla Parámetros'!$O$4,'Tabla Construcción Crecientes'!Q198,))</f>
        <v>0</v>
      </c>
      <c r="S566" s="272">
        <f t="shared" si="21"/>
        <v>0</v>
      </c>
    </row>
    <row r="567" spans="2:19" ht="15.5" hidden="1" x14ac:dyDescent="0.35">
      <c r="B567" s="378">
        <f t="shared" si="22"/>
        <v>176</v>
      </c>
      <c r="C567" s="378">
        <f t="shared" si="23"/>
        <v>30.4</v>
      </c>
      <c r="D567" s="379">
        <f>IF($F$11='Tabla Parámetros'!$O$3,'Tabla Construcción Fijos'!D199,IF(Simulador!$F$11='Tabla Parámetros'!$O$4,'Tabla Construcción Crecientes'!D199,))</f>
        <v>0</v>
      </c>
      <c r="E567" s="390"/>
      <c r="F567" s="362">
        <f>IF($F$11='Tabla Parámetros'!$O$3,'Tabla Construcción Fijos'!F199,IF(Simulador!$F$11='Tabla Parámetros'!$O$4,'Tabla Construcción Crecientes'!F199,))</f>
        <v>0</v>
      </c>
      <c r="G567" s="362"/>
      <c r="H567" s="362">
        <f>IF($F$11='Tabla Parámetros'!$O$3,'Tabla Construcción Fijos'!H199,IF(Simulador!$F$11='Tabla Parámetros'!$O$4,'Tabla Construcción Crecientes'!H199,))</f>
        <v>0</v>
      </c>
      <c r="I567" s="362">
        <f>IF($F$11='Tabla Parámetros'!$O$3,'Tabla Construcción Fijos'!I199,IF(Simulador!$F$11='Tabla Parámetros'!$O$4,'Tabla Construcción Crecientes'!I199,))</f>
        <v>0</v>
      </c>
      <c r="J567" s="362">
        <f>IF($F$11='Tabla Parámetros'!$O$3,'Tabla Construcción Fijos'!J199,IF(Simulador!$F$11='Tabla Parámetros'!$O$4,'Tabla Construcción Crecientes'!J199,))</f>
        <v>0</v>
      </c>
      <c r="K567" s="362">
        <f>IF($F$11='Tabla Parámetros'!$O$3,'Tabla Construcción Fijos'!K199,IF(Simulador!$F$11='Tabla Parámetros'!$O$4,'Tabla Construcción Crecientes'!K199,))</f>
        <v>0</v>
      </c>
      <c r="L567" s="362">
        <f>IF($F$11='Tabla Parámetros'!$O$3,'Tabla Construcción Fijos'!L199,IF(Simulador!$F$11='Tabla Parámetros'!$O$4,'Tabla Construcción Crecientes'!L199,))</f>
        <v>0</v>
      </c>
      <c r="M567" s="362">
        <f>IF($F$11='Tabla Parámetros'!$O$3,'Tabla Construcción Fijos'!M199,IF(Simulador!$F$11='Tabla Parámetros'!$O$4,'Tabla Construcción Crecientes'!M199,))</f>
        <v>0</v>
      </c>
      <c r="N567" s="391">
        <f>IF($F$11='Tabla Parámetros'!$O$3,'Tabla Construcción Fijos'!N199,IF(Simulador!$F$11='Tabla Parámetros'!$O$4,'Tabla Construcción Crecientes'!N199,))</f>
        <v>0</v>
      </c>
      <c r="O567" s="392"/>
      <c r="P567" s="392">
        <f>'Tabla Construcción Fijos'!P199</f>
        <v>0</v>
      </c>
      <c r="Q567" s="362">
        <f>IF($F$11='Tabla Parámetros'!$O$3,'Tabla Construcción Fijos'!Q199,IF(Simulador!$F$11='Tabla Parámetros'!$O$4,'Tabla Construcción Crecientes'!P199,))</f>
        <v>0</v>
      </c>
      <c r="R567" s="362">
        <f>IF($F$11='Tabla Parámetros'!$O$3,'Tabla Construcción Fijos'!R199,IF(Simulador!$F$11='Tabla Parámetros'!$O$4,'Tabla Construcción Crecientes'!Q199,))</f>
        <v>0</v>
      </c>
      <c r="S567" s="272">
        <f t="shared" si="21"/>
        <v>0</v>
      </c>
    </row>
    <row r="568" spans="2:19" ht="15.5" hidden="1" x14ac:dyDescent="0.35">
      <c r="B568" s="378">
        <f t="shared" si="22"/>
        <v>177</v>
      </c>
      <c r="C568" s="378">
        <f t="shared" si="23"/>
        <v>30.4</v>
      </c>
      <c r="D568" s="379">
        <f>IF($F$11='Tabla Parámetros'!$O$3,'Tabla Construcción Fijos'!D200,IF(Simulador!$F$11='Tabla Parámetros'!$O$4,'Tabla Construcción Crecientes'!D200,))</f>
        <v>0</v>
      </c>
      <c r="E568" s="390"/>
      <c r="F568" s="362">
        <f>IF($F$11='Tabla Parámetros'!$O$3,'Tabla Construcción Fijos'!F200,IF(Simulador!$F$11='Tabla Parámetros'!$O$4,'Tabla Construcción Crecientes'!F200,))</f>
        <v>0</v>
      </c>
      <c r="G568" s="362"/>
      <c r="H568" s="362">
        <f>IF($F$11='Tabla Parámetros'!$O$3,'Tabla Construcción Fijos'!H200,IF(Simulador!$F$11='Tabla Parámetros'!$O$4,'Tabla Construcción Crecientes'!H200,))</f>
        <v>0</v>
      </c>
      <c r="I568" s="362">
        <f>IF($F$11='Tabla Parámetros'!$O$3,'Tabla Construcción Fijos'!I200,IF(Simulador!$F$11='Tabla Parámetros'!$O$4,'Tabla Construcción Crecientes'!I200,))</f>
        <v>0</v>
      </c>
      <c r="J568" s="362">
        <f>IF($F$11='Tabla Parámetros'!$O$3,'Tabla Construcción Fijos'!J200,IF(Simulador!$F$11='Tabla Parámetros'!$O$4,'Tabla Construcción Crecientes'!J200,))</f>
        <v>0</v>
      </c>
      <c r="K568" s="362">
        <f>IF($F$11='Tabla Parámetros'!$O$3,'Tabla Construcción Fijos'!K200,IF(Simulador!$F$11='Tabla Parámetros'!$O$4,'Tabla Construcción Crecientes'!K200,))</f>
        <v>0</v>
      </c>
      <c r="L568" s="362">
        <f>IF($F$11='Tabla Parámetros'!$O$3,'Tabla Construcción Fijos'!L200,IF(Simulador!$F$11='Tabla Parámetros'!$O$4,'Tabla Construcción Crecientes'!L200,))</f>
        <v>0</v>
      </c>
      <c r="M568" s="362">
        <f>IF($F$11='Tabla Parámetros'!$O$3,'Tabla Construcción Fijos'!M200,IF(Simulador!$F$11='Tabla Parámetros'!$O$4,'Tabla Construcción Crecientes'!M200,))</f>
        <v>0</v>
      </c>
      <c r="N568" s="391">
        <f>IF($F$11='Tabla Parámetros'!$O$3,'Tabla Construcción Fijos'!N200,IF(Simulador!$F$11='Tabla Parámetros'!$O$4,'Tabla Construcción Crecientes'!N200,))</f>
        <v>0</v>
      </c>
      <c r="O568" s="392"/>
      <c r="P568" s="392">
        <f>'Tabla Construcción Fijos'!P200</f>
        <v>0</v>
      </c>
      <c r="Q568" s="362">
        <f>IF($F$11='Tabla Parámetros'!$O$3,'Tabla Construcción Fijos'!Q200,IF(Simulador!$F$11='Tabla Parámetros'!$O$4,'Tabla Construcción Crecientes'!P200,))</f>
        <v>0</v>
      </c>
      <c r="R568" s="362">
        <f>IF($F$11='Tabla Parámetros'!$O$3,'Tabla Construcción Fijos'!R200,IF(Simulador!$F$11='Tabla Parámetros'!$O$4,'Tabla Construcción Crecientes'!Q200,))</f>
        <v>0</v>
      </c>
      <c r="S568" s="272">
        <f t="shared" si="21"/>
        <v>0</v>
      </c>
    </row>
    <row r="569" spans="2:19" ht="15.5" hidden="1" x14ac:dyDescent="0.35">
      <c r="B569" s="378">
        <f t="shared" si="22"/>
        <v>178</v>
      </c>
      <c r="C569" s="378">
        <f t="shared" si="23"/>
        <v>30.4</v>
      </c>
      <c r="D569" s="379">
        <f>IF($F$11='Tabla Parámetros'!$O$3,'Tabla Construcción Fijos'!D201,IF(Simulador!$F$11='Tabla Parámetros'!$O$4,'Tabla Construcción Crecientes'!D201,))</f>
        <v>0</v>
      </c>
      <c r="E569" s="390"/>
      <c r="F569" s="362">
        <f>IF($F$11='Tabla Parámetros'!$O$3,'Tabla Construcción Fijos'!F201,IF(Simulador!$F$11='Tabla Parámetros'!$O$4,'Tabla Construcción Crecientes'!F201,))</f>
        <v>0</v>
      </c>
      <c r="G569" s="362"/>
      <c r="H569" s="362">
        <f>IF($F$11='Tabla Parámetros'!$O$3,'Tabla Construcción Fijos'!H201,IF(Simulador!$F$11='Tabla Parámetros'!$O$4,'Tabla Construcción Crecientes'!H201,))</f>
        <v>0</v>
      </c>
      <c r="I569" s="362">
        <f>IF($F$11='Tabla Parámetros'!$O$3,'Tabla Construcción Fijos'!I201,IF(Simulador!$F$11='Tabla Parámetros'!$O$4,'Tabla Construcción Crecientes'!I201,))</f>
        <v>0</v>
      </c>
      <c r="J569" s="362">
        <f>IF($F$11='Tabla Parámetros'!$O$3,'Tabla Construcción Fijos'!J201,IF(Simulador!$F$11='Tabla Parámetros'!$O$4,'Tabla Construcción Crecientes'!J201,))</f>
        <v>0</v>
      </c>
      <c r="K569" s="362">
        <f>IF($F$11='Tabla Parámetros'!$O$3,'Tabla Construcción Fijos'!K201,IF(Simulador!$F$11='Tabla Parámetros'!$O$4,'Tabla Construcción Crecientes'!K201,))</f>
        <v>0</v>
      </c>
      <c r="L569" s="362">
        <f>IF($F$11='Tabla Parámetros'!$O$3,'Tabla Construcción Fijos'!L201,IF(Simulador!$F$11='Tabla Parámetros'!$O$4,'Tabla Construcción Crecientes'!L201,))</f>
        <v>0</v>
      </c>
      <c r="M569" s="362">
        <f>IF($F$11='Tabla Parámetros'!$O$3,'Tabla Construcción Fijos'!M201,IF(Simulador!$F$11='Tabla Parámetros'!$O$4,'Tabla Construcción Crecientes'!M201,))</f>
        <v>0</v>
      </c>
      <c r="N569" s="391">
        <f>IF($F$11='Tabla Parámetros'!$O$3,'Tabla Construcción Fijos'!N201,IF(Simulador!$F$11='Tabla Parámetros'!$O$4,'Tabla Construcción Crecientes'!N201,))</f>
        <v>0</v>
      </c>
      <c r="O569" s="392"/>
      <c r="P569" s="392">
        <f>'Tabla Construcción Fijos'!P201</f>
        <v>0</v>
      </c>
      <c r="Q569" s="362">
        <f>IF($F$11='Tabla Parámetros'!$O$3,'Tabla Construcción Fijos'!Q201,IF(Simulador!$F$11='Tabla Parámetros'!$O$4,'Tabla Construcción Crecientes'!P201,))</f>
        <v>0</v>
      </c>
      <c r="R569" s="362">
        <f>IF($F$11='Tabla Parámetros'!$O$3,'Tabla Construcción Fijos'!R201,IF(Simulador!$F$11='Tabla Parámetros'!$O$4,'Tabla Construcción Crecientes'!Q201,))</f>
        <v>0</v>
      </c>
      <c r="S569" s="272">
        <f t="shared" si="21"/>
        <v>0</v>
      </c>
    </row>
    <row r="570" spans="2:19" ht="15.5" hidden="1" x14ac:dyDescent="0.35">
      <c r="B570" s="378">
        <f t="shared" si="22"/>
        <v>179</v>
      </c>
      <c r="C570" s="378">
        <f t="shared" si="23"/>
        <v>30.4</v>
      </c>
      <c r="D570" s="379">
        <f>IF($F$11='Tabla Parámetros'!$O$3,'Tabla Construcción Fijos'!D202,IF(Simulador!$F$11='Tabla Parámetros'!$O$4,'Tabla Construcción Crecientes'!D202,))</f>
        <v>0</v>
      </c>
      <c r="E570" s="390"/>
      <c r="F570" s="362">
        <f>IF($F$11='Tabla Parámetros'!$O$3,'Tabla Construcción Fijos'!F202,IF(Simulador!$F$11='Tabla Parámetros'!$O$4,'Tabla Construcción Crecientes'!F202,))</f>
        <v>0</v>
      </c>
      <c r="G570" s="362"/>
      <c r="H570" s="362">
        <f>IF($F$11='Tabla Parámetros'!$O$3,'Tabla Construcción Fijos'!H202,IF(Simulador!$F$11='Tabla Parámetros'!$O$4,'Tabla Construcción Crecientes'!H202,))</f>
        <v>0</v>
      </c>
      <c r="I570" s="362">
        <f>IF($F$11='Tabla Parámetros'!$O$3,'Tabla Construcción Fijos'!I202,IF(Simulador!$F$11='Tabla Parámetros'!$O$4,'Tabla Construcción Crecientes'!I202,))</f>
        <v>0</v>
      </c>
      <c r="J570" s="362">
        <f>IF($F$11='Tabla Parámetros'!$O$3,'Tabla Construcción Fijos'!J202,IF(Simulador!$F$11='Tabla Parámetros'!$O$4,'Tabla Construcción Crecientes'!J202,))</f>
        <v>0</v>
      </c>
      <c r="K570" s="362">
        <f>IF($F$11='Tabla Parámetros'!$O$3,'Tabla Construcción Fijos'!K202,IF(Simulador!$F$11='Tabla Parámetros'!$O$4,'Tabla Construcción Crecientes'!K202,))</f>
        <v>0</v>
      </c>
      <c r="L570" s="362">
        <f>IF($F$11='Tabla Parámetros'!$O$3,'Tabla Construcción Fijos'!L202,IF(Simulador!$F$11='Tabla Parámetros'!$O$4,'Tabla Construcción Crecientes'!L202,))</f>
        <v>0</v>
      </c>
      <c r="M570" s="362">
        <f>IF($F$11='Tabla Parámetros'!$O$3,'Tabla Construcción Fijos'!M202,IF(Simulador!$F$11='Tabla Parámetros'!$O$4,'Tabla Construcción Crecientes'!M202,))</f>
        <v>0</v>
      </c>
      <c r="N570" s="391">
        <f>IF($F$11='Tabla Parámetros'!$O$3,'Tabla Construcción Fijos'!N202,IF(Simulador!$F$11='Tabla Parámetros'!$O$4,'Tabla Construcción Crecientes'!N202,))</f>
        <v>0</v>
      </c>
      <c r="O570" s="392"/>
      <c r="P570" s="392">
        <f>'Tabla Construcción Fijos'!P202</f>
        <v>0</v>
      </c>
      <c r="Q570" s="362">
        <f>IF($F$11='Tabla Parámetros'!$O$3,'Tabla Construcción Fijos'!Q202,IF(Simulador!$F$11='Tabla Parámetros'!$O$4,'Tabla Construcción Crecientes'!P202,))</f>
        <v>0</v>
      </c>
      <c r="R570" s="362">
        <f>IF($F$11='Tabla Parámetros'!$O$3,'Tabla Construcción Fijos'!R202,IF(Simulador!$F$11='Tabla Parámetros'!$O$4,'Tabla Construcción Crecientes'!Q202,))</f>
        <v>0</v>
      </c>
      <c r="S570" s="272">
        <f t="shared" si="21"/>
        <v>0</v>
      </c>
    </row>
    <row r="571" spans="2:19" ht="15.5" hidden="1" x14ac:dyDescent="0.35">
      <c r="B571" s="378">
        <f t="shared" si="22"/>
        <v>180</v>
      </c>
      <c r="C571" s="378">
        <f t="shared" si="23"/>
        <v>30.4</v>
      </c>
      <c r="D571" s="379">
        <f>IF($F$11='Tabla Parámetros'!$O$3,'Tabla Construcción Fijos'!D203,IF(Simulador!$F$11='Tabla Parámetros'!$O$4,'Tabla Construcción Crecientes'!D203,))</f>
        <v>0</v>
      </c>
      <c r="E571" s="390"/>
      <c r="F571" s="362">
        <f>IF($F$11='Tabla Parámetros'!$O$3,'Tabla Construcción Fijos'!F203,IF(Simulador!$F$11='Tabla Parámetros'!$O$4,'Tabla Construcción Crecientes'!F203,))</f>
        <v>0</v>
      </c>
      <c r="G571" s="362"/>
      <c r="H571" s="362">
        <f>IF($F$11='Tabla Parámetros'!$O$3,'Tabla Construcción Fijos'!H203,IF(Simulador!$F$11='Tabla Parámetros'!$O$4,'Tabla Construcción Crecientes'!H203,))</f>
        <v>0</v>
      </c>
      <c r="I571" s="362">
        <f>IF($F$11='Tabla Parámetros'!$O$3,'Tabla Construcción Fijos'!I203,IF(Simulador!$F$11='Tabla Parámetros'!$O$4,'Tabla Construcción Crecientes'!I203,))</f>
        <v>0</v>
      </c>
      <c r="J571" s="362">
        <f>IF($F$11='Tabla Parámetros'!$O$3,'Tabla Construcción Fijos'!J203,IF(Simulador!$F$11='Tabla Parámetros'!$O$4,'Tabla Construcción Crecientes'!J203,))</f>
        <v>0</v>
      </c>
      <c r="K571" s="362">
        <f>IF($F$11='Tabla Parámetros'!$O$3,'Tabla Construcción Fijos'!K203,IF(Simulador!$F$11='Tabla Parámetros'!$O$4,'Tabla Construcción Crecientes'!K203,))</f>
        <v>0</v>
      </c>
      <c r="L571" s="362">
        <f>IF($F$11='Tabla Parámetros'!$O$3,'Tabla Construcción Fijos'!L203,IF(Simulador!$F$11='Tabla Parámetros'!$O$4,'Tabla Construcción Crecientes'!L203,))</f>
        <v>0</v>
      </c>
      <c r="M571" s="362">
        <f>IF($F$11='Tabla Parámetros'!$O$3,'Tabla Construcción Fijos'!M203,IF(Simulador!$F$11='Tabla Parámetros'!$O$4,'Tabla Construcción Crecientes'!M203,))</f>
        <v>0</v>
      </c>
      <c r="N571" s="391">
        <f>IF($F$11='Tabla Parámetros'!$O$3,'Tabla Construcción Fijos'!N203,IF(Simulador!$F$11='Tabla Parámetros'!$O$4,'Tabla Construcción Crecientes'!N203,))</f>
        <v>0</v>
      </c>
      <c r="O571" s="392"/>
      <c r="P571" s="392">
        <f>'Tabla Construcción Fijos'!P203</f>
        <v>0</v>
      </c>
      <c r="Q571" s="362">
        <f>IF($F$11='Tabla Parámetros'!$O$3,'Tabla Construcción Fijos'!Q203,IF(Simulador!$F$11='Tabla Parámetros'!$O$4,'Tabla Construcción Crecientes'!P203,))</f>
        <v>0</v>
      </c>
      <c r="R571" s="362">
        <f>IF($F$11='Tabla Parámetros'!$O$3,'Tabla Construcción Fijos'!R203,IF(Simulador!$F$11='Tabla Parámetros'!$O$4,'Tabla Construcción Crecientes'!Q203,))</f>
        <v>0</v>
      </c>
      <c r="S571" s="272">
        <f t="shared" si="21"/>
        <v>0</v>
      </c>
    </row>
    <row r="572" spans="2:19" ht="15.5" hidden="1" x14ac:dyDescent="0.35">
      <c r="B572" s="378">
        <f t="shared" si="22"/>
        <v>181</v>
      </c>
      <c r="C572" s="378">
        <f t="shared" si="23"/>
        <v>30.4</v>
      </c>
      <c r="D572" s="379">
        <f>IF($F$11='Tabla Parámetros'!$O$3,'Tabla Construcción Fijos'!D204,IF(Simulador!$F$11='Tabla Parámetros'!$O$4,'Tabla Construcción Crecientes'!D204,))</f>
        <v>0</v>
      </c>
      <c r="E572" s="390"/>
      <c r="F572" s="362">
        <f>IF($F$11='Tabla Parámetros'!$O$3,'Tabla Construcción Fijos'!F204,IF(Simulador!$F$11='Tabla Parámetros'!$O$4,'Tabla Construcción Crecientes'!F204,))</f>
        <v>0</v>
      </c>
      <c r="G572" s="362"/>
      <c r="H572" s="362">
        <f>IF($F$11='Tabla Parámetros'!$O$3,'Tabla Construcción Fijos'!H204,IF(Simulador!$F$11='Tabla Parámetros'!$O$4,'Tabla Construcción Crecientes'!H204,))</f>
        <v>0</v>
      </c>
      <c r="I572" s="362">
        <f>IF($F$11='Tabla Parámetros'!$O$3,'Tabla Construcción Fijos'!I204,IF(Simulador!$F$11='Tabla Parámetros'!$O$4,'Tabla Construcción Crecientes'!I204,))</f>
        <v>0</v>
      </c>
      <c r="J572" s="362">
        <f>IF($F$11='Tabla Parámetros'!$O$3,'Tabla Construcción Fijos'!J204,IF(Simulador!$F$11='Tabla Parámetros'!$O$4,'Tabla Construcción Crecientes'!J204,))</f>
        <v>0</v>
      </c>
      <c r="K572" s="362">
        <f>IF($F$11='Tabla Parámetros'!$O$3,'Tabla Construcción Fijos'!K204,IF(Simulador!$F$11='Tabla Parámetros'!$O$4,'Tabla Construcción Crecientes'!K204,))</f>
        <v>0</v>
      </c>
      <c r="L572" s="362">
        <f>IF($F$11='Tabla Parámetros'!$O$3,'Tabla Construcción Fijos'!L204,IF(Simulador!$F$11='Tabla Parámetros'!$O$4,'Tabla Construcción Crecientes'!L204,))</f>
        <v>0</v>
      </c>
      <c r="M572" s="362">
        <f>IF($F$11='Tabla Parámetros'!$O$3,'Tabla Construcción Fijos'!M204,IF(Simulador!$F$11='Tabla Parámetros'!$O$4,'Tabla Construcción Crecientes'!M204,))</f>
        <v>0</v>
      </c>
      <c r="N572" s="391">
        <f>IF($F$11='Tabla Parámetros'!$O$3,'Tabla Construcción Fijos'!N204,IF(Simulador!$F$11='Tabla Parámetros'!$O$4,'Tabla Construcción Crecientes'!N204,))</f>
        <v>0</v>
      </c>
      <c r="O572" s="392"/>
      <c r="P572" s="392">
        <f>'Tabla Construcción Fijos'!P204</f>
        <v>0</v>
      </c>
      <c r="Q572" s="362">
        <f>IF($F$11='Tabla Parámetros'!$O$3,'Tabla Construcción Fijos'!Q204,IF(Simulador!$F$11='Tabla Parámetros'!$O$4,'Tabla Construcción Crecientes'!P204,))</f>
        <v>0</v>
      </c>
      <c r="R572" s="362">
        <f>IF($F$11='Tabla Parámetros'!$O$3,'Tabla Construcción Fijos'!R204,IF(Simulador!$F$11='Tabla Parámetros'!$O$4,'Tabla Construcción Crecientes'!Q204,))</f>
        <v>0</v>
      </c>
      <c r="S572" s="272">
        <f t="shared" si="21"/>
        <v>0</v>
      </c>
    </row>
    <row r="573" spans="2:19" ht="15.5" hidden="1" x14ac:dyDescent="0.35">
      <c r="B573" s="378">
        <f t="shared" si="22"/>
        <v>182</v>
      </c>
      <c r="C573" s="378">
        <f t="shared" si="23"/>
        <v>30.4</v>
      </c>
      <c r="D573" s="379">
        <f>IF($F$11='Tabla Parámetros'!$O$3,'Tabla Construcción Fijos'!D205,IF(Simulador!$F$11='Tabla Parámetros'!$O$4,'Tabla Construcción Crecientes'!D205,))</f>
        <v>0</v>
      </c>
      <c r="E573" s="390"/>
      <c r="F573" s="362">
        <f>IF($F$11='Tabla Parámetros'!$O$3,'Tabla Construcción Fijos'!F205,IF(Simulador!$F$11='Tabla Parámetros'!$O$4,'Tabla Construcción Crecientes'!F205,))</f>
        <v>0</v>
      </c>
      <c r="G573" s="362"/>
      <c r="H573" s="362">
        <f>IF($F$11='Tabla Parámetros'!$O$3,'Tabla Construcción Fijos'!H205,IF(Simulador!$F$11='Tabla Parámetros'!$O$4,'Tabla Construcción Crecientes'!H205,))</f>
        <v>0</v>
      </c>
      <c r="I573" s="362">
        <f>IF($F$11='Tabla Parámetros'!$O$3,'Tabla Construcción Fijos'!I205,IF(Simulador!$F$11='Tabla Parámetros'!$O$4,'Tabla Construcción Crecientes'!I205,))</f>
        <v>0</v>
      </c>
      <c r="J573" s="362">
        <f>IF($F$11='Tabla Parámetros'!$O$3,'Tabla Construcción Fijos'!J205,IF(Simulador!$F$11='Tabla Parámetros'!$O$4,'Tabla Construcción Crecientes'!J205,))</f>
        <v>0</v>
      </c>
      <c r="K573" s="362">
        <f>IF($F$11='Tabla Parámetros'!$O$3,'Tabla Construcción Fijos'!K205,IF(Simulador!$F$11='Tabla Parámetros'!$O$4,'Tabla Construcción Crecientes'!K205,))</f>
        <v>0</v>
      </c>
      <c r="L573" s="362">
        <f>IF($F$11='Tabla Parámetros'!$O$3,'Tabla Construcción Fijos'!L205,IF(Simulador!$F$11='Tabla Parámetros'!$O$4,'Tabla Construcción Crecientes'!L205,))</f>
        <v>0</v>
      </c>
      <c r="M573" s="362">
        <f>IF($F$11='Tabla Parámetros'!$O$3,'Tabla Construcción Fijos'!M205,IF(Simulador!$F$11='Tabla Parámetros'!$O$4,'Tabla Construcción Crecientes'!M205,))</f>
        <v>0</v>
      </c>
      <c r="N573" s="391">
        <f>IF($F$11='Tabla Parámetros'!$O$3,'Tabla Construcción Fijos'!N205,IF(Simulador!$F$11='Tabla Parámetros'!$O$4,'Tabla Construcción Crecientes'!N205,))</f>
        <v>0</v>
      </c>
      <c r="O573" s="392"/>
      <c r="P573" s="392">
        <f>'Tabla Construcción Fijos'!P205</f>
        <v>0</v>
      </c>
      <c r="Q573" s="362">
        <f>IF($F$11='Tabla Parámetros'!$O$3,'Tabla Construcción Fijos'!Q205,IF(Simulador!$F$11='Tabla Parámetros'!$O$4,'Tabla Construcción Crecientes'!P205,))</f>
        <v>0</v>
      </c>
      <c r="R573" s="362">
        <f>IF($F$11='Tabla Parámetros'!$O$3,'Tabla Construcción Fijos'!R205,IF(Simulador!$F$11='Tabla Parámetros'!$O$4,'Tabla Construcción Crecientes'!Q205,))</f>
        <v>0</v>
      </c>
      <c r="S573" s="272">
        <f t="shared" si="21"/>
        <v>0</v>
      </c>
    </row>
    <row r="574" spans="2:19" ht="15.5" hidden="1" x14ac:dyDescent="0.35">
      <c r="B574" s="378">
        <f t="shared" si="22"/>
        <v>183</v>
      </c>
      <c r="C574" s="378">
        <f t="shared" si="23"/>
        <v>30.4</v>
      </c>
      <c r="D574" s="379">
        <f>IF($F$11='Tabla Parámetros'!$O$3,'Tabla Construcción Fijos'!D206,IF(Simulador!$F$11='Tabla Parámetros'!$O$4,'Tabla Construcción Crecientes'!D206,))</f>
        <v>0</v>
      </c>
      <c r="E574" s="390"/>
      <c r="F574" s="362">
        <f>IF($F$11='Tabla Parámetros'!$O$3,'Tabla Construcción Fijos'!F206,IF(Simulador!$F$11='Tabla Parámetros'!$O$4,'Tabla Construcción Crecientes'!F206,))</f>
        <v>0</v>
      </c>
      <c r="G574" s="362"/>
      <c r="H574" s="362">
        <f>IF($F$11='Tabla Parámetros'!$O$3,'Tabla Construcción Fijos'!H206,IF(Simulador!$F$11='Tabla Parámetros'!$O$4,'Tabla Construcción Crecientes'!H206,))</f>
        <v>0</v>
      </c>
      <c r="I574" s="362">
        <f>IF($F$11='Tabla Parámetros'!$O$3,'Tabla Construcción Fijos'!I206,IF(Simulador!$F$11='Tabla Parámetros'!$O$4,'Tabla Construcción Crecientes'!I206,))</f>
        <v>0</v>
      </c>
      <c r="J574" s="362">
        <f>IF($F$11='Tabla Parámetros'!$O$3,'Tabla Construcción Fijos'!J206,IF(Simulador!$F$11='Tabla Parámetros'!$O$4,'Tabla Construcción Crecientes'!J206,))</f>
        <v>0</v>
      </c>
      <c r="K574" s="362">
        <f>IF($F$11='Tabla Parámetros'!$O$3,'Tabla Construcción Fijos'!K206,IF(Simulador!$F$11='Tabla Parámetros'!$O$4,'Tabla Construcción Crecientes'!K206,))</f>
        <v>0</v>
      </c>
      <c r="L574" s="362">
        <f>IF($F$11='Tabla Parámetros'!$O$3,'Tabla Construcción Fijos'!L206,IF(Simulador!$F$11='Tabla Parámetros'!$O$4,'Tabla Construcción Crecientes'!L206,))</f>
        <v>0</v>
      </c>
      <c r="M574" s="362">
        <f>IF($F$11='Tabla Parámetros'!$O$3,'Tabla Construcción Fijos'!M206,IF(Simulador!$F$11='Tabla Parámetros'!$O$4,'Tabla Construcción Crecientes'!M206,))</f>
        <v>0</v>
      </c>
      <c r="N574" s="391">
        <f>IF($F$11='Tabla Parámetros'!$O$3,'Tabla Construcción Fijos'!N206,IF(Simulador!$F$11='Tabla Parámetros'!$O$4,'Tabla Construcción Crecientes'!N206,))</f>
        <v>0</v>
      </c>
      <c r="O574" s="392"/>
      <c r="P574" s="392">
        <f>'Tabla Construcción Fijos'!P206</f>
        <v>0</v>
      </c>
      <c r="Q574" s="362">
        <f>IF($F$11='Tabla Parámetros'!$O$3,'Tabla Construcción Fijos'!Q206,IF(Simulador!$F$11='Tabla Parámetros'!$O$4,'Tabla Construcción Crecientes'!P206,))</f>
        <v>0</v>
      </c>
      <c r="R574" s="362">
        <f>IF($F$11='Tabla Parámetros'!$O$3,'Tabla Construcción Fijos'!R206,IF(Simulador!$F$11='Tabla Parámetros'!$O$4,'Tabla Construcción Crecientes'!Q206,))</f>
        <v>0</v>
      </c>
      <c r="S574" s="272">
        <f t="shared" si="21"/>
        <v>0</v>
      </c>
    </row>
    <row r="575" spans="2:19" ht="15.5" hidden="1" x14ac:dyDescent="0.35">
      <c r="B575" s="378">
        <f t="shared" si="22"/>
        <v>184</v>
      </c>
      <c r="C575" s="378">
        <f t="shared" si="23"/>
        <v>30.4</v>
      </c>
      <c r="D575" s="379">
        <f>IF($F$11='Tabla Parámetros'!$O$3,'Tabla Construcción Fijos'!D207,IF(Simulador!$F$11='Tabla Parámetros'!$O$4,'Tabla Construcción Crecientes'!D207,))</f>
        <v>0</v>
      </c>
      <c r="E575" s="390"/>
      <c r="F575" s="362">
        <f>IF($F$11='Tabla Parámetros'!$O$3,'Tabla Construcción Fijos'!F207,IF(Simulador!$F$11='Tabla Parámetros'!$O$4,'Tabla Construcción Crecientes'!F207,))</f>
        <v>0</v>
      </c>
      <c r="G575" s="362"/>
      <c r="H575" s="362">
        <f>IF($F$11='Tabla Parámetros'!$O$3,'Tabla Construcción Fijos'!H207,IF(Simulador!$F$11='Tabla Parámetros'!$O$4,'Tabla Construcción Crecientes'!H207,))</f>
        <v>0</v>
      </c>
      <c r="I575" s="362">
        <f>IF($F$11='Tabla Parámetros'!$O$3,'Tabla Construcción Fijos'!I207,IF(Simulador!$F$11='Tabla Parámetros'!$O$4,'Tabla Construcción Crecientes'!I207,))</f>
        <v>0</v>
      </c>
      <c r="J575" s="362">
        <f>IF($F$11='Tabla Parámetros'!$O$3,'Tabla Construcción Fijos'!J207,IF(Simulador!$F$11='Tabla Parámetros'!$O$4,'Tabla Construcción Crecientes'!J207,))</f>
        <v>0</v>
      </c>
      <c r="K575" s="362">
        <f>IF($F$11='Tabla Parámetros'!$O$3,'Tabla Construcción Fijos'!K207,IF(Simulador!$F$11='Tabla Parámetros'!$O$4,'Tabla Construcción Crecientes'!K207,))</f>
        <v>0</v>
      </c>
      <c r="L575" s="362">
        <f>IF($F$11='Tabla Parámetros'!$O$3,'Tabla Construcción Fijos'!L207,IF(Simulador!$F$11='Tabla Parámetros'!$O$4,'Tabla Construcción Crecientes'!L207,))</f>
        <v>0</v>
      </c>
      <c r="M575" s="362">
        <f>IF($F$11='Tabla Parámetros'!$O$3,'Tabla Construcción Fijos'!M207,IF(Simulador!$F$11='Tabla Parámetros'!$O$4,'Tabla Construcción Crecientes'!M207,))</f>
        <v>0</v>
      </c>
      <c r="N575" s="391">
        <f>IF($F$11='Tabla Parámetros'!$O$3,'Tabla Construcción Fijos'!N207,IF(Simulador!$F$11='Tabla Parámetros'!$O$4,'Tabla Construcción Crecientes'!N207,))</f>
        <v>0</v>
      </c>
      <c r="O575" s="392"/>
      <c r="P575" s="392">
        <f>'Tabla Construcción Fijos'!P207</f>
        <v>0</v>
      </c>
      <c r="Q575" s="362">
        <f>IF($F$11='Tabla Parámetros'!$O$3,'Tabla Construcción Fijos'!Q207,IF(Simulador!$F$11='Tabla Parámetros'!$O$4,'Tabla Construcción Crecientes'!P207,))</f>
        <v>0</v>
      </c>
      <c r="R575" s="362">
        <f>IF($F$11='Tabla Parámetros'!$O$3,'Tabla Construcción Fijos'!R207,IF(Simulador!$F$11='Tabla Parámetros'!$O$4,'Tabla Construcción Crecientes'!Q207,))</f>
        <v>0</v>
      </c>
      <c r="S575" s="272">
        <f t="shared" si="21"/>
        <v>0</v>
      </c>
    </row>
    <row r="576" spans="2:19" ht="15.5" hidden="1" x14ac:dyDescent="0.35">
      <c r="B576" s="378">
        <f t="shared" si="22"/>
        <v>185</v>
      </c>
      <c r="C576" s="378">
        <f t="shared" si="23"/>
        <v>30.4</v>
      </c>
      <c r="D576" s="379">
        <f>IF($F$11='Tabla Parámetros'!$O$3,'Tabla Construcción Fijos'!D208,IF(Simulador!$F$11='Tabla Parámetros'!$O$4,'Tabla Construcción Crecientes'!D208,))</f>
        <v>0</v>
      </c>
      <c r="E576" s="390"/>
      <c r="F576" s="362">
        <f>IF($F$11='Tabla Parámetros'!$O$3,'Tabla Construcción Fijos'!F208,IF(Simulador!$F$11='Tabla Parámetros'!$O$4,'Tabla Construcción Crecientes'!F208,))</f>
        <v>0</v>
      </c>
      <c r="G576" s="362"/>
      <c r="H576" s="362">
        <f>IF($F$11='Tabla Parámetros'!$O$3,'Tabla Construcción Fijos'!H208,IF(Simulador!$F$11='Tabla Parámetros'!$O$4,'Tabla Construcción Crecientes'!H208,))</f>
        <v>0</v>
      </c>
      <c r="I576" s="362">
        <f>IF($F$11='Tabla Parámetros'!$O$3,'Tabla Construcción Fijos'!I208,IF(Simulador!$F$11='Tabla Parámetros'!$O$4,'Tabla Construcción Crecientes'!I208,))</f>
        <v>0</v>
      </c>
      <c r="J576" s="362">
        <f>IF($F$11='Tabla Parámetros'!$O$3,'Tabla Construcción Fijos'!J208,IF(Simulador!$F$11='Tabla Parámetros'!$O$4,'Tabla Construcción Crecientes'!J208,))</f>
        <v>0</v>
      </c>
      <c r="K576" s="362">
        <f>IF($F$11='Tabla Parámetros'!$O$3,'Tabla Construcción Fijos'!K208,IF(Simulador!$F$11='Tabla Parámetros'!$O$4,'Tabla Construcción Crecientes'!K208,))</f>
        <v>0</v>
      </c>
      <c r="L576" s="362">
        <f>IF($F$11='Tabla Parámetros'!$O$3,'Tabla Construcción Fijos'!L208,IF(Simulador!$F$11='Tabla Parámetros'!$O$4,'Tabla Construcción Crecientes'!L208,))</f>
        <v>0</v>
      </c>
      <c r="M576" s="362">
        <f>IF($F$11='Tabla Parámetros'!$O$3,'Tabla Construcción Fijos'!M208,IF(Simulador!$F$11='Tabla Parámetros'!$O$4,'Tabla Construcción Crecientes'!M208,))</f>
        <v>0</v>
      </c>
      <c r="N576" s="391">
        <f>IF($F$11='Tabla Parámetros'!$O$3,'Tabla Construcción Fijos'!N208,IF(Simulador!$F$11='Tabla Parámetros'!$O$4,'Tabla Construcción Crecientes'!N208,))</f>
        <v>0</v>
      </c>
      <c r="O576" s="392"/>
      <c r="P576" s="392">
        <f>'Tabla Construcción Fijos'!P208</f>
        <v>0</v>
      </c>
      <c r="Q576" s="362">
        <f>IF($F$11='Tabla Parámetros'!$O$3,'Tabla Construcción Fijos'!Q208,IF(Simulador!$F$11='Tabla Parámetros'!$O$4,'Tabla Construcción Crecientes'!P208,))</f>
        <v>0</v>
      </c>
      <c r="R576" s="362">
        <f>IF($F$11='Tabla Parámetros'!$O$3,'Tabla Construcción Fijos'!R208,IF(Simulador!$F$11='Tabla Parámetros'!$O$4,'Tabla Construcción Crecientes'!Q208,))</f>
        <v>0</v>
      </c>
      <c r="S576" s="272">
        <f t="shared" si="21"/>
        <v>0</v>
      </c>
    </row>
    <row r="577" spans="2:19" ht="15.5" hidden="1" x14ac:dyDescent="0.35">
      <c r="B577" s="378">
        <f t="shared" si="22"/>
        <v>186</v>
      </c>
      <c r="C577" s="378">
        <f t="shared" si="23"/>
        <v>30.4</v>
      </c>
      <c r="D577" s="379">
        <f>IF($F$11='Tabla Parámetros'!$O$3,'Tabla Construcción Fijos'!D209,IF(Simulador!$F$11='Tabla Parámetros'!$O$4,'Tabla Construcción Crecientes'!D209,))</f>
        <v>0</v>
      </c>
      <c r="E577" s="390"/>
      <c r="F577" s="362">
        <f>IF($F$11='Tabla Parámetros'!$O$3,'Tabla Construcción Fijos'!F209,IF(Simulador!$F$11='Tabla Parámetros'!$O$4,'Tabla Construcción Crecientes'!F209,))</f>
        <v>0</v>
      </c>
      <c r="G577" s="362"/>
      <c r="H577" s="362">
        <f>IF($F$11='Tabla Parámetros'!$O$3,'Tabla Construcción Fijos'!H209,IF(Simulador!$F$11='Tabla Parámetros'!$O$4,'Tabla Construcción Crecientes'!H209,))</f>
        <v>0</v>
      </c>
      <c r="I577" s="362">
        <f>IF($F$11='Tabla Parámetros'!$O$3,'Tabla Construcción Fijos'!I209,IF(Simulador!$F$11='Tabla Parámetros'!$O$4,'Tabla Construcción Crecientes'!I209,))</f>
        <v>0</v>
      </c>
      <c r="J577" s="362">
        <f>IF($F$11='Tabla Parámetros'!$O$3,'Tabla Construcción Fijos'!J209,IF(Simulador!$F$11='Tabla Parámetros'!$O$4,'Tabla Construcción Crecientes'!J209,))</f>
        <v>0</v>
      </c>
      <c r="K577" s="362">
        <f>IF($F$11='Tabla Parámetros'!$O$3,'Tabla Construcción Fijos'!K209,IF(Simulador!$F$11='Tabla Parámetros'!$O$4,'Tabla Construcción Crecientes'!K209,))</f>
        <v>0</v>
      </c>
      <c r="L577" s="362">
        <f>IF($F$11='Tabla Parámetros'!$O$3,'Tabla Construcción Fijos'!L209,IF(Simulador!$F$11='Tabla Parámetros'!$O$4,'Tabla Construcción Crecientes'!L209,))</f>
        <v>0</v>
      </c>
      <c r="M577" s="362">
        <f>IF($F$11='Tabla Parámetros'!$O$3,'Tabla Construcción Fijos'!M209,IF(Simulador!$F$11='Tabla Parámetros'!$O$4,'Tabla Construcción Crecientes'!M209,))</f>
        <v>0</v>
      </c>
      <c r="N577" s="391">
        <f>IF($F$11='Tabla Parámetros'!$O$3,'Tabla Construcción Fijos'!N209,IF(Simulador!$F$11='Tabla Parámetros'!$O$4,'Tabla Construcción Crecientes'!N209,))</f>
        <v>0</v>
      </c>
      <c r="O577" s="392"/>
      <c r="P577" s="392">
        <f>'Tabla Construcción Fijos'!P209</f>
        <v>0</v>
      </c>
      <c r="Q577" s="362">
        <f>IF($F$11='Tabla Parámetros'!$O$3,'Tabla Construcción Fijos'!Q209,IF(Simulador!$F$11='Tabla Parámetros'!$O$4,'Tabla Construcción Crecientes'!P209,))</f>
        <v>0</v>
      </c>
      <c r="R577" s="362">
        <f>IF($F$11='Tabla Parámetros'!$O$3,'Tabla Construcción Fijos'!R209,IF(Simulador!$F$11='Tabla Parámetros'!$O$4,'Tabla Construcción Crecientes'!Q209,))</f>
        <v>0</v>
      </c>
      <c r="S577" s="272">
        <f t="shared" si="21"/>
        <v>0</v>
      </c>
    </row>
    <row r="578" spans="2:19" ht="15.5" hidden="1" x14ac:dyDescent="0.35">
      <c r="B578" s="378">
        <f t="shared" si="22"/>
        <v>187</v>
      </c>
      <c r="C578" s="378">
        <f t="shared" si="23"/>
        <v>30.4</v>
      </c>
      <c r="D578" s="379">
        <f>IF($F$11='Tabla Parámetros'!$O$3,'Tabla Construcción Fijos'!D210,IF(Simulador!$F$11='Tabla Parámetros'!$O$4,'Tabla Construcción Crecientes'!D210,))</f>
        <v>0</v>
      </c>
      <c r="E578" s="390"/>
      <c r="F578" s="362">
        <f>IF($F$11='Tabla Parámetros'!$O$3,'Tabla Construcción Fijos'!F210,IF(Simulador!$F$11='Tabla Parámetros'!$O$4,'Tabla Construcción Crecientes'!F210,))</f>
        <v>0</v>
      </c>
      <c r="G578" s="362"/>
      <c r="H578" s="362">
        <f>IF($F$11='Tabla Parámetros'!$O$3,'Tabla Construcción Fijos'!H210,IF(Simulador!$F$11='Tabla Parámetros'!$O$4,'Tabla Construcción Crecientes'!H210,))</f>
        <v>0</v>
      </c>
      <c r="I578" s="362">
        <f>IF($F$11='Tabla Parámetros'!$O$3,'Tabla Construcción Fijos'!I210,IF(Simulador!$F$11='Tabla Parámetros'!$O$4,'Tabla Construcción Crecientes'!I210,))</f>
        <v>0</v>
      </c>
      <c r="J578" s="362">
        <f>IF($F$11='Tabla Parámetros'!$O$3,'Tabla Construcción Fijos'!J210,IF(Simulador!$F$11='Tabla Parámetros'!$O$4,'Tabla Construcción Crecientes'!J210,))</f>
        <v>0</v>
      </c>
      <c r="K578" s="362">
        <f>IF($F$11='Tabla Parámetros'!$O$3,'Tabla Construcción Fijos'!K210,IF(Simulador!$F$11='Tabla Parámetros'!$O$4,'Tabla Construcción Crecientes'!K210,))</f>
        <v>0</v>
      </c>
      <c r="L578" s="362">
        <f>IF($F$11='Tabla Parámetros'!$O$3,'Tabla Construcción Fijos'!L210,IF(Simulador!$F$11='Tabla Parámetros'!$O$4,'Tabla Construcción Crecientes'!L210,))</f>
        <v>0</v>
      </c>
      <c r="M578" s="362">
        <f>IF($F$11='Tabla Parámetros'!$O$3,'Tabla Construcción Fijos'!M210,IF(Simulador!$F$11='Tabla Parámetros'!$O$4,'Tabla Construcción Crecientes'!M210,))</f>
        <v>0</v>
      </c>
      <c r="N578" s="391">
        <f>IF($F$11='Tabla Parámetros'!$O$3,'Tabla Construcción Fijos'!N210,IF(Simulador!$F$11='Tabla Parámetros'!$O$4,'Tabla Construcción Crecientes'!N210,))</f>
        <v>0</v>
      </c>
      <c r="O578" s="392"/>
      <c r="P578" s="392">
        <f>'Tabla Construcción Fijos'!P210</f>
        <v>0</v>
      </c>
      <c r="Q578" s="362">
        <f>IF($F$11='Tabla Parámetros'!$O$3,'Tabla Construcción Fijos'!Q210,IF(Simulador!$F$11='Tabla Parámetros'!$O$4,'Tabla Construcción Crecientes'!P210,))</f>
        <v>0</v>
      </c>
      <c r="R578" s="362">
        <f>IF($F$11='Tabla Parámetros'!$O$3,'Tabla Construcción Fijos'!R210,IF(Simulador!$F$11='Tabla Parámetros'!$O$4,'Tabla Construcción Crecientes'!Q210,))</f>
        <v>0</v>
      </c>
      <c r="S578" s="272">
        <f t="shared" si="21"/>
        <v>0</v>
      </c>
    </row>
    <row r="579" spans="2:19" ht="15.5" hidden="1" x14ac:dyDescent="0.35">
      <c r="B579" s="378">
        <f t="shared" si="22"/>
        <v>188</v>
      </c>
      <c r="C579" s="378">
        <f t="shared" si="23"/>
        <v>30.4</v>
      </c>
      <c r="D579" s="379">
        <f>IF($F$11='Tabla Parámetros'!$O$3,'Tabla Construcción Fijos'!D211,IF(Simulador!$F$11='Tabla Parámetros'!$O$4,'Tabla Construcción Crecientes'!D211,))</f>
        <v>0</v>
      </c>
      <c r="E579" s="390"/>
      <c r="F579" s="362">
        <f>IF($F$11='Tabla Parámetros'!$O$3,'Tabla Construcción Fijos'!F211,IF(Simulador!$F$11='Tabla Parámetros'!$O$4,'Tabla Construcción Crecientes'!F211,))</f>
        <v>0</v>
      </c>
      <c r="G579" s="362"/>
      <c r="H579" s="362">
        <f>IF($F$11='Tabla Parámetros'!$O$3,'Tabla Construcción Fijos'!H211,IF(Simulador!$F$11='Tabla Parámetros'!$O$4,'Tabla Construcción Crecientes'!H211,))</f>
        <v>0</v>
      </c>
      <c r="I579" s="362">
        <f>IF($F$11='Tabla Parámetros'!$O$3,'Tabla Construcción Fijos'!I211,IF(Simulador!$F$11='Tabla Parámetros'!$O$4,'Tabla Construcción Crecientes'!I211,))</f>
        <v>0</v>
      </c>
      <c r="J579" s="362">
        <f>IF($F$11='Tabla Parámetros'!$O$3,'Tabla Construcción Fijos'!J211,IF(Simulador!$F$11='Tabla Parámetros'!$O$4,'Tabla Construcción Crecientes'!J211,))</f>
        <v>0</v>
      </c>
      <c r="K579" s="362">
        <f>IF($F$11='Tabla Parámetros'!$O$3,'Tabla Construcción Fijos'!K211,IF(Simulador!$F$11='Tabla Parámetros'!$O$4,'Tabla Construcción Crecientes'!K211,))</f>
        <v>0</v>
      </c>
      <c r="L579" s="362">
        <f>IF($F$11='Tabla Parámetros'!$O$3,'Tabla Construcción Fijos'!L211,IF(Simulador!$F$11='Tabla Parámetros'!$O$4,'Tabla Construcción Crecientes'!L211,))</f>
        <v>0</v>
      </c>
      <c r="M579" s="362">
        <f>IF($F$11='Tabla Parámetros'!$O$3,'Tabla Construcción Fijos'!M211,IF(Simulador!$F$11='Tabla Parámetros'!$O$4,'Tabla Construcción Crecientes'!M211,))</f>
        <v>0</v>
      </c>
      <c r="N579" s="391">
        <f>IF($F$11='Tabla Parámetros'!$O$3,'Tabla Construcción Fijos'!N211,IF(Simulador!$F$11='Tabla Parámetros'!$O$4,'Tabla Construcción Crecientes'!N211,))</f>
        <v>0</v>
      </c>
      <c r="O579" s="392"/>
      <c r="P579" s="392">
        <f>'Tabla Construcción Fijos'!P211</f>
        <v>0</v>
      </c>
      <c r="Q579" s="362">
        <f>IF($F$11='Tabla Parámetros'!$O$3,'Tabla Construcción Fijos'!Q211,IF(Simulador!$F$11='Tabla Parámetros'!$O$4,'Tabla Construcción Crecientes'!P211,))</f>
        <v>0</v>
      </c>
      <c r="R579" s="362">
        <f>IF($F$11='Tabla Parámetros'!$O$3,'Tabla Construcción Fijos'!R211,IF(Simulador!$F$11='Tabla Parámetros'!$O$4,'Tabla Construcción Crecientes'!Q211,))</f>
        <v>0</v>
      </c>
      <c r="S579" s="272">
        <f t="shared" si="21"/>
        <v>0</v>
      </c>
    </row>
    <row r="580" spans="2:19" ht="15.5" hidden="1" x14ac:dyDescent="0.35">
      <c r="B580" s="378">
        <f t="shared" si="22"/>
        <v>189</v>
      </c>
      <c r="C580" s="378">
        <f t="shared" si="23"/>
        <v>30.4</v>
      </c>
      <c r="D580" s="379">
        <f>IF($F$11='Tabla Parámetros'!$O$3,'Tabla Construcción Fijos'!D212,IF(Simulador!$F$11='Tabla Parámetros'!$O$4,'Tabla Construcción Crecientes'!D212,))</f>
        <v>0</v>
      </c>
      <c r="E580" s="390"/>
      <c r="F580" s="362">
        <f>IF($F$11='Tabla Parámetros'!$O$3,'Tabla Construcción Fijos'!F212,IF(Simulador!$F$11='Tabla Parámetros'!$O$4,'Tabla Construcción Crecientes'!F212,))</f>
        <v>0</v>
      </c>
      <c r="G580" s="362"/>
      <c r="H580" s="362">
        <f>IF($F$11='Tabla Parámetros'!$O$3,'Tabla Construcción Fijos'!H212,IF(Simulador!$F$11='Tabla Parámetros'!$O$4,'Tabla Construcción Crecientes'!H212,))</f>
        <v>0</v>
      </c>
      <c r="I580" s="362">
        <f>IF($F$11='Tabla Parámetros'!$O$3,'Tabla Construcción Fijos'!I212,IF(Simulador!$F$11='Tabla Parámetros'!$O$4,'Tabla Construcción Crecientes'!I212,))</f>
        <v>0</v>
      </c>
      <c r="J580" s="362">
        <f>IF($F$11='Tabla Parámetros'!$O$3,'Tabla Construcción Fijos'!J212,IF(Simulador!$F$11='Tabla Parámetros'!$O$4,'Tabla Construcción Crecientes'!J212,))</f>
        <v>0</v>
      </c>
      <c r="K580" s="362">
        <f>IF($F$11='Tabla Parámetros'!$O$3,'Tabla Construcción Fijos'!K212,IF(Simulador!$F$11='Tabla Parámetros'!$O$4,'Tabla Construcción Crecientes'!K212,))</f>
        <v>0</v>
      </c>
      <c r="L580" s="362">
        <f>IF($F$11='Tabla Parámetros'!$O$3,'Tabla Construcción Fijos'!L212,IF(Simulador!$F$11='Tabla Parámetros'!$O$4,'Tabla Construcción Crecientes'!L212,))</f>
        <v>0</v>
      </c>
      <c r="M580" s="362">
        <f>IF($F$11='Tabla Parámetros'!$O$3,'Tabla Construcción Fijos'!M212,IF(Simulador!$F$11='Tabla Parámetros'!$O$4,'Tabla Construcción Crecientes'!M212,))</f>
        <v>0</v>
      </c>
      <c r="N580" s="391">
        <f>IF($F$11='Tabla Parámetros'!$O$3,'Tabla Construcción Fijos'!N212,IF(Simulador!$F$11='Tabla Parámetros'!$O$4,'Tabla Construcción Crecientes'!N212,))</f>
        <v>0</v>
      </c>
      <c r="O580" s="392"/>
      <c r="P580" s="392">
        <f>'Tabla Construcción Fijos'!P212</f>
        <v>0</v>
      </c>
      <c r="Q580" s="362">
        <f>IF($F$11='Tabla Parámetros'!$O$3,'Tabla Construcción Fijos'!Q212,IF(Simulador!$F$11='Tabla Parámetros'!$O$4,'Tabla Construcción Crecientes'!P212,))</f>
        <v>0</v>
      </c>
      <c r="R580" s="362">
        <f>IF($F$11='Tabla Parámetros'!$O$3,'Tabla Construcción Fijos'!R212,IF(Simulador!$F$11='Tabla Parámetros'!$O$4,'Tabla Construcción Crecientes'!Q212,))</f>
        <v>0</v>
      </c>
      <c r="S580" s="272">
        <f t="shared" si="21"/>
        <v>0</v>
      </c>
    </row>
    <row r="581" spans="2:19" ht="15.5" hidden="1" x14ac:dyDescent="0.35">
      <c r="B581" s="378">
        <f t="shared" si="22"/>
        <v>190</v>
      </c>
      <c r="C581" s="378">
        <f t="shared" si="23"/>
        <v>30.4</v>
      </c>
      <c r="D581" s="379">
        <f>IF($F$11='Tabla Parámetros'!$O$3,'Tabla Construcción Fijos'!D213,IF(Simulador!$F$11='Tabla Parámetros'!$O$4,'Tabla Construcción Crecientes'!D213,))</f>
        <v>0</v>
      </c>
      <c r="E581" s="390"/>
      <c r="F581" s="362">
        <f>IF($F$11='Tabla Parámetros'!$O$3,'Tabla Construcción Fijos'!F213,IF(Simulador!$F$11='Tabla Parámetros'!$O$4,'Tabla Construcción Crecientes'!F213,))</f>
        <v>0</v>
      </c>
      <c r="G581" s="362"/>
      <c r="H581" s="362">
        <f>IF($F$11='Tabla Parámetros'!$O$3,'Tabla Construcción Fijos'!H213,IF(Simulador!$F$11='Tabla Parámetros'!$O$4,'Tabla Construcción Crecientes'!H213,))</f>
        <v>0</v>
      </c>
      <c r="I581" s="362">
        <f>IF($F$11='Tabla Parámetros'!$O$3,'Tabla Construcción Fijos'!I213,IF(Simulador!$F$11='Tabla Parámetros'!$O$4,'Tabla Construcción Crecientes'!I213,))</f>
        <v>0</v>
      </c>
      <c r="J581" s="362">
        <f>IF($F$11='Tabla Parámetros'!$O$3,'Tabla Construcción Fijos'!J213,IF(Simulador!$F$11='Tabla Parámetros'!$O$4,'Tabla Construcción Crecientes'!J213,))</f>
        <v>0</v>
      </c>
      <c r="K581" s="362">
        <f>IF($F$11='Tabla Parámetros'!$O$3,'Tabla Construcción Fijos'!K213,IF(Simulador!$F$11='Tabla Parámetros'!$O$4,'Tabla Construcción Crecientes'!K213,))</f>
        <v>0</v>
      </c>
      <c r="L581" s="362">
        <f>IF($F$11='Tabla Parámetros'!$O$3,'Tabla Construcción Fijos'!L213,IF(Simulador!$F$11='Tabla Parámetros'!$O$4,'Tabla Construcción Crecientes'!L213,))</f>
        <v>0</v>
      </c>
      <c r="M581" s="362">
        <f>IF($F$11='Tabla Parámetros'!$O$3,'Tabla Construcción Fijos'!M213,IF(Simulador!$F$11='Tabla Parámetros'!$O$4,'Tabla Construcción Crecientes'!M213,))</f>
        <v>0</v>
      </c>
      <c r="N581" s="391">
        <f>IF($F$11='Tabla Parámetros'!$O$3,'Tabla Construcción Fijos'!N213,IF(Simulador!$F$11='Tabla Parámetros'!$O$4,'Tabla Construcción Crecientes'!N213,))</f>
        <v>0</v>
      </c>
      <c r="O581" s="392"/>
      <c r="P581" s="392">
        <f>'Tabla Construcción Fijos'!P213</f>
        <v>0</v>
      </c>
      <c r="Q581" s="362">
        <f>IF($F$11='Tabla Parámetros'!$O$3,'Tabla Construcción Fijos'!Q213,IF(Simulador!$F$11='Tabla Parámetros'!$O$4,'Tabla Construcción Crecientes'!P213,))</f>
        <v>0</v>
      </c>
      <c r="R581" s="362">
        <f>IF($F$11='Tabla Parámetros'!$O$3,'Tabla Construcción Fijos'!R213,IF(Simulador!$F$11='Tabla Parámetros'!$O$4,'Tabla Construcción Crecientes'!Q213,))</f>
        <v>0</v>
      </c>
      <c r="S581" s="272">
        <f t="shared" si="21"/>
        <v>0</v>
      </c>
    </row>
    <row r="582" spans="2:19" ht="15.5" hidden="1" x14ac:dyDescent="0.35">
      <c r="B582" s="378">
        <f t="shared" si="22"/>
        <v>191</v>
      </c>
      <c r="C582" s="378">
        <f t="shared" si="23"/>
        <v>30.4</v>
      </c>
      <c r="D582" s="379">
        <f>IF($F$11='Tabla Parámetros'!$O$3,'Tabla Construcción Fijos'!D214,IF(Simulador!$F$11='Tabla Parámetros'!$O$4,'Tabla Construcción Crecientes'!D214,))</f>
        <v>0</v>
      </c>
      <c r="E582" s="390"/>
      <c r="F582" s="362">
        <f>IF($F$11='Tabla Parámetros'!$O$3,'Tabla Construcción Fijos'!F214,IF(Simulador!$F$11='Tabla Parámetros'!$O$4,'Tabla Construcción Crecientes'!F214,))</f>
        <v>0</v>
      </c>
      <c r="G582" s="362"/>
      <c r="H582" s="362">
        <f>IF($F$11='Tabla Parámetros'!$O$3,'Tabla Construcción Fijos'!H214,IF(Simulador!$F$11='Tabla Parámetros'!$O$4,'Tabla Construcción Crecientes'!H214,))</f>
        <v>0</v>
      </c>
      <c r="I582" s="362">
        <f>IF($F$11='Tabla Parámetros'!$O$3,'Tabla Construcción Fijos'!I214,IF(Simulador!$F$11='Tabla Parámetros'!$O$4,'Tabla Construcción Crecientes'!I214,))</f>
        <v>0</v>
      </c>
      <c r="J582" s="362">
        <f>IF($F$11='Tabla Parámetros'!$O$3,'Tabla Construcción Fijos'!J214,IF(Simulador!$F$11='Tabla Parámetros'!$O$4,'Tabla Construcción Crecientes'!J214,))</f>
        <v>0</v>
      </c>
      <c r="K582" s="362">
        <f>IF($F$11='Tabla Parámetros'!$O$3,'Tabla Construcción Fijos'!K214,IF(Simulador!$F$11='Tabla Parámetros'!$O$4,'Tabla Construcción Crecientes'!K214,))</f>
        <v>0</v>
      </c>
      <c r="L582" s="362">
        <f>IF($F$11='Tabla Parámetros'!$O$3,'Tabla Construcción Fijos'!L214,IF(Simulador!$F$11='Tabla Parámetros'!$O$4,'Tabla Construcción Crecientes'!L214,))</f>
        <v>0</v>
      </c>
      <c r="M582" s="362">
        <f>IF($F$11='Tabla Parámetros'!$O$3,'Tabla Construcción Fijos'!M214,IF(Simulador!$F$11='Tabla Parámetros'!$O$4,'Tabla Construcción Crecientes'!M214,))</f>
        <v>0</v>
      </c>
      <c r="N582" s="391">
        <f>IF($F$11='Tabla Parámetros'!$O$3,'Tabla Construcción Fijos'!N214,IF(Simulador!$F$11='Tabla Parámetros'!$O$4,'Tabla Construcción Crecientes'!N214,))</f>
        <v>0</v>
      </c>
      <c r="O582" s="392"/>
      <c r="P582" s="392">
        <f>'Tabla Construcción Fijos'!P214</f>
        <v>0</v>
      </c>
      <c r="Q582" s="362">
        <f>IF($F$11='Tabla Parámetros'!$O$3,'Tabla Construcción Fijos'!Q214,IF(Simulador!$F$11='Tabla Parámetros'!$O$4,'Tabla Construcción Crecientes'!P214,))</f>
        <v>0</v>
      </c>
      <c r="R582" s="362">
        <f>IF($F$11='Tabla Parámetros'!$O$3,'Tabla Construcción Fijos'!R214,IF(Simulador!$F$11='Tabla Parámetros'!$O$4,'Tabla Construcción Crecientes'!Q214,))</f>
        <v>0</v>
      </c>
      <c r="S582" s="272">
        <f t="shared" si="21"/>
        <v>0</v>
      </c>
    </row>
    <row r="583" spans="2:19" ht="15.5" hidden="1" x14ac:dyDescent="0.35">
      <c r="B583" s="378">
        <f t="shared" si="22"/>
        <v>192</v>
      </c>
      <c r="C583" s="378">
        <f t="shared" si="23"/>
        <v>30.4</v>
      </c>
      <c r="D583" s="379">
        <f>IF($F$11='Tabla Parámetros'!$O$3,'Tabla Construcción Fijos'!D215,IF(Simulador!$F$11='Tabla Parámetros'!$O$4,'Tabla Construcción Crecientes'!D215,))</f>
        <v>0</v>
      </c>
      <c r="E583" s="390"/>
      <c r="F583" s="362">
        <f>IF($F$11='Tabla Parámetros'!$O$3,'Tabla Construcción Fijos'!F215,IF(Simulador!$F$11='Tabla Parámetros'!$O$4,'Tabla Construcción Crecientes'!F215,))</f>
        <v>0</v>
      </c>
      <c r="G583" s="362"/>
      <c r="H583" s="362">
        <f>IF($F$11='Tabla Parámetros'!$O$3,'Tabla Construcción Fijos'!H215,IF(Simulador!$F$11='Tabla Parámetros'!$O$4,'Tabla Construcción Crecientes'!H215,))</f>
        <v>0</v>
      </c>
      <c r="I583" s="362">
        <f>IF($F$11='Tabla Parámetros'!$O$3,'Tabla Construcción Fijos'!I215,IF(Simulador!$F$11='Tabla Parámetros'!$O$4,'Tabla Construcción Crecientes'!I215,))</f>
        <v>0</v>
      </c>
      <c r="J583" s="362">
        <f>IF($F$11='Tabla Parámetros'!$O$3,'Tabla Construcción Fijos'!J215,IF(Simulador!$F$11='Tabla Parámetros'!$O$4,'Tabla Construcción Crecientes'!J215,))</f>
        <v>0</v>
      </c>
      <c r="K583" s="362">
        <f>IF($F$11='Tabla Parámetros'!$O$3,'Tabla Construcción Fijos'!K215,IF(Simulador!$F$11='Tabla Parámetros'!$O$4,'Tabla Construcción Crecientes'!K215,))</f>
        <v>0</v>
      </c>
      <c r="L583" s="362">
        <f>IF($F$11='Tabla Parámetros'!$O$3,'Tabla Construcción Fijos'!L215,IF(Simulador!$F$11='Tabla Parámetros'!$O$4,'Tabla Construcción Crecientes'!L215,))</f>
        <v>0</v>
      </c>
      <c r="M583" s="362">
        <f>IF($F$11='Tabla Parámetros'!$O$3,'Tabla Construcción Fijos'!M215,IF(Simulador!$F$11='Tabla Parámetros'!$O$4,'Tabla Construcción Crecientes'!M215,))</f>
        <v>0</v>
      </c>
      <c r="N583" s="391">
        <f>IF($F$11='Tabla Parámetros'!$O$3,'Tabla Construcción Fijos'!N215,IF(Simulador!$F$11='Tabla Parámetros'!$O$4,'Tabla Construcción Crecientes'!N215,))</f>
        <v>0</v>
      </c>
      <c r="O583" s="392"/>
      <c r="P583" s="392">
        <f>'Tabla Construcción Fijos'!P215</f>
        <v>0</v>
      </c>
      <c r="Q583" s="362">
        <f>IF($F$11='Tabla Parámetros'!$O$3,'Tabla Construcción Fijos'!Q215,IF(Simulador!$F$11='Tabla Parámetros'!$O$4,'Tabla Construcción Crecientes'!P215,))</f>
        <v>0</v>
      </c>
      <c r="R583" s="362">
        <f>IF($F$11='Tabla Parámetros'!$O$3,'Tabla Construcción Fijos'!R215,IF(Simulador!$F$11='Tabla Parámetros'!$O$4,'Tabla Construcción Crecientes'!Q215,))</f>
        <v>0</v>
      </c>
      <c r="S583" s="272">
        <f t="shared" si="21"/>
        <v>0</v>
      </c>
    </row>
    <row r="584" spans="2:19" ht="15.5" hidden="1" x14ac:dyDescent="0.35">
      <c r="B584" s="378">
        <f t="shared" si="22"/>
        <v>193</v>
      </c>
      <c r="C584" s="378">
        <f t="shared" si="23"/>
        <v>30.4</v>
      </c>
      <c r="D584" s="379">
        <f>IF($F$11='Tabla Parámetros'!$O$3,'Tabla Construcción Fijos'!D216,IF(Simulador!$F$11='Tabla Parámetros'!$O$4,'Tabla Construcción Crecientes'!D216,))</f>
        <v>0</v>
      </c>
      <c r="E584" s="390"/>
      <c r="F584" s="362">
        <f>IF($F$11='Tabla Parámetros'!$O$3,'Tabla Construcción Fijos'!F216,IF(Simulador!$F$11='Tabla Parámetros'!$O$4,'Tabla Construcción Crecientes'!F216,))</f>
        <v>0</v>
      </c>
      <c r="G584" s="362"/>
      <c r="H584" s="362">
        <f>IF($F$11='Tabla Parámetros'!$O$3,'Tabla Construcción Fijos'!H216,IF(Simulador!$F$11='Tabla Parámetros'!$O$4,'Tabla Construcción Crecientes'!H216,))</f>
        <v>0</v>
      </c>
      <c r="I584" s="362">
        <f>IF($F$11='Tabla Parámetros'!$O$3,'Tabla Construcción Fijos'!I216,IF(Simulador!$F$11='Tabla Parámetros'!$O$4,'Tabla Construcción Crecientes'!I216,))</f>
        <v>0</v>
      </c>
      <c r="J584" s="362">
        <f>IF($F$11='Tabla Parámetros'!$O$3,'Tabla Construcción Fijos'!J216,IF(Simulador!$F$11='Tabla Parámetros'!$O$4,'Tabla Construcción Crecientes'!J216,))</f>
        <v>0</v>
      </c>
      <c r="K584" s="362">
        <f>IF($F$11='Tabla Parámetros'!$O$3,'Tabla Construcción Fijos'!K216,IF(Simulador!$F$11='Tabla Parámetros'!$O$4,'Tabla Construcción Crecientes'!K216,))</f>
        <v>0</v>
      </c>
      <c r="L584" s="362">
        <f>IF($F$11='Tabla Parámetros'!$O$3,'Tabla Construcción Fijos'!L216,IF(Simulador!$F$11='Tabla Parámetros'!$O$4,'Tabla Construcción Crecientes'!L216,))</f>
        <v>0</v>
      </c>
      <c r="M584" s="362">
        <f>IF($F$11='Tabla Parámetros'!$O$3,'Tabla Construcción Fijos'!M216,IF(Simulador!$F$11='Tabla Parámetros'!$O$4,'Tabla Construcción Crecientes'!M216,))</f>
        <v>0</v>
      </c>
      <c r="N584" s="391">
        <f>IF($F$11='Tabla Parámetros'!$O$3,'Tabla Construcción Fijos'!N216,IF(Simulador!$F$11='Tabla Parámetros'!$O$4,'Tabla Construcción Crecientes'!N216,))</f>
        <v>0</v>
      </c>
      <c r="O584" s="392"/>
      <c r="P584" s="392">
        <f>'Tabla Construcción Fijos'!P216</f>
        <v>0</v>
      </c>
      <c r="Q584" s="362">
        <f>IF($F$11='Tabla Parámetros'!$O$3,'Tabla Construcción Fijos'!Q216,IF(Simulador!$F$11='Tabla Parámetros'!$O$4,'Tabla Construcción Crecientes'!P216,))</f>
        <v>0</v>
      </c>
      <c r="R584" s="362">
        <f>IF($F$11='Tabla Parámetros'!$O$3,'Tabla Construcción Fijos'!R216,IF(Simulador!$F$11='Tabla Parámetros'!$O$4,'Tabla Construcción Crecientes'!Q216,))</f>
        <v>0</v>
      </c>
      <c r="S584" s="272">
        <f t="shared" si="21"/>
        <v>0</v>
      </c>
    </row>
    <row r="585" spans="2:19" ht="15.5" hidden="1" x14ac:dyDescent="0.35">
      <c r="B585" s="378">
        <f t="shared" si="22"/>
        <v>194</v>
      </c>
      <c r="C585" s="378">
        <f t="shared" si="23"/>
        <v>30.4</v>
      </c>
      <c r="D585" s="379">
        <f>IF($F$11='Tabla Parámetros'!$O$3,'Tabla Construcción Fijos'!D217,IF(Simulador!$F$11='Tabla Parámetros'!$O$4,'Tabla Construcción Crecientes'!D217,))</f>
        <v>0</v>
      </c>
      <c r="E585" s="390"/>
      <c r="F585" s="362">
        <f>IF($F$11='Tabla Parámetros'!$O$3,'Tabla Construcción Fijos'!F217,IF(Simulador!$F$11='Tabla Parámetros'!$O$4,'Tabla Construcción Crecientes'!F217,))</f>
        <v>0</v>
      </c>
      <c r="G585" s="362"/>
      <c r="H585" s="362">
        <f>IF($F$11='Tabla Parámetros'!$O$3,'Tabla Construcción Fijos'!H217,IF(Simulador!$F$11='Tabla Parámetros'!$O$4,'Tabla Construcción Crecientes'!H217,))</f>
        <v>0</v>
      </c>
      <c r="I585" s="362">
        <f>IF($F$11='Tabla Parámetros'!$O$3,'Tabla Construcción Fijos'!I217,IF(Simulador!$F$11='Tabla Parámetros'!$O$4,'Tabla Construcción Crecientes'!I217,))</f>
        <v>0</v>
      </c>
      <c r="J585" s="362">
        <f>IF($F$11='Tabla Parámetros'!$O$3,'Tabla Construcción Fijos'!J217,IF(Simulador!$F$11='Tabla Parámetros'!$O$4,'Tabla Construcción Crecientes'!J217,))</f>
        <v>0</v>
      </c>
      <c r="K585" s="362">
        <f>IF($F$11='Tabla Parámetros'!$O$3,'Tabla Construcción Fijos'!K217,IF(Simulador!$F$11='Tabla Parámetros'!$O$4,'Tabla Construcción Crecientes'!K217,))</f>
        <v>0</v>
      </c>
      <c r="L585" s="362">
        <f>IF($F$11='Tabla Parámetros'!$O$3,'Tabla Construcción Fijos'!L217,IF(Simulador!$F$11='Tabla Parámetros'!$O$4,'Tabla Construcción Crecientes'!L217,))</f>
        <v>0</v>
      </c>
      <c r="M585" s="362">
        <f>IF($F$11='Tabla Parámetros'!$O$3,'Tabla Construcción Fijos'!M217,IF(Simulador!$F$11='Tabla Parámetros'!$O$4,'Tabla Construcción Crecientes'!M217,))</f>
        <v>0</v>
      </c>
      <c r="N585" s="391">
        <f>IF($F$11='Tabla Parámetros'!$O$3,'Tabla Construcción Fijos'!N217,IF(Simulador!$F$11='Tabla Parámetros'!$O$4,'Tabla Construcción Crecientes'!N217,))</f>
        <v>0</v>
      </c>
      <c r="O585" s="392"/>
      <c r="P585" s="392">
        <f>'Tabla Construcción Fijos'!P217</f>
        <v>0</v>
      </c>
      <c r="Q585" s="362">
        <f>IF($F$11='Tabla Parámetros'!$O$3,'Tabla Construcción Fijos'!Q217,IF(Simulador!$F$11='Tabla Parámetros'!$O$4,'Tabla Construcción Crecientes'!P217,))</f>
        <v>0</v>
      </c>
      <c r="R585" s="362">
        <f>IF($F$11='Tabla Parámetros'!$O$3,'Tabla Construcción Fijos'!R217,IF(Simulador!$F$11='Tabla Parámetros'!$O$4,'Tabla Construcción Crecientes'!Q217,))</f>
        <v>0</v>
      </c>
      <c r="S585" s="272">
        <f t="shared" ref="S585:S631" si="24">IF(OR($B585="",$F585&lt;=0),0,1)</f>
        <v>0</v>
      </c>
    </row>
    <row r="586" spans="2:19" ht="15.5" hidden="1" x14ac:dyDescent="0.35">
      <c r="B586" s="378">
        <f t="shared" ref="B586:B631" si="25">IF(B585=$F$19,"",IF(B585="","",B585+1))</f>
        <v>195</v>
      </c>
      <c r="C586" s="378">
        <f t="shared" ref="C586:C631" si="26">IF(B586="","",30.4)</f>
        <v>30.4</v>
      </c>
      <c r="D586" s="379">
        <f>IF($F$11='Tabla Parámetros'!$O$3,'Tabla Construcción Fijos'!D218,IF(Simulador!$F$11='Tabla Parámetros'!$O$4,'Tabla Construcción Crecientes'!D218,))</f>
        <v>0</v>
      </c>
      <c r="E586" s="390"/>
      <c r="F586" s="362">
        <f>IF($F$11='Tabla Parámetros'!$O$3,'Tabla Construcción Fijos'!F218,IF(Simulador!$F$11='Tabla Parámetros'!$O$4,'Tabla Construcción Crecientes'!F218,))</f>
        <v>0</v>
      </c>
      <c r="G586" s="362"/>
      <c r="H586" s="362">
        <f>IF($F$11='Tabla Parámetros'!$O$3,'Tabla Construcción Fijos'!H218,IF(Simulador!$F$11='Tabla Parámetros'!$O$4,'Tabla Construcción Crecientes'!H218,))</f>
        <v>0</v>
      </c>
      <c r="I586" s="362">
        <f>IF($F$11='Tabla Parámetros'!$O$3,'Tabla Construcción Fijos'!I218,IF(Simulador!$F$11='Tabla Parámetros'!$O$4,'Tabla Construcción Crecientes'!I218,))</f>
        <v>0</v>
      </c>
      <c r="J586" s="362">
        <f>IF($F$11='Tabla Parámetros'!$O$3,'Tabla Construcción Fijos'!J218,IF(Simulador!$F$11='Tabla Parámetros'!$O$4,'Tabla Construcción Crecientes'!J218,))</f>
        <v>0</v>
      </c>
      <c r="K586" s="362">
        <f>IF($F$11='Tabla Parámetros'!$O$3,'Tabla Construcción Fijos'!K218,IF(Simulador!$F$11='Tabla Parámetros'!$O$4,'Tabla Construcción Crecientes'!K218,))</f>
        <v>0</v>
      </c>
      <c r="L586" s="362">
        <f>IF($F$11='Tabla Parámetros'!$O$3,'Tabla Construcción Fijos'!L218,IF(Simulador!$F$11='Tabla Parámetros'!$O$4,'Tabla Construcción Crecientes'!L218,))</f>
        <v>0</v>
      </c>
      <c r="M586" s="362">
        <f>IF($F$11='Tabla Parámetros'!$O$3,'Tabla Construcción Fijos'!M218,IF(Simulador!$F$11='Tabla Parámetros'!$O$4,'Tabla Construcción Crecientes'!M218,))</f>
        <v>0</v>
      </c>
      <c r="N586" s="391">
        <f>IF($F$11='Tabla Parámetros'!$O$3,'Tabla Construcción Fijos'!N218,IF(Simulador!$F$11='Tabla Parámetros'!$O$4,'Tabla Construcción Crecientes'!N218,))</f>
        <v>0</v>
      </c>
      <c r="O586" s="392"/>
      <c r="P586" s="392">
        <f>'Tabla Construcción Fijos'!P218</f>
        <v>0</v>
      </c>
      <c r="Q586" s="362">
        <f>IF($F$11='Tabla Parámetros'!$O$3,'Tabla Construcción Fijos'!Q218,IF(Simulador!$F$11='Tabla Parámetros'!$O$4,'Tabla Construcción Crecientes'!P218,))</f>
        <v>0</v>
      </c>
      <c r="R586" s="362">
        <f>IF($F$11='Tabla Parámetros'!$O$3,'Tabla Construcción Fijos'!R218,IF(Simulador!$F$11='Tabla Parámetros'!$O$4,'Tabla Construcción Crecientes'!Q218,))</f>
        <v>0</v>
      </c>
      <c r="S586" s="272">
        <f t="shared" si="24"/>
        <v>0</v>
      </c>
    </row>
    <row r="587" spans="2:19" ht="15.5" hidden="1" x14ac:dyDescent="0.35">
      <c r="B587" s="378">
        <f t="shared" si="25"/>
        <v>196</v>
      </c>
      <c r="C587" s="378">
        <f t="shared" si="26"/>
        <v>30.4</v>
      </c>
      <c r="D587" s="379">
        <f>IF($F$11='Tabla Parámetros'!$O$3,'Tabla Construcción Fijos'!D219,IF(Simulador!$F$11='Tabla Parámetros'!$O$4,'Tabla Construcción Crecientes'!D219,))</f>
        <v>0</v>
      </c>
      <c r="E587" s="390"/>
      <c r="F587" s="362">
        <f>IF($F$11='Tabla Parámetros'!$O$3,'Tabla Construcción Fijos'!F219,IF(Simulador!$F$11='Tabla Parámetros'!$O$4,'Tabla Construcción Crecientes'!F219,))</f>
        <v>0</v>
      </c>
      <c r="G587" s="362"/>
      <c r="H587" s="362">
        <f>IF($F$11='Tabla Parámetros'!$O$3,'Tabla Construcción Fijos'!H219,IF(Simulador!$F$11='Tabla Parámetros'!$O$4,'Tabla Construcción Crecientes'!H219,))</f>
        <v>0</v>
      </c>
      <c r="I587" s="362">
        <f>IF($F$11='Tabla Parámetros'!$O$3,'Tabla Construcción Fijos'!I219,IF(Simulador!$F$11='Tabla Parámetros'!$O$4,'Tabla Construcción Crecientes'!I219,))</f>
        <v>0</v>
      </c>
      <c r="J587" s="362">
        <f>IF($F$11='Tabla Parámetros'!$O$3,'Tabla Construcción Fijos'!J219,IF(Simulador!$F$11='Tabla Parámetros'!$O$4,'Tabla Construcción Crecientes'!J219,))</f>
        <v>0</v>
      </c>
      <c r="K587" s="362">
        <f>IF($F$11='Tabla Parámetros'!$O$3,'Tabla Construcción Fijos'!K219,IF(Simulador!$F$11='Tabla Parámetros'!$O$4,'Tabla Construcción Crecientes'!K219,))</f>
        <v>0</v>
      </c>
      <c r="L587" s="362">
        <f>IF($F$11='Tabla Parámetros'!$O$3,'Tabla Construcción Fijos'!L219,IF(Simulador!$F$11='Tabla Parámetros'!$O$4,'Tabla Construcción Crecientes'!L219,))</f>
        <v>0</v>
      </c>
      <c r="M587" s="362">
        <f>IF($F$11='Tabla Parámetros'!$O$3,'Tabla Construcción Fijos'!M219,IF(Simulador!$F$11='Tabla Parámetros'!$O$4,'Tabla Construcción Crecientes'!M219,))</f>
        <v>0</v>
      </c>
      <c r="N587" s="391">
        <f>IF($F$11='Tabla Parámetros'!$O$3,'Tabla Construcción Fijos'!N219,IF(Simulador!$F$11='Tabla Parámetros'!$O$4,'Tabla Construcción Crecientes'!N219,))</f>
        <v>0</v>
      </c>
      <c r="O587" s="392"/>
      <c r="P587" s="392">
        <f>'Tabla Construcción Fijos'!P219</f>
        <v>0</v>
      </c>
      <c r="Q587" s="362">
        <f>IF($F$11='Tabla Parámetros'!$O$3,'Tabla Construcción Fijos'!Q219,IF(Simulador!$F$11='Tabla Parámetros'!$O$4,'Tabla Construcción Crecientes'!P219,))</f>
        <v>0</v>
      </c>
      <c r="R587" s="362">
        <f>IF($F$11='Tabla Parámetros'!$O$3,'Tabla Construcción Fijos'!R219,IF(Simulador!$F$11='Tabla Parámetros'!$O$4,'Tabla Construcción Crecientes'!Q219,))</f>
        <v>0</v>
      </c>
      <c r="S587" s="272">
        <f t="shared" si="24"/>
        <v>0</v>
      </c>
    </row>
    <row r="588" spans="2:19" ht="15.5" hidden="1" x14ac:dyDescent="0.35">
      <c r="B588" s="378">
        <f t="shared" si="25"/>
        <v>197</v>
      </c>
      <c r="C588" s="378">
        <f t="shared" si="26"/>
        <v>30.4</v>
      </c>
      <c r="D588" s="379">
        <f>IF($F$11='Tabla Parámetros'!$O$3,'Tabla Construcción Fijos'!D220,IF(Simulador!$F$11='Tabla Parámetros'!$O$4,'Tabla Construcción Crecientes'!D220,))</f>
        <v>0</v>
      </c>
      <c r="E588" s="390"/>
      <c r="F588" s="362">
        <f>IF($F$11='Tabla Parámetros'!$O$3,'Tabla Construcción Fijos'!F220,IF(Simulador!$F$11='Tabla Parámetros'!$O$4,'Tabla Construcción Crecientes'!F220,))</f>
        <v>0</v>
      </c>
      <c r="G588" s="362"/>
      <c r="H588" s="362">
        <f>IF($F$11='Tabla Parámetros'!$O$3,'Tabla Construcción Fijos'!H220,IF(Simulador!$F$11='Tabla Parámetros'!$O$4,'Tabla Construcción Crecientes'!H220,))</f>
        <v>0</v>
      </c>
      <c r="I588" s="362">
        <f>IF($F$11='Tabla Parámetros'!$O$3,'Tabla Construcción Fijos'!I220,IF(Simulador!$F$11='Tabla Parámetros'!$O$4,'Tabla Construcción Crecientes'!I220,))</f>
        <v>0</v>
      </c>
      <c r="J588" s="362">
        <f>IF($F$11='Tabla Parámetros'!$O$3,'Tabla Construcción Fijos'!J220,IF(Simulador!$F$11='Tabla Parámetros'!$O$4,'Tabla Construcción Crecientes'!J220,))</f>
        <v>0</v>
      </c>
      <c r="K588" s="362">
        <f>IF($F$11='Tabla Parámetros'!$O$3,'Tabla Construcción Fijos'!K220,IF(Simulador!$F$11='Tabla Parámetros'!$O$4,'Tabla Construcción Crecientes'!K220,))</f>
        <v>0</v>
      </c>
      <c r="L588" s="362">
        <f>IF($F$11='Tabla Parámetros'!$O$3,'Tabla Construcción Fijos'!L220,IF(Simulador!$F$11='Tabla Parámetros'!$O$4,'Tabla Construcción Crecientes'!L220,))</f>
        <v>0</v>
      </c>
      <c r="M588" s="362">
        <f>IF($F$11='Tabla Parámetros'!$O$3,'Tabla Construcción Fijos'!M220,IF(Simulador!$F$11='Tabla Parámetros'!$O$4,'Tabla Construcción Crecientes'!M220,))</f>
        <v>0</v>
      </c>
      <c r="N588" s="391">
        <f>IF($F$11='Tabla Parámetros'!$O$3,'Tabla Construcción Fijos'!N220,IF(Simulador!$F$11='Tabla Parámetros'!$O$4,'Tabla Construcción Crecientes'!N220,))</f>
        <v>0</v>
      </c>
      <c r="O588" s="392"/>
      <c r="P588" s="392">
        <f>'Tabla Construcción Fijos'!P220</f>
        <v>0</v>
      </c>
      <c r="Q588" s="362">
        <f>IF($F$11='Tabla Parámetros'!$O$3,'Tabla Construcción Fijos'!Q220,IF(Simulador!$F$11='Tabla Parámetros'!$O$4,'Tabla Construcción Crecientes'!P220,))</f>
        <v>0</v>
      </c>
      <c r="R588" s="362">
        <f>IF($F$11='Tabla Parámetros'!$O$3,'Tabla Construcción Fijos'!R220,IF(Simulador!$F$11='Tabla Parámetros'!$O$4,'Tabla Construcción Crecientes'!Q220,))</f>
        <v>0</v>
      </c>
      <c r="S588" s="272">
        <f t="shared" si="24"/>
        <v>0</v>
      </c>
    </row>
    <row r="589" spans="2:19" ht="15.5" hidden="1" x14ac:dyDescent="0.35">
      <c r="B589" s="378">
        <f t="shared" si="25"/>
        <v>198</v>
      </c>
      <c r="C589" s="378">
        <f t="shared" si="26"/>
        <v>30.4</v>
      </c>
      <c r="D589" s="379">
        <f>IF($F$11='Tabla Parámetros'!$O$3,'Tabla Construcción Fijos'!D221,IF(Simulador!$F$11='Tabla Parámetros'!$O$4,'Tabla Construcción Crecientes'!D221,))</f>
        <v>0</v>
      </c>
      <c r="E589" s="390"/>
      <c r="F589" s="362">
        <f>IF($F$11='Tabla Parámetros'!$O$3,'Tabla Construcción Fijos'!F221,IF(Simulador!$F$11='Tabla Parámetros'!$O$4,'Tabla Construcción Crecientes'!F221,))</f>
        <v>0</v>
      </c>
      <c r="G589" s="362"/>
      <c r="H589" s="362">
        <f>IF($F$11='Tabla Parámetros'!$O$3,'Tabla Construcción Fijos'!H221,IF(Simulador!$F$11='Tabla Parámetros'!$O$4,'Tabla Construcción Crecientes'!H221,))</f>
        <v>0</v>
      </c>
      <c r="I589" s="362">
        <f>IF($F$11='Tabla Parámetros'!$O$3,'Tabla Construcción Fijos'!I221,IF(Simulador!$F$11='Tabla Parámetros'!$O$4,'Tabla Construcción Crecientes'!I221,))</f>
        <v>0</v>
      </c>
      <c r="J589" s="362">
        <f>IF($F$11='Tabla Parámetros'!$O$3,'Tabla Construcción Fijos'!J221,IF(Simulador!$F$11='Tabla Parámetros'!$O$4,'Tabla Construcción Crecientes'!J221,))</f>
        <v>0</v>
      </c>
      <c r="K589" s="362">
        <f>IF($F$11='Tabla Parámetros'!$O$3,'Tabla Construcción Fijos'!K221,IF(Simulador!$F$11='Tabla Parámetros'!$O$4,'Tabla Construcción Crecientes'!K221,))</f>
        <v>0</v>
      </c>
      <c r="L589" s="362">
        <f>IF($F$11='Tabla Parámetros'!$O$3,'Tabla Construcción Fijos'!L221,IF(Simulador!$F$11='Tabla Parámetros'!$O$4,'Tabla Construcción Crecientes'!L221,))</f>
        <v>0</v>
      </c>
      <c r="M589" s="362">
        <f>IF($F$11='Tabla Parámetros'!$O$3,'Tabla Construcción Fijos'!M221,IF(Simulador!$F$11='Tabla Parámetros'!$O$4,'Tabla Construcción Crecientes'!M221,))</f>
        <v>0</v>
      </c>
      <c r="N589" s="391">
        <f>IF($F$11='Tabla Parámetros'!$O$3,'Tabla Construcción Fijos'!N221,IF(Simulador!$F$11='Tabla Parámetros'!$O$4,'Tabla Construcción Crecientes'!N221,))</f>
        <v>0</v>
      </c>
      <c r="O589" s="392"/>
      <c r="P589" s="392">
        <f>'Tabla Construcción Fijos'!P221</f>
        <v>0</v>
      </c>
      <c r="Q589" s="362">
        <f>IF($F$11='Tabla Parámetros'!$O$3,'Tabla Construcción Fijos'!Q221,IF(Simulador!$F$11='Tabla Parámetros'!$O$4,'Tabla Construcción Crecientes'!P221,))</f>
        <v>0</v>
      </c>
      <c r="R589" s="362">
        <f>IF($F$11='Tabla Parámetros'!$O$3,'Tabla Construcción Fijos'!R221,IF(Simulador!$F$11='Tabla Parámetros'!$O$4,'Tabla Construcción Crecientes'!Q221,))</f>
        <v>0</v>
      </c>
      <c r="S589" s="272">
        <f t="shared" si="24"/>
        <v>0</v>
      </c>
    </row>
    <row r="590" spans="2:19" ht="15.5" hidden="1" x14ac:dyDescent="0.35">
      <c r="B590" s="378">
        <f t="shared" si="25"/>
        <v>199</v>
      </c>
      <c r="C590" s="378">
        <f t="shared" si="26"/>
        <v>30.4</v>
      </c>
      <c r="D590" s="379">
        <f>IF($F$11='Tabla Parámetros'!$O$3,'Tabla Construcción Fijos'!D222,IF(Simulador!$F$11='Tabla Parámetros'!$O$4,'Tabla Construcción Crecientes'!D222,))</f>
        <v>0</v>
      </c>
      <c r="E590" s="390"/>
      <c r="F590" s="362">
        <f>IF($F$11='Tabla Parámetros'!$O$3,'Tabla Construcción Fijos'!F222,IF(Simulador!$F$11='Tabla Parámetros'!$O$4,'Tabla Construcción Crecientes'!F222,))</f>
        <v>0</v>
      </c>
      <c r="G590" s="362"/>
      <c r="H590" s="362">
        <f>IF($F$11='Tabla Parámetros'!$O$3,'Tabla Construcción Fijos'!H222,IF(Simulador!$F$11='Tabla Parámetros'!$O$4,'Tabla Construcción Crecientes'!H222,))</f>
        <v>0</v>
      </c>
      <c r="I590" s="362">
        <f>IF($F$11='Tabla Parámetros'!$O$3,'Tabla Construcción Fijos'!I222,IF(Simulador!$F$11='Tabla Parámetros'!$O$4,'Tabla Construcción Crecientes'!I222,))</f>
        <v>0</v>
      </c>
      <c r="J590" s="362">
        <f>IF($F$11='Tabla Parámetros'!$O$3,'Tabla Construcción Fijos'!J222,IF(Simulador!$F$11='Tabla Parámetros'!$O$4,'Tabla Construcción Crecientes'!J222,))</f>
        <v>0</v>
      </c>
      <c r="K590" s="362">
        <f>IF($F$11='Tabla Parámetros'!$O$3,'Tabla Construcción Fijos'!K222,IF(Simulador!$F$11='Tabla Parámetros'!$O$4,'Tabla Construcción Crecientes'!K222,))</f>
        <v>0</v>
      </c>
      <c r="L590" s="362">
        <f>IF($F$11='Tabla Parámetros'!$O$3,'Tabla Construcción Fijos'!L222,IF(Simulador!$F$11='Tabla Parámetros'!$O$4,'Tabla Construcción Crecientes'!L222,))</f>
        <v>0</v>
      </c>
      <c r="M590" s="362">
        <f>IF($F$11='Tabla Parámetros'!$O$3,'Tabla Construcción Fijos'!M222,IF(Simulador!$F$11='Tabla Parámetros'!$O$4,'Tabla Construcción Crecientes'!M222,))</f>
        <v>0</v>
      </c>
      <c r="N590" s="391">
        <f>IF($F$11='Tabla Parámetros'!$O$3,'Tabla Construcción Fijos'!N222,IF(Simulador!$F$11='Tabla Parámetros'!$O$4,'Tabla Construcción Crecientes'!N222,))</f>
        <v>0</v>
      </c>
      <c r="O590" s="392"/>
      <c r="P590" s="392">
        <f>'Tabla Construcción Fijos'!P222</f>
        <v>0</v>
      </c>
      <c r="Q590" s="362">
        <f>IF($F$11='Tabla Parámetros'!$O$3,'Tabla Construcción Fijos'!Q222,IF(Simulador!$F$11='Tabla Parámetros'!$O$4,'Tabla Construcción Crecientes'!P222,))</f>
        <v>0</v>
      </c>
      <c r="R590" s="362">
        <f>IF($F$11='Tabla Parámetros'!$O$3,'Tabla Construcción Fijos'!R222,IF(Simulador!$F$11='Tabla Parámetros'!$O$4,'Tabla Construcción Crecientes'!Q222,))</f>
        <v>0</v>
      </c>
      <c r="S590" s="272">
        <f t="shared" si="24"/>
        <v>0</v>
      </c>
    </row>
    <row r="591" spans="2:19" ht="15.5" hidden="1" x14ac:dyDescent="0.35">
      <c r="B591" s="378">
        <f t="shared" si="25"/>
        <v>200</v>
      </c>
      <c r="C591" s="378">
        <f t="shared" si="26"/>
        <v>30.4</v>
      </c>
      <c r="D591" s="379">
        <f>IF($F$11='Tabla Parámetros'!$O$3,'Tabla Construcción Fijos'!D223,IF(Simulador!$F$11='Tabla Parámetros'!$O$4,'Tabla Construcción Crecientes'!D223,))</f>
        <v>0</v>
      </c>
      <c r="E591" s="390"/>
      <c r="F591" s="362">
        <f>IF($F$11='Tabla Parámetros'!$O$3,'Tabla Construcción Fijos'!F223,IF(Simulador!$F$11='Tabla Parámetros'!$O$4,'Tabla Construcción Crecientes'!F223,))</f>
        <v>0</v>
      </c>
      <c r="G591" s="362"/>
      <c r="H591" s="362">
        <f>IF($F$11='Tabla Parámetros'!$O$3,'Tabla Construcción Fijos'!H223,IF(Simulador!$F$11='Tabla Parámetros'!$O$4,'Tabla Construcción Crecientes'!H223,))</f>
        <v>0</v>
      </c>
      <c r="I591" s="362">
        <f>IF($F$11='Tabla Parámetros'!$O$3,'Tabla Construcción Fijos'!I223,IF(Simulador!$F$11='Tabla Parámetros'!$O$4,'Tabla Construcción Crecientes'!I223,))</f>
        <v>0</v>
      </c>
      <c r="J591" s="362">
        <f>IF($F$11='Tabla Parámetros'!$O$3,'Tabla Construcción Fijos'!J223,IF(Simulador!$F$11='Tabla Parámetros'!$O$4,'Tabla Construcción Crecientes'!J223,))</f>
        <v>0</v>
      </c>
      <c r="K591" s="362">
        <f>IF($F$11='Tabla Parámetros'!$O$3,'Tabla Construcción Fijos'!K223,IF(Simulador!$F$11='Tabla Parámetros'!$O$4,'Tabla Construcción Crecientes'!K223,))</f>
        <v>0</v>
      </c>
      <c r="L591" s="362">
        <f>IF($F$11='Tabla Parámetros'!$O$3,'Tabla Construcción Fijos'!L223,IF(Simulador!$F$11='Tabla Parámetros'!$O$4,'Tabla Construcción Crecientes'!L223,))</f>
        <v>0</v>
      </c>
      <c r="M591" s="362">
        <f>IF($F$11='Tabla Parámetros'!$O$3,'Tabla Construcción Fijos'!M223,IF(Simulador!$F$11='Tabla Parámetros'!$O$4,'Tabla Construcción Crecientes'!M223,))</f>
        <v>0</v>
      </c>
      <c r="N591" s="391">
        <f>IF($F$11='Tabla Parámetros'!$O$3,'Tabla Construcción Fijos'!N223,IF(Simulador!$F$11='Tabla Parámetros'!$O$4,'Tabla Construcción Crecientes'!N223,))</f>
        <v>0</v>
      </c>
      <c r="O591" s="392"/>
      <c r="P591" s="392">
        <f>'Tabla Construcción Fijos'!P223</f>
        <v>0</v>
      </c>
      <c r="Q591" s="362">
        <f>IF($F$11='Tabla Parámetros'!$O$3,'Tabla Construcción Fijos'!Q223,IF(Simulador!$F$11='Tabla Parámetros'!$O$4,'Tabla Construcción Crecientes'!P223,))</f>
        <v>0</v>
      </c>
      <c r="R591" s="362">
        <f>IF($F$11='Tabla Parámetros'!$O$3,'Tabla Construcción Fijos'!R223,IF(Simulador!$F$11='Tabla Parámetros'!$O$4,'Tabla Construcción Crecientes'!Q223,))</f>
        <v>0</v>
      </c>
      <c r="S591" s="272">
        <f t="shared" si="24"/>
        <v>0</v>
      </c>
    </row>
    <row r="592" spans="2:19" ht="15.5" hidden="1" x14ac:dyDescent="0.35">
      <c r="B592" s="378">
        <f t="shared" si="25"/>
        <v>201</v>
      </c>
      <c r="C592" s="378">
        <f t="shared" si="26"/>
        <v>30.4</v>
      </c>
      <c r="D592" s="379">
        <f>IF($F$11='Tabla Parámetros'!$O$3,'Tabla Construcción Fijos'!D224,IF(Simulador!$F$11='Tabla Parámetros'!$O$4,'Tabla Construcción Crecientes'!D224,))</f>
        <v>0</v>
      </c>
      <c r="E592" s="390"/>
      <c r="F592" s="362">
        <f>IF($F$11='Tabla Parámetros'!$O$3,'Tabla Construcción Fijos'!F224,IF(Simulador!$F$11='Tabla Parámetros'!$O$4,'Tabla Construcción Crecientes'!F224,))</f>
        <v>0</v>
      </c>
      <c r="G592" s="362"/>
      <c r="H592" s="362">
        <f>IF($F$11='Tabla Parámetros'!$O$3,'Tabla Construcción Fijos'!H224,IF(Simulador!$F$11='Tabla Parámetros'!$O$4,'Tabla Construcción Crecientes'!H224,))</f>
        <v>0</v>
      </c>
      <c r="I592" s="362">
        <f>IF($F$11='Tabla Parámetros'!$O$3,'Tabla Construcción Fijos'!I224,IF(Simulador!$F$11='Tabla Parámetros'!$O$4,'Tabla Construcción Crecientes'!I224,))</f>
        <v>0</v>
      </c>
      <c r="J592" s="362">
        <f>IF($F$11='Tabla Parámetros'!$O$3,'Tabla Construcción Fijos'!J224,IF(Simulador!$F$11='Tabla Parámetros'!$O$4,'Tabla Construcción Crecientes'!J224,))</f>
        <v>0</v>
      </c>
      <c r="K592" s="362">
        <f>IF($F$11='Tabla Parámetros'!$O$3,'Tabla Construcción Fijos'!K224,IF(Simulador!$F$11='Tabla Parámetros'!$O$4,'Tabla Construcción Crecientes'!K224,))</f>
        <v>0</v>
      </c>
      <c r="L592" s="362">
        <f>IF($F$11='Tabla Parámetros'!$O$3,'Tabla Construcción Fijos'!L224,IF(Simulador!$F$11='Tabla Parámetros'!$O$4,'Tabla Construcción Crecientes'!L224,))</f>
        <v>0</v>
      </c>
      <c r="M592" s="362">
        <f>IF($F$11='Tabla Parámetros'!$O$3,'Tabla Construcción Fijos'!M224,IF(Simulador!$F$11='Tabla Parámetros'!$O$4,'Tabla Construcción Crecientes'!M224,))</f>
        <v>0</v>
      </c>
      <c r="N592" s="391">
        <f>IF($F$11='Tabla Parámetros'!$O$3,'Tabla Construcción Fijos'!N224,IF(Simulador!$F$11='Tabla Parámetros'!$O$4,'Tabla Construcción Crecientes'!N224,))</f>
        <v>0</v>
      </c>
      <c r="O592" s="392"/>
      <c r="P592" s="392">
        <f>'Tabla Construcción Fijos'!P224</f>
        <v>0</v>
      </c>
      <c r="Q592" s="362">
        <f>IF($F$11='Tabla Parámetros'!$O$3,'Tabla Construcción Fijos'!Q224,IF(Simulador!$F$11='Tabla Parámetros'!$O$4,'Tabla Construcción Crecientes'!P224,))</f>
        <v>0</v>
      </c>
      <c r="R592" s="362">
        <f>IF($F$11='Tabla Parámetros'!$O$3,'Tabla Construcción Fijos'!R224,IF(Simulador!$F$11='Tabla Parámetros'!$O$4,'Tabla Construcción Crecientes'!Q224,))</f>
        <v>0</v>
      </c>
      <c r="S592" s="272">
        <f t="shared" si="24"/>
        <v>0</v>
      </c>
    </row>
    <row r="593" spans="2:19" ht="15.5" hidden="1" x14ac:dyDescent="0.35">
      <c r="B593" s="378">
        <f t="shared" si="25"/>
        <v>202</v>
      </c>
      <c r="C593" s="378">
        <f t="shared" si="26"/>
        <v>30.4</v>
      </c>
      <c r="D593" s="379">
        <f>IF($F$11='Tabla Parámetros'!$O$3,'Tabla Construcción Fijos'!D225,IF(Simulador!$F$11='Tabla Parámetros'!$O$4,'Tabla Construcción Crecientes'!D225,))</f>
        <v>0</v>
      </c>
      <c r="E593" s="390"/>
      <c r="F593" s="362">
        <f>IF($F$11='Tabla Parámetros'!$O$3,'Tabla Construcción Fijos'!F225,IF(Simulador!$F$11='Tabla Parámetros'!$O$4,'Tabla Construcción Crecientes'!F225,))</f>
        <v>0</v>
      </c>
      <c r="G593" s="362"/>
      <c r="H593" s="362">
        <f>IF($F$11='Tabla Parámetros'!$O$3,'Tabla Construcción Fijos'!H225,IF(Simulador!$F$11='Tabla Parámetros'!$O$4,'Tabla Construcción Crecientes'!H225,))</f>
        <v>0</v>
      </c>
      <c r="I593" s="362">
        <f>IF($F$11='Tabla Parámetros'!$O$3,'Tabla Construcción Fijos'!I225,IF(Simulador!$F$11='Tabla Parámetros'!$O$4,'Tabla Construcción Crecientes'!I225,))</f>
        <v>0</v>
      </c>
      <c r="J593" s="362">
        <f>IF($F$11='Tabla Parámetros'!$O$3,'Tabla Construcción Fijos'!J225,IF(Simulador!$F$11='Tabla Parámetros'!$O$4,'Tabla Construcción Crecientes'!J225,))</f>
        <v>0</v>
      </c>
      <c r="K593" s="362">
        <f>IF($F$11='Tabla Parámetros'!$O$3,'Tabla Construcción Fijos'!K225,IF(Simulador!$F$11='Tabla Parámetros'!$O$4,'Tabla Construcción Crecientes'!K225,))</f>
        <v>0</v>
      </c>
      <c r="L593" s="362">
        <f>IF($F$11='Tabla Parámetros'!$O$3,'Tabla Construcción Fijos'!L225,IF(Simulador!$F$11='Tabla Parámetros'!$O$4,'Tabla Construcción Crecientes'!L225,))</f>
        <v>0</v>
      </c>
      <c r="M593" s="362">
        <f>IF($F$11='Tabla Parámetros'!$O$3,'Tabla Construcción Fijos'!M225,IF(Simulador!$F$11='Tabla Parámetros'!$O$4,'Tabla Construcción Crecientes'!M225,))</f>
        <v>0</v>
      </c>
      <c r="N593" s="391">
        <f>IF($F$11='Tabla Parámetros'!$O$3,'Tabla Construcción Fijos'!N225,IF(Simulador!$F$11='Tabla Parámetros'!$O$4,'Tabla Construcción Crecientes'!N225,))</f>
        <v>0</v>
      </c>
      <c r="O593" s="392"/>
      <c r="P593" s="392">
        <f>'Tabla Construcción Fijos'!P225</f>
        <v>0</v>
      </c>
      <c r="Q593" s="362">
        <f>IF($F$11='Tabla Parámetros'!$O$3,'Tabla Construcción Fijos'!Q225,IF(Simulador!$F$11='Tabla Parámetros'!$O$4,'Tabla Construcción Crecientes'!P225,))</f>
        <v>0</v>
      </c>
      <c r="R593" s="362">
        <f>IF($F$11='Tabla Parámetros'!$O$3,'Tabla Construcción Fijos'!R225,IF(Simulador!$F$11='Tabla Parámetros'!$O$4,'Tabla Construcción Crecientes'!Q225,))</f>
        <v>0</v>
      </c>
      <c r="S593" s="272">
        <f t="shared" si="24"/>
        <v>0</v>
      </c>
    </row>
    <row r="594" spans="2:19" ht="15.5" hidden="1" x14ac:dyDescent="0.35">
      <c r="B594" s="378">
        <f t="shared" si="25"/>
        <v>203</v>
      </c>
      <c r="C594" s="378">
        <f t="shared" si="26"/>
        <v>30.4</v>
      </c>
      <c r="D594" s="379">
        <f>IF($F$11='Tabla Parámetros'!$O$3,'Tabla Construcción Fijos'!D226,IF(Simulador!$F$11='Tabla Parámetros'!$O$4,'Tabla Construcción Crecientes'!D226,))</f>
        <v>0</v>
      </c>
      <c r="E594" s="390"/>
      <c r="F594" s="362">
        <f>IF($F$11='Tabla Parámetros'!$O$3,'Tabla Construcción Fijos'!F226,IF(Simulador!$F$11='Tabla Parámetros'!$O$4,'Tabla Construcción Crecientes'!F226,))</f>
        <v>0</v>
      </c>
      <c r="G594" s="362"/>
      <c r="H594" s="362">
        <f>IF($F$11='Tabla Parámetros'!$O$3,'Tabla Construcción Fijos'!H226,IF(Simulador!$F$11='Tabla Parámetros'!$O$4,'Tabla Construcción Crecientes'!H226,))</f>
        <v>0</v>
      </c>
      <c r="I594" s="362">
        <f>IF($F$11='Tabla Parámetros'!$O$3,'Tabla Construcción Fijos'!I226,IF(Simulador!$F$11='Tabla Parámetros'!$O$4,'Tabla Construcción Crecientes'!I226,))</f>
        <v>0</v>
      </c>
      <c r="J594" s="362">
        <f>IF($F$11='Tabla Parámetros'!$O$3,'Tabla Construcción Fijos'!J226,IF(Simulador!$F$11='Tabla Parámetros'!$O$4,'Tabla Construcción Crecientes'!J226,))</f>
        <v>0</v>
      </c>
      <c r="K594" s="362">
        <f>IF($F$11='Tabla Parámetros'!$O$3,'Tabla Construcción Fijos'!K226,IF(Simulador!$F$11='Tabla Parámetros'!$O$4,'Tabla Construcción Crecientes'!K226,))</f>
        <v>0</v>
      </c>
      <c r="L594" s="362">
        <f>IF($F$11='Tabla Parámetros'!$O$3,'Tabla Construcción Fijos'!L226,IF(Simulador!$F$11='Tabla Parámetros'!$O$4,'Tabla Construcción Crecientes'!L226,))</f>
        <v>0</v>
      </c>
      <c r="M594" s="362">
        <f>IF($F$11='Tabla Parámetros'!$O$3,'Tabla Construcción Fijos'!M226,IF(Simulador!$F$11='Tabla Parámetros'!$O$4,'Tabla Construcción Crecientes'!M226,))</f>
        <v>0</v>
      </c>
      <c r="N594" s="391">
        <f>IF($F$11='Tabla Parámetros'!$O$3,'Tabla Construcción Fijos'!N226,IF(Simulador!$F$11='Tabla Parámetros'!$O$4,'Tabla Construcción Crecientes'!N226,))</f>
        <v>0</v>
      </c>
      <c r="O594" s="392"/>
      <c r="P594" s="392">
        <f>'Tabla Construcción Fijos'!P226</f>
        <v>0</v>
      </c>
      <c r="Q594" s="362">
        <f>IF($F$11='Tabla Parámetros'!$O$3,'Tabla Construcción Fijos'!Q226,IF(Simulador!$F$11='Tabla Parámetros'!$O$4,'Tabla Construcción Crecientes'!P226,))</f>
        <v>0</v>
      </c>
      <c r="R594" s="362">
        <f>IF($F$11='Tabla Parámetros'!$O$3,'Tabla Construcción Fijos'!R226,IF(Simulador!$F$11='Tabla Parámetros'!$O$4,'Tabla Construcción Crecientes'!Q226,))</f>
        <v>0</v>
      </c>
      <c r="S594" s="272">
        <f t="shared" si="24"/>
        <v>0</v>
      </c>
    </row>
    <row r="595" spans="2:19" ht="15.5" hidden="1" x14ac:dyDescent="0.35">
      <c r="B595" s="378">
        <f t="shared" si="25"/>
        <v>204</v>
      </c>
      <c r="C595" s="378">
        <f t="shared" si="26"/>
        <v>30.4</v>
      </c>
      <c r="D595" s="379">
        <f>IF($F$11='Tabla Parámetros'!$O$3,'Tabla Construcción Fijos'!D227,IF(Simulador!$F$11='Tabla Parámetros'!$O$4,'Tabla Construcción Crecientes'!D227,))</f>
        <v>0</v>
      </c>
      <c r="E595" s="390"/>
      <c r="F595" s="362">
        <f>IF($F$11='Tabla Parámetros'!$O$3,'Tabla Construcción Fijos'!F227,IF(Simulador!$F$11='Tabla Parámetros'!$O$4,'Tabla Construcción Crecientes'!F227,))</f>
        <v>0</v>
      </c>
      <c r="G595" s="362"/>
      <c r="H595" s="362">
        <f>IF($F$11='Tabla Parámetros'!$O$3,'Tabla Construcción Fijos'!H227,IF(Simulador!$F$11='Tabla Parámetros'!$O$4,'Tabla Construcción Crecientes'!H227,))</f>
        <v>0</v>
      </c>
      <c r="I595" s="362">
        <f>IF($F$11='Tabla Parámetros'!$O$3,'Tabla Construcción Fijos'!I227,IF(Simulador!$F$11='Tabla Parámetros'!$O$4,'Tabla Construcción Crecientes'!I227,))</f>
        <v>0</v>
      </c>
      <c r="J595" s="362">
        <f>IF($F$11='Tabla Parámetros'!$O$3,'Tabla Construcción Fijos'!J227,IF(Simulador!$F$11='Tabla Parámetros'!$O$4,'Tabla Construcción Crecientes'!J227,))</f>
        <v>0</v>
      </c>
      <c r="K595" s="362">
        <f>IF($F$11='Tabla Parámetros'!$O$3,'Tabla Construcción Fijos'!K227,IF(Simulador!$F$11='Tabla Parámetros'!$O$4,'Tabla Construcción Crecientes'!K227,))</f>
        <v>0</v>
      </c>
      <c r="L595" s="362">
        <f>IF($F$11='Tabla Parámetros'!$O$3,'Tabla Construcción Fijos'!L227,IF(Simulador!$F$11='Tabla Parámetros'!$O$4,'Tabla Construcción Crecientes'!L227,))</f>
        <v>0</v>
      </c>
      <c r="M595" s="362">
        <f>IF($F$11='Tabla Parámetros'!$O$3,'Tabla Construcción Fijos'!M227,IF(Simulador!$F$11='Tabla Parámetros'!$O$4,'Tabla Construcción Crecientes'!M227,))</f>
        <v>0</v>
      </c>
      <c r="N595" s="391">
        <f>IF($F$11='Tabla Parámetros'!$O$3,'Tabla Construcción Fijos'!N227,IF(Simulador!$F$11='Tabla Parámetros'!$O$4,'Tabla Construcción Crecientes'!N227,))</f>
        <v>0</v>
      </c>
      <c r="O595" s="392"/>
      <c r="P595" s="392">
        <f>'Tabla Construcción Fijos'!P227</f>
        <v>0</v>
      </c>
      <c r="Q595" s="362">
        <f>IF($F$11='Tabla Parámetros'!$O$3,'Tabla Construcción Fijos'!Q227,IF(Simulador!$F$11='Tabla Parámetros'!$O$4,'Tabla Construcción Crecientes'!P227,))</f>
        <v>0</v>
      </c>
      <c r="R595" s="362">
        <f>IF($F$11='Tabla Parámetros'!$O$3,'Tabla Construcción Fijos'!R227,IF(Simulador!$F$11='Tabla Parámetros'!$O$4,'Tabla Construcción Crecientes'!Q227,))</f>
        <v>0</v>
      </c>
      <c r="S595" s="272">
        <f t="shared" si="24"/>
        <v>0</v>
      </c>
    </row>
    <row r="596" spans="2:19" ht="15.5" hidden="1" x14ac:dyDescent="0.35">
      <c r="B596" s="378">
        <f t="shared" si="25"/>
        <v>205</v>
      </c>
      <c r="C596" s="378">
        <f t="shared" si="26"/>
        <v>30.4</v>
      </c>
      <c r="D596" s="379">
        <f>IF($F$11='Tabla Parámetros'!$O$3,'Tabla Construcción Fijos'!D228,IF(Simulador!$F$11='Tabla Parámetros'!$O$4,'Tabla Construcción Crecientes'!D228,))</f>
        <v>0</v>
      </c>
      <c r="E596" s="390"/>
      <c r="F596" s="362">
        <f>IF($F$11='Tabla Parámetros'!$O$3,'Tabla Construcción Fijos'!F228,IF(Simulador!$F$11='Tabla Parámetros'!$O$4,'Tabla Construcción Crecientes'!F228,))</f>
        <v>0</v>
      </c>
      <c r="G596" s="362"/>
      <c r="H596" s="362">
        <f>IF($F$11='Tabla Parámetros'!$O$3,'Tabla Construcción Fijos'!H228,IF(Simulador!$F$11='Tabla Parámetros'!$O$4,'Tabla Construcción Crecientes'!H228,))</f>
        <v>0</v>
      </c>
      <c r="I596" s="362">
        <f>IF($F$11='Tabla Parámetros'!$O$3,'Tabla Construcción Fijos'!I228,IF(Simulador!$F$11='Tabla Parámetros'!$O$4,'Tabla Construcción Crecientes'!I228,))</f>
        <v>0</v>
      </c>
      <c r="J596" s="362">
        <f>IF($F$11='Tabla Parámetros'!$O$3,'Tabla Construcción Fijos'!J228,IF(Simulador!$F$11='Tabla Parámetros'!$O$4,'Tabla Construcción Crecientes'!J228,))</f>
        <v>0</v>
      </c>
      <c r="K596" s="362">
        <f>IF($F$11='Tabla Parámetros'!$O$3,'Tabla Construcción Fijos'!K228,IF(Simulador!$F$11='Tabla Parámetros'!$O$4,'Tabla Construcción Crecientes'!K228,))</f>
        <v>0</v>
      </c>
      <c r="L596" s="362">
        <f>IF($F$11='Tabla Parámetros'!$O$3,'Tabla Construcción Fijos'!L228,IF(Simulador!$F$11='Tabla Parámetros'!$O$4,'Tabla Construcción Crecientes'!L228,))</f>
        <v>0</v>
      </c>
      <c r="M596" s="362">
        <f>IF($F$11='Tabla Parámetros'!$O$3,'Tabla Construcción Fijos'!M228,IF(Simulador!$F$11='Tabla Parámetros'!$O$4,'Tabla Construcción Crecientes'!M228,))</f>
        <v>0</v>
      </c>
      <c r="N596" s="391">
        <f>IF($F$11='Tabla Parámetros'!$O$3,'Tabla Construcción Fijos'!N228,IF(Simulador!$F$11='Tabla Parámetros'!$O$4,'Tabla Construcción Crecientes'!N228,))</f>
        <v>0</v>
      </c>
      <c r="O596" s="392"/>
      <c r="P596" s="392">
        <f>'Tabla Construcción Fijos'!P228</f>
        <v>0</v>
      </c>
      <c r="Q596" s="362">
        <f>IF($F$11='Tabla Parámetros'!$O$3,'Tabla Construcción Fijos'!Q228,IF(Simulador!$F$11='Tabla Parámetros'!$O$4,'Tabla Construcción Crecientes'!P228,))</f>
        <v>0</v>
      </c>
      <c r="R596" s="362">
        <f>IF($F$11='Tabla Parámetros'!$O$3,'Tabla Construcción Fijos'!R228,IF(Simulador!$F$11='Tabla Parámetros'!$O$4,'Tabla Construcción Crecientes'!Q228,))</f>
        <v>0</v>
      </c>
      <c r="S596" s="272">
        <f t="shared" si="24"/>
        <v>0</v>
      </c>
    </row>
    <row r="597" spans="2:19" ht="15.5" hidden="1" x14ac:dyDescent="0.35">
      <c r="B597" s="378">
        <f t="shared" si="25"/>
        <v>206</v>
      </c>
      <c r="C597" s="378">
        <f t="shared" si="26"/>
        <v>30.4</v>
      </c>
      <c r="D597" s="379">
        <f>IF($F$11='Tabla Parámetros'!$O$3,'Tabla Construcción Fijos'!D229,IF(Simulador!$F$11='Tabla Parámetros'!$O$4,'Tabla Construcción Crecientes'!D229,))</f>
        <v>0</v>
      </c>
      <c r="E597" s="390"/>
      <c r="F597" s="362">
        <f>IF($F$11='Tabla Parámetros'!$O$3,'Tabla Construcción Fijos'!F229,IF(Simulador!$F$11='Tabla Parámetros'!$O$4,'Tabla Construcción Crecientes'!F229,))</f>
        <v>0</v>
      </c>
      <c r="G597" s="362"/>
      <c r="H597" s="362">
        <f>IF($F$11='Tabla Parámetros'!$O$3,'Tabla Construcción Fijos'!H229,IF(Simulador!$F$11='Tabla Parámetros'!$O$4,'Tabla Construcción Crecientes'!H229,))</f>
        <v>0</v>
      </c>
      <c r="I597" s="362">
        <f>IF($F$11='Tabla Parámetros'!$O$3,'Tabla Construcción Fijos'!I229,IF(Simulador!$F$11='Tabla Parámetros'!$O$4,'Tabla Construcción Crecientes'!I229,))</f>
        <v>0</v>
      </c>
      <c r="J597" s="362">
        <f>IF($F$11='Tabla Parámetros'!$O$3,'Tabla Construcción Fijos'!J229,IF(Simulador!$F$11='Tabla Parámetros'!$O$4,'Tabla Construcción Crecientes'!J229,))</f>
        <v>0</v>
      </c>
      <c r="K597" s="362">
        <f>IF($F$11='Tabla Parámetros'!$O$3,'Tabla Construcción Fijos'!K229,IF(Simulador!$F$11='Tabla Parámetros'!$O$4,'Tabla Construcción Crecientes'!K229,))</f>
        <v>0</v>
      </c>
      <c r="L597" s="362">
        <f>IF($F$11='Tabla Parámetros'!$O$3,'Tabla Construcción Fijos'!L229,IF(Simulador!$F$11='Tabla Parámetros'!$O$4,'Tabla Construcción Crecientes'!L229,))</f>
        <v>0</v>
      </c>
      <c r="M597" s="362">
        <f>IF($F$11='Tabla Parámetros'!$O$3,'Tabla Construcción Fijos'!M229,IF(Simulador!$F$11='Tabla Parámetros'!$O$4,'Tabla Construcción Crecientes'!M229,))</f>
        <v>0</v>
      </c>
      <c r="N597" s="391">
        <f>IF($F$11='Tabla Parámetros'!$O$3,'Tabla Construcción Fijos'!N229,IF(Simulador!$F$11='Tabla Parámetros'!$O$4,'Tabla Construcción Crecientes'!N229,))</f>
        <v>0</v>
      </c>
      <c r="O597" s="392"/>
      <c r="P597" s="392">
        <f>'Tabla Construcción Fijos'!P229</f>
        <v>0</v>
      </c>
      <c r="Q597" s="362">
        <f>IF($F$11='Tabla Parámetros'!$O$3,'Tabla Construcción Fijos'!Q229,IF(Simulador!$F$11='Tabla Parámetros'!$O$4,'Tabla Construcción Crecientes'!P229,))</f>
        <v>0</v>
      </c>
      <c r="R597" s="362">
        <f>IF($F$11='Tabla Parámetros'!$O$3,'Tabla Construcción Fijos'!R229,IF(Simulador!$F$11='Tabla Parámetros'!$O$4,'Tabla Construcción Crecientes'!Q229,))</f>
        <v>0</v>
      </c>
      <c r="S597" s="272">
        <f t="shared" si="24"/>
        <v>0</v>
      </c>
    </row>
    <row r="598" spans="2:19" ht="15.5" hidden="1" x14ac:dyDescent="0.35">
      <c r="B598" s="378">
        <f t="shared" si="25"/>
        <v>207</v>
      </c>
      <c r="C598" s="378">
        <f t="shared" si="26"/>
        <v>30.4</v>
      </c>
      <c r="D598" s="379">
        <f>IF($F$11='Tabla Parámetros'!$O$3,'Tabla Construcción Fijos'!D230,IF(Simulador!$F$11='Tabla Parámetros'!$O$4,'Tabla Construcción Crecientes'!D230,))</f>
        <v>0</v>
      </c>
      <c r="E598" s="390"/>
      <c r="F598" s="362">
        <f>IF($F$11='Tabla Parámetros'!$O$3,'Tabla Construcción Fijos'!F230,IF(Simulador!$F$11='Tabla Parámetros'!$O$4,'Tabla Construcción Crecientes'!F230,))</f>
        <v>0</v>
      </c>
      <c r="G598" s="362"/>
      <c r="H598" s="362">
        <f>IF($F$11='Tabla Parámetros'!$O$3,'Tabla Construcción Fijos'!H230,IF(Simulador!$F$11='Tabla Parámetros'!$O$4,'Tabla Construcción Crecientes'!H230,))</f>
        <v>0</v>
      </c>
      <c r="I598" s="362">
        <f>IF($F$11='Tabla Parámetros'!$O$3,'Tabla Construcción Fijos'!I230,IF(Simulador!$F$11='Tabla Parámetros'!$O$4,'Tabla Construcción Crecientes'!I230,))</f>
        <v>0</v>
      </c>
      <c r="J598" s="362">
        <f>IF($F$11='Tabla Parámetros'!$O$3,'Tabla Construcción Fijos'!J230,IF(Simulador!$F$11='Tabla Parámetros'!$O$4,'Tabla Construcción Crecientes'!J230,))</f>
        <v>0</v>
      </c>
      <c r="K598" s="362">
        <f>IF($F$11='Tabla Parámetros'!$O$3,'Tabla Construcción Fijos'!K230,IF(Simulador!$F$11='Tabla Parámetros'!$O$4,'Tabla Construcción Crecientes'!K230,))</f>
        <v>0</v>
      </c>
      <c r="L598" s="362">
        <f>IF($F$11='Tabla Parámetros'!$O$3,'Tabla Construcción Fijos'!L230,IF(Simulador!$F$11='Tabla Parámetros'!$O$4,'Tabla Construcción Crecientes'!L230,))</f>
        <v>0</v>
      </c>
      <c r="M598" s="362">
        <f>IF($F$11='Tabla Parámetros'!$O$3,'Tabla Construcción Fijos'!M230,IF(Simulador!$F$11='Tabla Parámetros'!$O$4,'Tabla Construcción Crecientes'!M230,))</f>
        <v>0</v>
      </c>
      <c r="N598" s="391">
        <f>IF($F$11='Tabla Parámetros'!$O$3,'Tabla Construcción Fijos'!N230,IF(Simulador!$F$11='Tabla Parámetros'!$O$4,'Tabla Construcción Crecientes'!N230,))</f>
        <v>0</v>
      </c>
      <c r="O598" s="392"/>
      <c r="P598" s="392">
        <f>'Tabla Construcción Fijos'!P230</f>
        <v>0</v>
      </c>
      <c r="Q598" s="362">
        <f>IF($F$11='Tabla Parámetros'!$O$3,'Tabla Construcción Fijos'!Q230,IF(Simulador!$F$11='Tabla Parámetros'!$O$4,'Tabla Construcción Crecientes'!P230,))</f>
        <v>0</v>
      </c>
      <c r="R598" s="362">
        <f>IF($F$11='Tabla Parámetros'!$O$3,'Tabla Construcción Fijos'!R230,IF(Simulador!$F$11='Tabla Parámetros'!$O$4,'Tabla Construcción Crecientes'!Q230,))</f>
        <v>0</v>
      </c>
      <c r="S598" s="272">
        <f t="shared" si="24"/>
        <v>0</v>
      </c>
    </row>
    <row r="599" spans="2:19" ht="15.5" hidden="1" x14ac:dyDescent="0.35">
      <c r="B599" s="378">
        <f t="shared" si="25"/>
        <v>208</v>
      </c>
      <c r="C599" s="378">
        <f t="shared" si="26"/>
        <v>30.4</v>
      </c>
      <c r="D599" s="379">
        <f>IF($F$11='Tabla Parámetros'!$O$3,'Tabla Construcción Fijos'!D231,IF(Simulador!$F$11='Tabla Parámetros'!$O$4,'Tabla Construcción Crecientes'!D231,))</f>
        <v>0</v>
      </c>
      <c r="E599" s="390"/>
      <c r="F599" s="362">
        <f>IF($F$11='Tabla Parámetros'!$O$3,'Tabla Construcción Fijos'!F231,IF(Simulador!$F$11='Tabla Parámetros'!$O$4,'Tabla Construcción Crecientes'!F231,))</f>
        <v>0</v>
      </c>
      <c r="G599" s="362"/>
      <c r="H599" s="362">
        <f>IF($F$11='Tabla Parámetros'!$O$3,'Tabla Construcción Fijos'!H231,IF(Simulador!$F$11='Tabla Parámetros'!$O$4,'Tabla Construcción Crecientes'!H231,))</f>
        <v>0</v>
      </c>
      <c r="I599" s="362">
        <f>IF($F$11='Tabla Parámetros'!$O$3,'Tabla Construcción Fijos'!I231,IF(Simulador!$F$11='Tabla Parámetros'!$O$4,'Tabla Construcción Crecientes'!I231,))</f>
        <v>0</v>
      </c>
      <c r="J599" s="362">
        <f>IF($F$11='Tabla Parámetros'!$O$3,'Tabla Construcción Fijos'!J231,IF(Simulador!$F$11='Tabla Parámetros'!$O$4,'Tabla Construcción Crecientes'!J231,))</f>
        <v>0</v>
      </c>
      <c r="K599" s="362">
        <f>IF($F$11='Tabla Parámetros'!$O$3,'Tabla Construcción Fijos'!K231,IF(Simulador!$F$11='Tabla Parámetros'!$O$4,'Tabla Construcción Crecientes'!K231,))</f>
        <v>0</v>
      </c>
      <c r="L599" s="362">
        <f>IF($F$11='Tabla Parámetros'!$O$3,'Tabla Construcción Fijos'!L231,IF(Simulador!$F$11='Tabla Parámetros'!$O$4,'Tabla Construcción Crecientes'!L231,))</f>
        <v>0</v>
      </c>
      <c r="M599" s="362">
        <f>IF($F$11='Tabla Parámetros'!$O$3,'Tabla Construcción Fijos'!M231,IF(Simulador!$F$11='Tabla Parámetros'!$O$4,'Tabla Construcción Crecientes'!M231,))</f>
        <v>0</v>
      </c>
      <c r="N599" s="391">
        <f>IF($F$11='Tabla Parámetros'!$O$3,'Tabla Construcción Fijos'!N231,IF(Simulador!$F$11='Tabla Parámetros'!$O$4,'Tabla Construcción Crecientes'!N231,))</f>
        <v>0</v>
      </c>
      <c r="O599" s="392"/>
      <c r="P599" s="392">
        <f>'Tabla Construcción Fijos'!P231</f>
        <v>0</v>
      </c>
      <c r="Q599" s="362">
        <f>IF($F$11='Tabla Parámetros'!$O$3,'Tabla Construcción Fijos'!Q231,IF(Simulador!$F$11='Tabla Parámetros'!$O$4,'Tabla Construcción Crecientes'!P231,))</f>
        <v>0</v>
      </c>
      <c r="R599" s="362">
        <f>IF($F$11='Tabla Parámetros'!$O$3,'Tabla Construcción Fijos'!R231,IF(Simulador!$F$11='Tabla Parámetros'!$O$4,'Tabla Construcción Crecientes'!Q231,))</f>
        <v>0</v>
      </c>
      <c r="S599" s="272">
        <f t="shared" si="24"/>
        <v>0</v>
      </c>
    </row>
    <row r="600" spans="2:19" ht="15.5" hidden="1" x14ac:dyDescent="0.35">
      <c r="B600" s="378">
        <f t="shared" si="25"/>
        <v>209</v>
      </c>
      <c r="C600" s="378">
        <f t="shared" si="26"/>
        <v>30.4</v>
      </c>
      <c r="D600" s="379">
        <f>IF($F$11='Tabla Parámetros'!$O$3,'Tabla Construcción Fijos'!D232,IF(Simulador!$F$11='Tabla Parámetros'!$O$4,'Tabla Construcción Crecientes'!D232,))</f>
        <v>0</v>
      </c>
      <c r="E600" s="390"/>
      <c r="F600" s="362">
        <f>IF($F$11='Tabla Parámetros'!$O$3,'Tabla Construcción Fijos'!F232,IF(Simulador!$F$11='Tabla Parámetros'!$O$4,'Tabla Construcción Crecientes'!F232,))</f>
        <v>0</v>
      </c>
      <c r="G600" s="362"/>
      <c r="H600" s="362">
        <f>IF($F$11='Tabla Parámetros'!$O$3,'Tabla Construcción Fijos'!H232,IF(Simulador!$F$11='Tabla Parámetros'!$O$4,'Tabla Construcción Crecientes'!H232,))</f>
        <v>0</v>
      </c>
      <c r="I600" s="362">
        <f>IF($F$11='Tabla Parámetros'!$O$3,'Tabla Construcción Fijos'!I232,IF(Simulador!$F$11='Tabla Parámetros'!$O$4,'Tabla Construcción Crecientes'!I232,))</f>
        <v>0</v>
      </c>
      <c r="J600" s="362">
        <f>IF($F$11='Tabla Parámetros'!$O$3,'Tabla Construcción Fijos'!J232,IF(Simulador!$F$11='Tabla Parámetros'!$O$4,'Tabla Construcción Crecientes'!J232,))</f>
        <v>0</v>
      </c>
      <c r="K600" s="362">
        <f>IF($F$11='Tabla Parámetros'!$O$3,'Tabla Construcción Fijos'!K232,IF(Simulador!$F$11='Tabla Parámetros'!$O$4,'Tabla Construcción Crecientes'!K232,))</f>
        <v>0</v>
      </c>
      <c r="L600" s="362">
        <f>IF($F$11='Tabla Parámetros'!$O$3,'Tabla Construcción Fijos'!L232,IF(Simulador!$F$11='Tabla Parámetros'!$O$4,'Tabla Construcción Crecientes'!L232,))</f>
        <v>0</v>
      </c>
      <c r="M600" s="362">
        <f>IF($F$11='Tabla Parámetros'!$O$3,'Tabla Construcción Fijos'!M232,IF(Simulador!$F$11='Tabla Parámetros'!$O$4,'Tabla Construcción Crecientes'!M232,))</f>
        <v>0</v>
      </c>
      <c r="N600" s="391">
        <f>IF($F$11='Tabla Parámetros'!$O$3,'Tabla Construcción Fijos'!N232,IF(Simulador!$F$11='Tabla Parámetros'!$O$4,'Tabla Construcción Crecientes'!N232,))</f>
        <v>0</v>
      </c>
      <c r="O600" s="392"/>
      <c r="P600" s="392">
        <f>'Tabla Construcción Fijos'!P232</f>
        <v>0</v>
      </c>
      <c r="Q600" s="362">
        <f>IF($F$11='Tabla Parámetros'!$O$3,'Tabla Construcción Fijos'!Q232,IF(Simulador!$F$11='Tabla Parámetros'!$O$4,'Tabla Construcción Crecientes'!P232,))</f>
        <v>0</v>
      </c>
      <c r="R600" s="362">
        <f>IF($F$11='Tabla Parámetros'!$O$3,'Tabla Construcción Fijos'!R232,IF(Simulador!$F$11='Tabla Parámetros'!$O$4,'Tabla Construcción Crecientes'!Q232,))</f>
        <v>0</v>
      </c>
      <c r="S600" s="272">
        <f t="shared" si="24"/>
        <v>0</v>
      </c>
    </row>
    <row r="601" spans="2:19" ht="15.5" hidden="1" x14ac:dyDescent="0.35">
      <c r="B601" s="378">
        <f t="shared" si="25"/>
        <v>210</v>
      </c>
      <c r="C601" s="378">
        <f t="shared" si="26"/>
        <v>30.4</v>
      </c>
      <c r="D601" s="379">
        <f>IF($F$11='Tabla Parámetros'!$O$3,'Tabla Construcción Fijos'!D233,IF(Simulador!$F$11='Tabla Parámetros'!$O$4,'Tabla Construcción Crecientes'!D233,))</f>
        <v>0</v>
      </c>
      <c r="E601" s="390"/>
      <c r="F601" s="362">
        <f>IF($F$11='Tabla Parámetros'!$O$3,'Tabla Construcción Fijos'!F233,IF(Simulador!$F$11='Tabla Parámetros'!$O$4,'Tabla Construcción Crecientes'!F233,))</f>
        <v>0</v>
      </c>
      <c r="G601" s="362"/>
      <c r="H601" s="362">
        <f>IF($F$11='Tabla Parámetros'!$O$3,'Tabla Construcción Fijos'!H233,IF(Simulador!$F$11='Tabla Parámetros'!$O$4,'Tabla Construcción Crecientes'!H233,))</f>
        <v>0</v>
      </c>
      <c r="I601" s="362">
        <f>IF($F$11='Tabla Parámetros'!$O$3,'Tabla Construcción Fijos'!I233,IF(Simulador!$F$11='Tabla Parámetros'!$O$4,'Tabla Construcción Crecientes'!I233,))</f>
        <v>0</v>
      </c>
      <c r="J601" s="362">
        <f>IF($F$11='Tabla Parámetros'!$O$3,'Tabla Construcción Fijos'!J233,IF(Simulador!$F$11='Tabla Parámetros'!$O$4,'Tabla Construcción Crecientes'!J233,))</f>
        <v>0</v>
      </c>
      <c r="K601" s="362">
        <f>IF($F$11='Tabla Parámetros'!$O$3,'Tabla Construcción Fijos'!K233,IF(Simulador!$F$11='Tabla Parámetros'!$O$4,'Tabla Construcción Crecientes'!K233,))</f>
        <v>0</v>
      </c>
      <c r="L601" s="362">
        <f>IF($F$11='Tabla Parámetros'!$O$3,'Tabla Construcción Fijos'!L233,IF(Simulador!$F$11='Tabla Parámetros'!$O$4,'Tabla Construcción Crecientes'!L233,))</f>
        <v>0</v>
      </c>
      <c r="M601" s="362">
        <f>IF($F$11='Tabla Parámetros'!$O$3,'Tabla Construcción Fijos'!M233,IF(Simulador!$F$11='Tabla Parámetros'!$O$4,'Tabla Construcción Crecientes'!M233,))</f>
        <v>0</v>
      </c>
      <c r="N601" s="391">
        <f>IF($F$11='Tabla Parámetros'!$O$3,'Tabla Construcción Fijos'!N233,IF(Simulador!$F$11='Tabla Parámetros'!$O$4,'Tabla Construcción Crecientes'!N233,))</f>
        <v>0</v>
      </c>
      <c r="O601" s="392"/>
      <c r="P601" s="392">
        <f>'Tabla Construcción Fijos'!P233</f>
        <v>0</v>
      </c>
      <c r="Q601" s="362">
        <f>IF($F$11='Tabla Parámetros'!$O$3,'Tabla Construcción Fijos'!Q233,IF(Simulador!$F$11='Tabla Parámetros'!$O$4,'Tabla Construcción Crecientes'!P233,))</f>
        <v>0</v>
      </c>
      <c r="R601" s="362">
        <f>IF($F$11='Tabla Parámetros'!$O$3,'Tabla Construcción Fijos'!R233,IF(Simulador!$F$11='Tabla Parámetros'!$O$4,'Tabla Construcción Crecientes'!Q233,))</f>
        <v>0</v>
      </c>
      <c r="S601" s="272">
        <f t="shared" si="24"/>
        <v>0</v>
      </c>
    </row>
    <row r="602" spans="2:19" ht="15.5" hidden="1" x14ac:dyDescent="0.35">
      <c r="B602" s="378">
        <f t="shared" si="25"/>
        <v>211</v>
      </c>
      <c r="C602" s="378">
        <f t="shared" si="26"/>
        <v>30.4</v>
      </c>
      <c r="D602" s="379">
        <f>IF($F$11='Tabla Parámetros'!$O$3,'Tabla Construcción Fijos'!D234,IF(Simulador!$F$11='Tabla Parámetros'!$O$4,'Tabla Construcción Crecientes'!D234,))</f>
        <v>0</v>
      </c>
      <c r="E602" s="390"/>
      <c r="F602" s="362">
        <f>IF($F$11='Tabla Parámetros'!$O$3,'Tabla Construcción Fijos'!F234,IF(Simulador!$F$11='Tabla Parámetros'!$O$4,'Tabla Construcción Crecientes'!F234,))</f>
        <v>0</v>
      </c>
      <c r="G602" s="362"/>
      <c r="H602" s="362">
        <f>IF($F$11='Tabla Parámetros'!$O$3,'Tabla Construcción Fijos'!H234,IF(Simulador!$F$11='Tabla Parámetros'!$O$4,'Tabla Construcción Crecientes'!H234,))</f>
        <v>0</v>
      </c>
      <c r="I602" s="362">
        <f>IF($F$11='Tabla Parámetros'!$O$3,'Tabla Construcción Fijos'!I234,IF(Simulador!$F$11='Tabla Parámetros'!$O$4,'Tabla Construcción Crecientes'!I234,))</f>
        <v>0</v>
      </c>
      <c r="J602" s="362">
        <f>IF($F$11='Tabla Parámetros'!$O$3,'Tabla Construcción Fijos'!J234,IF(Simulador!$F$11='Tabla Parámetros'!$O$4,'Tabla Construcción Crecientes'!J234,))</f>
        <v>0</v>
      </c>
      <c r="K602" s="362">
        <f>IF($F$11='Tabla Parámetros'!$O$3,'Tabla Construcción Fijos'!K234,IF(Simulador!$F$11='Tabla Parámetros'!$O$4,'Tabla Construcción Crecientes'!K234,))</f>
        <v>0</v>
      </c>
      <c r="L602" s="362">
        <f>IF($F$11='Tabla Parámetros'!$O$3,'Tabla Construcción Fijos'!L234,IF(Simulador!$F$11='Tabla Parámetros'!$O$4,'Tabla Construcción Crecientes'!L234,))</f>
        <v>0</v>
      </c>
      <c r="M602" s="362">
        <f>IF($F$11='Tabla Parámetros'!$O$3,'Tabla Construcción Fijos'!M234,IF(Simulador!$F$11='Tabla Parámetros'!$O$4,'Tabla Construcción Crecientes'!M234,))</f>
        <v>0</v>
      </c>
      <c r="N602" s="391">
        <f>IF($F$11='Tabla Parámetros'!$O$3,'Tabla Construcción Fijos'!N234,IF(Simulador!$F$11='Tabla Parámetros'!$O$4,'Tabla Construcción Crecientes'!N234,))</f>
        <v>0</v>
      </c>
      <c r="O602" s="392"/>
      <c r="P602" s="392">
        <f>'Tabla Construcción Fijos'!P234</f>
        <v>0</v>
      </c>
      <c r="Q602" s="362">
        <f>IF($F$11='Tabla Parámetros'!$O$3,'Tabla Construcción Fijos'!Q234,IF(Simulador!$F$11='Tabla Parámetros'!$O$4,'Tabla Construcción Crecientes'!P234,))</f>
        <v>0</v>
      </c>
      <c r="R602" s="362">
        <f>IF($F$11='Tabla Parámetros'!$O$3,'Tabla Construcción Fijos'!R234,IF(Simulador!$F$11='Tabla Parámetros'!$O$4,'Tabla Construcción Crecientes'!Q234,))</f>
        <v>0</v>
      </c>
      <c r="S602" s="272">
        <f t="shared" si="24"/>
        <v>0</v>
      </c>
    </row>
    <row r="603" spans="2:19" ht="15.5" hidden="1" x14ac:dyDescent="0.35">
      <c r="B603" s="378">
        <f t="shared" si="25"/>
        <v>212</v>
      </c>
      <c r="C603" s="378">
        <f t="shared" si="26"/>
        <v>30.4</v>
      </c>
      <c r="D603" s="379">
        <f>IF($F$11='Tabla Parámetros'!$O$3,'Tabla Construcción Fijos'!D235,IF(Simulador!$F$11='Tabla Parámetros'!$O$4,'Tabla Construcción Crecientes'!D235,))</f>
        <v>0</v>
      </c>
      <c r="E603" s="390"/>
      <c r="F603" s="362">
        <f>IF($F$11='Tabla Parámetros'!$O$3,'Tabla Construcción Fijos'!F235,IF(Simulador!$F$11='Tabla Parámetros'!$O$4,'Tabla Construcción Crecientes'!F235,))</f>
        <v>0</v>
      </c>
      <c r="G603" s="362"/>
      <c r="H603" s="362">
        <f>IF($F$11='Tabla Parámetros'!$O$3,'Tabla Construcción Fijos'!H235,IF(Simulador!$F$11='Tabla Parámetros'!$O$4,'Tabla Construcción Crecientes'!H235,))</f>
        <v>0</v>
      </c>
      <c r="I603" s="362">
        <f>IF($F$11='Tabla Parámetros'!$O$3,'Tabla Construcción Fijos'!I235,IF(Simulador!$F$11='Tabla Parámetros'!$O$4,'Tabla Construcción Crecientes'!I235,))</f>
        <v>0</v>
      </c>
      <c r="J603" s="362">
        <f>IF($F$11='Tabla Parámetros'!$O$3,'Tabla Construcción Fijos'!J235,IF(Simulador!$F$11='Tabla Parámetros'!$O$4,'Tabla Construcción Crecientes'!J235,))</f>
        <v>0</v>
      </c>
      <c r="K603" s="362">
        <f>IF($F$11='Tabla Parámetros'!$O$3,'Tabla Construcción Fijos'!K235,IF(Simulador!$F$11='Tabla Parámetros'!$O$4,'Tabla Construcción Crecientes'!K235,))</f>
        <v>0</v>
      </c>
      <c r="L603" s="362">
        <f>IF($F$11='Tabla Parámetros'!$O$3,'Tabla Construcción Fijos'!L235,IF(Simulador!$F$11='Tabla Parámetros'!$O$4,'Tabla Construcción Crecientes'!L235,))</f>
        <v>0</v>
      </c>
      <c r="M603" s="362">
        <f>IF($F$11='Tabla Parámetros'!$O$3,'Tabla Construcción Fijos'!M235,IF(Simulador!$F$11='Tabla Parámetros'!$O$4,'Tabla Construcción Crecientes'!M235,))</f>
        <v>0</v>
      </c>
      <c r="N603" s="391">
        <f>IF($F$11='Tabla Parámetros'!$O$3,'Tabla Construcción Fijos'!N235,IF(Simulador!$F$11='Tabla Parámetros'!$O$4,'Tabla Construcción Crecientes'!N235,))</f>
        <v>0</v>
      </c>
      <c r="O603" s="392"/>
      <c r="P603" s="392">
        <f>'Tabla Construcción Fijos'!P235</f>
        <v>0</v>
      </c>
      <c r="Q603" s="362">
        <f>IF($F$11='Tabla Parámetros'!$O$3,'Tabla Construcción Fijos'!Q235,IF(Simulador!$F$11='Tabla Parámetros'!$O$4,'Tabla Construcción Crecientes'!P235,))</f>
        <v>0</v>
      </c>
      <c r="R603" s="362">
        <f>IF($F$11='Tabla Parámetros'!$O$3,'Tabla Construcción Fijos'!R235,IF(Simulador!$F$11='Tabla Parámetros'!$O$4,'Tabla Construcción Crecientes'!Q235,))</f>
        <v>0</v>
      </c>
      <c r="S603" s="272">
        <f t="shared" si="24"/>
        <v>0</v>
      </c>
    </row>
    <row r="604" spans="2:19" ht="15.5" hidden="1" x14ac:dyDescent="0.35">
      <c r="B604" s="378">
        <f t="shared" si="25"/>
        <v>213</v>
      </c>
      <c r="C604" s="378">
        <f t="shared" si="26"/>
        <v>30.4</v>
      </c>
      <c r="D604" s="379">
        <f>IF($F$11='Tabla Parámetros'!$O$3,'Tabla Construcción Fijos'!D236,IF(Simulador!$F$11='Tabla Parámetros'!$O$4,'Tabla Construcción Crecientes'!D236,))</f>
        <v>0</v>
      </c>
      <c r="E604" s="390"/>
      <c r="F604" s="362">
        <f>IF($F$11='Tabla Parámetros'!$O$3,'Tabla Construcción Fijos'!F236,IF(Simulador!$F$11='Tabla Parámetros'!$O$4,'Tabla Construcción Crecientes'!F236,))</f>
        <v>0</v>
      </c>
      <c r="G604" s="362"/>
      <c r="H604" s="362">
        <f>IF($F$11='Tabla Parámetros'!$O$3,'Tabla Construcción Fijos'!H236,IF(Simulador!$F$11='Tabla Parámetros'!$O$4,'Tabla Construcción Crecientes'!H236,))</f>
        <v>0</v>
      </c>
      <c r="I604" s="362">
        <f>IF($F$11='Tabla Parámetros'!$O$3,'Tabla Construcción Fijos'!I236,IF(Simulador!$F$11='Tabla Parámetros'!$O$4,'Tabla Construcción Crecientes'!I236,))</f>
        <v>0</v>
      </c>
      <c r="J604" s="362">
        <f>IF($F$11='Tabla Parámetros'!$O$3,'Tabla Construcción Fijos'!J236,IF(Simulador!$F$11='Tabla Parámetros'!$O$4,'Tabla Construcción Crecientes'!J236,))</f>
        <v>0</v>
      </c>
      <c r="K604" s="362">
        <f>IF($F$11='Tabla Parámetros'!$O$3,'Tabla Construcción Fijos'!K236,IF(Simulador!$F$11='Tabla Parámetros'!$O$4,'Tabla Construcción Crecientes'!K236,))</f>
        <v>0</v>
      </c>
      <c r="L604" s="362">
        <f>IF($F$11='Tabla Parámetros'!$O$3,'Tabla Construcción Fijos'!L236,IF(Simulador!$F$11='Tabla Parámetros'!$O$4,'Tabla Construcción Crecientes'!L236,))</f>
        <v>0</v>
      </c>
      <c r="M604" s="362">
        <f>IF($F$11='Tabla Parámetros'!$O$3,'Tabla Construcción Fijos'!M236,IF(Simulador!$F$11='Tabla Parámetros'!$O$4,'Tabla Construcción Crecientes'!M236,))</f>
        <v>0</v>
      </c>
      <c r="N604" s="391">
        <f>IF($F$11='Tabla Parámetros'!$O$3,'Tabla Construcción Fijos'!N236,IF(Simulador!$F$11='Tabla Parámetros'!$O$4,'Tabla Construcción Crecientes'!N236,))</f>
        <v>0</v>
      </c>
      <c r="O604" s="392"/>
      <c r="P604" s="392">
        <f>'Tabla Construcción Fijos'!P236</f>
        <v>0</v>
      </c>
      <c r="Q604" s="362">
        <f>IF($F$11='Tabla Parámetros'!$O$3,'Tabla Construcción Fijos'!Q236,IF(Simulador!$F$11='Tabla Parámetros'!$O$4,'Tabla Construcción Crecientes'!P236,))</f>
        <v>0</v>
      </c>
      <c r="R604" s="362">
        <f>IF($F$11='Tabla Parámetros'!$O$3,'Tabla Construcción Fijos'!R236,IF(Simulador!$F$11='Tabla Parámetros'!$O$4,'Tabla Construcción Crecientes'!Q236,))</f>
        <v>0</v>
      </c>
      <c r="S604" s="272">
        <f t="shared" si="24"/>
        <v>0</v>
      </c>
    </row>
    <row r="605" spans="2:19" ht="15.5" hidden="1" x14ac:dyDescent="0.35">
      <c r="B605" s="378">
        <f t="shared" si="25"/>
        <v>214</v>
      </c>
      <c r="C605" s="378">
        <f t="shared" si="26"/>
        <v>30.4</v>
      </c>
      <c r="D605" s="379">
        <f>IF($F$11='Tabla Parámetros'!$O$3,'Tabla Construcción Fijos'!D237,IF(Simulador!$F$11='Tabla Parámetros'!$O$4,'Tabla Construcción Crecientes'!D237,))</f>
        <v>0</v>
      </c>
      <c r="E605" s="390"/>
      <c r="F605" s="362">
        <f>IF($F$11='Tabla Parámetros'!$O$3,'Tabla Construcción Fijos'!F237,IF(Simulador!$F$11='Tabla Parámetros'!$O$4,'Tabla Construcción Crecientes'!F237,))</f>
        <v>0</v>
      </c>
      <c r="G605" s="362"/>
      <c r="H605" s="362">
        <f>IF($F$11='Tabla Parámetros'!$O$3,'Tabla Construcción Fijos'!H237,IF(Simulador!$F$11='Tabla Parámetros'!$O$4,'Tabla Construcción Crecientes'!H237,))</f>
        <v>0</v>
      </c>
      <c r="I605" s="362">
        <f>IF($F$11='Tabla Parámetros'!$O$3,'Tabla Construcción Fijos'!I237,IF(Simulador!$F$11='Tabla Parámetros'!$O$4,'Tabla Construcción Crecientes'!I237,))</f>
        <v>0</v>
      </c>
      <c r="J605" s="362">
        <f>IF($F$11='Tabla Parámetros'!$O$3,'Tabla Construcción Fijos'!J237,IF(Simulador!$F$11='Tabla Parámetros'!$O$4,'Tabla Construcción Crecientes'!J237,))</f>
        <v>0</v>
      </c>
      <c r="K605" s="362">
        <f>IF($F$11='Tabla Parámetros'!$O$3,'Tabla Construcción Fijos'!K237,IF(Simulador!$F$11='Tabla Parámetros'!$O$4,'Tabla Construcción Crecientes'!K237,))</f>
        <v>0</v>
      </c>
      <c r="L605" s="362">
        <f>IF($F$11='Tabla Parámetros'!$O$3,'Tabla Construcción Fijos'!L237,IF(Simulador!$F$11='Tabla Parámetros'!$O$4,'Tabla Construcción Crecientes'!L237,))</f>
        <v>0</v>
      </c>
      <c r="M605" s="362">
        <f>IF($F$11='Tabla Parámetros'!$O$3,'Tabla Construcción Fijos'!M237,IF(Simulador!$F$11='Tabla Parámetros'!$O$4,'Tabla Construcción Crecientes'!M237,))</f>
        <v>0</v>
      </c>
      <c r="N605" s="391">
        <f>IF($F$11='Tabla Parámetros'!$O$3,'Tabla Construcción Fijos'!N237,IF(Simulador!$F$11='Tabla Parámetros'!$O$4,'Tabla Construcción Crecientes'!N237,))</f>
        <v>0</v>
      </c>
      <c r="O605" s="392"/>
      <c r="P605" s="392">
        <f>'Tabla Construcción Fijos'!P237</f>
        <v>0</v>
      </c>
      <c r="Q605" s="362">
        <f>IF($F$11='Tabla Parámetros'!$O$3,'Tabla Construcción Fijos'!Q237,IF(Simulador!$F$11='Tabla Parámetros'!$O$4,'Tabla Construcción Crecientes'!P237,))</f>
        <v>0</v>
      </c>
      <c r="R605" s="362">
        <f>IF($F$11='Tabla Parámetros'!$O$3,'Tabla Construcción Fijos'!R237,IF(Simulador!$F$11='Tabla Parámetros'!$O$4,'Tabla Construcción Crecientes'!Q237,))</f>
        <v>0</v>
      </c>
      <c r="S605" s="272">
        <f t="shared" si="24"/>
        <v>0</v>
      </c>
    </row>
    <row r="606" spans="2:19" ht="15.5" hidden="1" x14ac:dyDescent="0.35">
      <c r="B606" s="378">
        <f t="shared" si="25"/>
        <v>215</v>
      </c>
      <c r="C606" s="378">
        <f t="shared" si="26"/>
        <v>30.4</v>
      </c>
      <c r="D606" s="379">
        <f>IF($F$11='Tabla Parámetros'!$O$3,'Tabla Construcción Fijos'!D238,IF(Simulador!$F$11='Tabla Parámetros'!$O$4,'Tabla Construcción Crecientes'!D238,))</f>
        <v>0</v>
      </c>
      <c r="E606" s="390"/>
      <c r="F606" s="362">
        <f>IF($F$11='Tabla Parámetros'!$O$3,'Tabla Construcción Fijos'!F238,IF(Simulador!$F$11='Tabla Parámetros'!$O$4,'Tabla Construcción Crecientes'!F238,))</f>
        <v>0</v>
      </c>
      <c r="G606" s="362"/>
      <c r="H606" s="362">
        <f>IF($F$11='Tabla Parámetros'!$O$3,'Tabla Construcción Fijos'!H238,IF(Simulador!$F$11='Tabla Parámetros'!$O$4,'Tabla Construcción Crecientes'!H238,))</f>
        <v>0</v>
      </c>
      <c r="I606" s="362">
        <f>IF($F$11='Tabla Parámetros'!$O$3,'Tabla Construcción Fijos'!I238,IF(Simulador!$F$11='Tabla Parámetros'!$O$4,'Tabla Construcción Crecientes'!I238,))</f>
        <v>0</v>
      </c>
      <c r="J606" s="362">
        <f>IF($F$11='Tabla Parámetros'!$O$3,'Tabla Construcción Fijos'!J238,IF(Simulador!$F$11='Tabla Parámetros'!$O$4,'Tabla Construcción Crecientes'!J238,))</f>
        <v>0</v>
      </c>
      <c r="K606" s="362">
        <f>IF($F$11='Tabla Parámetros'!$O$3,'Tabla Construcción Fijos'!K238,IF(Simulador!$F$11='Tabla Parámetros'!$O$4,'Tabla Construcción Crecientes'!K238,))</f>
        <v>0</v>
      </c>
      <c r="L606" s="362">
        <f>IF($F$11='Tabla Parámetros'!$O$3,'Tabla Construcción Fijos'!L238,IF(Simulador!$F$11='Tabla Parámetros'!$O$4,'Tabla Construcción Crecientes'!L238,))</f>
        <v>0</v>
      </c>
      <c r="M606" s="362">
        <f>IF($F$11='Tabla Parámetros'!$O$3,'Tabla Construcción Fijos'!M238,IF(Simulador!$F$11='Tabla Parámetros'!$O$4,'Tabla Construcción Crecientes'!M238,))</f>
        <v>0</v>
      </c>
      <c r="N606" s="391">
        <f>IF($F$11='Tabla Parámetros'!$O$3,'Tabla Construcción Fijos'!N238,IF(Simulador!$F$11='Tabla Parámetros'!$O$4,'Tabla Construcción Crecientes'!N238,))</f>
        <v>0</v>
      </c>
      <c r="O606" s="392"/>
      <c r="P606" s="392">
        <f>'Tabla Construcción Fijos'!P238</f>
        <v>0</v>
      </c>
      <c r="Q606" s="362">
        <f>IF($F$11='Tabla Parámetros'!$O$3,'Tabla Construcción Fijos'!Q238,IF(Simulador!$F$11='Tabla Parámetros'!$O$4,'Tabla Construcción Crecientes'!P238,))</f>
        <v>0</v>
      </c>
      <c r="R606" s="362">
        <f>IF($F$11='Tabla Parámetros'!$O$3,'Tabla Construcción Fijos'!R238,IF(Simulador!$F$11='Tabla Parámetros'!$O$4,'Tabla Construcción Crecientes'!Q238,))</f>
        <v>0</v>
      </c>
      <c r="S606" s="272">
        <f t="shared" si="24"/>
        <v>0</v>
      </c>
    </row>
    <row r="607" spans="2:19" ht="15.5" hidden="1" x14ac:dyDescent="0.35">
      <c r="B607" s="378">
        <f t="shared" si="25"/>
        <v>216</v>
      </c>
      <c r="C607" s="378">
        <f t="shared" si="26"/>
        <v>30.4</v>
      </c>
      <c r="D607" s="379">
        <f>IF($F$11='Tabla Parámetros'!$O$3,'Tabla Construcción Fijos'!D239,IF(Simulador!$F$11='Tabla Parámetros'!$O$4,'Tabla Construcción Crecientes'!D239,))</f>
        <v>0</v>
      </c>
      <c r="E607" s="390"/>
      <c r="F607" s="362">
        <f>IF($F$11='Tabla Parámetros'!$O$3,'Tabla Construcción Fijos'!F239,IF(Simulador!$F$11='Tabla Parámetros'!$O$4,'Tabla Construcción Crecientes'!F239,))</f>
        <v>0</v>
      </c>
      <c r="G607" s="362"/>
      <c r="H607" s="362">
        <f>IF($F$11='Tabla Parámetros'!$O$3,'Tabla Construcción Fijos'!H239,IF(Simulador!$F$11='Tabla Parámetros'!$O$4,'Tabla Construcción Crecientes'!H239,))</f>
        <v>0</v>
      </c>
      <c r="I607" s="362">
        <f>IF($F$11='Tabla Parámetros'!$O$3,'Tabla Construcción Fijos'!I239,IF(Simulador!$F$11='Tabla Parámetros'!$O$4,'Tabla Construcción Crecientes'!I239,))</f>
        <v>0</v>
      </c>
      <c r="J607" s="362">
        <f>IF($F$11='Tabla Parámetros'!$O$3,'Tabla Construcción Fijos'!J239,IF(Simulador!$F$11='Tabla Parámetros'!$O$4,'Tabla Construcción Crecientes'!J239,))</f>
        <v>0</v>
      </c>
      <c r="K607" s="362">
        <f>IF($F$11='Tabla Parámetros'!$O$3,'Tabla Construcción Fijos'!K239,IF(Simulador!$F$11='Tabla Parámetros'!$O$4,'Tabla Construcción Crecientes'!K239,))</f>
        <v>0</v>
      </c>
      <c r="L607" s="362">
        <f>IF($F$11='Tabla Parámetros'!$O$3,'Tabla Construcción Fijos'!L239,IF(Simulador!$F$11='Tabla Parámetros'!$O$4,'Tabla Construcción Crecientes'!L239,))</f>
        <v>0</v>
      </c>
      <c r="M607" s="362">
        <f>IF($F$11='Tabla Parámetros'!$O$3,'Tabla Construcción Fijos'!M239,IF(Simulador!$F$11='Tabla Parámetros'!$O$4,'Tabla Construcción Crecientes'!M239,))</f>
        <v>0</v>
      </c>
      <c r="N607" s="391">
        <f>IF($F$11='Tabla Parámetros'!$O$3,'Tabla Construcción Fijos'!N239,IF(Simulador!$F$11='Tabla Parámetros'!$O$4,'Tabla Construcción Crecientes'!N239,))</f>
        <v>0</v>
      </c>
      <c r="O607" s="392"/>
      <c r="P607" s="392">
        <f>'Tabla Construcción Fijos'!P239</f>
        <v>0</v>
      </c>
      <c r="Q607" s="362">
        <f>IF($F$11='Tabla Parámetros'!$O$3,'Tabla Construcción Fijos'!Q239,IF(Simulador!$F$11='Tabla Parámetros'!$O$4,'Tabla Construcción Crecientes'!P239,))</f>
        <v>0</v>
      </c>
      <c r="R607" s="362">
        <f>IF($F$11='Tabla Parámetros'!$O$3,'Tabla Construcción Fijos'!R239,IF(Simulador!$F$11='Tabla Parámetros'!$O$4,'Tabla Construcción Crecientes'!Q239,))</f>
        <v>0</v>
      </c>
      <c r="S607" s="272">
        <f t="shared" si="24"/>
        <v>0</v>
      </c>
    </row>
    <row r="608" spans="2:19" ht="15.5" hidden="1" x14ac:dyDescent="0.35">
      <c r="B608" s="378">
        <f t="shared" si="25"/>
        <v>217</v>
      </c>
      <c r="C608" s="378">
        <f t="shared" si="26"/>
        <v>30.4</v>
      </c>
      <c r="D608" s="379">
        <f>IF($F$11='Tabla Parámetros'!$O$3,'Tabla Construcción Fijos'!D240,IF(Simulador!$F$11='Tabla Parámetros'!$O$4,'Tabla Construcción Crecientes'!D240,))</f>
        <v>0</v>
      </c>
      <c r="E608" s="390"/>
      <c r="F608" s="362">
        <f>IF($F$11='Tabla Parámetros'!$O$3,'Tabla Construcción Fijos'!F240,IF(Simulador!$F$11='Tabla Parámetros'!$O$4,'Tabla Construcción Crecientes'!F240,))</f>
        <v>0</v>
      </c>
      <c r="G608" s="362"/>
      <c r="H608" s="362">
        <f>IF($F$11='Tabla Parámetros'!$O$3,'Tabla Construcción Fijos'!H240,IF(Simulador!$F$11='Tabla Parámetros'!$O$4,'Tabla Construcción Crecientes'!H240,))</f>
        <v>0</v>
      </c>
      <c r="I608" s="362">
        <f>IF($F$11='Tabla Parámetros'!$O$3,'Tabla Construcción Fijos'!I240,IF(Simulador!$F$11='Tabla Parámetros'!$O$4,'Tabla Construcción Crecientes'!I240,))</f>
        <v>0</v>
      </c>
      <c r="J608" s="362">
        <f>IF($F$11='Tabla Parámetros'!$O$3,'Tabla Construcción Fijos'!J240,IF(Simulador!$F$11='Tabla Parámetros'!$O$4,'Tabla Construcción Crecientes'!J240,))</f>
        <v>0</v>
      </c>
      <c r="K608" s="362">
        <f>IF($F$11='Tabla Parámetros'!$O$3,'Tabla Construcción Fijos'!K240,IF(Simulador!$F$11='Tabla Parámetros'!$O$4,'Tabla Construcción Crecientes'!K240,))</f>
        <v>0</v>
      </c>
      <c r="L608" s="362">
        <f>IF($F$11='Tabla Parámetros'!$O$3,'Tabla Construcción Fijos'!L240,IF(Simulador!$F$11='Tabla Parámetros'!$O$4,'Tabla Construcción Crecientes'!L240,))</f>
        <v>0</v>
      </c>
      <c r="M608" s="362">
        <f>IF($F$11='Tabla Parámetros'!$O$3,'Tabla Construcción Fijos'!M240,IF(Simulador!$F$11='Tabla Parámetros'!$O$4,'Tabla Construcción Crecientes'!M240,))</f>
        <v>0</v>
      </c>
      <c r="N608" s="391">
        <f>IF($F$11='Tabla Parámetros'!$O$3,'Tabla Construcción Fijos'!N240,IF(Simulador!$F$11='Tabla Parámetros'!$O$4,'Tabla Construcción Crecientes'!N240,))</f>
        <v>0</v>
      </c>
      <c r="O608" s="392"/>
      <c r="P608" s="392">
        <f>'Tabla Construcción Fijos'!P240</f>
        <v>0</v>
      </c>
      <c r="Q608" s="362">
        <f>IF($F$11='Tabla Parámetros'!$O$3,'Tabla Construcción Fijos'!Q240,IF(Simulador!$F$11='Tabla Parámetros'!$O$4,'Tabla Construcción Crecientes'!P240,))</f>
        <v>0</v>
      </c>
      <c r="R608" s="362">
        <f>IF($F$11='Tabla Parámetros'!$O$3,'Tabla Construcción Fijos'!R240,IF(Simulador!$F$11='Tabla Parámetros'!$O$4,'Tabla Construcción Crecientes'!Q240,))</f>
        <v>0</v>
      </c>
      <c r="S608" s="272">
        <f t="shared" si="24"/>
        <v>0</v>
      </c>
    </row>
    <row r="609" spans="2:19" ht="15.5" hidden="1" x14ac:dyDescent="0.35">
      <c r="B609" s="378">
        <f t="shared" si="25"/>
        <v>218</v>
      </c>
      <c r="C609" s="378">
        <f t="shared" si="26"/>
        <v>30.4</v>
      </c>
      <c r="D609" s="379">
        <f>IF($F$11='Tabla Parámetros'!$O$3,'Tabla Construcción Fijos'!D241,IF(Simulador!$F$11='Tabla Parámetros'!$O$4,'Tabla Construcción Crecientes'!D241,))</f>
        <v>0</v>
      </c>
      <c r="E609" s="390"/>
      <c r="F609" s="362">
        <f>IF($F$11='Tabla Parámetros'!$O$3,'Tabla Construcción Fijos'!F241,IF(Simulador!$F$11='Tabla Parámetros'!$O$4,'Tabla Construcción Crecientes'!F241,))</f>
        <v>0</v>
      </c>
      <c r="G609" s="362"/>
      <c r="H609" s="362">
        <f>IF($F$11='Tabla Parámetros'!$O$3,'Tabla Construcción Fijos'!H241,IF(Simulador!$F$11='Tabla Parámetros'!$O$4,'Tabla Construcción Crecientes'!H241,))</f>
        <v>0</v>
      </c>
      <c r="I609" s="362">
        <f>IF($F$11='Tabla Parámetros'!$O$3,'Tabla Construcción Fijos'!I241,IF(Simulador!$F$11='Tabla Parámetros'!$O$4,'Tabla Construcción Crecientes'!I241,))</f>
        <v>0</v>
      </c>
      <c r="J609" s="362">
        <f>IF($F$11='Tabla Parámetros'!$O$3,'Tabla Construcción Fijos'!J241,IF(Simulador!$F$11='Tabla Parámetros'!$O$4,'Tabla Construcción Crecientes'!J241,))</f>
        <v>0</v>
      </c>
      <c r="K609" s="362">
        <f>IF($F$11='Tabla Parámetros'!$O$3,'Tabla Construcción Fijos'!K241,IF(Simulador!$F$11='Tabla Parámetros'!$O$4,'Tabla Construcción Crecientes'!K241,))</f>
        <v>0</v>
      </c>
      <c r="L609" s="362">
        <f>IF($F$11='Tabla Parámetros'!$O$3,'Tabla Construcción Fijos'!L241,IF(Simulador!$F$11='Tabla Parámetros'!$O$4,'Tabla Construcción Crecientes'!L241,))</f>
        <v>0</v>
      </c>
      <c r="M609" s="362">
        <f>IF($F$11='Tabla Parámetros'!$O$3,'Tabla Construcción Fijos'!M241,IF(Simulador!$F$11='Tabla Parámetros'!$O$4,'Tabla Construcción Crecientes'!M241,))</f>
        <v>0</v>
      </c>
      <c r="N609" s="391">
        <f>IF($F$11='Tabla Parámetros'!$O$3,'Tabla Construcción Fijos'!N241,IF(Simulador!$F$11='Tabla Parámetros'!$O$4,'Tabla Construcción Crecientes'!N241,))</f>
        <v>0</v>
      </c>
      <c r="O609" s="392"/>
      <c r="P609" s="392">
        <f>'Tabla Construcción Fijos'!P241</f>
        <v>0</v>
      </c>
      <c r="Q609" s="362">
        <f>IF($F$11='Tabla Parámetros'!$O$3,'Tabla Construcción Fijos'!Q241,IF(Simulador!$F$11='Tabla Parámetros'!$O$4,'Tabla Construcción Crecientes'!P241,))</f>
        <v>0</v>
      </c>
      <c r="R609" s="362">
        <f>IF($F$11='Tabla Parámetros'!$O$3,'Tabla Construcción Fijos'!R241,IF(Simulador!$F$11='Tabla Parámetros'!$O$4,'Tabla Construcción Crecientes'!Q241,))</f>
        <v>0</v>
      </c>
      <c r="S609" s="272">
        <f t="shared" si="24"/>
        <v>0</v>
      </c>
    </row>
    <row r="610" spans="2:19" ht="15.5" hidden="1" x14ac:dyDescent="0.35">
      <c r="B610" s="378">
        <f t="shared" si="25"/>
        <v>219</v>
      </c>
      <c r="C610" s="378">
        <f t="shared" si="26"/>
        <v>30.4</v>
      </c>
      <c r="D610" s="379">
        <f>IF($F$11='Tabla Parámetros'!$O$3,'Tabla Construcción Fijos'!D242,IF(Simulador!$F$11='Tabla Parámetros'!$O$4,'Tabla Construcción Crecientes'!D242,))</f>
        <v>0</v>
      </c>
      <c r="E610" s="390"/>
      <c r="F610" s="362">
        <f>IF($F$11='Tabla Parámetros'!$O$3,'Tabla Construcción Fijos'!F242,IF(Simulador!$F$11='Tabla Parámetros'!$O$4,'Tabla Construcción Crecientes'!F242,))</f>
        <v>0</v>
      </c>
      <c r="G610" s="362"/>
      <c r="H610" s="362">
        <f>IF($F$11='Tabla Parámetros'!$O$3,'Tabla Construcción Fijos'!H242,IF(Simulador!$F$11='Tabla Parámetros'!$O$4,'Tabla Construcción Crecientes'!H242,))</f>
        <v>0</v>
      </c>
      <c r="I610" s="362">
        <f>IF($F$11='Tabla Parámetros'!$O$3,'Tabla Construcción Fijos'!I242,IF(Simulador!$F$11='Tabla Parámetros'!$O$4,'Tabla Construcción Crecientes'!I242,))</f>
        <v>0</v>
      </c>
      <c r="J610" s="362">
        <f>IF($F$11='Tabla Parámetros'!$O$3,'Tabla Construcción Fijos'!J242,IF(Simulador!$F$11='Tabla Parámetros'!$O$4,'Tabla Construcción Crecientes'!J242,))</f>
        <v>0</v>
      </c>
      <c r="K610" s="362">
        <f>IF($F$11='Tabla Parámetros'!$O$3,'Tabla Construcción Fijos'!K242,IF(Simulador!$F$11='Tabla Parámetros'!$O$4,'Tabla Construcción Crecientes'!K242,))</f>
        <v>0</v>
      </c>
      <c r="L610" s="362">
        <f>IF($F$11='Tabla Parámetros'!$O$3,'Tabla Construcción Fijos'!L242,IF(Simulador!$F$11='Tabla Parámetros'!$O$4,'Tabla Construcción Crecientes'!L242,))</f>
        <v>0</v>
      </c>
      <c r="M610" s="362">
        <f>IF($F$11='Tabla Parámetros'!$O$3,'Tabla Construcción Fijos'!M242,IF(Simulador!$F$11='Tabla Parámetros'!$O$4,'Tabla Construcción Crecientes'!M242,))</f>
        <v>0</v>
      </c>
      <c r="N610" s="391">
        <f>IF($F$11='Tabla Parámetros'!$O$3,'Tabla Construcción Fijos'!N242,IF(Simulador!$F$11='Tabla Parámetros'!$O$4,'Tabla Construcción Crecientes'!N242,))</f>
        <v>0</v>
      </c>
      <c r="O610" s="392"/>
      <c r="P610" s="392">
        <f>'Tabla Construcción Fijos'!P242</f>
        <v>0</v>
      </c>
      <c r="Q610" s="362">
        <f>IF($F$11='Tabla Parámetros'!$O$3,'Tabla Construcción Fijos'!Q242,IF(Simulador!$F$11='Tabla Parámetros'!$O$4,'Tabla Construcción Crecientes'!P242,))</f>
        <v>0</v>
      </c>
      <c r="R610" s="362">
        <f>IF($F$11='Tabla Parámetros'!$O$3,'Tabla Construcción Fijos'!R242,IF(Simulador!$F$11='Tabla Parámetros'!$O$4,'Tabla Construcción Crecientes'!Q242,))</f>
        <v>0</v>
      </c>
      <c r="S610" s="272">
        <f t="shared" si="24"/>
        <v>0</v>
      </c>
    </row>
    <row r="611" spans="2:19" ht="15.5" hidden="1" x14ac:dyDescent="0.35">
      <c r="B611" s="378">
        <f t="shared" si="25"/>
        <v>220</v>
      </c>
      <c r="C611" s="378">
        <f t="shared" si="26"/>
        <v>30.4</v>
      </c>
      <c r="D611" s="379">
        <f>IF($F$11='Tabla Parámetros'!$O$3,'Tabla Construcción Fijos'!D243,IF(Simulador!$F$11='Tabla Parámetros'!$O$4,'Tabla Construcción Crecientes'!D243,))</f>
        <v>0</v>
      </c>
      <c r="E611" s="390"/>
      <c r="F611" s="362">
        <f>IF($F$11='Tabla Parámetros'!$O$3,'Tabla Construcción Fijos'!F243,IF(Simulador!$F$11='Tabla Parámetros'!$O$4,'Tabla Construcción Crecientes'!F243,))</f>
        <v>0</v>
      </c>
      <c r="G611" s="362"/>
      <c r="H611" s="362">
        <f>IF($F$11='Tabla Parámetros'!$O$3,'Tabla Construcción Fijos'!H243,IF(Simulador!$F$11='Tabla Parámetros'!$O$4,'Tabla Construcción Crecientes'!H243,))</f>
        <v>0</v>
      </c>
      <c r="I611" s="362">
        <f>IF($F$11='Tabla Parámetros'!$O$3,'Tabla Construcción Fijos'!I243,IF(Simulador!$F$11='Tabla Parámetros'!$O$4,'Tabla Construcción Crecientes'!I243,))</f>
        <v>0</v>
      </c>
      <c r="J611" s="362">
        <f>IF($F$11='Tabla Parámetros'!$O$3,'Tabla Construcción Fijos'!J243,IF(Simulador!$F$11='Tabla Parámetros'!$O$4,'Tabla Construcción Crecientes'!J243,))</f>
        <v>0</v>
      </c>
      <c r="K611" s="362">
        <f>IF($F$11='Tabla Parámetros'!$O$3,'Tabla Construcción Fijos'!K243,IF(Simulador!$F$11='Tabla Parámetros'!$O$4,'Tabla Construcción Crecientes'!K243,))</f>
        <v>0</v>
      </c>
      <c r="L611" s="362">
        <f>IF($F$11='Tabla Parámetros'!$O$3,'Tabla Construcción Fijos'!L243,IF(Simulador!$F$11='Tabla Parámetros'!$O$4,'Tabla Construcción Crecientes'!L243,))</f>
        <v>0</v>
      </c>
      <c r="M611" s="362">
        <f>IF($F$11='Tabla Parámetros'!$O$3,'Tabla Construcción Fijos'!M243,IF(Simulador!$F$11='Tabla Parámetros'!$O$4,'Tabla Construcción Crecientes'!M243,))</f>
        <v>0</v>
      </c>
      <c r="N611" s="391">
        <f>IF($F$11='Tabla Parámetros'!$O$3,'Tabla Construcción Fijos'!N243,IF(Simulador!$F$11='Tabla Parámetros'!$O$4,'Tabla Construcción Crecientes'!N243,))</f>
        <v>0</v>
      </c>
      <c r="O611" s="392"/>
      <c r="P611" s="392">
        <f>'Tabla Construcción Fijos'!P243</f>
        <v>0</v>
      </c>
      <c r="Q611" s="362">
        <f>IF($F$11='Tabla Parámetros'!$O$3,'Tabla Construcción Fijos'!Q243,IF(Simulador!$F$11='Tabla Parámetros'!$O$4,'Tabla Construcción Crecientes'!P243,))</f>
        <v>0</v>
      </c>
      <c r="R611" s="362">
        <f>IF($F$11='Tabla Parámetros'!$O$3,'Tabla Construcción Fijos'!R243,IF(Simulador!$F$11='Tabla Parámetros'!$O$4,'Tabla Construcción Crecientes'!Q243,))</f>
        <v>0</v>
      </c>
      <c r="S611" s="272">
        <f t="shared" si="24"/>
        <v>0</v>
      </c>
    </row>
    <row r="612" spans="2:19" ht="15.5" hidden="1" x14ac:dyDescent="0.35">
      <c r="B612" s="378">
        <f t="shared" si="25"/>
        <v>221</v>
      </c>
      <c r="C612" s="378">
        <f t="shared" si="26"/>
        <v>30.4</v>
      </c>
      <c r="D612" s="379">
        <f>IF($F$11='Tabla Parámetros'!$O$3,'Tabla Construcción Fijos'!D244,IF(Simulador!$F$11='Tabla Parámetros'!$O$4,'Tabla Construcción Crecientes'!D244,))</f>
        <v>0</v>
      </c>
      <c r="E612" s="390"/>
      <c r="F612" s="362">
        <f>IF($F$11='Tabla Parámetros'!$O$3,'Tabla Construcción Fijos'!F244,IF(Simulador!$F$11='Tabla Parámetros'!$O$4,'Tabla Construcción Crecientes'!F244,))</f>
        <v>0</v>
      </c>
      <c r="G612" s="362"/>
      <c r="H612" s="362">
        <f>IF($F$11='Tabla Parámetros'!$O$3,'Tabla Construcción Fijos'!H244,IF(Simulador!$F$11='Tabla Parámetros'!$O$4,'Tabla Construcción Crecientes'!H244,))</f>
        <v>0</v>
      </c>
      <c r="I612" s="362">
        <f>IF($F$11='Tabla Parámetros'!$O$3,'Tabla Construcción Fijos'!I244,IF(Simulador!$F$11='Tabla Parámetros'!$O$4,'Tabla Construcción Crecientes'!I244,))</f>
        <v>0</v>
      </c>
      <c r="J612" s="362">
        <f>IF($F$11='Tabla Parámetros'!$O$3,'Tabla Construcción Fijos'!J244,IF(Simulador!$F$11='Tabla Parámetros'!$O$4,'Tabla Construcción Crecientes'!J244,))</f>
        <v>0</v>
      </c>
      <c r="K612" s="362">
        <f>IF($F$11='Tabla Parámetros'!$O$3,'Tabla Construcción Fijos'!K244,IF(Simulador!$F$11='Tabla Parámetros'!$O$4,'Tabla Construcción Crecientes'!K244,))</f>
        <v>0</v>
      </c>
      <c r="L612" s="362">
        <f>IF($F$11='Tabla Parámetros'!$O$3,'Tabla Construcción Fijos'!L244,IF(Simulador!$F$11='Tabla Parámetros'!$O$4,'Tabla Construcción Crecientes'!L244,))</f>
        <v>0</v>
      </c>
      <c r="M612" s="362">
        <f>IF($F$11='Tabla Parámetros'!$O$3,'Tabla Construcción Fijos'!M244,IF(Simulador!$F$11='Tabla Parámetros'!$O$4,'Tabla Construcción Crecientes'!M244,))</f>
        <v>0</v>
      </c>
      <c r="N612" s="391">
        <f>IF($F$11='Tabla Parámetros'!$O$3,'Tabla Construcción Fijos'!N244,IF(Simulador!$F$11='Tabla Parámetros'!$O$4,'Tabla Construcción Crecientes'!N244,))</f>
        <v>0</v>
      </c>
      <c r="O612" s="392"/>
      <c r="P612" s="392">
        <f>'Tabla Construcción Fijos'!P244</f>
        <v>0</v>
      </c>
      <c r="Q612" s="362">
        <f>IF($F$11='Tabla Parámetros'!$O$3,'Tabla Construcción Fijos'!Q244,IF(Simulador!$F$11='Tabla Parámetros'!$O$4,'Tabla Construcción Crecientes'!P244,))</f>
        <v>0</v>
      </c>
      <c r="R612" s="362">
        <f>IF($F$11='Tabla Parámetros'!$O$3,'Tabla Construcción Fijos'!R244,IF(Simulador!$F$11='Tabla Parámetros'!$O$4,'Tabla Construcción Crecientes'!Q244,))</f>
        <v>0</v>
      </c>
      <c r="S612" s="272">
        <f t="shared" si="24"/>
        <v>0</v>
      </c>
    </row>
    <row r="613" spans="2:19" ht="15.5" hidden="1" x14ac:dyDescent="0.35">
      <c r="B613" s="378">
        <f t="shared" si="25"/>
        <v>222</v>
      </c>
      <c r="C613" s="378">
        <f t="shared" si="26"/>
        <v>30.4</v>
      </c>
      <c r="D613" s="379">
        <f>IF($F$11='Tabla Parámetros'!$O$3,'Tabla Construcción Fijos'!D245,IF(Simulador!$F$11='Tabla Parámetros'!$O$4,'Tabla Construcción Crecientes'!D245,))</f>
        <v>0</v>
      </c>
      <c r="E613" s="390"/>
      <c r="F613" s="362">
        <f>IF($F$11='Tabla Parámetros'!$O$3,'Tabla Construcción Fijos'!F245,IF(Simulador!$F$11='Tabla Parámetros'!$O$4,'Tabla Construcción Crecientes'!F245,))</f>
        <v>0</v>
      </c>
      <c r="G613" s="362"/>
      <c r="H613" s="362">
        <f>IF($F$11='Tabla Parámetros'!$O$3,'Tabla Construcción Fijos'!H245,IF(Simulador!$F$11='Tabla Parámetros'!$O$4,'Tabla Construcción Crecientes'!H245,))</f>
        <v>0</v>
      </c>
      <c r="I613" s="362">
        <f>IF($F$11='Tabla Parámetros'!$O$3,'Tabla Construcción Fijos'!I245,IF(Simulador!$F$11='Tabla Parámetros'!$O$4,'Tabla Construcción Crecientes'!I245,))</f>
        <v>0</v>
      </c>
      <c r="J613" s="362">
        <f>IF($F$11='Tabla Parámetros'!$O$3,'Tabla Construcción Fijos'!J245,IF(Simulador!$F$11='Tabla Parámetros'!$O$4,'Tabla Construcción Crecientes'!J245,))</f>
        <v>0</v>
      </c>
      <c r="K613" s="362">
        <f>IF($F$11='Tabla Parámetros'!$O$3,'Tabla Construcción Fijos'!K245,IF(Simulador!$F$11='Tabla Parámetros'!$O$4,'Tabla Construcción Crecientes'!K245,))</f>
        <v>0</v>
      </c>
      <c r="L613" s="362">
        <f>IF($F$11='Tabla Parámetros'!$O$3,'Tabla Construcción Fijos'!L245,IF(Simulador!$F$11='Tabla Parámetros'!$O$4,'Tabla Construcción Crecientes'!L245,))</f>
        <v>0</v>
      </c>
      <c r="M613" s="362">
        <f>IF($F$11='Tabla Parámetros'!$O$3,'Tabla Construcción Fijos'!M245,IF(Simulador!$F$11='Tabla Parámetros'!$O$4,'Tabla Construcción Crecientes'!M245,))</f>
        <v>0</v>
      </c>
      <c r="N613" s="391">
        <f>IF($F$11='Tabla Parámetros'!$O$3,'Tabla Construcción Fijos'!N245,IF(Simulador!$F$11='Tabla Parámetros'!$O$4,'Tabla Construcción Crecientes'!N245,))</f>
        <v>0</v>
      </c>
      <c r="O613" s="392"/>
      <c r="P613" s="392">
        <f>'Tabla Construcción Fijos'!P245</f>
        <v>0</v>
      </c>
      <c r="Q613" s="362">
        <f>IF($F$11='Tabla Parámetros'!$O$3,'Tabla Construcción Fijos'!Q245,IF(Simulador!$F$11='Tabla Parámetros'!$O$4,'Tabla Construcción Crecientes'!P245,))</f>
        <v>0</v>
      </c>
      <c r="R613" s="362">
        <f>IF($F$11='Tabla Parámetros'!$O$3,'Tabla Construcción Fijos'!R245,IF(Simulador!$F$11='Tabla Parámetros'!$O$4,'Tabla Construcción Crecientes'!Q245,))</f>
        <v>0</v>
      </c>
      <c r="S613" s="272">
        <f t="shared" si="24"/>
        <v>0</v>
      </c>
    </row>
    <row r="614" spans="2:19" ht="15.5" hidden="1" x14ac:dyDescent="0.35">
      <c r="B614" s="378">
        <f t="shared" si="25"/>
        <v>223</v>
      </c>
      <c r="C614" s="378">
        <f t="shared" si="26"/>
        <v>30.4</v>
      </c>
      <c r="D614" s="379">
        <f>IF($F$11='Tabla Parámetros'!$O$3,'Tabla Construcción Fijos'!D246,IF(Simulador!$F$11='Tabla Parámetros'!$O$4,'Tabla Construcción Crecientes'!D246,))</f>
        <v>0</v>
      </c>
      <c r="E614" s="390"/>
      <c r="F614" s="362">
        <f>IF($F$11='Tabla Parámetros'!$O$3,'Tabla Construcción Fijos'!F246,IF(Simulador!$F$11='Tabla Parámetros'!$O$4,'Tabla Construcción Crecientes'!F246,))</f>
        <v>0</v>
      </c>
      <c r="G614" s="362"/>
      <c r="H614" s="362">
        <f>IF($F$11='Tabla Parámetros'!$O$3,'Tabla Construcción Fijos'!H246,IF(Simulador!$F$11='Tabla Parámetros'!$O$4,'Tabla Construcción Crecientes'!H246,))</f>
        <v>0</v>
      </c>
      <c r="I614" s="362">
        <f>IF($F$11='Tabla Parámetros'!$O$3,'Tabla Construcción Fijos'!I246,IF(Simulador!$F$11='Tabla Parámetros'!$O$4,'Tabla Construcción Crecientes'!I246,))</f>
        <v>0</v>
      </c>
      <c r="J614" s="362">
        <f>IF($F$11='Tabla Parámetros'!$O$3,'Tabla Construcción Fijos'!J246,IF(Simulador!$F$11='Tabla Parámetros'!$O$4,'Tabla Construcción Crecientes'!J246,))</f>
        <v>0</v>
      </c>
      <c r="K614" s="362">
        <f>IF($F$11='Tabla Parámetros'!$O$3,'Tabla Construcción Fijos'!K246,IF(Simulador!$F$11='Tabla Parámetros'!$O$4,'Tabla Construcción Crecientes'!K246,))</f>
        <v>0</v>
      </c>
      <c r="L614" s="362">
        <f>IF($F$11='Tabla Parámetros'!$O$3,'Tabla Construcción Fijos'!L246,IF(Simulador!$F$11='Tabla Parámetros'!$O$4,'Tabla Construcción Crecientes'!L246,))</f>
        <v>0</v>
      </c>
      <c r="M614" s="362">
        <f>IF($F$11='Tabla Parámetros'!$O$3,'Tabla Construcción Fijos'!M246,IF(Simulador!$F$11='Tabla Parámetros'!$O$4,'Tabla Construcción Crecientes'!M246,))</f>
        <v>0</v>
      </c>
      <c r="N614" s="391">
        <f>IF($F$11='Tabla Parámetros'!$O$3,'Tabla Construcción Fijos'!N246,IF(Simulador!$F$11='Tabla Parámetros'!$O$4,'Tabla Construcción Crecientes'!N246,))</f>
        <v>0</v>
      </c>
      <c r="O614" s="392"/>
      <c r="P614" s="392">
        <f>'Tabla Construcción Fijos'!P246</f>
        <v>0</v>
      </c>
      <c r="Q614" s="362">
        <f>IF($F$11='Tabla Parámetros'!$O$3,'Tabla Construcción Fijos'!Q246,IF(Simulador!$F$11='Tabla Parámetros'!$O$4,'Tabla Construcción Crecientes'!P246,))</f>
        <v>0</v>
      </c>
      <c r="R614" s="362">
        <f>IF($F$11='Tabla Parámetros'!$O$3,'Tabla Construcción Fijos'!R246,IF(Simulador!$F$11='Tabla Parámetros'!$O$4,'Tabla Construcción Crecientes'!Q246,))</f>
        <v>0</v>
      </c>
      <c r="S614" s="272">
        <f t="shared" si="24"/>
        <v>0</v>
      </c>
    </row>
    <row r="615" spans="2:19" ht="15.5" hidden="1" x14ac:dyDescent="0.35">
      <c r="B615" s="378">
        <f t="shared" si="25"/>
        <v>224</v>
      </c>
      <c r="C615" s="378">
        <f t="shared" si="26"/>
        <v>30.4</v>
      </c>
      <c r="D615" s="379">
        <f>IF($F$11='Tabla Parámetros'!$O$3,'Tabla Construcción Fijos'!D247,IF(Simulador!$F$11='Tabla Parámetros'!$O$4,'Tabla Construcción Crecientes'!D247,))</f>
        <v>0</v>
      </c>
      <c r="E615" s="390"/>
      <c r="F615" s="362">
        <f>IF($F$11='Tabla Parámetros'!$O$3,'Tabla Construcción Fijos'!F247,IF(Simulador!$F$11='Tabla Parámetros'!$O$4,'Tabla Construcción Crecientes'!F247,))</f>
        <v>0</v>
      </c>
      <c r="G615" s="362"/>
      <c r="H615" s="362">
        <f>IF($F$11='Tabla Parámetros'!$O$3,'Tabla Construcción Fijos'!H247,IF(Simulador!$F$11='Tabla Parámetros'!$O$4,'Tabla Construcción Crecientes'!H247,))</f>
        <v>0</v>
      </c>
      <c r="I615" s="362">
        <f>IF($F$11='Tabla Parámetros'!$O$3,'Tabla Construcción Fijos'!I247,IF(Simulador!$F$11='Tabla Parámetros'!$O$4,'Tabla Construcción Crecientes'!I247,))</f>
        <v>0</v>
      </c>
      <c r="J615" s="362">
        <f>IF($F$11='Tabla Parámetros'!$O$3,'Tabla Construcción Fijos'!J247,IF(Simulador!$F$11='Tabla Parámetros'!$O$4,'Tabla Construcción Crecientes'!J247,))</f>
        <v>0</v>
      </c>
      <c r="K615" s="362">
        <f>IF($F$11='Tabla Parámetros'!$O$3,'Tabla Construcción Fijos'!K247,IF(Simulador!$F$11='Tabla Parámetros'!$O$4,'Tabla Construcción Crecientes'!K247,))</f>
        <v>0</v>
      </c>
      <c r="L615" s="362">
        <f>IF($F$11='Tabla Parámetros'!$O$3,'Tabla Construcción Fijos'!L247,IF(Simulador!$F$11='Tabla Parámetros'!$O$4,'Tabla Construcción Crecientes'!L247,))</f>
        <v>0</v>
      </c>
      <c r="M615" s="362">
        <f>IF($F$11='Tabla Parámetros'!$O$3,'Tabla Construcción Fijos'!M247,IF(Simulador!$F$11='Tabla Parámetros'!$O$4,'Tabla Construcción Crecientes'!M247,))</f>
        <v>0</v>
      </c>
      <c r="N615" s="391">
        <f>IF($F$11='Tabla Parámetros'!$O$3,'Tabla Construcción Fijos'!N247,IF(Simulador!$F$11='Tabla Parámetros'!$O$4,'Tabla Construcción Crecientes'!N247,))</f>
        <v>0</v>
      </c>
      <c r="O615" s="392"/>
      <c r="P615" s="392">
        <f>'Tabla Construcción Fijos'!P247</f>
        <v>0</v>
      </c>
      <c r="Q615" s="362">
        <f>IF($F$11='Tabla Parámetros'!$O$3,'Tabla Construcción Fijos'!Q247,IF(Simulador!$F$11='Tabla Parámetros'!$O$4,'Tabla Construcción Crecientes'!P247,))</f>
        <v>0</v>
      </c>
      <c r="R615" s="362">
        <f>IF($F$11='Tabla Parámetros'!$O$3,'Tabla Construcción Fijos'!R247,IF(Simulador!$F$11='Tabla Parámetros'!$O$4,'Tabla Construcción Crecientes'!Q247,))</f>
        <v>0</v>
      </c>
      <c r="S615" s="272">
        <f t="shared" si="24"/>
        <v>0</v>
      </c>
    </row>
    <row r="616" spans="2:19" ht="15.5" hidden="1" x14ac:dyDescent="0.35">
      <c r="B616" s="378">
        <f t="shared" si="25"/>
        <v>225</v>
      </c>
      <c r="C616" s="378">
        <f t="shared" si="26"/>
        <v>30.4</v>
      </c>
      <c r="D616" s="379">
        <f>IF($F$11='Tabla Parámetros'!$O$3,'Tabla Construcción Fijos'!D248,IF(Simulador!$F$11='Tabla Parámetros'!$O$4,'Tabla Construcción Crecientes'!D248,))</f>
        <v>0</v>
      </c>
      <c r="E616" s="390"/>
      <c r="F616" s="362">
        <f>IF($F$11='Tabla Parámetros'!$O$3,'Tabla Construcción Fijos'!F248,IF(Simulador!$F$11='Tabla Parámetros'!$O$4,'Tabla Construcción Crecientes'!F248,))</f>
        <v>0</v>
      </c>
      <c r="G616" s="362"/>
      <c r="H616" s="362">
        <f>IF($F$11='Tabla Parámetros'!$O$3,'Tabla Construcción Fijos'!H248,IF(Simulador!$F$11='Tabla Parámetros'!$O$4,'Tabla Construcción Crecientes'!H248,))</f>
        <v>0</v>
      </c>
      <c r="I616" s="362">
        <f>IF($F$11='Tabla Parámetros'!$O$3,'Tabla Construcción Fijos'!I248,IF(Simulador!$F$11='Tabla Parámetros'!$O$4,'Tabla Construcción Crecientes'!I248,))</f>
        <v>0</v>
      </c>
      <c r="J616" s="362">
        <f>IF($F$11='Tabla Parámetros'!$O$3,'Tabla Construcción Fijos'!J248,IF(Simulador!$F$11='Tabla Parámetros'!$O$4,'Tabla Construcción Crecientes'!J248,))</f>
        <v>0</v>
      </c>
      <c r="K616" s="362">
        <f>IF($F$11='Tabla Parámetros'!$O$3,'Tabla Construcción Fijos'!K248,IF(Simulador!$F$11='Tabla Parámetros'!$O$4,'Tabla Construcción Crecientes'!K248,))</f>
        <v>0</v>
      </c>
      <c r="L616" s="362">
        <f>IF($F$11='Tabla Parámetros'!$O$3,'Tabla Construcción Fijos'!L248,IF(Simulador!$F$11='Tabla Parámetros'!$O$4,'Tabla Construcción Crecientes'!L248,))</f>
        <v>0</v>
      </c>
      <c r="M616" s="362">
        <f>IF($F$11='Tabla Parámetros'!$O$3,'Tabla Construcción Fijos'!M248,IF(Simulador!$F$11='Tabla Parámetros'!$O$4,'Tabla Construcción Crecientes'!M248,))</f>
        <v>0</v>
      </c>
      <c r="N616" s="391">
        <f>IF($F$11='Tabla Parámetros'!$O$3,'Tabla Construcción Fijos'!N248,IF(Simulador!$F$11='Tabla Parámetros'!$O$4,'Tabla Construcción Crecientes'!N248,))</f>
        <v>0</v>
      </c>
      <c r="O616" s="392"/>
      <c r="P616" s="392">
        <f>'Tabla Construcción Fijos'!P248</f>
        <v>0</v>
      </c>
      <c r="Q616" s="362">
        <f>IF($F$11='Tabla Parámetros'!$O$3,'Tabla Construcción Fijos'!Q248,IF(Simulador!$F$11='Tabla Parámetros'!$O$4,'Tabla Construcción Crecientes'!P248,))</f>
        <v>0</v>
      </c>
      <c r="R616" s="362">
        <f>IF($F$11='Tabla Parámetros'!$O$3,'Tabla Construcción Fijos'!R248,IF(Simulador!$F$11='Tabla Parámetros'!$O$4,'Tabla Construcción Crecientes'!Q248,))</f>
        <v>0</v>
      </c>
      <c r="S616" s="272">
        <f t="shared" si="24"/>
        <v>0</v>
      </c>
    </row>
    <row r="617" spans="2:19" ht="15.5" hidden="1" x14ac:dyDescent="0.35">
      <c r="B617" s="378">
        <f t="shared" si="25"/>
        <v>226</v>
      </c>
      <c r="C617" s="378">
        <f t="shared" si="26"/>
        <v>30.4</v>
      </c>
      <c r="D617" s="379">
        <f>IF($F$11='Tabla Parámetros'!$O$3,'Tabla Construcción Fijos'!D249,IF(Simulador!$F$11='Tabla Parámetros'!$O$4,'Tabla Construcción Crecientes'!D249,))</f>
        <v>0</v>
      </c>
      <c r="E617" s="390"/>
      <c r="F617" s="362">
        <f>IF($F$11='Tabla Parámetros'!$O$3,'Tabla Construcción Fijos'!F249,IF(Simulador!$F$11='Tabla Parámetros'!$O$4,'Tabla Construcción Crecientes'!F249,))</f>
        <v>0</v>
      </c>
      <c r="G617" s="362"/>
      <c r="H617" s="362">
        <f>IF($F$11='Tabla Parámetros'!$O$3,'Tabla Construcción Fijos'!H249,IF(Simulador!$F$11='Tabla Parámetros'!$O$4,'Tabla Construcción Crecientes'!H249,))</f>
        <v>0</v>
      </c>
      <c r="I617" s="362">
        <f>IF($F$11='Tabla Parámetros'!$O$3,'Tabla Construcción Fijos'!I249,IF(Simulador!$F$11='Tabla Parámetros'!$O$4,'Tabla Construcción Crecientes'!I249,))</f>
        <v>0</v>
      </c>
      <c r="J617" s="362">
        <f>IF($F$11='Tabla Parámetros'!$O$3,'Tabla Construcción Fijos'!J249,IF(Simulador!$F$11='Tabla Parámetros'!$O$4,'Tabla Construcción Crecientes'!J249,))</f>
        <v>0</v>
      </c>
      <c r="K617" s="362">
        <f>IF($F$11='Tabla Parámetros'!$O$3,'Tabla Construcción Fijos'!K249,IF(Simulador!$F$11='Tabla Parámetros'!$O$4,'Tabla Construcción Crecientes'!K249,))</f>
        <v>0</v>
      </c>
      <c r="L617" s="362">
        <f>IF($F$11='Tabla Parámetros'!$O$3,'Tabla Construcción Fijos'!L249,IF(Simulador!$F$11='Tabla Parámetros'!$O$4,'Tabla Construcción Crecientes'!L249,))</f>
        <v>0</v>
      </c>
      <c r="M617" s="362">
        <f>IF($F$11='Tabla Parámetros'!$O$3,'Tabla Construcción Fijos'!M249,IF(Simulador!$F$11='Tabla Parámetros'!$O$4,'Tabla Construcción Crecientes'!M249,))</f>
        <v>0</v>
      </c>
      <c r="N617" s="391">
        <f>IF($F$11='Tabla Parámetros'!$O$3,'Tabla Construcción Fijos'!N249,IF(Simulador!$F$11='Tabla Parámetros'!$O$4,'Tabla Construcción Crecientes'!N249,))</f>
        <v>0</v>
      </c>
      <c r="O617" s="392"/>
      <c r="P617" s="392">
        <f>'Tabla Construcción Fijos'!P249</f>
        <v>0</v>
      </c>
      <c r="Q617" s="362">
        <f>IF($F$11='Tabla Parámetros'!$O$3,'Tabla Construcción Fijos'!Q249,IF(Simulador!$F$11='Tabla Parámetros'!$O$4,'Tabla Construcción Crecientes'!P249,))</f>
        <v>0</v>
      </c>
      <c r="R617" s="362">
        <f>IF($F$11='Tabla Parámetros'!$O$3,'Tabla Construcción Fijos'!R249,IF(Simulador!$F$11='Tabla Parámetros'!$O$4,'Tabla Construcción Crecientes'!Q249,))</f>
        <v>0</v>
      </c>
      <c r="S617" s="272">
        <f t="shared" si="24"/>
        <v>0</v>
      </c>
    </row>
    <row r="618" spans="2:19" ht="15.5" hidden="1" x14ac:dyDescent="0.35">
      <c r="B618" s="378">
        <f t="shared" si="25"/>
        <v>227</v>
      </c>
      <c r="C618" s="378">
        <f t="shared" si="26"/>
        <v>30.4</v>
      </c>
      <c r="D618" s="379">
        <f>IF($F$11='Tabla Parámetros'!$O$3,'Tabla Construcción Fijos'!D250,IF(Simulador!$F$11='Tabla Parámetros'!$O$4,'Tabla Construcción Crecientes'!D250,))</f>
        <v>0</v>
      </c>
      <c r="E618" s="390"/>
      <c r="F618" s="362">
        <f>IF($F$11='Tabla Parámetros'!$O$3,'Tabla Construcción Fijos'!F250,IF(Simulador!$F$11='Tabla Parámetros'!$O$4,'Tabla Construcción Crecientes'!F250,))</f>
        <v>0</v>
      </c>
      <c r="G618" s="362"/>
      <c r="H618" s="362">
        <f>IF($F$11='Tabla Parámetros'!$O$3,'Tabla Construcción Fijos'!H250,IF(Simulador!$F$11='Tabla Parámetros'!$O$4,'Tabla Construcción Crecientes'!H250,))</f>
        <v>0</v>
      </c>
      <c r="I618" s="362">
        <f>IF($F$11='Tabla Parámetros'!$O$3,'Tabla Construcción Fijos'!I250,IF(Simulador!$F$11='Tabla Parámetros'!$O$4,'Tabla Construcción Crecientes'!I250,))</f>
        <v>0</v>
      </c>
      <c r="J618" s="362">
        <f>IF($F$11='Tabla Parámetros'!$O$3,'Tabla Construcción Fijos'!J250,IF(Simulador!$F$11='Tabla Parámetros'!$O$4,'Tabla Construcción Crecientes'!J250,))</f>
        <v>0</v>
      </c>
      <c r="K618" s="362">
        <f>IF($F$11='Tabla Parámetros'!$O$3,'Tabla Construcción Fijos'!K250,IF(Simulador!$F$11='Tabla Parámetros'!$O$4,'Tabla Construcción Crecientes'!K250,))</f>
        <v>0</v>
      </c>
      <c r="L618" s="362">
        <f>IF($F$11='Tabla Parámetros'!$O$3,'Tabla Construcción Fijos'!L250,IF(Simulador!$F$11='Tabla Parámetros'!$O$4,'Tabla Construcción Crecientes'!L250,))</f>
        <v>0</v>
      </c>
      <c r="M618" s="362">
        <f>IF($F$11='Tabla Parámetros'!$O$3,'Tabla Construcción Fijos'!M250,IF(Simulador!$F$11='Tabla Parámetros'!$O$4,'Tabla Construcción Crecientes'!M250,))</f>
        <v>0</v>
      </c>
      <c r="N618" s="391">
        <f>IF($F$11='Tabla Parámetros'!$O$3,'Tabla Construcción Fijos'!N250,IF(Simulador!$F$11='Tabla Parámetros'!$O$4,'Tabla Construcción Crecientes'!N250,))</f>
        <v>0</v>
      </c>
      <c r="O618" s="392"/>
      <c r="P618" s="392">
        <f>'Tabla Construcción Fijos'!P250</f>
        <v>0</v>
      </c>
      <c r="Q618" s="362">
        <f>IF($F$11='Tabla Parámetros'!$O$3,'Tabla Construcción Fijos'!Q250,IF(Simulador!$F$11='Tabla Parámetros'!$O$4,'Tabla Construcción Crecientes'!P250,))</f>
        <v>0</v>
      </c>
      <c r="R618" s="362">
        <f>IF($F$11='Tabla Parámetros'!$O$3,'Tabla Construcción Fijos'!R250,IF(Simulador!$F$11='Tabla Parámetros'!$O$4,'Tabla Construcción Crecientes'!Q250,))</f>
        <v>0</v>
      </c>
      <c r="S618" s="272">
        <f t="shared" si="24"/>
        <v>0</v>
      </c>
    </row>
    <row r="619" spans="2:19" ht="15.5" hidden="1" x14ac:dyDescent="0.35">
      <c r="B619" s="378">
        <f t="shared" si="25"/>
        <v>228</v>
      </c>
      <c r="C619" s="378">
        <f t="shared" si="26"/>
        <v>30.4</v>
      </c>
      <c r="D619" s="379">
        <f>IF($F$11='Tabla Parámetros'!$O$3,'Tabla Construcción Fijos'!D251,IF(Simulador!$F$11='Tabla Parámetros'!$O$4,'Tabla Construcción Crecientes'!D251,))</f>
        <v>0</v>
      </c>
      <c r="E619" s="390"/>
      <c r="F619" s="362">
        <f>IF($F$11='Tabla Parámetros'!$O$3,'Tabla Construcción Fijos'!F251,IF(Simulador!$F$11='Tabla Parámetros'!$O$4,'Tabla Construcción Crecientes'!F251,))</f>
        <v>0</v>
      </c>
      <c r="G619" s="362"/>
      <c r="H619" s="362">
        <f>IF($F$11='Tabla Parámetros'!$O$3,'Tabla Construcción Fijos'!H251,IF(Simulador!$F$11='Tabla Parámetros'!$O$4,'Tabla Construcción Crecientes'!H251,))</f>
        <v>0</v>
      </c>
      <c r="I619" s="362">
        <f>IF($F$11='Tabla Parámetros'!$O$3,'Tabla Construcción Fijos'!I251,IF(Simulador!$F$11='Tabla Parámetros'!$O$4,'Tabla Construcción Crecientes'!I251,))</f>
        <v>0</v>
      </c>
      <c r="J619" s="362">
        <f>IF($F$11='Tabla Parámetros'!$O$3,'Tabla Construcción Fijos'!J251,IF(Simulador!$F$11='Tabla Parámetros'!$O$4,'Tabla Construcción Crecientes'!J251,))</f>
        <v>0</v>
      </c>
      <c r="K619" s="362">
        <f>IF($F$11='Tabla Parámetros'!$O$3,'Tabla Construcción Fijos'!K251,IF(Simulador!$F$11='Tabla Parámetros'!$O$4,'Tabla Construcción Crecientes'!K251,))</f>
        <v>0</v>
      </c>
      <c r="L619" s="362">
        <f>IF($F$11='Tabla Parámetros'!$O$3,'Tabla Construcción Fijos'!L251,IF(Simulador!$F$11='Tabla Parámetros'!$O$4,'Tabla Construcción Crecientes'!L251,))</f>
        <v>0</v>
      </c>
      <c r="M619" s="362">
        <f>IF($F$11='Tabla Parámetros'!$O$3,'Tabla Construcción Fijos'!M251,IF(Simulador!$F$11='Tabla Parámetros'!$O$4,'Tabla Construcción Crecientes'!M251,))</f>
        <v>0</v>
      </c>
      <c r="N619" s="391">
        <f>IF($F$11='Tabla Parámetros'!$O$3,'Tabla Construcción Fijos'!N251,IF(Simulador!$F$11='Tabla Parámetros'!$O$4,'Tabla Construcción Crecientes'!N251,))</f>
        <v>0</v>
      </c>
      <c r="O619" s="392"/>
      <c r="P619" s="392">
        <f>'Tabla Construcción Fijos'!P251</f>
        <v>0</v>
      </c>
      <c r="Q619" s="362">
        <f>IF($F$11='Tabla Parámetros'!$O$3,'Tabla Construcción Fijos'!Q251,IF(Simulador!$F$11='Tabla Parámetros'!$O$4,'Tabla Construcción Crecientes'!P251,))</f>
        <v>0</v>
      </c>
      <c r="R619" s="362">
        <f>IF($F$11='Tabla Parámetros'!$O$3,'Tabla Construcción Fijos'!R251,IF(Simulador!$F$11='Tabla Parámetros'!$O$4,'Tabla Construcción Crecientes'!Q251,))</f>
        <v>0</v>
      </c>
      <c r="S619" s="272">
        <f t="shared" si="24"/>
        <v>0</v>
      </c>
    </row>
    <row r="620" spans="2:19" ht="15.5" hidden="1" x14ac:dyDescent="0.35">
      <c r="B620" s="378">
        <f t="shared" si="25"/>
        <v>229</v>
      </c>
      <c r="C620" s="378">
        <f t="shared" si="26"/>
        <v>30.4</v>
      </c>
      <c r="D620" s="379">
        <f>IF($F$11='Tabla Parámetros'!$O$3,'Tabla Construcción Fijos'!D252,IF(Simulador!$F$11='Tabla Parámetros'!$O$4,'Tabla Construcción Crecientes'!D252,))</f>
        <v>0</v>
      </c>
      <c r="E620" s="390"/>
      <c r="F620" s="362">
        <f>IF($F$11='Tabla Parámetros'!$O$3,'Tabla Construcción Fijos'!F252,IF(Simulador!$F$11='Tabla Parámetros'!$O$4,'Tabla Construcción Crecientes'!F252,))</f>
        <v>0</v>
      </c>
      <c r="G620" s="362"/>
      <c r="H620" s="362">
        <f>IF($F$11='Tabla Parámetros'!$O$3,'Tabla Construcción Fijos'!H252,IF(Simulador!$F$11='Tabla Parámetros'!$O$4,'Tabla Construcción Crecientes'!H252,))</f>
        <v>0</v>
      </c>
      <c r="I620" s="362">
        <f>IF($F$11='Tabla Parámetros'!$O$3,'Tabla Construcción Fijos'!I252,IF(Simulador!$F$11='Tabla Parámetros'!$O$4,'Tabla Construcción Crecientes'!I252,))</f>
        <v>0</v>
      </c>
      <c r="J620" s="362">
        <f>IF($F$11='Tabla Parámetros'!$O$3,'Tabla Construcción Fijos'!J252,IF(Simulador!$F$11='Tabla Parámetros'!$O$4,'Tabla Construcción Crecientes'!J252,))</f>
        <v>0</v>
      </c>
      <c r="K620" s="362">
        <f>IF($F$11='Tabla Parámetros'!$O$3,'Tabla Construcción Fijos'!K252,IF(Simulador!$F$11='Tabla Parámetros'!$O$4,'Tabla Construcción Crecientes'!K252,))</f>
        <v>0</v>
      </c>
      <c r="L620" s="362">
        <f>IF($F$11='Tabla Parámetros'!$O$3,'Tabla Construcción Fijos'!L252,IF(Simulador!$F$11='Tabla Parámetros'!$O$4,'Tabla Construcción Crecientes'!L252,))</f>
        <v>0</v>
      </c>
      <c r="M620" s="362">
        <f>IF($F$11='Tabla Parámetros'!$O$3,'Tabla Construcción Fijos'!M252,IF(Simulador!$F$11='Tabla Parámetros'!$O$4,'Tabla Construcción Crecientes'!M252,))</f>
        <v>0</v>
      </c>
      <c r="N620" s="391">
        <f>IF($F$11='Tabla Parámetros'!$O$3,'Tabla Construcción Fijos'!N252,IF(Simulador!$F$11='Tabla Parámetros'!$O$4,'Tabla Construcción Crecientes'!N252,))</f>
        <v>0</v>
      </c>
      <c r="O620" s="392"/>
      <c r="P620" s="392">
        <f>'Tabla Construcción Fijos'!P252</f>
        <v>0</v>
      </c>
      <c r="Q620" s="362">
        <f>IF($F$11='Tabla Parámetros'!$O$3,'Tabla Construcción Fijos'!Q252,IF(Simulador!$F$11='Tabla Parámetros'!$O$4,'Tabla Construcción Crecientes'!P252,))</f>
        <v>0</v>
      </c>
      <c r="R620" s="362">
        <f>IF($F$11='Tabla Parámetros'!$O$3,'Tabla Construcción Fijos'!R252,IF(Simulador!$F$11='Tabla Parámetros'!$O$4,'Tabla Construcción Crecientes'!Q252,))</f>
        <v>0</v>
      </c>
      <c r="S620" s="272">
        <f t="shared" si="24"/>
        <v>0</v>
      </c>
    </row>
    <row r="621" spans="2:19" ht="15.5" hidden="1" x14ac:dyDescent="0.35">
      <c r="B621" s="378">
        <f t="shared" si="25"/>
        <v>230</v>
      </c>
      <c r="C621" s="378">
        <f t="shared" si="26"/>
        <v>30.4</v>
      </c>
      <c r="D621" s="379">
        <f>IF($F$11='Tabla Parámetros'!$O$3,'Tabla Construcción Fijos'!D253,IF(Simulador!$F$11='Tabla Parámetros'!$O$4,'Tabla Construcción Crecientes'!D253,))</f>
        <v>0</v>
      </c>
      <c r="E621" s="390"/>
      <c r="F621" s="362">
        <f>IF($F$11='Tabla Parámetros'!$O$3,'Tabla Construcción Fijos'!F253,IF(Simulador!$F$11='Tabla Parámetros'!$O$4,'Tabla Construcción Crecientes'!F253,))</f>
        <v>0</v>
      </c>
      <c r="G621" s="362"/>
      <c r="H621" s="362">
        <f>IF($F$11='Tabla Parámetros'!$O$3,'Tabla Construcción Fijos'!H253,IF(Simulador!$F$11='Tabla Parámetros'!$O$4,'Tabla Construcción Crecientes'!H253,))</f>
        <v>0</v>
      </c>
      <c r="I621" s="362">
        <f>IF($F$11='Tabla Parámetros'!$O$3,'Tabla Construcción Fijos'!I253,IF(Simulador!$F$11='Tabla Parámetros'!$O$4,'Tabla Construcción Crecientes'!I253,))</f>
        <v>0</v>
      </c>
      <c r="J621" s="362">
        <f>IF($F$11='Tabla Parámetros'!$O$3,'Tabla Construcción Fijos'!J253,IF(Simulador!$F$11='Tabla Parámetros'!$O$4,'Tabla Construcción Crecientes'!J253,))</f>
        <v>0</v>
      </c>
      <c r="K621" s="362">
        <f>IF($F$11='Tabla Parámetros'!$O$3,'Tabla Construcción Fijos'!K253,IF(Simulador!$F$11='Tabla Parámetros'!$O$4,'Tabla Construcción Crecientes'!K253,))</f>
        <v>0</v>
      </c>
      <c r="L621" s="362">
        <f>IF($F$11='Tabla Parámetros'!$O$3,'Tabla Construcción Fijos'!L253,IF(Simulador!$F$11='Tabla Parámetros'!$O$4,'Tabla Construcción Crecientes'!L253,))</f>
        <v>0</v>
      </c>
      <c r="M621" s="362">
        <f>IF($F$11='Tabla Parámetros'!$O$3,'Tabla Construcción Fijos'!M253,IF(Simulador!$F$11='Tabla Parámetros'!$O$4,'Tabla Construcción Crecientes'!M253,))</f>
        <v>0</v>
      </c>
      <c r="N621" s="391">
        <f>IF($F$11='Tabla Parámetros'!$O$3,'Tabla Construcción Fijos'!N253,IF(Simulador!$F$11='Tabla Parámetros'!$O$4,'Tabla Construcción Crecientes'!N253,))</f>
        <v>0</v>
      </c>
      <c r="O621" s="392"/>
      <c r="P621" s="392">
        <f>'Tabla Construcción Fijos'!P253</f>
        <v>0</v>
      </c>
      <c r="Q621" s="362">
        <f>IF($F$11='Tabla Parámetros'!$O$3,'Tabla Construcción Fijos'!Q253,IF(Simulador!$F$11='Tabla Parámetros'!$O$4,'Tabla Construcción Crecientes'!P253,))</f>
        <v>0</v>
      </c>
      <c r="R621" s="362">
        <f>IF($F$11='Tabla Parámetros'!$O$3,'Tabla Construcción Fijos'!R253,IF(Simulador!$F$11='Tabla Parámetros'!$O$4,'Tabla Construcción Crecientes'!Q253,))</f>
        <v>0</v>
      </c>
      <c r="S621" s="272">
        <f t="shared" si="24"/>
        <v>0</v>
      </c>
    </row>
    <row r="622" spans="2:19" ht="15.5" hidden="1" x14ac:dyDescent="0.35">
      <c r="B622" s="378">
        <f t="shared" si="25"/>
        <v>231</v>
      </c>
      <c r="C622" s="378">
        <f t="shared" si="26"/>
        <v>30.4</v>
      </c>
      <c r="D622" s="379">
        <f>IF($F$11='Tabla Parámetros'!$O$3,'Tabla Construcción Fijos'!D254,IF(Simulador!$F$11='Tabla Parámetros'!$O$4,'Tabla Construcción Crecientes'!D254,))</f>
        <v>0</v>
      </c>
      <c r="E622" s="390"/>
      <c r="F622" s="362">
        <f>IF($F$11='Tabla Parámetros'!$O$3,'Tabla Construcción Fijos'!F254,IF(Simulador!$F$11='Tabla Parámetros'!$O$4,'Tabla Construcción Crecientes'!F254,))</f>
        <v>0</v>
      </c>
      <c r="G622" s="362"/>
      <c r="H622" s="362">
        <f>IF($F$11='Tabla Parámetros'!$O$3,'Tabla Construcción Fijos'!H254,IF(Simulador!$F$11='Tabla Parámetros'!$O$4,'Tabla Construcción Crecientes'!H254,))</f>
        <v>0</v>
      </c>
      <c r="I622" s="362">
        <f>IF($F$11='Tabla Parámetros'!$O$3,'Tabla Construcción Fijos'!I254,IF(Simulador!$F$11='Tabla Parámetros'!$O$4,'Tabla Construcción Crecientes'!I254,))</f>
        <v>0</v>
      </c>
      <c r="J622" s="362">
        <f>IF($F$11='Tabla Parámetros'!$O$3,'Tabla Construcción Fijos'!J254,IF(Simulador!$F$11='Tabla Parámetros'!$O$4,'Tabla Construcción Crecientes'!J254,))</f>
        <v>0</v>
      </c>
      <c r="K622" s="362">
        <f>IF($F$11='Tabla Parámetros'!$O$3,'Tabla Construcción Fijos'!K254,IF(Simulador!$F$11='Tabla Parámetros'!$O$4,'Tabla Construcción Crecientes'!K254,))</f>
        <v>0</v>
      </c>
      <c r="L622" s="362">
        <f>IF($F$11='Tabla Parámetros'!$O$3,'Tabla Construcción Fijos'!L254,IF(Simulador!$F$11='Tabla Parámetros'!$O$4,'Tabla Construcción Crecientes'!L254,))</f>
        <v>0</v>
      </c>
      <c r="M622" s="362">
        <f>IF($F$11='Tabla Parámetros'!$O$3,'Tabla Construcción Fijos'!M254,IF(Simulador!$F$11='Tabla Parámetros'!$O$4,'Tabla Construcción Crecientes'!M254,))</f>
        <v>0</v>
      </c>
      <c r="N622" s="391">
        <f>IF($F$11='Tabla Parámetros'!$O$3,'Tabla Construcción Fijos'!N254,IF(Simulador!$F$11='Tabla Parámetros'!$O$4,'Tabla Construcción Crecientes'!N254,))</f>
        <v>0</v>
      </c>
      <c r="O622" s="392"/>
      <c r="P622" s="392">
        <f>'Tabla Construcción Fijos'!P254</f>
        <v>0</v>
      </c>
      <c r="Q622" s="362">
        <f>IF($F$11='Tabla Parámetros'!$O$3,'Tabla Construcción Fijos'!Q254,IF(Simulador!$F$11='Tabla Parámetros'!$O$4,'Tabla Construcción Crecientes'!P254,))</f>
        <v>0</v>
      </c>
      <c r="R622" s="362">
        <f>IF($F$11='Tabla Parámetros'!$O$3,'Tabla Construcción Fijos'!R254,IF(Simulador!$F$11='Tabla Parámetros'!$O$4,'Tabla Construcción Crecientes'!Q254,))</f>
        <v>0</v>
      </c>
      <c r="S622" s="272">
        <f t="shared" si="24"/>
        <v>0</v>
      </c>
    </row>
    <row r="623" spans="2:19" ht="15.5" hidden="1" x14ac:dyDescent="0.35">
      <c r="B623" s="378">
        <f t="shared" si="25"/>
        <v>232</v>
      </c>
      <c r="C623" s="378">
        <f t="shared" si="26"/>
        <v>30.4</v>
      </c>
      <c r="D623" s="379">
        <f>IF($F$11='Tabla Parámetros'!$O$3,'Tabla Construcción Fijos'!D255,IF(Simulador!$F$11='Tabla Parámetros'!$O$4,'Tabla Construcción Crecientes'!D255,))</f>
        <v>0</v>
      </c>
      <c r="E623" s="390"/>
      <c r="F623" s="362">
        <f>IF($F$11='Tabla Parámetros'!$O$3,'Tabla Construcción Fijos'!F255,IF(Simulador!$F$11='Tabla Parámetros'!$O$4,'Tabla Construcción Crecientes'!F255,))</f>
        <v>0</v>
      </c>
      <c r="G623" s="362"/>
      <c r="H623" s="362">
        <f>IF($F$11='Tabla Parámetros'!$O$3,'Tabla Construcción Fijos'!H255,IF(Simulador!$F$11='Tabla Parámetros'!$O$4,'Tabla Construcción Crecientes'!H255,))</f>
        <v>0</v>
      </c>
      <c r="I623" s="362">
        <f>IF($F$11='Tabla Parámetros'!$O$3,'Tabla Construcción Fijos'!I255,IF(Simulador!$F$11='Tabla Parámetros'!$O$4,'Tabla Construcción Crecientes'!I255,))</f>
        <v>0</v>
      </c>
      <c r="J623" s="362">
        <f>IF($F$11='Tabla Parámetros'!$O$3,'Tabla Construcción Fijos'!J255,IF(Simulador!$F$11='Tabla Parámetros'!$O$4,'Tabla Construcción Crecientes'!J255,))</f>
        <v>0</v>
      </c>
      <c r="K623" s="362">
        <f>IF($F$11='Tabla Parámetros'!$O$3,'Tabla Construcción Fijos'!K255,IF(Simulador!$F$11='Tabla Parámetros'!$O$4,'Tabla Construcción Crecientes'!K255,))</f>
        <v>0</v>
      </c>
      <c r="L623" s="362">
        <f>IF($F$11='Tabla Parámetros'!$O$3,'Tabla Construcción Fijos'!L255,IF(Simulador!$F$11='Tabla Parámetros'!$O$4,'Tabla Construcción Crecientes'!L255,))</f>
        <v>0</v>
      </c>
      <c r="M623" s="362">
        <f>IF($F$11='Tabla Parámetros'!$O$3,'Tabla Construcción Fijos'!M255,IF(Simulador!$F$11='Tabla Parámetros'!$O$4,'Tabla Construcción Crecientes'!M255,))</f>
        <v>0</v>
      </c>
      <c r="N623" s="391">
        <f>IF($F$11='Tabla Parámetros'!$O$3,'Tabla Construcción Fijos'!N255,IF(Simulador!$F$11='Tabla Parámetros'!$O$4,'Tabla Construcción Crecientes'!N255,))</f>
        <v>0</v>
      </c>
      <c r="O623" s="392"/>
      <c r="P623" s="392">
        <f>'Tabla Construcción Fijos'!P255</f>
        <v>0</v>
      </c>
      <c r="Q623" s="362">
        <f>IF($F$11='Tabla Parámetros'!$O$3,'Tabla Construcción Fijos'!Q255,IF(Simulador!$F$11='Tabla Parámetros'!$O$4,'Tabla Construcción Crecientes'!P255,))</f>
        <v>0</v>
      </c>
      <c r="R623" s="362">
        <f>IF($F$11='Tabla Parámetros'!$O$3,'Tabla Construcción Fijos'!R255,IF(Simulador!$F$11='Tabla Parámetros'!$O$4,'Tabla Construcción Crecientes'!Q255,))</f>
        <v>0</v>
      </c>
      <c r="S623" s="272">
        <f t="shared" si="24"/>
        <v>0</v>
      </c>
    </row>
    <row r="624" spans="2:19" ht="15.5" hidden="1" x14ac:dyDescent="0.35">
      <c r="B624" s="378">
        <f t="shared" si="25"/>
        <v>233</v>
      </c>
      <c r="C624" s="378">
        <f t="shared" si="26"/>
        <v>30.4</v>
      </c>
      <c r="D624" s="379">
        <f>IF($F$11='Tabla Parámetros'!$O$3,'Tabla Construcción Fijos'!D256,IF(Simulador!$F$11='Tabla Parámetros'!$O$4,'Tabla Construcción Crecientes'!D256,))</f>
        <v>0</v>
      </c>
      <c r="E624" s="390"/>
      <c r="F624" s="362">
        <f>IF($F$11='Tabla Parámetros'!$O$3,'Tabla Construcción Fijos'!F256,IF(Simulador!$F$11='Tabla Parámetros'!$O$4,'Tabla Construcción Crecientes'!F256,))</f>
        <v>0</v>
      </c>
      <c r="G624" s="362"/>
      <c r="H624" s="362">
        <f>IF($F$11='Tabla Parámetros'!$O$3,'Tabla Construcción Fijos'!H256,IF(Simulador!$F$11='Tabla Parámetros'!$O$4,'Tabla Construcción Crecientes'!H256,))</f>
        <v>0</v>
      </c>
      <c r="I624" s="362">
        <f>IF($F$11='Tabla Parámetros'!$O$3,'Tabla Construcción Fijos'!I256,IF(Simulador!$F$11='Tabla Parámetros'!$O$4,'Tabla Construcción Crecientes'!I256,))</f>
        <v>0</v>
      </c>
      <c r="J624" s="362">
        <f>IF($F$11='Tabla Parámetros'!$O$3,'Tabla Construcción Fijos'!J256,IF(Simulador!$F$11='Tabla Parámetros'!$O$4,'Tabla Construcción Crecientes'!J256,))</f>
        <v>0</v>
      </c>
      <c r="K624" s="362">
        <f>IF($F$11='Tabla Parámetros'!$O$3,'Tabla Construcción Fijos'!K256,IF(Simulador!$F$11='Tabla Parámetros'!$O$4,'Tabla Construcción Crecientes'!K256,))</f>
        <v>0</v>
      </c>
      <c r="L624" s="362">
        <f>IF($F$11='Tabla Parámetros'!$O$3,'Tabla Construcción Fijos'!L256,IF(Simulador!$F$11='Tabla Parámetros'!$O$4,'Tabla Construcción Crecientes'!L256,))</f>
        <v>0</v>
      </c>
      <c r="M624" s="362">
        <f>IF($F$11='Tabla Parámetros'!$O$3,'Tabla Construcción Fijos'!M256,IF(Simulador!$F$11='Tabla Parámetros'!$O$4,'Tabla Construcción Crecientes'!M256,))</f>
        <v>0</v>
      </c>
      <c r="N624" s="391">
        <f>IF($F$11='Tabla Parámetros'!$O$3,'Tabla Construcción Fijos'!N256,IF(Simulador!$F$11='Tabla Parámetros'!$O$4,'Tabla Construcción Crecientes'!N256,))</f>
        <v>0</v>
      </c>
      <c r="O624" s="392"/>
      <c r="P624" s="392">
        <f>'Tabla Construcción Fijos'!P256</f>
        <v>0</v>
      </c>
      <c r="Q624" s="362">
        <f>IF($F$11='Tabla Parámetros'!$O$3,'Tabla Construcción Fijos'!Q256,IF(Simulador!$F$11='Tabla Parámetros'!$O$4,'Tabla Construcción Crecientes'!P256,))</f>
        <v>0</v>
      </c>
      <c r="R624" s="362">
        <f>IF($F$11='Tabla Parámetros'!$O$3,'Tabla Construcción Fijos'!R256,IF(Simulador!$F$11='Tabla Parámetros'!$O$4,'Tabla Construcción Crecientes'!Q256,))</f>
        <v>0</v>
      </c>
      <c r="S624" s="272">
        <f t="shared" si="24"/>
        <v>0</v>
      </c>
    </row>
    <row r="625" spans="2:19" ht="15.5" hidden="1" x14ac:dyDescent="0.35">
      <c r="B625" s="378">
        <f t="shared" si="25"/>
        <v>234</v>
      </c>
      <c r="C625" s="378">
        <f t="shared" si="26"/>
        <v>30.4</v>
      </c>
      <c r="D625" s="379">
        <f>IF($F$11='Tabla Parámetros'!$O$3,'Tabla Construcción Fijos'!D257,IF(Simulador!$F$11='Tabla Parámetros'!$O$4,'Tabla Construcción Crecientes'!D257,))</f>
        <v>0</v>
      </c>
      <c r="E625" s="390"/>
      <c r="F625" s="362">
        <f>IF($F$11='Tabla Parámetros'!$O$3,'Tabla Construcción Fijos'!F257,IF(Simulador!$F$11='Tabla Parámetros'!$O$4,'Tabla Construcción Crecientes'!F257,))</f>
        <v>0</v>
      </c>
      <c r="G625" s="362"/>
      <c r="H625" s="362">
        <f>IF($F$11='Tabla Parámetros'!$O$3,'Tabla Construcción Fijos'!H257,IF(Simulador!$F$11='Tabla Parámetros'!$O$4,'Tabla Construcción Crecientes'!H257,))</f>
        <v>0</v>
      </c>
      <c r="I625" s="362">
        <f>IF($F$11='Tabla Parámetros'!$O$3,'Tabla Construcción Fijos'!I257,IF(Simulador!$F$11='Tabla Parámetros'!$O$4,'Tabla Construcción Crecientes'!I257,))</f>
        <v>0</v>
      </c>
      <c r="J625" s="362">
        <f>IF($F$11='Tabla Parámetros'!$O$3,'Tabla Construcción Fijos'!J257,IF(Simulador!$F$11='Tabla Parámetros'!$O$4,'Tabla Construcción Crecientes'!J257,))</f>
        <v>0</v>
      </c>
      <c r="K625" s="362">
        <f>IF($F$11='Tabla Parámetros'!$O$3,'Tabla Construcción Fijos'!K257,IF(Simulador!$F$11='Tabla Parámetros'!$O$4,'Tabla Construcción Crecientes'!K257,))</f>
        <v>0</v>
      </c>
      <c r="L625" s="362">
        <f>IF($F$11='Tabla Parámetros'!$O$3,'Tabla Construcción Fijos'!L257,IF(Simulador!$F$11='Tabla Parámetros'!$O$4,'Tabla Construcción Crecientes'!L257,))</f>
        <v>0</v>
      </c>
      <c r="M625" s="362">
        <f>IF($F$11='Tabla Parámetros'!$O$3,'Tabla Construcción Fijos'!M257,IF(Simulador!$F$11='Tabla Parámetros'!$O$4,'Tabla Construcción Crecientes'!M257,))</f>
        <v>0</v>
      </c>
      <c r="N625" s="391">
        <f>IF($F$11='Tabla Parámetros'!$O$3,'Tabla Construcción Fijos'!N257,IF(Simulador!$F$11='Tabla Parámetros'!$O$4,'Tabla Construcción Crecientes'!N257,))</f>
        <v>0</v>
      </c>
      <c r="O625" s="392"/>
      <c r="P625" s="392">
        <f>'Tabla Construcción Fijos'!P257</f>
        <v>0</v>
      </c>
      <c r="Q625" s="362">
        <f>IF($F$11='Tabla Parámetros'!$O$3,'Tabla Construcción Fijos'!Q257,IF(Simulador!$F$11='Tabla Parámetros'!$O$4,'Tabla Construcción Crecientes'!P257,))</f>
        <v>0</v>
      </c>
      <c r="R625" s="362">
        <f>IF($F$11='Tabla Parámetros'!$O$3,'Tabla Construcción Fijos'!R257,IF(Simulador!$F$11='Tabla Parámetros'!$O$4,'Tabla Construcción Crecientes'!Q257,))</f>
        <v>0</v>
      </c>
      <c r="S625" s="272">
        <f t="shared" si="24"/>
        <v>0</v>
      </c>
    </row>
    <row r="626" spans="2:19" ht="15.5" hidden="1" x14ac:dyDescent="0.35">
      <c r="B626" s="378">
        <f t="shared" si="25"/>
        <v>235</v>
      </c>
      <c r="C626" s="378">
        <f t="shared" si="26"/>
        <v>30.4</v>
      </c>
      <c r="D626" s="379">
        <f>IF($F$11='Tabla Parámetros'!$O$3,'Tabla Construcción Fijos'!D258,IF(Simulador!$F$11='Tabla Parámetros'!$O$4,'Tabla Construcción Crecientes'!D258,))</f>
        <v>0</v>
      </c>
      <c r="E626" s="390"/>
      <c r="F626" s="362">
        <f>IF($F$11='Tabla Parámetros'!$O$3,'Tabla Construcción Fijos'!F258,IF(Simulador!$F$11='Tabla Parámetros'!$O$4,'Tabla Construcción Crecientes'!F258,))</f>
        <v>0</v>
      </c>
      <c r="G626" s="362"/>
      <c r="H626" s="362">
        <f>IF($F$11='Tabla Parámetros'!$O$3,'Tabla Construcción Fijos'!H258,IF(Simulador!$F$11='Tabla Parámetros'!$O$4,'Tabla Construcción Crecientes'!H258,))</f>
        <v>0</v>
      </c>
      <c r="I626" s="362">
        <f>IF($F$11='Tabla Parámetros'!$O$3,'Tabla Construcción Fijos'!I258,IF(Simulador!$F$11='Tabla Parámetros'!$O$4,'Tabla Construcción Crecientes'!I258,))</f>
        <v>0</v>
      </c>
      <c r="J626" s="362">
        <f>IF($F$11='Tabla Parámetros'!$O$3,'Tabla Construcción Fijos'!J258,IF(Simulador!$F$11='Tabla Parámetros'!$O$4,'Tabla Construcción Crecientes'!J258,))</f>
        <v>0</v>
      </c>
      <c r="K626" s="362">
        <f>IF($F$11='Tabla Parámetros'!$O$3,'Tabla Construcción Fijos'!K258,IF(Simulador!$F$11='Tabla Parámetros'!$O$4,'Tabla Construcción Crecientes'!K258,))</f>
        <v>0</v>
      </c>
      <c r="L626" s="362">
        <f>IF($F$11='Tabla Parámetros'!$O$3,'Tabla Construcción Fijos'!L258,IF(Simulador!$F$11='Tabla Parámetros'!$O$4,'Tabla Construcción Crecientes'!L258,))</f>
        <v>0</v>
      </c>
      <c r="M626" s="362">
        <f>IF($F$11='Tabla Parámetros'!$O$3,'Tabla Construcción Fijos'!M258,IF(Simulador!$F$11='Tabla Parámetros'!$O$4,'Tabla Construcción Crecientes'!M258,))</f>
        <v>0</v>
      </c>
      <c r="N626" s="391">
        <f>IF($F$11='Tabla Parámetros'!$O$3,'Tabla Construcción Fijos'!N258,IF(Simulador!$F$11='Tabla Parámetros'!$O$4,'Tabla Construcción Crecientes'!N258,))</f>
        <v>0</v>
      </c>
      <c r="O626" s="392"/>
      <c r="P626" s="392">
        <f>'Tabla Construcción Fijos'!P258</f>
        <v>0</v>
      </c>
      <c r="Q626" s="362">
        <f>IF($F$11='Tabla Parámetros'!$O$3,'Tabla Construcción Fijos'!Q258,IF(Simulador!$F$11='Tabla Parámetros'!$O$4,'Tabla Construcción Crecientes'!P258,))</f>
        <v>0</v>
      </c>
      <c r="R626" s="362">
        <f>IF($F$11='Tabla Parámetros'!$O$3,'Tabla Construcción Fijos'!R258,IF(Simulador!$F$11='Tabla Parámetros'!$O$4,'Tabla Construcción Crecientes'!Q258,))</f>
        <v>0</v>
      </c>
      <c r="S626" s="272">
        <f t="shared" si="24"/>
        <v>0</v>
      </c>
    </row>
    <row r="627" spans="2:19" ht="15.5" hidden="1" x14ac:dyDescent="0.35">
      <c r="B627" s="378">
        <f t="shared" si="25"/>
        <v>236</v>
      </c>
      <c r="C627" s="378">
        <f t="shared" si="26"/>
        <v>30.4</v>
      </c>
      <c r="D627" s="379">
        <f>IF($F$11='Tabla Parámetros'!$O$3,'Tabla Construcción Fijos'!D259,IF(Simulador!$F$11='Tabla Parámetros'!$O$4,'Tabla Construcción Crecientes'!D259,))</f>
        <v>0</v>
      </c>
      <c r="E627" s="390"/>
      <c r="F627" s="362">
        <f>IF($F$11='Tabla Parámetros'!$O$3,'Tabla Construcción Fijos'!F259,IF(Simulador!$F$11='Tabla Parámetros'!$O$4,'Tabla Construcción Crecientes'!F259,))</f>
        <v>0</v>
      </c>
      <c r="G627" s="362"/>
      <c r="H627" s="362">
        <f>IF($F$11='Tabla Parámetros'!$O$3,'Tabla Construcción Fijos'!H259,IF(Simulador!$F$11='Tabla Parámetros'!$O$4,'Tabla Construcción Crecientes'!H259,))</f>
        <v>0</v>
      </c>
      <c r="I627" s="362">
        <f>IF($F$11='Tabla Parámetros'!$O$3,'Tabla Construcción Fijos'!I259,IF(Simulador!$F$11='Tabla Parámetros'!$O$4,'Tabla Construcción Crecientes'!I259,))</f>
        <v>0</v>
      </c>
      <c r="J627" s="362">
        <f>IF($F$11='Tabla Parámetros'!$O$3,'Tabla Construcción Fijos'!J259,IF(Simulador!$F$11='Tabla Parámetros'!$O$4,'Tabla Construcción Crecientes'!J259,))</f>
        <v>0</v>
      </c>
      <c r="K627" s="362">
        <f>IF($F$11='Tabla Parámetros'!$O$3,'Tabla Construcción Fijos'!K259,IF(Simulador!$F$11='Tabla Parámetros'!$O$4,'Tabla Construcción Crecientes'!K259,))</f>
        <v>0</v>
      </c>
      <c r="L627" s="362">
        <f>IF($F$11='Tabla Parámetros'!$O$3,'Tabla Construcción Fijos'!L259,IF(Simulador!$F$11='Tabla Parámetros'!$O$4,'Tabla Construcción Crecientes'!L259,))</f>
        <v>0</v>
      </c>
      <c r="M627" s="362">
        <f>IF($F$11='Tabla Parámetros'!$O$3,'Tabla Construcción Fijos'!M259,IF(Simulador!$F$11='Tabla Parámetros'!$O$4,'Tabla Construcción Crecientes'!M259,))</f>
        <v>0</v>
      </c>
      <c r="N627" s="391">
        <f>IF($F$11='Tabla Parámetros'!$O$3,'Tabla Construcción Fijos'!N259,IF(Simulador!$F$11='Tabla Parámetros'!$O$4,'Tabla Construcción Crecientes'!N259,))</f>
        <v>0</v>
      </c>
      <c r="O627" s="392"/>
      <c r="P627" s="392">
        <f>'Tabla Construcción Fijos'!P259</f>
        <v>0</v>
      </c>
      <c r="Q627" s="362">
        <f>IF($F$11='Tabla Parámetros'!$O$3,'Tabla Construcción Fijos'!Q259,IF(Simulador!$F$11='Tabla Parámetros'!$O$4,'Tabla Construcción Crecientes'!P259,))</f>
        <v>0</v>
      </c>
      <c r="R627" s="362">
        <f>IF($F$11='Tabla Parámetros'!$O$3,'Tabla Construcción Fijos'!R259,IF(Simulador!$F$11='Tabla Parámetros'!$O$4,'Tabla Construcción Crecientes'!Q259,))</f>
        <v>0</v>
      </c>
      <c r="S627" s="272">
        <f t="shared" si="24"/>
        <v>0</v>
      </c>
    </row>
    <row r="628" spans="2:19" ht="15.5" hidden="1" x14ac:dyDescent="0.35">
      <c r="B628" s="378">
        <f t="shared" si="25"/>
        <v>237</v>
      </c>
      <c r="C628" s="378">
        <f t="shared" si="26"/>
        <v>30.4</v>
      </c>
      <c r="D628" s="379">
        <f>IF($F$11='Tabla Parámetros'!$O$3,'Tabla Construcción Fijos'!D260,IF(Simulador!$F$11='Tabla Parámetros'!$O$4,'Tabla Construcción Crecientes'!D260,))</f>
        <v>0</v>
      </c>
      <c r="E628" s="390"/>
      <c r="F628" s="362">
        <f>IF($F$11='Tabla Parámetros'!$O$3,'Tabla Construcción Fijos'!F260,IF(Simulador!$F$11='Tabla Parámetros'!$O$4,'Tabla Construcción Crecientes'!F260,))</f>
        <v>0</v>
      </c>
      <c r="G628" s="362"/>
      <c r="H628" s="362">
        <f>IF($F$11='Tabla Parámetros'!$O$3,'Tabla Construcción Fijos'!H260,IF(Simulador!$F$11='Tabla Parámetros'!$O$4,'Tabla Construcción Crecientes'!H260,))</f>
        <v>0</v>
      </c>
      <c r="I628" s="362">
        <f>IF($F$11='Tabla Parámetros'!$O$3,'Tabla Construcción Fijos'!I260,IF(Simulador!$F$11='Tabla Parámetros'!$O$4,'Tabla Construcción Crecientes'!I260,))</f>
        <v>0</v>
      </c>
      <c r="J628" s="362">
        <f>IF($F$11='Tabla Parámetros'!$O$3,'Tabla Construcción Fijos'!J260,IF(Simulador!$F$11='Tabla Parámetros'!$O$4,'Tabla Construcción Crecientes'!J260,))</f>
        <v>0</v>
      </c>
      <c r="K628" s="362">
        <f>IF($F$11='Tabla Parámetros'!$O$3,'Tabla Construcción Fijos'!K260,IF(Simulador!$F$11='Tabla Parámetros'!$O$4,'Tabla Construcción Crecientes'!K260,))</f>
        <v>0</v>
      </c>
      <c r="L628" s="362">
        <f>IF($F$11='Tabla Parámetros'!$O$3,'Tabla Construcción Fijos'!L260,IF(Simulador!$F$11='Tabla Parámetros'!$O$4,'Tabla Construcción Crecientes'!L260,))</f>
        <v>0</v>
      </c>
      <c r="M628" s="362">
        <f>IF($F$11='Tabla Parámetros'!$O$3,'Tabla Construcción Fijos'!M260,IF(Simulador!$F$11='Tabla Parámetros'!$O$4,'Tabla Construcción Crecientes'!M260,))</f>
        <v>0</v>
      </c>
      <c r="N628" s="391">
        <f>IF($F$11='Tabla Parámetros'!$O$3,'Tabla Construcción Fijos'!N260,IF(Simulador!$F$11='Tabla Parámetros'!$O$4,'Tabla Construcción Crecientes'!N260,))</f>
        <v>0</v>
      </c>
      <c r="O628" s="392"/>
      <c r="P628" s="392">
        <f>'Tabla Construcción Fijos'!P260</f>
        <v>0</v>
      </c>
      <c r="Q628" s="362">
        <f>IF($F$11='Tabla Parámetros'!$O$3,'Tabla Construcción Fijos'!Q260,IF(Simulador!$F$11='Tabla Parámetros'!$O$4,'Tabla Construcción Crecientes'!P260,))</f>
        <v>0</v>
      </c>
      <c r="R628" s="362">
        <f>IF($F$11='Tabla Parámetros'!$O$3,'Tabla Construcción Fijos'!R260,IF(Simulador!$F$11='Tabla Parámetros'!$O$4,'Tabla Construcción Crecientes'!Q260,))</f>
        <v>0</v>
      </c>
      <c r="S628" s="272">
        <f t="shared" si="24"/>
        <v>0</v>
      </c>
    </row>
    <row r="629" spans="2:19" ht="15.5" hidden="1" x14ac:dyDescent="0.35">
      <c r="B629" s="378">
        <f t="shared" si="25"/>
        <v>238</v>
      </c>
      <c r="C629" s="378">
        <f t="shared" si="26"/>
        <v>30.4</v>
      </c>
      <c r="D629" s="379">
        <f>IF($F$11='Tabla Parámetros'!$O$3,'Tabla Construcción Fijos'!D261,IF(Simulador!$F$11='Tabla Parámetros'!$O$4,'Tabla Construcción Crecientes'!D261,))</f>
        <v>0</v>
      </c>
      <c r="E629" s="390"/>
      <c r="F629" s="362">
        <f>IF($F$11='Tabla Parámetros'!$O$3,'Tabla Construcción Fijos'!F261,IF(Simulador!$F$11='Tabla Parámetros'!$O$4,'Tabla Construcción Crecientes'!F261,))</f>
        <v>0</v>
      </c>
      <c r="G629" s="362"/>
      <c r="H629" s="362">
        <f>IF($F$11='Tabla Parámetros'!$O$3,'Tabla Construcción Fijos'!H261,IF(Simulador!$F$11='Tabla Parámetros'!$O$4,'Tabla Construcción Crecientes'!H261,))</f>
        <v>0</v>
      </c>
      <c r="I629" s="362">
        <f>IF($F$11='Tabla Parámetros'!$O$3,'Tabla Construcción Fijos'!I261,IF(Simulador!$F$11='Tabla Parámetros'!$O$4,'Tabla Construcción Crecientes'!I261,))</f>
        <v>0</v>
      </c>
      <c r="J629" s="362">
        <f>IF($F$11='Tabla Parámetros'!$O$3,'Tabla Construcción Fijos'!J261,IF(Simulador!$F$11='Tabla Parámetros'!$O$4,'Tabla Construcción Crecientes'!J261,))</f>
        <v>0</v>
      </c>
      <c r="K629" s="362">
        <f>IF($F$11='Tabla Parámetros'!$O$3,'Tabla Construcción Fijos'!K261,IF(Simulador!$F$11='Tabla Parámetros'!$O$4,'Tabla Construcción Crecientes'!K261,))</f>
        <v>0</v>
      </c>
      <c r="L629" s="362">
        <f>IF($F$11='Tabla Parámetros'!$O$3,'Tabla Construcción Fijos'!L261,IF(Simulador!$F$11='Tabla Parámetros'!$O$4,'Tabla Construcción Crecientes'!L261,))</f>
        <v>0</v>
      </c>
      <c r="M629" s="362">
        <f>IF($F$11='Tabla Parámetros'!$O$3,'Tabla Construcción Fijos'!M261,IF(Simulador!$F$11='Tabla Parámetros'!$O$4,'Tabla Construcción Crecientes'!M261,))</f>
        <v>0</v>
      </c>
      <c r="N629" s="391">
        <f>IF($F$11='Tabla Parámetros'!$O$3,'Tabla Construcción Fijos'!N261,IF(Simulador!$F$11='Tabla Parámetros'!$O$4,'Tabla Construcción Crecientes'!N261,))</f>
        <v>0</v>
      </c>
      <c r="O629" s="392"/>
      <c r="P629" s="392">
        <f>'Tabla Construcción Fijos'!P261</f>
        <v>0</v>
      </c>
      <c r="Q629" s="362">
        <f>IF($F$11='Tabla Parámetros'!$O$3,'Tabla Construcción Fijos'!Q261,IF(Simulador!$F$11='Tabla Parámetros'!$O$4,'Tabla Construcción Crecientes'!P261,))</f>
        <v>0</v>
      </c>
      <c r="R629" s="362">
        <f>IF($F$11='Tabla Parámetros'!$O$3,'Tabla Construcción Fijos'!R261,IF(Simulador!$F$11='Tabla Parámetros'!$O$4,'Tabla Construcción Crecientes'!Q261,))</f>
        <v>0</v>
      </c>
      <c r="S629" s="272">
        <f t="shared" si="24"/>
        <v>0</v>
      </c>
    </row>
    <row r="630" spans="2:19" ht="15.5" hidden="1" x14ac:dyDescent="0.35">
      <c r="B630" s="378">
        <f t="shared" si="25"/>
        <v>239</v>
      </c>
      <c r="C630" s="378">
        <f t="shared" si="26"/>
        <v>30.4</v>
      </c>
      <c r="D630" s="379">
        <f>IF($F$11='Tabla Parámetros'!$O$3,'Tabla Construcción Fijos'!D262,IF(Simulador!$F$11='Tabla Parámetros'!$O$4,'Tabla Construcción Crecientes'!D262,))</f>
        <v>0</v>
      </c>
      <c r="E630" s="390"/>
      <c r="F630" s="362">
        <f>IF($F$11='Tabla Parámetros'!$O$3,'Tabla Construcción Fijos'!F262,IF(Simulador!$F$11='Tabla Parámetros'!$O$4,'Tabla Construcción Crecientes'!F262,))</f>
        <v>0</v>
      </c>
      <c r="G630" s="362"/>
      <c r="H630" s="362">
        <f>IF($F$11='Tabla Parámetros'!$O$3,'Tabla Construcción Fijos'!H262,IF(Simulador!$F$11='Tabla Parámetros'!$O$4,'Tabla Construcción Crecientes'!H262,))</f>
        <v>0</v>
      </c>
      <c r="I630" s="362">
        <f>IF($F$11='Tabla Parámetros'!$O$3,'Tabla Construcción Fijos'!I262,IF(Simulador!$F$11='Tabla Parámetros'!$O$4,'Tabla Construcción Crecientes'!I262,))</f>
        <v>0</v>
      </c>
      <c r="J630" s="362">
        <f>IF($F$11='Tabla Parámetros'!$O$3,'Tabla Construcción Fijos'!J262,IF(Simulador!$F$11='Tabla Parámetros'!$O$4,'Tabla Construcción Crecientes'!J262,))</f>
        <v>0</v>
      </c>
      <c r="K630" s="362">
        <f>IF($F$11='Tabla Parámetros'!$O$3,'Tabla Construcción Fijos'!K262,IF(Simulador!$F$11='Tabla Parámetros'!$O$4,'Tabla Construcción Crecientes'!K262,))</f>
        <v>0</v>
      </c>
      <c r="L630" s="362">
        <f>IF($F$11='Tabla Parámetros'!$O$3,'Tabla Construcción Fijos'!L262,IF(Simulador!$F$11='Tabla Parámetros'!$O$4,'Tabla Construcción Crecientes'!L262,))</f>
        <v>0</v>
      </c>
      <c r="M630" s="362">
        <f>IF($F$11='Tabla Parámetros'!$O$3,'Tabla Construcción Fijos'!M262,IF(Simulador!$F$11='Tabla Parámetros'!$O$4,'Tabla Construcción Crecientes'!M262,))</f>
        <v>0</v>
      </c>
      <c r="N630" s="391">
        <f>IF($F$11='Tabla Parámetros'!$O$3,'Tabla Construcción Fijos'!N262,IF(Simulador!$F$11='Tabla Parámetros'!$O$4,'Tabla Construcción Crecientes'!N262,))</f>
        <v>0</v>
      </c>
      <c r="O630" s="392"/>
      <c r="P630" s="392">
        <f>'Tabla Construcción Fijos'!P262</f>
        <v>0</v>
      </c>
      <c r="Q630" s="362">
        <f>IF($F$11='Tabla Parámetros'!$O$3,'Tabla Construcción Fijos'!Q262,IF(Simulador!$F$11='Tabla Parámetros'!$O$4,'Tabla Construcción Crecientes'!P262,))</f>
        <v>0</v>
      </c>
      <c r="R630" s="362">
        <f>IF($F$11='Tabla Parámetros'!$O$3,'Tabla Construcción Fijos'!R262,IF(Simulador!$F$11='Tabla Parámetros'!$O$4,'Tabla Construcción Crecientes'!Q262,))</f>
        <v>0</v>
      </c>
      <c r="S630" s="272">
        <f t="shared" si="24"/>
        <v>0</v>
      </c>
    </row>
    <row r="631" spans="2:19" ht="15.5" hidden="1" x14ac:dyDescent="0.35">
      <c r="B631" s="378">
        <f t="shared" si="25"/>
        <v>240</v>
      </c>
      <c r="C631" s="378">
        <f t="shared" si="26"/>
        <v>30.4</v>
      </c>
      <c r="D631" s="379">
        <f>IF($F$11='Tabla Parámetros'!$O$3,'Tabla Construcción Fijos'!D263,IF(Simulador!$F$11='Tabla Parámetros'!$O$4,'Tabla Construcción Crecientes'!D263,))</f>
        <v>0</v>
      </c>
      <c r="E631" s="390"/>
      <c r="F631" s="362">
        <f>IF($F$11='Tabla Parámetros'!$O$3,'Tabla Construcción Fijos'!F263,IF(Simulador!$F$11='Tabla Parámetros'!$O$4,'Tabla Construcción Crecientes'!F263,))</f>
        <v>0</v>
      </c>
      <c r="G631" s="362"/>
      <c r="H631" s="362">
        <f>IF($F$11='Tabla Parámetros'!$O$3,'Tabla Construcción Fijos'!H263,IF(Simulador!$F$11='Tabla Parámetros'!$O$4,'Tabla Construcción Crecientes'!H263,))</f>
        <v>0</v>
      </c>
      <c r="I631" s="362">
        <f>IF($F$11='Tabla Parámetros'!$O$3,'Tabla Construcción Fijos'!I263,IF(Simulador!$F$11='Tabla Parámetros'!$O$4,'Tabla Construcción Crecientes'!I263,))</f>
        <v>0</v>
      </c>
      <c r="J631" s="362">
        <f>IF($F$11='Tabla Parámetros'!$O$3,'Tabla Construcción Fijos'!J263,IF(Simulador!$F$11='Tabla Parámetros'!$O$4,'Tabla Construcción Crecientes'!J263,))</f>
        <v>0</v>
      </c>
      <c r="K631" s="362">
        <f>IF($F$11='Tabla Parámetros'!$O$3,'Tabla Construcción Fijos'!K263,IF(Simulador!$F$11='Tabla Parámetros'!$O$4,'Tabla Construcción Crecientes'!K263,))</f>
        <v>0</v>
      </c>
      <c r="L631" s="362">
        <f>IF($F$11='Tabla Parámetros'!$O$3,'Tabla Construcción Fijos'!L263,IF(Simulador!$F$11='Tabla Parámetros'!$O$4,'Tabla Construcción Crecientes'!L263,))</f>
        <v>0</v>
      </c>
      <c r="M631" s="362">
        <f>IF($F$11='Tabla Parámetros'!$O$3,'Tabla Construcción Fijos'!M263,IF(Simulador!$F$11='Tabla Parámetros'!$O$4,'Tabla Construcción Crecientes'!M263,))</f>
        <v>0</v>
      </c>
      <c r="N631" s="391">
        <f>IF($F$11='Tabla Parámetros'!$O$3,'Tabla Construcción Fijos'!N263,IF(Simulador!$F$11='Tabla Parámetros'!$O$4,'Tabla Construcción Crecientes'!N263,))</f>
        <v>0</v>
      </c>
      <c r="O631" s="392"/>
      <c r="P631" s="392">
        <f>'Tabla Construcción Fijos'!P263</f>
        <v>0</v>
      </c>
      <c r="Q631" s="362">
        <f>IF($F$11='Tabla Parámetros'!$O$3,'Tabla Construcción Fijos'!Q263,IF(Simulador!$F$11='Tabla Parámetros'!$O$4,'Tabla Construcción Crecientes'!P263,))</f>
        <v>0</v>
      </c>
      <c r="R631" s="362">
        <f>IF($F$11='Tabla Parámetros'!$O$3,'Tabla Construcción Fijos'!R263,IF(Simulador!$F$11='Tabla Parámetros'!$O$4,'Tabla Construcción Crecientes'!Q263,))</f>
        <v>0</v>
      </c>
      <c r="S631" s="272">
        <f t="shared" si="24"/>
        <v>0</v>
      </c>
    </row>
    <row r="632" spans="2:19" ht="15.5" hidden="1" x14ac:dyDescent="0.35">
      <c r="B632" s="370"/>
      <c r="C632" s="370"/>
      <c r="D632" s="370"/>
      <c r="E632" s="370"/>
      <c r="F632" s="370"/>
      <c r="G632" s="370"/>
      <c r="H632" s="370"/>
      <c r="I632" s="370"/>
      <c r="J632" s="370"/>
      <c r="K632" s="370"/>
      <c r="L632" s="370"/>
      <c r="M632" s="370"/>
      <c r="N632" s="393"/>
      <c r="O632" s="370"/>
      <c r="P632" s="370"/>
      <c r="Q632" s="370"/>
      <c r="R632" s="370"/>
    </row>
    <row r="633" spans="2:19" ht="15.5" hidden="1" x14ac:dyDescent="0.35">
      <c r="B633" s="365" t="s">
        <v>18</v>
      </c>
      <c r="C633" s="366"/>
      <c r="D633" s="367"/>
      <c r="E633" s="367"/>
      <c r="F633" s="367"/>
      <c r="G633" s="367"/>
      <c r="H633" s="367">
        <f t="shared" ref="H633" si="27">SUM(H392:H632)</f>
        <v>0</v>
      </c>
      <c r="I633" s="367">
        <f>SUM(I392:I632)</f>
        <v>0</v>
      </c>
      <c r="J633" s="367"/>
      <c r="K633" s="367">
        <f>SUM(K392:K632)</f>
        <v>0</v>
      </c>
      <c r="L633" s="367">
        <f>SUM(L392:L632)</f>
        <v>0</v>
      </c>
      <c r="M633" s="367">
        <f>SUM(M392:M632)</f>
        <v>0</v>
      </c>
      <c r="N633" s="368"/>
      <c r="O633" s="367"/>
      <c r="P633" s="367"/>
      <c r="Q633" s="367">
        <f>SUM(Q392:Q632)</f>
        <v>0</v>
      </c>
      <c r="R633" s="369"/>
    </row>
    <row r="635" spans="2:19" hidden="1" x14ac:dyDescent="0.25">
      <c r="B635" s="303" t="s">
        <v>410</v>
      </c>
    </row>
    <row r="636" spans="2:19" x14ac:dyDescent="0.25"/>
  </sheetData>
  <sheetProtection algorithmName="SHA-512" hashValue="jdiIS9WSnR3FfSovZMyyL8LSVmrFa9RNEn2Sf0uABwhpalzYv7FHKN3zb5/CHUe/J8VgO73nhOtUd4VwGvtCYg==" saltValue="U0P6g9RNeb2uzTPYcc0rmA==" spinCount="100000" sheet="1" objects="1" scenarios="1"/>
  <mergeCells count="58">
    <mergeCell ref="B370:Q371"/>
    <mergeCell ref="N15:O15"/>
    <mergeCell ref="B35:D35"/>
    <mergeCell ref="B36:D36"/>
    <mergeCell ref="H63:I63"/>
    <mergeCell ref="B62:E62"/>
    <mergeCell ref="B64:C64"/>
    <mergeCell ref="L63:M63"/>
    <mergeCell ref="E64:F64"/>
    <mergeCell ref="C21:D21"/>
    <mergeCell ref="G52:H52"/>
    <mergeCell ref="B44:P44"/>
    <mergeCell ref="B37:D37"/>
    <mergeCell ref="B38:D38"/>
    <mergeCell ref="N62:O62"/>
    <mergeCell ref="H62:I62"/>
    <mergeCell ref="L62:M62"/>
    <mergeCell ref="N17:O17"/>
    <mergeCell ref="F21:G21"/>
    <mergeCell ref="B60:P60"/>
    <mergeCell ref="B55:F58"/>
    <mergeCell ref="B39:D39"/>
    <mergeCell ref="B40:D40"/>
    <mergeCell ref="B41:D41"/>
    <mergeCell ref="L33:N33"/>
    <mergeCell ref="K17:L17"/>
    <mergeCell ref="F19:G19"/>
    <mergeCell ref="F18:G18"/>
    <mergeCell ref="B48:F49"/>
    <mergeCell ref="L23:N23"/>
    <mergeCell ref="F22:N22"/>
    <mergeCell ref="F13:G13"/>
    <mergeCell ref="N11:O11"/>
    <mergeCell ref="H11:I11"/>
    <mergeCell ref="F9:G9"/>
    <mergeCell ref="F17:G17"/>
    <mergeCell ref="F10:G10"/>
    <mergeCell ref="F14:G14"/>
    <mergeCell ref="F15:G15"/>
    <mergeCell ref="L15:M15"/>
    <mergeCell ref="K9:L9"/>
    <mergeCell ref="H9:I9"/>
    <mergeCell ref="K11:L11"/>
    <mergeCell ref="N9:O9"/>
    <mergeCell ref="N10:O10"/>
    <mergeCell ref="F11:G11"/>
    <mergeCell ref="B5:P5"/>
    <mergeCell ref="F7:G7"/>
    <mergeCell ref="N7:O7"/>
    <mergeCell ref="N8:O8"/>
    <mergeCell ref="K7:L7"/>
    <mergeCell ref="F8:G8"/>
    <mergeCell ref="O1:P1"/>
    <mergeCell ref="K1:M1"/>
    <mergeCell ref="K2:M2"/>
    <mergeCell ref="K3:M3"/>
    <mergeCell ref="O2:P2"/>
    <mergeCell ref="N3:O3"/>
  </mergeCells>
  <conditionalFormatting sqref="D64">
    <cfRule type="expression" dxfId="106" priority="312" stopIfTrue="1">
      <formula>#REF!&gt;0</formula>
    </cfRule>
  </conditionalFormatting>
  <conditionalFormatting sqref="K66 M66 O66 B372:R372">
    <cfRule type="containsBlanks" dxfId="105" priority="310">
      <formula>LEN(TRIM(B66))=0</formula>
    </cfRule>
  </conditionalFormatting>
  <conditionalFormatting sqref="N66">
    <cfRule type="containsBlanks" dxfId="104" priority="305">
      <formula>LEN(TRIM(N66))=0</formula>
    </cfRule>
  </conditionalFormatting>
  <conditionalFormatting sqref="F10:G10 F18 N20:O21 F20:G20 O22 Q13 O13">
    <cfRule type="cellIs" dxfId="103" priority="292" operator="greaterThan">
      <formula>0</formula>
    </cfRule>
  </conditionalFormatting>
  <conditionalFormatting sqref="N10:O10">
    <cfRule type="expression" dxfId="102" priority="266">
      <formula>$M$10=0</formula>
    </cfRule>
    <cfRule type="cellIs" dxfId="101" priority="313" operator="greaterThan">
      <formula>0</formula>
    </cfRule>
    <cfRule type="expression" dxfId="100" priority="314">
      <formula>$M$10&gt;""</formula>
    </cfRule>
  </conditionalFormatting>
  <conditionalFormatting sqref="G66">
    <cfRule type="containsBlanks" dxfId="99" priority="240">
      <formula>LEN(TRIM(G66))=0</formula>
    </cfRule>
  </conditionalFormatting>
  <conditionalFormatting sqref="H66:I66">
    <cfRule type="containsBlanks" dxfId="98" priority="239">
      <formula>LEN(TRIM(H66))=0</formula>
    </cfRule>
  </conditionalFormatting>
  <conditionalFormatting sqref="F11:G12">
    <cfRule type="cellIs" dxfId="97" priority="182" operator="greaterThan">
      <formula>0</formula>
    </cfRule>
  </conditionalFormatting>
  <conditionalFormatting sqref="F14:G14">
    <cfRule type="cellIs" dxfId="96" priority="181" operator="greaterThan">
      <formula>0</formula>
    </cfRule>
  </conditionalFormatting>
  <conditionalFormatting sqref="N11:O12">
    <cfRule type="cellIs" dxfId="95" priority="178" operator="greaterThan">
      <formula>0</formula>
    </cfRule>
  </conditionalFormatting>
  <conditionalFormatting sqref="N9:O9">
    <cfRule type="cellIs" dxfId="94" priority="177" operator="greaterThan">
      <formula>0</formula>
    </cfRule>
  </conditionalFormatting>
  <conditionalFormatting sqref="N16">
    <cfRule type="cellIs" dxfId="93" priority="174" operator="greaterThan">
      <formula>0</formula>
    </cfRule>
  </conditionalFormatting>
  <conditionalFormatting sqref="F62">
    <cfRule type="expression" dxfId="92" priority="315">
      <formula>AND(#REF!&gt;"",#REF!&gt;"")</formula>
    </cfRule>
    <cfRule type="expression" dxfId="91" priority="316">
      <formula>$J$62&gt;""</formula>
    </cfRule>
  </conditionalFormatting>
  <conditionalFormatting sqref="L66">
    <cfRule type="containsBlanks" dxfId="90" priority="153">
      <formula>LEN(TRIM(L66))=0</formula>
    </cfRule>
  </conditionalFormatting>
  <conditionalFormatting sqref="P66">
    <cfRule type="containsBlanks" dxfId="89" priority="152">
      <formula>LEN(TRIM(P66))=0</formula>
    </cfRule>
  </conditionalFormatting>
  <conditionalFormatting sqref="J66">
    <cfRule type="containsBlanks" dxfId="88" priority="151">
      <formula>LEN(TRIM(J66))=0</formula>
    </cfRule>
  </conditionalFormatting>
  <conditionalFormatting sqref="F8:G8">
    <cfRule type="cellIs" dxfId="87" priority="142" operator="greaterThan">
      <formula>0</formula>
    </cfRule>
  </conditionalFormatting>
  <conditionalFormatting sqref="N8:O8">
    <cfRule type="expression" dxfId="86" priority="141">
      <formula>$M$10=0</formula>
    </cfRule>
    <cfRule type="cellIs" dxfId="85" priority="143" operator="greaterThan">
      <formula>0</formula>
    </cfRule>
    <cfRule type="expression" dxfId="84" priority="144">
      <formula>$M$10&gt;""</formula>
    </cfRule>
  </conditionalFormatting>
  <conditionalFormatting sqref="F9:G9">
    <cfRule type="cellIs" dxfId="83" priority="140" operator="greaterThan">
      <formula>0</formula>
    </cfRule>
  </conditionalFormatting>
  <conditionalFormatting sqref="F15:G16">
    <cfRule type="cellIs" dxfId="82" priority="138" operator="greaterThan">
      <formula>0</formula>
    </cfRule>
  </conditionalFormatting>
  <conditionalFormatting sqref="F17:G17">
    <cfRule type="cellIs" dxfId="81" priority="131" operator="greaterThan">
      <formula>0</formula>
    </cfRule>
  </conditionalFormatting>
  <conditionalFormatting sqref="N17:O17">
    <cfRule type="cellIs" dxfId="80" priority="130" operator="greaterThan">
      <formula>0</formula>
    </cfRule>
  </conditionalFormatting>
  <conditionalFormatting sqref="F13:G13">
    <cfRule type="cellIs" dxfId="79" priority="127" operator="greaterThan">
      <formula>0</formula>
    </cfRule>
  </conditionalFormatting>
  <conditionalFormatting sqref="N15:O15">
    <cfRule type="cellIs" dxfId="78" priority="121" operator="greaterThan">
      <formula>0</formula>
    </cfRule>
  </conditionalFormatting>
  <conditionalFormatting sqref="Q373:Q385">
    <cfRule type="cellIs" dxfId="77" priority="113" operator="lessThan">
      <formula>0</formula>
    </cfRule>
  </conditionalFormatting>
  <conditionalFormatting sqref="Q386:Q391">
    <cfRule type="cellIs" dxfId="76" priority="112" operator="lessThan">
      <formula>0</formula>
    </cfRule>
  </conditionalFormatting>
  <conditionalFormatting sqref="F19:G19">
    <cfRule type="cellIs" dxfId="75" priority="105" operator="greaterThan">
      <formula>0</formula>
    </cfRule>
  </conditionalFormatting>
  <conditionalFormatting sqref="K15">
    <cfRule type="cellIs" dxfId="74" priority="100" operator="greaterThan">
      <formula>0</formula>
    </cfRule>
  </conditionalFormatting>
  <conditionalFormatting sqref="J9">
    <cfRule type="expression" dxfId="73" priority="89">
      <formula>$H$9=""</formula>
    </cfRule>
  </conditionalFormatting>
  <conditionalFormatting sqref="J11">
    <cfRule type="expression" dxfId="72" priority="88">
      <formula>$H$11=""</formula>
    </cfRule>
  </conditionalFormatting>
  <conditionalFormatting sqref="N19">
    <cfRule type="cellIs" dxfId="71" priority="82" operator="greaterThan">
      <formula>0</formula>
    </cfRule>
  </conditionalFormatting>
  <conditionalFormatting sqref="N7:O7">
    <cfRule type="cellIs" dxfId="70" priority="81" operator="greaterThan">
      <formula>0</formula>
    </cfRule>
  </conditionalFormatting>
  <conditionalFormatting sqref="K13">
    <cfRule type="cellIs" dxfId="69" priority="80" operator="greaterThan">
      <formula>0</formula>
    </cfRule>
  </conditionalFormatting>
  <conditionalFormatting sqref="N13">
    <cfRule type="expression" dxfId="68" priority="77">
      <formula>$K$13="Si"</formula>
    </cfRule>
  </conditionalFormatting>
  <conditionalFormatting sqref="O13">
    <cfRule type="expression" dxfId="67" priority="61">
      <formula>$K$13="SI"</formula>
    </cfRule>
    <cfRule type="expression" dxfId="66" priority="72">
      <formula>$K$13="No"</formula>
    </cfRule>
  </conditionalFormatting>
  <conditionalFormatting sqref="H50">
    <cfRule type="expression" dxfId="65" priority="68">
      <formula>$G$50=" "</formula>
    </cfRule>
  </conditionalFormatting>
  <conditionalFormatting sqref="F392">
    <cfRule type="cellIs" dxfId="64" priority="318" operator="greaterThan">
      <formula>$H$48</formula>
    </cfRule>
  </conditionalFormatting>
  <conditionalFormatting sqref="L51">
    <cfRule type="expression" dxfId="63" priority="62">
      <formula>$N$7&lt;&gt;"Cofinavit"</formula>
    </cfRule>
  </conditionalFormatting>
  <conditionalFormatting sqref="F43:G43 L42 N42 G42 H35:I36 I41 H38:I38 H39:H40 I39">
    <cfRule type="cellIs" dxfId="62" priority="44" operator="greaterThan">
      <formula>0</formula>
    </cfRule>
  </conditionalFormatting>
  <conditionalFormatting sqref="N43:O43">
    <cfRule type="cellIs" dxfId="61" priority="43" operator="greaterThan">
      <formula>0</formula>
    </cfRule>
  </conditionalFormatting>
  <conditionalFormatting sqref="H39">
    <cfRule type="cellIs" dxfId="60" priority="42" operator="greaterThan">
      <formula>0</formula>
    </cfRule>
  </conditionalFormatting>
  <conditionalFormatting sqref="I39">
    <cfRule type="cellIs" dxfId="59" priority="41" operator="greaterThan">
      <formula>0</formula>
    </cfRule>
  </conditionalFormatting>
  <conditionalFormatting sqref="L33:N34">
    <cfRule type="expression" dxfId="58" priority="40">
      <formula>$N$7="Cofinavit"</formula>
    </cfRule>
  </conditionalFormatting>
  <conditionalFormatting sqref="I37">
    <cfRule type="cellIs" dxfId="57" priority="39" operator="greaterThan">
      <formula>0</formula>
    </cfRule>
  </conditionalFormatting>
  <conditionalFormatting sqref="J29 H31 J32">
    <cfRule type="cellIs" dxfId="56" priority="27" operator="greaterThan">
      <formula>0</formula>
    </cfRule>
  </conditionalFormatting>
  <conditionalFormatting sqref="H24:I30">
    <cfRule type="cellIs" dxfId="55" priority="26" operator="greaterThan">
      <formula>0</formula>
    </cfRule>
  </conditionalFormatting>
  <conditionalFormatting sqref="I31">
    <cfRule type="cellIs" dxfId="54" priority="25" operator="greaterThan">
      <formula>0</formula>
    </cfRule>
  </conditionalFormatting>
  <conditionalFormatting sqref="J28">
    <cfRule type="expression" dxfId="53" priority="20">
      <formula>"Sheet1!$I$10=5"</formula>
    </cfRule>
  </conditionalFormatting>
  <conditionalFormatting sqref="L23:N24">
    <cfRule type="expression" dxfId="52" priority="23">
      <formula>$N$7="Cofinavit"</formula>
    </cfRule>
  </conditionalFormatting>
  <conditionalFormatting sqref="L23:N23">
    <cfRule type="expression" dxfId="51" priority="22">
      <formula>$N$7="FOVISSSTE para todos"</formula>
    </cfRule>
  </conditionalFormatting>
  <conditionalFormatting sqref="J21">
    <cfRule type="expression" dxfId="50" priority="3">
      <formula>$J$19=""</formula>
    </cfRule>
  </conditionalFormatting>
  <conditionalFormatting sqref="L45">
    <cfRule type="expression" dxfId="49" priority="319">
      <formula>$L$45=0</formula>
    </cfRule>
  </conditionalFormatting>
  <dataValidations xWindow="291" yWindow="373" count="2">
    <dataValidation type="list" allowBlank="1" showInputMessage="1" showErrorMessage="1" sqref="N7" xr:uid="{00000000-0002-0000-0000-000000000000}">
      <formula1>INDIRECT($F$9)</formula1>
    </dataValidation>
    <dataValidation type="list" allowBlank="1" showInputMessage="1" showErrorMessage="1" sqref="F62" xr:uid="{00000000-0002-0000-0000-000007000000}">
      <formula1>$I$55:$M$55</formula1>
    </dataValidation>
  </dataValidations>
  <printOptions horizontalCentered="1" verticalCentered="1"/>
  <pageMargins left="3.937007874015748E-2" right="0" top="0.15748031496062992" bottom="0.15748031496062992" header="0.31496062992125984" footer="0.31496062992125984"/>
  <pageSetup paperSize="9" scale="33" fitToHeight="0"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 id="{49533FE3-2642-4E7F-9AB7-387467F34448}">
            <xm:f>Sheet1!$B$14=2</xm:f>
            <x14:dxf>
              <font>
                <color theme="0"/>
              </font>
              <fill>
                <patternFill>
                  <bgColor theme="0"/>
                </patternFill>
              </fill>
              <border>
                <left/>
                <right/>
                <top/>
                <bottom/>
                <vertical/>
                <horizontal/>
              </border>
            </x14:dxf>
          </x14:cfRule>
          <xm:sqref>H63:K63 H62:I62 K62</xm:sqref>
        </x14:conditionalFormatting>
        <x14:conditionalFormatting xmlns:xm="http://schemas.microsoft.com/office/excel/2006/main">
          <x14:cfRule type="expression" priority="35" id="{F739E25B-8858-4DFE-839B-3D00DBDE2BF6}">
            <xm:f>Sheet1!$L$15=2</xm:f>
            <x14:dxf>
              <font>
                <color theme="0"/>
              </font>
            </x14:dxf>
          </x14:cfRule>
          <xm:sqref>J63</xm:sqref>
        </x14:conditionalFormatting>
        <x14:conditionalFormatting xmlns:xm="http://schemas.microsoft.com/office/excel/2006/main">
          <x14:cfRule type="expression" priority="34" id="{3D1178A3-8490-40AE-95EB-4E141DB46635}">
            <xm:f>IF(Sheet1!$I$10=5,"",)</xm:f>
            <x14:dxf/>
          </x14:cfRule>
          <xm:sqref>I54:I58</xm:sqref>
        </x14:conditionalFormatting>
        <x14:conditionalFormatting xmlns:xm="http://schemas.microsoft.com/office/excel/2006/main">
          <x14:cfRule type="expression" priority="32" id="{A5937A97-B25F-4B33-B77D-537C838EC3CC}">
            <xm:f>IF(Sheet1!$I$10=5,"",)</xm:f>
            <x14:dxf/>
          </x14:cfRule>
          <xm:sqref>K54:L58</xm:sqref>
        </x14:conditionalFormatting>
        <x14:conditionalFormatting xmlns:xm="http://schemas.microsoft.com/office/excel/2006/main">
          <x14:cfRule type="expression" priority="21" id="{91B14053-04A6-4BE3-A55B-468A40B1A58C}">
            <xm:f>IF(Sheet1!$I$10=5,"",)</xm:f>
            <x14:dxf/>
          </x14:cfRule>
          <xm:sqref>M54:M58</xm:sqref>
        </x14:conditionalFormatting>
        <x14:conditionalFormatting xmlns:xm="http://schemas.microsoft.com/office/excel/2006/main">
          <x14:cfRule type="expression" priority="18" id="{E1E31589-9E25-463B-B7C3-BEEF9D653300}">
            <xm:f>'Estados y Datos Notariales'!$I$1&lt;&gt;12</xm:f>
            <x14:dxf>
              <font>
                <color theme="0"/>
              </font>
              <fill>
                <patternFill>
                  <bgColor theme="0"/>
                </patternFill>
              </fill>
              <border>
                <left/>
                <right/>
                <top/>
                <bottom/>
                <vertical/>
                <horizontal/>
              </border>
            </x14:dxf>
          </x14:cfRule>
          <x14:cfRule type="expression" priority="19" id="{E0DF7627-75C0-4011-B22C-5463C62EBF08}">
            <xm:f>'Estados y Datos Notariales'!$I$1=12</xm:f>
            <x14:dxf>
              <fill>
                <patternFill>
                  <bgColor theme="0" tint="-4.9989318521683403E-2"/>
                </patternFill>
              </fill>
              <border>
                <left style="dotted">
                  <color theme="1"/>
                </left>
                <right style="dotted">
                  <color theme="1"/>
                </right>
                <top style="dotted">
                  <color theme="1"/>
                </top>
                <bottom style="dotted">
                  <color theme="1"/>
                </bottom>
                <vertical/>
                <horizontal/>
              </border>
            </x14:dxf>
          </x14:cfRule>
          <xm:sqref>H21</xm:sqref>
        </x14:conditionalFormatting>
        <x14:conditionalFormatting xmlns:xm="http://schemas.microsoft.com/office/excel/2006/main">
          <x14:cfRule type="expression" priority="17" id="{691FB124-B118-46CC-8BBE-665C0DEF6FA1}">
            <xm:f>Sheet1!$Z$1=3</xm:f>
            <x14:dxf>
              <font>
                <b/>
                <i val="0"/>
              </font>
              <fill>
                <patternFill>
                  <bgColor theme="6" tint="0.79998168889431442"/>
                </patternFill>
              </fill>
            </x14:dxf>
          </x14:cfRule>
          <xm:sqref>B103:M103</xm:sqref>
        </x14:conditionalFormatting>
        <x14:conditionalFormatting xmlns:xm="http://schemas.microsoft.com/office/excel/2006/main">
          <x14:cfRule type="expression" priority="16" id="{5F02F9A9-5A82-489C-A73E-DA7AB862B1B3}">
            <xm:f>Sheet1!$Z$1=3</xm:f>
            <x14:dxf>
              <font>
                <b/>
                <i val="0"/>
              </font>
              <fill>
                <patternFill>
                  <bgColor theme="6" tint="0.79998168889431442"/>
                </patternFill>
              </fill>
            </x14:dxf>
          </x14:cfRule>
          <xm:sqref>P103:Q103</xm:sqref>
        </x14:conditionalFormatting>
        <x14:conditionalFormatting xmlns:xm="http://schemas.microsoft.com/office/excel/2006/main">
          <x14:cfRule type="expression" priority="15" id="{DA5FF661-0F78-4B79-9AA2-E53D61DA1A10}">
            <xm:f>Sheet1!$Z$1=3</xm:f>
            <x14:dxf>
              <font>
                <b/>
                <i val="0"/>
              </font>
              <fill>
                <patternFill>
                  <bgColor theme="6" tint="0.79998168889431442"/>
                </patternFill>
              </fill>
            </x14:dxf>
          </x14:cfRule>
          <xm:sqref>B139:M139</xm:sqref>
        </x14:conditionalFormatting>
        <x14:conditionalFormatting xmlns:xm="http://schemas.microsoft.com/office/excel/2006/main">
          <x14:cfRule type="expression" priority="14" id="{3817D2EB-5071-4F7B-BC8B-74883116AB29}">
            <xm:f>Sheet1!$Z$1=3</xm:f>
            <x14:dxf>
              <font>
                <b/>
                <i val="0"/>
              </font>
              <fill>
                <patternFill>
                  <bgColor theme="6" tint="0.79998168889431442"/>
                </patternFill>
              </fill>
            </x14:dxf>
          </x14:cfRule>
          <xm:sqref>P139:Q139</xm:sqref>
        </x14:conditionalFormatting>
        <x14:conditionalFormatting xmlns:xm="http://schemas.microsoft.com/office/excel/2006/main">
          <x14:cfRule type="expression" priority="13" id="{550F3A23-90A9-4D57-9C03-1215BFA1C397}">
            <xm:f>Sheet1!$Z$1=3</xm:f>
            <x14:dxf>
              <font>
                <b/>
                <i val="0"/>
              </font>
              <fill>
                <patternFill>
                  <bgColor theme="6" tint="0.79998168889431442"/>
                </patternFill>
              </fill>
            </x14:dxf>
          </x14:cfRule>
          <xm:sqref>B175:M175</xm:sqref>
        </x14:conditionalFormatting>
        <x14:conditionalFormatting xmlns:xm="http://schemas.microsoft.com/office/excel/2006/main">
          <x14:cfRule type="expression" priority="12" id="{5ECEA1D9-D732-4D7A-9925-DF169DB4989E}">
            <xm:f>Sheet1!$Z$1=3</xm:f>
            <x14:dxf>
              <font>
                <b/>
                <i val="0"/>
              </font>
              <fill>
                <patternFill>
                  <bgColor theme="6" tint="0.79998168889431442"/>
                </patternFill>
              </fill>
            </x14:dxf>
          </x14:cfRule>
          <xm:sqref>P175:Q175</xm:sqref>
        </x14:conditionalFormatting>
        <x14:conditionalFormatting xmlns:xm="http://schemas.microsoft.com/office/excel/2006/main">
          <x14:cfRule type="expression" priority="9" id="{5E83A92D-739F-48FB-8872-C93A33DCF264}">
            <xm:f>Sheet1!$Z$1=3</xm:f>
            <x14:dxf>
              <font>
                <b/>
                <i val="0"/>
              </font>
              <fill>
                <patternFill>
                  <bgColor theme="6" tint="0.79998168889431442"/>
                </patternFill>
              </fill>
            </x14:dxf>
          </x14:cfRule>
          <xm:sqref>B247:M247</xm:sqref>
        </x14:conditionalFormatting>
        <x14:conditionalFormatting xmlns:xm="http://schemas.microsoft.com/office/excel/2006/main">
          <x14:cfRule type="expression" priority="8" id="{C4AF5D88-7B9C-4FCD-9B34-2C9ADE5482EA}">
            <xm:f>Sheet1!$Z$1=3</xm:f>
            <x14:dxf>
              <font>
                <b/>
                <i val="0"/>
              </font>
              <fill>
                <patternFill>
                  <bgColor theme="6" tint="0.79998168889431442"/>
                </patternFill>
              </fill>
            </x14:dxf>
          </x14:cfRule>
          <xm:sqref>P247:Q247</xm:sqref>
        </x14:conditionalFormatting>
        <x14:conditionalFormatting xmlns:xm="http://schemas.microsoft.com/office/excel/2006/main">
          <x14:cfRule type="expression" priority="7" id="{3A7E251F-107E-4FEC-8204-E7A753C705AF}">
            <xm:f>Sheet1!$Z$1=3</xm:f>
            <x14:dxf>
              <font>
                <b/>
                <i val="0"/>
              </font>
              <fill>
                <patternFill>
                  <bgColor theme="6" tint="0.79998168889431442"/>
                </patternFill>
              </fill>
            </x14:dxf>
          </x14:cfRule>
          <xm:sqref>B283:M283</xm:sqref>
        </x14:conditionalFormatting>
        <x14:conditionalFormatting xmlns:xm="http://schemas.microsoft.com/office/excel/2006/main">
          <x14:cfRule type="expression" priority="6" id="{627530C0-7032-485C-B958-69838C9E8E6D}">
            <xm:f>Sheet1!$Z$1=3</xm:f>
            <x14:dxf>
              <font>
                <b/>
                <i val="0"/>
              </font>
              <fill>
                <patternFill>
                  <bgColor theme="6" tint="0.79998168889431442"/>
                </patternFill>
              </fill>
            </x14:dxf>
          </x14:cfRule>
          <xm:sqref>P283:Q283</xm:sqref>
        </x14:conditionalFormatting>
        <x14:conditionalFormatting xmlns:xm="http://schemas.microsoft.com/office/excel/2006/main">
          <x14:cfRule type="expression" priority="2" id="{E0AD8DCE-42C2-4787-8E4C-FBBBD1A125A9}">
            <xm:f>Sheet1!$Z$1=3</xm:f>
            <x14:dxf>
              <font>
                <b/>
                <i val="0"/>
              </font>
              <fill>
                <patternFill>
                  <bgColor theme="6" tint="0.79998168889431442"/>
                </patternFill>
              </fill>
            </x14:dxf>
          </x14:cfRule>
          <xm:sqref>B211:M211</xm:sqref>
        </x14:conditionalFormatting>
        <x14:conditionalFormatting xmlns:xm="http://schemas.microsoft.com/office/excel/2006/main">
          <x14:cfRule type="expression" priority="1" id="{4F744433-39DE-4DBF-B512-B6FF6FA27B1D}">
            <xm:f>Sheet1!$Z$1=3</xm:f>
            <x14:dxf>
              <font>
                <b/>
                <i val="0"/>
              </font>
              <fill>
                <patternFill>
                  <bgColor theme="6" tint="0.79998168889431442"/>
                </patternFill>
              </fill>
            </x14:dxf>
          </x14:cfRule>
          <xm:sqref>P211:Q211</xm:sqref>
        </x14:conditionalFormatting>
      </x14:conditionalFormattings>
    </ext>
    <ext xmlns:x14="http://schemas.microsoft.com/office/spreadsheetml/2009/9/main" uri="{CCE6A557-97BC-4b89-ADB6-D9C93CAAB3DF}">
      <x14:dataValidations xmlns:xm="http://schemas.microsoft.com/office/excel/2006/main" xWindow="291" yWindow="373" count="11">
        <x14:dataValidation type="list" allowBlank="1" showInputMessage="1" showErrorMessage="1" xr:uid="{00000000-0002-0000-0000-000001000000}">
          <x14:formula1>
            <xm:f>'Tabla Parámetros'!$J$3:$J$11</xm:f>
          </x14:formula1>
          <xm:sqref>F9:G9</xm:sqref>
        </x14:dataValidation>
        <x14:dataValidation type="list" allowBlank="1" showInputMessage="1" showErrorMessage="1" xr:uid="{00000000-0002-0000-0000-000002000000}">
          <x14:formula1>
            <xm:f>'Tabla Parámetros'!$N$3:$N$5</xm:f>
          </x14:formula1>
          <xm:sqref>N9:O9</xm:sqref>
        </x14:dataValidation>
        <x14:dataValidation type="list" allowBlank="1" showInputMessage="1" showErrorMessage="1" xr:uid="{00000000-0002-0000-0000-000003000000}">
          <x14:formula1>
            <xm:f>'Tabla Parámetros'!$N$6:$N$7</xm:f>
          </x14:formula1>
          <xm:sqref>K15 K13</xm:sqref>
        </x14:dataValidation>
        <x14:dataValidation type="list" allowBlank="1" showInputMessage="1" showErrorMessage="1" xr:uid="{00000000-0002-0000-0000-000006000000}">
          <x14:formula1>
            <xm:f>'Tabla Parámetros'!$N$10:$N$11</xm:f>
          </x14:formula1>
          <xm:sqref>N17:O17</xm:sqref>
        </x14:dataValidation>
        <x14:dataValidation type="list" allowBlank="1" showInputMessage="1" showErrorMessage="1" xr:uid="{00000000-0002-0000-0000-000008000000}">
          <x14:formula1>
            <xm:f>'Tabla Parámetros'!$AN$8:$AN$10</xm:f>
          </x14:formula1>
          <xm:sqref>N62:O62</xm:sqref>
        </x14:dataValidation>
        <x14:dataValidation type="list" allowBlank="1" showInputMessage="1" showErrorMessage="1" xr:uid="{670896AF-052E-4E62-B863-A8B5A965CE8E}">
          <x14:formula1>
            <xm:f>'Tabla Parámetros'!$N$10:$N$12</xm:f>
          </x14:formula1>
          <xm:sqref>J9 J11</xm:sqref>
        </x14:dataValidation>
        <x14:dataValidation type="list" allowBlank="1" showInputMessage="1" showErrorMessage="1" xr:uid="{7DFD24EC-AB20-4C8B-9F4B-532F827B19D2}">
          <x14:formula1>
            <xm:f>Notariales!$B$2:$B$33</xm:f>
          </x14:formula1>
          <xm:sqref>F21</xm:sqref>
        </x14:dataValidation>
        <x14:dataValidation type="list" allowBlank="1" showInputMessage="1" showErrorMessage="1" xr:uid="{D2D4586D-9357-4D61-B96D-5CBFA0D480C9}">
          <x14:formula1>
            <xm:f>'Estados y Datos Notariales'!$L$6:$L$7</xm:f>
          </x14:formula1>
          <xm:sqref>H21</xm:sqref>
        </x14:dataValidation>
        <x14:dataValidation type="list" allowBlank="1" showInputMessage="1" showErrorMessage="1" xr:uid="{4655B2C2-26B1-4395-AAAF-FFA019762A7F}">
          <x14:formula1>
            <xm:f>'Tabla Parámetros'!$W$3:$W$23</xm:f>
          </x14:formula1>
          <xm:sqref>F19:G19</xm:sqref>
        </x14:dataValidation>
        <x14:dataValidation type="list" allowBlank="1" showInputMessage="1" showErrorMessage="1" xr:uid="{00000000-0002-0000-0000-00000A000000}">
          <x14:formula1>
            <xm:f>IF(Sheet1!$E$14=1,Sheet1!$W$2:$W$7,IF(Sheet1!$E$14=2,Sheet1!$W$2:$W$6,IF(Sheet1!$E$14=3,Sheet1!$W$2,IF(Sheet1!$E$14=4,Sheet1!$W$8,IF(Sheet1!$E$14=5,Sheet1!$W$9,)))))</xm:f>
          </x14:formula1>
          <xm:sqref>F11:G11</xm:sqref>
        </x14:dataValidation>
        <x14:dataValidation type="list" allowBlank="1" showInputMessage="1" showErrorMessage="1" xr:uid="{A35B25FA-19F8-49D8-BF20-4FD50760AEA0}">
          <x14:formula1>
            <xm:f>'Tabla Parámetros'!$N$13:$N$14</xm:f>
          </x14:formula1>
          <xm:sqref>F13:G13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dimension ref="A1:O64"/>
  <sheetViews>
    <sheetView showGridLines="0" workbookViewId="0">
      <selection activeCell="G8" sqref="G8"/>
    </sheetView>
  </sheetViews>
  <sheetFormatPr baseColWidth="10" defaultColWidth="11.453125" defaultRowHeight="14.5" x14ac:dyDescent="0.35"/>
  <cols>
    <col min="1" max="1" width="2.26953125" customWidth="1"/>
    <col min="2" max="2" width="28.1796875" bestFit="1" customWidth="1"/>
    <col min="3" max="3" width="15.26953125" bestFit="1" customWidth="1"/>
    <col min="4" max="4" width="60.1796875" bestFit="1" customWidth="1"/>
    <col min="5" max="5" width="20.26953125" bestFit="1" customWidth="1"/>
    <col min="6" max="6" width="25" bestFit="1" customWidth="1"/>
    <col min="7" max="7" width="14.1796875" bestFit="1" customWidth="1"/>
    <col min="8" max="8" width="2.1796875" customWidth="1"/>
    <col min="9" max="9" width="22.453125" bestFit="1" customWidth="1"/>
    <col min="11" max="11" width="11.81640625" bestFit="1" customWidth="1"/>
    <col min="12" max="18" width="0" hidden="1" customWidth="1"/>
  </cols>
  <sheetData>
    <row r="1" spans="2:15" x14ac:dyDescent="0.35">
      <c r="B1" s="761" t="s">
        <v>99</v>
      </c>
      <c r="C1" s="761"/>
      <c r="F1" t="s">
        <v>21</v>
      </c>
      <c r="G1" s="123">
        <f>Simulador!N11</f>
        <v>3498000</v>
      </c>
      <c r="I1" t="s">
        <v>23</v>
      </c>
      <c r="J1" s="120">
        <f>Simulador!$F$62</f>
        <v>0.11</v>
      </c>
      <c r="L1" s="318">
        <f>J1/360*30.4</f>
        <v>9.2888888888888882E-3</v>
      </c>
      <c r="M1" t="s">
        <v>421</v>
      </c>
    </row>
    <row r="2" spans="2:15" x14ac:dyDescent="0.35">
      <c r="B2" t="s">
        <v>223</v>
      </c>
      <c r="C2" s="551">
        <f>G2*G4</f>
        <v>11590.227999999999</v>
      </c>
      <c r="D2" s="432" t="s">
        <v>613</v>
      </c>
      <c r="F2" s="432" t="s">
        <v>612</v>
      </c>
      <c r="G2" s="432">
        <v>117.31</v>
      </c>
      <c r="I2" t="s">
        <v>261</v>
      </c>
      <c r="J2" s="119">
        <v>75000</v>
      </c>
      <c r="L2">
        <v>1</v>
      </c>
      <c r="M2" t="s">
        <v>197</v>
      </c>
    </row>
    <row r="3" spans="2:15" x14ac:dyDescent="0.35">
      <c r="B3" t="s">
        <v>224</v>
      </c>
      <c r="C3" s="123">
        <f>Simulador!$H$24+Simulador!$I$24+Simulador!$J$28</f>
        <v>0</v>
      </c>
      <c r="D3" t="s">
        <v>247</v>
      </c>
      <c r="F3" t="s">
        <v>248</v>
      </c>
      <c r="G3">
        <v>30.4</v>
      </c>
      <c r="I3" t="s">
        <v>262</v>
      </c>
      <c r="J3">
        <f>Simulador!F19</f>
        <v>240</v>
      </c>
      <c r="L3" s="319">
        <f>L1*L2</f>
        <v>9.2888888888888882E-3</v>
      </c>
      <c r="M3" t="s">
        <v>37</v>
      </c>
      <c r="N3" s="119">
        <f>PPMT(L1,1,J3,-L2)</f>
        <v>1.1329953218287654E-3</v>
      </c>
      <c r="O3" t="s">
        <v>423</v>
      </c>
    </row>
    <row r="4" spans="2:15" x14ac:dyDescent="0.35">
      <c r="B4" t="s">
        <v>225</v>
      </c>
      <c r="C4" s="128">
        <f>C3/G2/30.4</f>
        <v>0</v>
      </c>
      <c r="D4" t="s">
        <v>596</v>
      </c>
      <c r="F4" t="s">
        <v>223</v>
      </c>
      <c r="G4">
        <v>98.8</v>
      </c>
      <c r="I4" t="s">
        <v>263</v>
      </c>
      <c r="J4">
        <v>12</v>
      </c>
      <c r="L4" s="319">
        <v>0.01</v>
      </c>
      <c r="M4" t="s">
        <v>422</v>
      </c>
    </row>
    <row r="5" spans="2:15" x14ac:dyDescent="0.35">
      <c r="F5" t="s">
        <v>251</v>
      </c>
      <c r="G5" s="119">
        <f>Ecotecnologias!G4</f>
        <v>0</v>
      </c>
      <c r="I5" t="s">
        <v>266</v>
      </c>
      <c r="J5" s="621">
        <f>IF(Sheet1!$I$1=3,85%,95%)</f>
        <v>0.95</v>
      </c>
      <c r="K5" t="str">
        <f>IF(J5=85%,"Máximo 85%","Máximo 95%")</f>
        <v>Máximo 95%</v>
      </c>
    </row>
    <row r="6" spans="2:15" x14ac:dyDescent="0.35">
      <c r="B6" t="s">
        <v>226</v>
      </c>
      <c r="C6" s="123">
        <f>Simulador!H25+Simulador!I25</f>
        <v>0</v>
      </c>
      <c r="D6" t="s">
        <v>249</v>
      </c>
      <c r="F6" t="s">
        <v>5</v>
      </c>
      <c r="G6">
        <v>2</v>
      </c>
      <c r="I6" t="s">
        <v>272</v>
      </c>
      <c r="J6" s="123">
        <f>Simulador!$H$28</f>
        <v>0</v>
      </c>
    </row>
    <row r="7" spans="2:15" x14ac:dyDescent="0.35">
      <c r="B7" t="s">
        <v>227</v>
      </c>
      <c r="C7" s="123">
        <f>Simulador!H26+Simulador!I26</f>
        <v>0</v>
      </c>
      <c r="D7" t="s">
        <v>250</v>
      </c>
      <c r="F7" t="s">
        <v>255</v>
      </c>
      <c r="G7" s="432">
        <v>0</v>
      </c>
    </row>
    <row r="8" spans="2:15" x14ac:dyDescent="0.35">
      <c r="B8" t="s">
        <v>228</v>
      </c>
      <c r="C8" s="123">
        <f>(Simulador!H27+Simulador!I27)+G5</f>
        <v>0</v>
      </c>
      <c r="D8" t="s">
        <v>252</v>
      </c>
      <c r="F8" t="s">
        <v>258</v>
      </c>
      <c r="G8" s="119">
        <v>7000000</v>
      </c>
    </row>
    <row r="9" spans="2:15" x14ac:dyDescent="0.35">
      <c r="B9" t="s">
        <v>229</v>
      </c>
      <c r="C9" s="124">
        <f>C3-C8</f>
        <v>0</v>
      </c>
      <c r="D9" t="s">
        <v>253</v>
      </c>
      <c r="F9" t="s">
        <v>278</v>
      </c>
      <c r="G9">
        <v>0.03</v>
      </c>
    </row>
    <row r="10" spans="2:15" x14ac:dyDescent="0.35">
      <c r="B10" t="s">
        <v>230</v>
      </c>
      <c r="C10" s="124">
        <f>C9/G6</f>
        <v>0</v>
      </c>
      <c r="D10" t="s">
        <v>254</v>
      </c>
      <c r="F10" s="432" t="s">
        <v>432</v>
      </c>
      <c r="G10" s="552">
        <f>G11*325</f>
        <v>1159022.7999999998</v>
      </c>
    </row>
    <row r="11" spans="2:15" x14ac:dyDescent="0.35">
      <c r="C11" s="150"/>
      <c r="G11" s="119">
        <f>G2*30.4</f>
        <v>3566.2239999999997</v>
      </c>
    </row>
    <row r="12" spans="2:15" x14ac:dyDescent="0.35">
      <c r="B12" t="s">
        <v>231</v>
      </c>
      <c r="C12" s="123">
        <f>G1*G7</f>
        <v>0</v>
      </c>
      <c r="D12" t="s">
        <v>256</v>
      </c>
    </row>
    <row r="13" spans="2:15" x14ac:dyDescent="0.35">
      <c r="B13" t="s">
        <v>232</v>
      </c>
      <c r="C13" s="119">
        <f>MIN(C12,C6)</f>
        <v>0</v>
      </c>
      <c r="D13" t="s">
        <v>257</v>
      </c>
    </row>
    <row r="14" spans="2:15" x14ac:dyDescent="0.35">
      <c r="B14" t="s">
        <v>233</v>
      </c>
      <c r="C14" s="119">
        <f>C13*(G1&lt;=G8)</f>
        <v>0</v>
      </c>
      <c r="D14" t="s">
        <v>259</v>
      </c>
      <c r="G14" s="432" t="s">
        <v>536</v>
      </c>
      <c r="H14" s="432"/>
      <c r="I14" s="432"/>
    </row>
    <row r="15" spans="2:15" x14ac:dyDescent="0.35">
      <c r="B15" t="s">
        <v>234</v>
      </c>
      <c r="C15" s="119">
        <f>G1+C14</f>
        <v>3498000</v>
      </c>
      <c r="D15" t="s">
        <v>260</v>
      </c>
    </row>
    <row r="17" spans="2:4" x14ac:dyDescent="0.35">
      <c r="B17" t="s">
        <v>235</v>
      </c>
      <c r="C17" s="321">
        <f>MAX(-PV(J1/J4,J3,C10),J2)</f>
        <v>75000</v>
      </c>
      <c r="D17" t="s">
        <v>264</v>
      </c>
    </row>
    <row r="18" spans="2:4" x14ac:dyDescent="0.35">
      <c r="B18" t="s">
        <v>236</v>
      </c>
      <c r="C18" s="119">
        <f>MAX(C15-C6-C7,J2)</f>
        <v>3498000</v>
      </c>
      <c r="D18" t="s">
        <v>265</v>
      </c>
    </row>
    <row r="19" spans="2:4" x14ac:dyDescent="0.35">
      <c r="C19" s="119"/>
    </row>
    <row r="20" spans="2:4" x14ac:dyDescent="0.35">
      <c r="B20" t="s">
        <v>237</v>
      </c>
      <c r="C20" s="119">
        <f>G1*J5</f>
        <v>3323100</v>
      </c>
      <c r="D20" t="s">
        <v>267</v>
      </c>
    </row>
    <row r="21" spans="2:4" x14ac:dyDescent="0.35">
      <c r="B21" t="s">
        <v>238</v>
      </c>
      <c r="C21" s="119">
        <f>MIN(C17,C18,C20)</f>
        <v>75000</v>
      </c>
      <c r="D21" t="s">
        <v>268</v>
      </c>
    </row>
    <row r="22" spans="2:4" x14ac:dyDescent="0.35">
      <c r="C22" s="119"/>
    </row>
    <row r="23" spans="2:4" x14ac:dyDescent="0.35">
      <c r="B23" t="s">
        <v>239</v>
      </c>
      <c r="C23" s="122">
        <f>MAX(G1-C6-C7-C21,0)</f>
        <v>3423000</v>
      </c>
      <c r="D23" t="s">
        <v>269</v>
      </c>
    </row>
    <row r="24" spans="2:4" x14ac:dyDescent="0.35">
      <c r="B24" t="s">
        <v>240</v>
      </c>
      <c r="C24" s="119">
        <f>C23+C21-J2</f>
        <v>3423000</v>
      </c>
      <c r="D24" t="s">
        <v>270</v>
      </c>
    </row>
    <row r="25" spans="2:4" x14ac:dyDescent="0.35">
      <c r="B25" t="s">
        <v>241</v>
      </c>
      <c r="C25" s="119">
        <f>MAX(C23-J6,0)</f>
        <v>3423000</v>
      </c>
      <c r="D25" t="s">
        <v>271</v>
      </c>
    </row>
    <row r="26" spans="2:4" x14ac:dyDescent="0.35">
      <c r="B26" t="s">
        <v>242</v>
      </c>
      <c r="C26" s="119">
        <f>MAX(J6-C23,0)</f>
        <v>0</v>
      </c>
      <c r="D26" t="s">
        <v>273</v>
      </c>
    </row>
    <row r="27" spans="2:4" x14ac:dyDescent="0.35">
      <c r="C27" s="119"/>
    </row>
    <row r="28" spans="2:4" x14ac:dyDescent="0.35">
      <c r="B28" s="126" t="s">
        <v>243</v>
      </c>
      <c r="C28" s="125">
        <f>C21-C26</f>
        <v>75000</v>
      </c>
      <c r="D28" s="126" t="s">
        <v>274</v>
      </c>
    </row>
    <row r="29" spans="2:4" x14ac:dyDescent="0.35">
      <c r="C29" s="119"/>
    </row>
    <row r="30" spans="2:4" x14ac:dyDescent="0.35">
      <c r="B30" t="s">
        <v>244</v>
      </c>
      <c r="C30" s="119">
        <f>C6+C7+C28</f>
        <v>75000</v>
      </c>
      <c r="D30" t="s">
        <v>275</v>
      </c>
    </row>
    <row r="31" spans="2:4" x14ac:dyDescent="0.35">
      <c r="B31" t="s">
        <v>245</v>
      </c>
      <c r="C31" s="119">
        <f>MAX(C30-G1,0)</f>
        <v>0</v>
      </c>
      <c r="D31" t="s">
        <v>276</v>
      </c>
    </row>
    <row r="32" spans="2:4" x14ac:dyDescent="0.35">
      <c r="C32" s="119"/>
    </row>
    <row r="33" spans="1:9" x14ac:dyDescent="0.35">
      <c r="B33" t="s">
        <v>246</v>
      </c>
      <c r="C33" s="119">
        <f>C7*G9</f>
        <v>0</v>
      </c>
      <c r="D33" t="s">
        <v>277</v>
      </c>
    </row>
    <row r="36" spans="1:9" x14ac:dyDescent="0.35">
      <c r="A36" s="762" t="s">
        <v>484</v>
      </c>
      <c r="B36" s="762"/>
      <c r="C36" s="762"/>
      <c r="D36" s="762"/>
      <c r="E36" s="762"/>
      <c r="F36" s="762"/>
      <c r="G36" s="762"/>
      <c r="H36" s="762"/>
      <c r="I36" s="762"/>
    </row>
    <row r="38" spans="1:9" x14ac:dyDescent="0.35">
      <c r="B38" t="s">
        <v>485</v>
      </c>
      <c r="C38" s="109">
        <f>Simulador!$N$11</f>
        <v>3498000</v>
      </c>
      <c r="D38" s="109"/>
    </row>
    <row r="39" spans="1:9" x14ac:dyDescent="0.35">
      <c r="B39" t="s">
        <v>486</v>
      </c>
      <c r="C39" s="109">
        <f>Simulador!H36+Simulador!I36</f>
        <v>0</v>
      </c>
      <c r="E39" s="432" t="s">
        <v>432</v>
      </c>
      <c r="F39" s="552">
        <f>G10</f>
        <v>1159022.7999999998</v>
      </c>
    </row>
    <row r="40" spans="1:9" x14ac:dyDescent="0.35">
      <c r="B40" t="s">
        <v>224</v>
      </c>
      <c r="C40" s="109">
        <f>F45</f>
        <v>0</v>
      </c>
      <c r="E40" t="s">
        <v>487</v>
      </c>
      <c r="F40" s="121">
        <f>IF(C38&lt;=C50,95%,IF(C38&gt;C50,95%))</f>
        <v>0.95</v>
      </c>
    </row>
    <row r="41" spans="1:9" x14ac:dyDescent="0.35">
      <c r="B41" t="s">
        <v>502</v>
      </c>
      <c r="C41" s="448">
        <f>IF(F47&gt;F41,F41,F47)</f>
        <v>75000</v>
      </c>
      <c r="D41" s="109"/>
      <c r="E41" t="s">
        <v>488</v>
      </c>
      <c r="F41" s="108">
        <f>+C38*F40</f>
        <v>3323100</v>
      </c>
    </row>
    <row r="42" spans="1:9" x14ac:dyDescent="0.35">
      <c r="B42" t="s">
        <v>503</v>
      </c>
      <c r="C42" s="109">
        <f>+C38-C39</f>
        <v>3498000</v>
      </c>
      <c r="E42" t="s">
        <v>489</v>
      </c>
      <c r="F42" s="108">
        <v>75000</v>
      </c>
    </row>
    <row r="43" spans="1:9" x14ac:dyDescent="0.35">
      <c r="B43" t="s">
        <v>504</v>
      </c>
      <c r="C43" s="463">
        <f>IF(Simulador!F15&gt;0,Simulador!F15,IF(C41&gt;C42,C42,C41))</f>
        <v>1000000</v>
      </c>
    </row>
    <row r="44" spans="1:9" x14ac:dyDescent="0.35">
      <c r="B44" t="s">
        <v>505</v>
      </c>
      <c r="C44" s="439">
        <f>IF((C43*0.3)&gt;F39,F39,C43*0.3)</f>
        <v>300000</v>
      </c>
      <c r="E44" t="s">
        <v>5</v>
      </c>
      <c r="F44" s="127">
        <v>2</v>
      </c>
    </row>
    <row r="45" spans="1:9" x14ac:dyDescent="0.35">
      <c r="B45" t="s">
        <v>506</v>
      </c>
      <c r="C45" s="439">
        <f>+C43*0.7</f>
        <v>700000</v>
      </c>
      <c r="D45" s="448"/>
      <c r="E45" t="s">
        <v>224</v>
      </c>
      <c r="F45" s="109">
        <f>Simulador!H35+Simulador!I35</f>
        <v>0</v>
      </c>
    </row>
    <row r="46" spans="1:9" x14ac:dyDescent="0.35">
      <c r="B46" s="437" t="s">
        <v>507</v>
      </c>
      <c r="C46" s="438">
        <f>MAX(C45,C43-C44)</f>
        <v>700000</v>
      </c>
      <c r="E46" t="s">
        <v>491</v>
      </c>
      <c r="F46" s="108">
        <f>+F45/F44</f>
        <v>0</v>
      </c>
    </row>
    <row r="47" spans="1:9" x14ac:dyDescent="0.35">
      <c r="B47" s="437"/>
      <c r="C47" s="438"/>
      <c r="E47" t="s">
        <v>492</v>
      </c>
      <c r="F47" s="448">
        <f>MAX(-PV(J49/J52,J51,F46),F42)</f>
        <v>75000</v>
      </c>
      <c r="G47" t="s">
        <v>264</v>
      </c>
    </row>
    <row r="48" spans="1:9" x14ac:dyDescent="0.35">
      <c r="B48" t="s">
        <v>508</v>
      </c>
      <c r="C48" s="109"/>
    </row>
    <row r="49" spans="2:10" x14ac:dyDescent="0.35">
      <c r="C49" s="109"/>
      <c r="I49" t="s">
        <v>23</v>
      </c>
      <c r="J49" s="120">
        <v>0.08</v>
      </c>
    </row>
    <row r="50" spans="2:10" x14ac:dyDescent="0.35">
      <c r="B50" t="s">
        <v>486</v>
      </c>
      <c r="C50" s="109">
        <f>C39</f>
        <v>0</v>
      </c>
      <c r="I50" t="s">
        <v>261</v>
      </c>
      <c r="J50" s="119">
        <v>75000</v>
      </c>
    </row>
    <row r="51" spans="2:10" x14ac:dyDescent="0.35">
      <c r="B51" t="s">
        <v>507</v>
      </c>
      <c r="C51" s="109">
        <f>C46</f>
        <v>700000</v>
      </c>
      <c r="I51" t="s">
        <v>262</v>
      </c>
      <c r="J51" s="198">
        <f>Simulador!H49</f>
        <v>240</v>
      </c>
    </row>
    <row r="52" spans="2:10" x14ac:dyDescent="0.35">
      <c r="B52" t="s">
        <v>509</v>
      </c>
      <c r="C52" s="109">
        <f>C44</f>
        <v>300000</v>
      </c>
      <c r="I52" t="s">
        <v>263</v>
      </c>
      <c r="J52">
        <v>12</v>
      </c>
    </row>
    <row r="53" spans="2:10" x14ac:dyDescent="0.35">
      <c r="C53" s="438">
        <f>+C50+C51+C52</f>
        <v>1000000</v>
      </c>
      <c r="I53" t="s">
        <v>266</v>
      </c>
      <c r="J53" s="121">
        <v>0.95</v>
      </c>
    </row>
    <row r="54" spans="2:10" x14ac:dyDescent="0.35">
      <c r="J54" s="121"/>
    </row>
    <row r="55" spans="2:10" x14ac:dyDescent="0.35">
      <c r="B55" t="s">
        <v>84</v>
      </c>
      <c r="C55" s="109">
        <f>C38</f>
        <v>3498000</v>
      </c>
      <c r="J55" s="121"/>
    </row>
    <row r="56" spans="2:10" x14ac:dyDescent="0.35">
      <c r="B56" t="s">
        <v>508</v>
      </c>
      <c r="C56" s="109">
        <f>C53</f>
        <v>1000000</v>
      </c>
      <c r="J56" s="121"/>
    </row>
    <row r="57" spans="2:10" x14ac:dyDescent="0.35">
      <c r="B57" s="437" t="s">
        <v>510</v>
      </c>
      <c r="C57" s="438">
        <f>+C55-C56</f>
        <v>2498000</v>
      </c>
      <c r="J57" s="121"/>
    </row>
    <row r="58" spans="2:10" x14ac:dyDescent="0.35">
      <c r="J58" s="121"/>
    </row>
    <row r="59" spans="2:10" x14ac:dyDescent="0.35">
      <c r="J59" s="121"/>
    </row>
    <row r="60" spans="2:10" x14ac:dyDescent="0.35">
      <c r="J60" s="121"/>
    </row>
    <row r="62" spans="2:10" x14ac:dyDescent="0.35">
      <c r="B62" s="437" t="s">
        <v>246</v>
      </c>
      <c r="C62" s="436">
        <f>C52*F43</f>
        <v>0</v>
      </c>
    </row>
    <row r="64" spans="2:10" x14ac:dyDescent="0.35">
      <c r="B64" s="437"/>
      <c r="C64" s="436"/>
    </row>
  </sheetData>
  <mergeCells count="2">
    <mergeCell ref="B1:C1"/>
    <mergeCell ref="A36:I3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7D391-81BA-425E-AC37-9FB9C32A44A8}">
  <sheetPr codeName="Hoja23"/>
  <dimension ref="B1:E33"/>
  <sheetViews>
    <sheetView workbookViewId="0">
      <selection activeCell="E9" sqref="E9"/>
    </sheetView>
  </sheetViews>
  <sheetFormatPr baseColWidth="10" defaultColWidth="11.453125" defaultRowHeight="14.5" x14ac:dyDescent="0.35"/>
  <cols>
    <col min="2" max="2" width="38.1796875" customWidth="1"/>
    <col min="3" max="3" width="27.81640625" customWidth="1"/>
    <col min="4" max="4" width="11.453125" style="119"/>
  </cols>
  <sheetData>
    <row r="1" spans="2:5" x14ac:dyDescent="0.35">
      <c r="B1" s="761" t="s">
        <v>452</v>
      </c>
      <c r="C1" s="761"/>
      <c r="D1" s="761"/>
    </row>
    <row r="2" spans="2:5" ht="15" thickBot="1" x14ac:dyDescent="0.4">
      <c r="B2" s="349" t="s">
        <v>38</v>
      </c>
      <c r="C2" s="350" t="s">
        <v>443</v>
      </c>
      <c r="D2" s="119">
        <f>7000*1.16</f>
        <v>8119.9999999999991</v>
      </c>
      <c r="E2" s="150">
        <f>D2/1.16</f>
        <v>7000</v>
      </c>
    </row>
    <row r="3" spans="2:5" ht="15" thickBot="1" x14ac:dyDescent="0.4">
      <c r="B3" s="351" t="s">
        <v>39</v>
      </c>
      <c r="C3" s="352" t="s">
        <v>444</v>
      </c>
      <c r="D3" s="119">
        <f>5000*1.16</f>
        <v>5800</v>
      </c>
      <c r="E3" s="150">
        <f t="shared" ref="E3:E33" si="0">D3/1.16</f>
        <v>5000</v>
      </c>
    </row>
    <row r="4" spans="2:5" ht="15" thickBot="1" x14ac:dyDescent="0.4">
      <c r="B4" s="351" t="s">
        <v>40</v>
      </c>
      <c r="C4" s="352" t="s">
        <v>444</v>
      </c>
      <c r="D4" s="119">
        <f t="shared" ref="D4:D33" si="1">5000*1.16</f>
        <v>5800</v>
      </c>
      <c r="E4" s="150">
        <f t="shared" si="0"/>
        <v>5000</v>
      </c>
    </row>
    <row r="5" spans="2:5" ht="15" thickBot="1" x14ac:dyDescent="0.4">
      <c r="B5" s="349" t="s">
        <v>41</v>
      </c>
      <c r="C5" s="350" t="s">
        <v>445</v>
      </c>
      <c r="D5" s="119">
        <f t="shared" si="1"/>
        <v>5800</v>
      </c>
      <c r="E5" s="150">
        <f t="shared" si="0"/>
        <v>5000</v>
      </c>
    </row>
    <row r="6" spans="2:5" ht="15" thickBot="1" x14ac:dyDescent="0.4">
      <c r="B6" s="349" t="s">
        <v>44</v>
      </c>
      <c r="C6" s="350" t="s">
        <v>445</v>
      </c>
      <c r="D6" s="119">
        <f t="shared" si="1"/>
        <v>5800</v>
      </c>
      <c r="E6" s="150">
        <f t="shared" si="0"/>
        <v>5000</v>
      </c>
    </row>
    <row r="7" spans="2:5" ht="15" thickBot="1" x14ac:dyDescent="0.4">
      <c r="B7" s="349" t="s">
        <v>45</v>
      </c>
      <c r="C7" s="350" t="s">
        <v>445</v>
      </c>
      <c r="D7" s="119">
        <f t="shared" si="1"/>
        <v>5800</v>
      </c>
      <c r="E7" s="150">
        <f t="shared" si="0"/>
        <v>5000</v>
      </c>
    </row>
    <row r="8" spans="2:5" ht="15" thickBot="1" x14ac:dyDescent="0.4">
      <c r="B8" s="349" t="s">
        <v>42</v>
      </c>
      <c r="C8" s="350" t="s">
        <v>445</v>
      </c>
      <c r="D8" s="119">
        <f t="shared" si="1"/>
        <v>5800</v>
      </c>
      <c r="E8" s="150">
        <f t="shared" si="0"/>
        <v>5000</v>
      </c>
    </row>
    <row r="9" spans="2:5" ht="15" thickBot="1" x14ac:dyDescent="0.4">
      <c r="B9" s="349" t="s">
        <v>43</v>
      </c>
      <c r="C9" s="350" t="s">
        <v>446</v>
      </c>
      <c r="D9" s="119">
        <f>4000*1.16</f>
        <v>4640</v>
      </c>
      <c r="E9" s="150">
        <f t="shared" si="0"/>
        <v>4000.0000000000005</v>
      </c>
    </row>
    <row r="10" spans="2:5" ht="15" thickBot="1" x14ac:dyDescent="0.4">
      <c r="B10" s="351" t="s">
        <v>46</v>
      </c>
      <c r="C10" s="352" t="s">
        <v>447</v>
      </c>
      <c r="D10" s="119">
        <v>15000</v>
      </c>
      <c r="E10" s="150">
        <f t="shared" si="0"/>
        <v>12931.034482758621</v>
      </c>
    </row>
    <row r="11" spans="2:5" ht="15" thickBot="1" x14ac:dyDescent="0.4">
      <c r="B11" s="349" t="s">
        <v>47</v>
      </c>
      <c r="C11" s="350" t="s">
        <v>445</v>
      </c>
      <c r="D11" s="119">
        <f t="shared" si="1"/>
        <v>5800</v>
      </c>
      <c r="E11" s="150">
        <f t="shared" si="0"/>
        <v>5000</v>
      </c>
    </row>
    <row r="12" spans="2:5" ht="15" thickBot="1" x14ac:dyDescent="0.4">
      <c r="B12" s="351" t="s">
        <v>48</v>
      </c>
      <c r="C12" s="352" t="s">
        <v>447</v>
      </c>
      <c r="D12" s="119">
        <v>15000</v>
      </c>
      <c r="E12" s="150">
        <f t="shared" si="0"/>
        <v>12931.034482758621</v>
      </c>
    </row>
    <row r="13" spans="2:5" ht="15" thickBot="1" x14ac:dyDescent="0.4">
      <c r="B13" s="349" t="s">
        <v>49</v>
      </c>
      <c r="C13" s="350" t="s">
        <v>445</v>
      </c>
      <c r="D13" s="119">
        <f t="shared" si="1"/>
        <v>5800</v>
      </c>
      <c r="E13" s="150">
        <f t="shared" si="0"/>
        <v>5000</v>
      </c>
    </row>
    <row r="14" spans="2:5" ht="15" thickBot="1" x14ac:dyDescent="0.4">
      <c r="B14" s="349" t="s">
        <v>50</v>
      </c>
      <c r="C14" s="350" t="s">
        <v>445</v>
      </c>
      <c r="D14" s="119">
        <f t="shared" si="1"/>
        <v>5800</v>
      </c>
      <c r="E14" s="150">
        <f t="shared" si="0"/>
        <v>5000</v>
      </c>
    </row>
    <row r="15" spans="2:5" ht="15" thickBot="1" x14ac:dyDescent="0.4">
      <c r="B15" s="349" t="s">
        <v>51</v>
      </c>
      <c r="C15" s="350" t="s">
        <v>445</v>
      </c>
      <c r="D15" s="119">
        <f t="shared" si="1"/>
        <v>5800</v>
      </c>
      <c r="E15" s="150">
        <f t="shared" si="0"/>
        <v>5000</v>
      </c>
    </row>
    <row r="16" spans="2:5" ht="15" thickBot="1" x14ac:dyDescent="0.4">
      <c r="B16" s="351" t="s">
        <v>52</v>
      </c>
      <c r="C16" s="352" t="s">
        <v>445</v>
      </c>
      <c r="D16" s="119">
        <f t="shared" si="1"/>
        <v>5800</v>
      </c>
      <c r="E16" s="150">
        <f t="shared" si="0"/>
        <v>5000</v>
      </c>
    </row>
    <row r="17" spans="2:5" ht="15" thickBot="1" x14ac:dyDescent="0.4">
      <c r="B17" s="349" t="s">
        <v>53</v>
      </c>
      <c r="C17" s="350" t="s">
        <v>445</v>
      </c>
      <c r="D17" s="119">
        <f t="shared" si="1"/>
        <v>5800</v>
      </c>
      <c r="E17" s="150">
        <f t="shared" si="0"/>
        <v>5000</v>
      </c>
    </row>
    <row r="18" spans="2:5" ht="15" thickBot="1" x14ac:dyDescent="0.4">
      <c r="B18" s="349" t="s">
        <v>54</v>
      </c>
      <c r="C18" s="350" t="s">
        <v>445</v>
      </c>
      <c r="D18" s="119">
        <f t="shared" si="1"/>
        <v>5800</v>
      </c>
      <c r="E18" s="150">
        <f t="shared" si="0"/>
        <v>5000</v>
      </c>
    </row>
    <row r="19" spans="2:5" ht="15" thickBot="1" x14ac:dyDescent="0.4">
      <c r="B19" s="349" t="s">
        <v>55</v>
      </c>
      <c r="C19" s="350" t="s">
        <v>448</v>
      </c>
      <c r="D19" s="119">
        <f t="shared" si="1"/>
        <v>5800</v>
      </c>
      <c r="E19" s="150">
        <f t="shared" si="0"/>
        <v>5000</v>
      </c>
    </row>
    <row r="20" spans="2:5" ht="15" thickBot="1" x14ac:dyDescent="0.4">
      <c r="B20" s="349" t="s">
        <v>711</v>
      </c>
      <c r="C20" s="350" t="s">
        <v>445</v>
      </c>
      <c r="D20" s="119">
        <f t="shared" si="1"/>
        <v>5800</v>
      </c>
      <c r="E20" s="150">
        <f t="shared" si="0"/>
        <v>5000</v>
      </c>
    </row>
    <row r="21" spans="2:5" ht="58.5" thickBot="1" x14ac:dyDescent="0.4">
      <c r="B21" s="349" t="s">
        <v>56</v>
      </c>
      <c r="C21" s="350" t="s">
        <v>449</v>
      </c>
      <c r="D21" s="119">
        <v>8119.9999999999991</v>
      </c>
      <c r="E21" s="150">
        <f t="shared" si="0"/>
        <v>7000</v>
      </c>
    </row>
    <row r="22" spans="2:5" ht="15" thickBot="1" x14ac:dyDescent="0.4">
      <c r="B22" s="349" t="s">
        <v>57</v>
      </c>
      <c r="C22" s="350" t="s">
        <v>450</v>
      </c>
      <c r="D22" s="119">
        <f t="shared" si="1"/>
        <v>5800</v>
      </c>
      <c r="E22" s="150">
        <f t="shared" si="0"/>
        <v>5000</v>
      </c>
    </row>
    <row r="23" spans="2:5" ht="15" thickBot="1" x14ac:dyDescent="0.4">
      <c r="B23" s="349" t="s">
        <v>58</v>
      </c>
      <c r="C23" s="350" t="s">
        <v>445</v>
      </c>
      <c r="D23" s="119">
        <f t="shared" si="1"/>
        <v>5800</v>
      </c>
      <c r="E23" s="150">
        <f t="shared" si="0"/>
        <v>5000</v>
      </c>
    </row>
    <row r="24" spans="2:5" ht="15" thickBot="1" x14ac:dyDescent="0.4">
      <c r="B24" s="349" t="s">
        <v>59</v>
      </c>
      <c r="C24" s="350" t="s">
        <v>445</v>
      </c>
      <c r="D24" s="119">
        <f t="shared" si="1"/>
        <v>5800</v>
      </c>
      <c r="E24" s="150">
        <f t="shared" si="0"/>
        <v>5000</v>
      </c>
    </row>
    <row r="25" spans="2:5" ht="15" thickBot="1" x14ac:dyDescent="0.4">
      <c r="B25" s="349" t="s">
        <v>60</v>
      </c>
      <c r="C25" s="350" t="s">
        <v>451</v>
      </c>
      <c r="D25" s="119">
        <v>7500</v>
      </c>
      <c r="E25" s="150">
        <f t="shared" si="0"/>
        <v>6465.5172413793107</v>
      </c>
    </row>
    <row r="26" spans="2:5" ht="15" thickBot="1" x14ac:dyDescent="0.4">
      <c r="B26" s="351" t="s">
        <v>61</v>
      </c>
      <c r="C26" s="352" t="s">
        <v>445</v>
      </c>
      <c r="D26" s="119">
        <f t="shared" si="1"/>
        <v>5800</v>
      </c>
      <c r="E26" s="150">
        <f t="shared" si="0"/>
        <v>5000</v>
      </c>
    </row>
    <row r="27" spans="2:5" ht="15" thickBot="1" x14ac:dyDescent="0.4">
      <c r="B27" s="349" t="s">
        <v>62</v>
      </c>
      <c r="C27" s="350" t="s">
        <v>451</v>
      </c>
      <c r="D27" s="119">
        <f>7500*1.16</f>
        <v>8700</v>
      </c>
      <c r="E27" s="150">
        <f t="shared" si="0"/>
        <v>7500.0000000000009</v>
      </c>
    </row>
    <row r="28" spans="2:5" ht="15" thickBot="1" x14ac:dyDescent="0.4">
      <c r="B28" s="349" t="s">
        <v>63</v>
      </c>
      <c r="C28" s="350" t="s">
        <v>445</v>
      </c>
      <c r="D28" s="119">
        <f t="shared" si="1"/>
        <v>5800</v>
      </c>
      <c r="E28" s="150">
        <f t="shared" si="0"/>
        <v>5000</v>
      </c>
    </row>
    <row r="29" spans="2:5" ht="15" thickBot="1" x14ac:dyDescent="0.4">
      <c r="B29" s="349" t="s">
        <v>64</v>
      </c>
      <c r="C29" s="350" t="s">
        <v>445</v>
      </c>
      <c r="D29" s="119">
        <f t="shared" si="1"/>
        <v>5800</v>
      </c>
      <c r="E29" s="150">
        <f t="shared" si="0"/>
        <v>5000</v>
      </c>
    </row>
    <row r="30" spans="2:5" ht="15" thickBot="1" x14ac:dyDescent="0.4">
      <c r="B30" s="349" t="s">
        <v>65</v>
      </c>
      <c r="C30" s="350" t="s">
        <v>445</v>
      </c>
      <c r="D30" s="119">
        <f t="shared" si="1"/>
        <v>5800</v>
      </c>
      <c r="E30" s="150">
        <f t="shared" si="0"/>
        <v>5000</v>
      </c>
    </row>
    <row r="31" spans="2:5" ht="58.5" thickBot="1" x14ac:dyDescent="0.4">
      <c r="B31" s="349" t="s">
        <v>66</v>
      </c>
      <c r="C31" s="350" t="s">
        <v>449</v>
      </c>
      <c r="D31" s="119">
        <v>8119.9999999999991</v>
      </c>
      <c r="E31" s="150">
        <f t="shared" si="0"/>
        <v>7000</v>
      </c>
    </row>
    <row r="32" spans="2:5" ht="15" thickBot="1" x14ac:dyDescent="0.4">
      <c r="B32" s="349" t="s">
        <v>67</v>
      </c>
      <c r="C32" s="350" t="s">
        <v>445</v>
      </c>
      <c r="D32" s="119">
        <f t="shared" si="1"/>
        <v>5800</v>
      </c>
      <c r="E32" s="150">
        <f t="shared" si="0"/>
        <v>5000</v>
      </c>
    </row>
    <row r="33" spans="2:5" ht="15" thickBot="1" x14ac:dyDescent="0.4">
      <c r="B33" s="349" t="s">
        <v>68</v>
      </c>
      <c r="C33" s="350" t="s">
        <v>445</v>
      </c>
      <c r="D33" s="119">
        <f t="shared" si="1"/>
        <v>5800</v>
      </c>
      <c r="E33" s="150">
        <f t="shared" si="0"/>
        <v>5000</v>
      </c>
    </row>
  </sheetData>
  <mergeCells count="1">
    <mergeCell ref="B1:D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Q314"/>
  <sheetViews>
    <sheetView showGridLines="0" zoomScale="120" zoomScaleNormal="120" workbookViewId="0">
      <selection activeCell="C4" sqref="C4:E4"/>
    </sheetView>
  </sheetViews>
  <sheetFormatPr baseColWidth="10" defaultColWidth="0" defaultRowHeight="11.65" customHeight="1" zeroHeight="1" x14ac:dyDescent="0.25"/>
  <cols>
    <col min="1" max="1" width="1.7265625" style="304" customWidth="1"/>
    <col min="2" max="2" width="19.54296875" style="304" customWidth="1"/>
    <col min="3" max="3" width="17.7265625" style="304" customWidth="1"/>
    <col min="4" max="4" width="19.36328125" style="304" customWidth="1"/>
    <col min="5" max="5" width="23.81640625" style="304" customWidth="1"/>
    <col min="6" max="6" width="4.26953125" style="304" customWidth="1"/>
    <col min="7" max="13" width="25.54296875" style="304" hidden="1" customWidth="1"/>
    <col min="14" max="14" width="29" style="304" hidden="1" customWidth="1"/>
    <col min="15" max="17" width="0" style="304" hidden="1" customWidth="1"/>
    <col min="18" max="16384" width="25.54296875" style="304" hidden="1"/>
  </cols>
  <sheetData>
    <row r="1" spans="2:17" ht="11.65" customHeight="1" x14ac:dyDescent="0.25"/>
    <row r="2" spans="2:17" ht="11.65" customHeight="1" x14ac:dyDescent="0.25"/>
    <row r="3" spans="2:17" ht="11.65" customHeight="1" x14ac:dyDescent="0.25">
      <c r="H3" s="562"/>
      <c r="I3" s="304" t="str">
        <f>VLOOKUP(Simulador!$F$9,'Tabla Notaría'!M6:Q29,5,0)</f>
        <v>Tasa fija con amortización creciente</v>
      </c>
    </row>
    <row r="4" spans="2:17" ht="11.65" customHeight="1" x14ac:dyDescent="0.3">
      <c r="B4" s="443" t="s">
        <v>394</v>
      </c>
      <c r="C4" s="913"/>
      <c r="D4" s="913"/>
      <c r="E4" s="913"/>
      <c r="M4" s="304" t="s">
        <v>115</v>
      </c>
      <c r="O4" s="305" t="str">
        <f>Simulador!F9&amp;Simulador!N7</f>
        <v>AdquisiciónTradicional</v>
      </c>
    </row>
    <row r="5" spans="2:17" ht="11.65" customHeight="1" x14ac:dyDescent="0.3">
      <c r="B5" s="444" t="s">
        <v>395</v>
      </c>
      <c r="D5" s="440" t="s">
        <v>401</v>
      </c>
      <c r="E5" s="716" t="str">
        <f>IF(Sheet1!$Z$1=4,"Pagos Crecientes",I3)</f>
        <v>Tasa fija con amortización creciente</v>
      </c>
      <c r="M5" s="306" t="s">
        <v>2</v>
      </c>
      <c r="N5" s="306" t="s">
        <v>83</v>
      </c>
    </row>
    <row r="6" spans="2:17" ht="11.65" customHeight="1" x14ac:dyDescent="0.25">
      <c r="B6" s="713" t="s">
        <v>737</v>
      </c>
      <c r="C6" s="713"/>
      <c r="D6" s="714">
        <f>Simulador!$F$62</f>
        <v>0.11</v>
      </c>
      <c r="E6" s="562"/>
      <c r="M6" s="307" t="s">
        <v>15</v>
      </c>
      <c r="N6" s="304" t="s">
        <v>382</v>
      </c>
      <c r="O6" s="304" t="str">
        <f>M6&amp;N6</f>
        <v>AdquisiciónTradicional</v>
      </c>
      <c r="Q6" s="304" t="s">
        <v>402</v>
      </c>
    </row>
    <row r="7" spans="2:17" ht="11.65" customHeight="1" x14ac:dyDescent="0.25">
      <c r="B7" s="444" t="s">
        <v>416</v>
      </c>
      <c r="D7" s="715">
        <f>IF(Simulador!$N$17='Tabla Parámetros'!$N$10,Simulador!$H$48+Simulador!$L$46,IF(Simulador!$N$17='Tabla Parámetros'!$N$11,Simulador!H48,))</f>
        <v>1000000</v>
      </c>
      <c r="E7" s="441"/>
      <c r="M7" s="307" t="s">
        <v>15</v>
      </c>
      <c r="N7" s="304" t="s">
        <v>7</v>
      </c>
      <c r="O7" s="304" t="str">
        <f t="shared" ref="O7:O29" si="0">M7&amp;N7</f>
        <v>AdquisiciónApoyo INFONAVIT</v>
      </c>
      <c r="Q7" s="304" t="s">
        <v>403</v>
      </c>
    </row>
    <row r="8" spans="2:17" ht="11.65" customHeight="1" x14ac:dyDescent="0.25">
      <c r="B8" s="444" t="s">
        <v>396</v>
      </c>
      <c r="D8" s="440" t="str">
        <f>Simulador!$F$9</f>
        <v>Adquisición</v>
      </c>
      <c r="M8" s="307" t="s">
        <v>15</v>
      </c>
      <c r="N8" s="304" t="s">
        <v>8</v>
      </c>
      <c r="O8" s="304" t="str">
        <f t="shared" si="0"/>
        <v>AdquisiciónCofinavit</v>
      </c>
      <c r="Q8" s="304" t="s">
        <v>404</v>
      </c>
    </row>
    <row r="9" spans="2:17" ht="11.65" customHeight="1" x14ac:dyDescent="0.25">
      <c r="B9" s="444" t="s">
        <v>1</v>
      </c>
      <c r="D9" s="440" t="str">
        <f>IF(OR(D8="Liquidez",D8="Terreno_Urbanizado"),"",Simulador!$F$11)</f>
        <v>Hipoteca Fuerte Cero</v>
      </c>
      <c r="E9" s="440"/>
      <c r="M9" s="307"/>
    </row>
    <row r="10" spans="2:17" ht="4.5" customHeight="1" x14ac:dyDescent="0.3">
      <c r="B10" s="268"/>
      <c r="C10" s="325"/>
      <c r="D10" s="442"/>
      <c r="E10" s="441"/>
      <c r="M10" s="307" t="s">
        <v>15</v>
      </c>
      <c r="N10" s="304" t="s">
        <v>522</v>
      </c>
      <c r="O10" s="304" t="str">
        <f t="shared" si="0"/>
        <v>AdquisiciónFOVISSSTE para todos</v>
      </c>
      <c r="Q10" s="304" t="s">
        <v>539</v>
      </c>
    </row>
    <row r="11" spans="2:17" ht="11.65" customHeight="1" x14ac:dyDescent="0.25">
      <c r="B11" s="764" t="s">
        <v>397</v>
      </c>
      <c r="C11" s="765"/>
      <c r="D11" s="765"/>
      <c r="E11" s="766"/>
      <c r="M11" s="307" t="s">
        <v>15</v>
      </c>
      <c r="N11" s="304" t="s">
        <v>483</v>
      </c>
      <c r="O11" s="304" t="str">
        <f t="shared" si="0"/>
        <v>AdquisiciónCuenta INFONAVIT + BANORTE</v>
      </c>
      <c r="Q11" s="304" t="s">
        <v>490</v>
      </c>
    </row>
    <row r="12" spans="2:17" ht="11.65" customHeight="1" x14ac:dyDescent="0.25">
      <c r="B12" s="322" t="s">
        <v>398</v>
      </c>
      <c r="C12" s="323" t="s">
        <v>325</v>
      </c>
      <c r="D12" s="323" t="s">
        <v>399</v>
      </c>
      <c r="E12" s="324" t="s">
        <v>400</v>
      </c>
      <c r="M12" s="307" t="s">
        <v>11</v>
      </c>
      <c r="N12" s="304" t="s">
        <v>382</v>
      </c>
      <c r="O12" s="304" t="str">
        <f t="shared" si="0"/>
        <v>MejoraTradicional</v>
      </c>
      <c r="Q12" s="304" t="s">
        <v>402</v>
      </c>
    </row>
    <row r="13" spans="2:17" ht="11.65" customHeight="1" x14ac:dyDescent="0.25">
      <c r="B13" s="308">
        <v>1</v>
      </c>
      <c r="C13" s="309">
        <f>IF(Simulador!$F$9='Tabla Parámetros'!$G$34,Simulador!F392,IF(Simulador!$F$9='Tabla Parámetros'!$G$35,Simulador!F392,IF(Simulador!$F$9='Tabla Parámetros'!$G$36,Simulador!F392,Simulador!F67)))</f>
        <v>1000000</v>
      </c>
      <c r="D13" s="310">
        <f>IF(B13="","",IF(Sheet1!$AA$1=3,'Tabla de Pagos Crecientes'!V7,'Tabla Fijos CAT'!G12))</f>
        <v>1132.9953218287653</v>
      </c>
      <c r="E13" s="311">
        <f t="shared" ref="E13:E76" si="1">IF(B13="","",C13-D13)</f>
        <v>998867.00467817124</v>
      </c>
      <c r="M13" s="307" t="s">
        <v>11</v>
      </c>
      <c r="N13" s="304" t="s">
        <v>7</v>
      </c>
      <c r="O13" s="304" t="str">
        <f t="shared" si="0"/>
        <v>MejoraApoyo INFONAVIT</v>
      </c>
      <c r="Q13" s="304" t="s">
        <v>403</v>
      </c>
    </row>
    <row r="14" spans="2:17" ht="11.65" customHeight="1" x14ac:dyDescent="0.25">
      <c r="B14" s="312">
        <f>IF(B13=Simulador!$H$49,"",IF(B13="","",'Tabla Notaría'!B13+1))</f>
        <v>2</v>
      </c>
      <c r="C14" s="313">
        <f>IF(B14="","",C13-D13)</f>
        <v>998867.00467817124</v>
      </c>
      <c r="D14" s="313">
        <f>IF(B14="","",IF(Sheet1!$AA$1=3,'Tabla de Pagos Crecientes'!V8,'Tabla Fijos CAT'!G13))</f>
        <v>1143.5195894848639</v>
      </c>
      <c r="E14" s="314">
        <f t="shared" si="1"/>
        <v>997723.48508868634</v>
      </c>
      <c r="M14" s="307"/>
    </row>
    <row r="15" spans="2:17" ht="11.65" customHeight="1" x14ac:dyDescent="0.25">
      <c r="B15" s="312">
        <f>IF(B14=Simulador!$H$49,"",IF(B14="","",'Tabla Notaría'!B14+1))</f>
        <v>3</v>
      </c>
      <c r="C15" s="313">
        <f t="shared" ref="C15:C78" si="2">IF(B15="","",C14-D14)</f>
        <v>997723.48508868634</v>
      </c>
      <c r="D15" s="313">
        <f>IF(B15="","",IF(Sheet1!$AA$1=3,'Tabla de Pagos Crecientes'!V9,'Tabla Fijos CAT'!G14))</f>
        <v>1154.1416158938573</v>
      </c>
      <c r="E15" s="314">
        <f t="shared" si="1"/>
        <v>996569.34347279253</v>
      </c>
      <c r="M15" s="307" t="s">
        <v>440</v>
      </c>
      <c r="N15" s="304" t="s">
        <v>382</v>
      </c>
      <c r="O15" s="304" t="str">
        <f t="shared" si="0"/>
        <v>Mejora_más_RemodelaciónTradicional</v>
      </c>
      <c r="Q15" s="304" t="s">
        <v>402</v>
      </c>
    </row>
    <row r="16" spans="2:17" ht="11.65" customHeight="1" x14ac:dyDescent="0.25">
      <c r="B16" s="312">
        <f>IF(B15=Simulador!$H$49,"",IF(B15="","",'Tabla Notaría'!B15+1))</f>
        <v>4</v>
      </c>
      <c r="C16" s="313">
        <f t="shared" si="2"/>
        <v>996569.34347279253</v>
      </c>
      <c r="D16" s="313">
        <f>IF(B16="","",IF(Sheet1!$AA$1=3,'Tabla de Pagos Crecientes'!V10,'Tabla Fijos CAT'!G15))</f>
        <v>1164.862309125936</v>
      </c>
      <c r="E16" s="314">
        <f t="shared" si="1"/>
        <v>995404.48116366658</v>
      </c>
      <c r="M16" s="307"/>
    </row>
    <row r="17" spans="2:17" ht="11.65" customHeight="1" x14ac:dyDescent="0.25">
      <c r="B17" s="312">
        <f>IF(B16=Simulador!$H$49,"",IF(B16="","",'Tabla Notaría'!B16+1))</f>
        <v>5</v>
      </c>
      <c r="C17" s="313">
        <f t="shared" si="2"/>
        <v>995404.48116366658</v>
      </c>
      <c r="D17" s="313">
        <f>IF(B17="","",IF(Sheet1!$AA$1=3,'Tabla de Pagos Crecientes'!V11,'Tabla Fijos CAT'!G16))</f>
        <v>1175.6825856862615</v>
      </c>
      <c r="E17" s="314">
        <f t="shared" si="1"/>
        <v>994228.79857798037</v>
      </c>
      <c r="M17" s="307" t="s">
        <v>13</v>
      </c>
      <c r="N17" s="304" t="s">
        <v>382</v>
      </c>
      <c r="O17" s="304" t="str">
        <f t="shared" si="0"/>
        <v>RemodelaciónTradicional</v>
      </c>
      <c r="Q17" s="304" t="s">
        <v>402</v>
      </c>
    </row>
    <row r="18" spans="2:17" ht="11.65" customHeight="1" x14ac:dyDescent="0.25">
      <c r="B18" s="312">
        <f>IF(B17=Simulador!$H$49,"",IF(B17="","",'Tabla Notaría'!B17+1))</f>
        <v>6</v>
      </c>
      <c r="C18" s="313">
        <f t="shared" si="2"/>
        <v>994228.79857798037</v>
      </c>
      <c r="D18" s="313">
        <f>IF(B18="","",IF(Sheet1!$AA$1=3,'Tabla de Pagos Crecientes'!V12,'Tabla Fijos CAT'!G17))</f>
        <v>1186.6033705933023</v>
      </c>
      <c r="E18" s="314">
        <f t="shared" si="1"/>
        <v>993042.19520738709</v>
      </c>
      <c r="M18" s="307"/>
    </row>
    <row r="19" spans="2:17" ht="11.65" customHeight="1" x14ac:dyDescent="0.25">
      <c r="B19" s="312">
        <f>IF(B18=Simulador!$H$49,"",IF(B18="","",'Tabla Notaría'!B18+1))</f>
        <v>7</v>
      </c>
      <c r="C19" s="313">
        <f t="shared" si="2"/>
        <v>993042.19520738709</v>
      </c>
      <c r="D19" s="313">
        <f>IF(B19="","",IF(Sheet1!$AA$1=3,'Tabla de Pagos Crecientes'!V13,'Tabla Fijos CAT'!G18))</f>
        <v>1197.6255974579253</v>
      </c>
      <c r="E19" s="314">
        <f t="shared" si="1"/>
        <v>991844.56960992911</v>
      </c>
      <c r="M19" s="307" t="s">
        <v>12</v>
      </c>
      <c r="N19" s="304" t="s">
        <v>382</v>
      </c>
      <c r="O19" s="304" t="str">
        <f t="shared" si="0"/>
        <v>ConstrucciónTradicional</v>
      </c>
      <c r="Q19" s="304" t="s">
        <v>402</v>
      </c>
    </row>
    <row r="20" spans="2:17" ht="11.65" customHeight="1" x14ac:dyDescent="0.25">
      <c r="B20" s="312">
        <f>IF(B19=Simulador!$H$49,"",IF(B19="","",'Tabla Notaría'!B19+1))</f>
        <v>8</v>
      </c>
      <c r="C20" s="313">
        <f t="shared" si="2"/>
        <v>991844.56960992911</v>
      </c>
      <c r="D20" s="313">
        <f>IF(B20="","",IF(Sheet1!$AA$1=3,'Tabla de Pagos Crecientes'!V14,'Tabla Fijos CAT'!G19))</f>
        <v>1208.7502085632022</v>
      </c>
      <c r="E20" s="314">
        <f t="shared" si="1"/>
        <v>990635.81940136594</v>
      </c>
      <c r="M20" s="307" t="s">
        <v>12</v>
      </c>
      <c r="N20" s="304" t="s">
        <v>7</v>
      </c>
      <c r="O20" s="304" t="str">
        <f t="shared" si="0"/>
        <v>ConstrucciónApoyo INFONAVIT</v>
      </c>
      <c r="Q20" s="304" t="s">
        <v>403</v>
      </c>
    </row>
    <row r="21" spans="2:17" ht="11.65" customHeight="1" x14ac:dyDescent="0.25">
      <c r="B21" s="312">
        <f>IF(B20=Simulador!$H$49,"",IF(B20="","",'Tabla Notaría'!B20+1))</f>
        <v>9</v>
      </c>
      <c r="C21" s="313">
        <f t="shared" si="2"/>
        <v>990635.81940136594</v>
      </c>
      <c r="D21" s="313">
        <f>IF(B21="","",IF(Sheet1!$AA$1=3,'Tabla de Pagos Crecientes'!V15,'Tabla Fijos CAT'!G20))</f>
        <v>1219.9781549449654</v>
      </c>
      <c r="E21" s="314">
        <f t="shared" si="1"/>
        <v>989415.84124642098</v>
      </c>
      <c r="M21" s="307"/>
    </row>
    <row r="22" spans="2:17" ht="11.65" customHeight="1" x14ac:dyDescent="0.25">
      <c r="B22" s="312">
        <f>IF(B21=Simulador!$H$49,"",IF(B21="","",'Tabla Notaría'!B21+1))</f>
        <v>10</v>
      </c>
      <c r="C22" s="313">
        <f t="shared" si="2"/>
        <v>989415.84124642098</v>
      </c>
      <c r="D22" s="313">
        <f>IF(B22="","",IF(Sheet1!$AA$1=3,'Tabla de Pagos Crecientes'!V16,'Tabla Fijos CAT'!G21))</f>
        <v>1231.3103964731217</v>
      </c>
      <c r="E22" s="314">
        <f t="shared" si="1"/>
        <v>988184.53084994783</v>
      </c>
      <c r="M22" s="307" t="s">
        <v>327</v>
      </c>
      <c r="N22" s="304" t="s">
        <v>382</v>
      </c>
      <c r="O22" s="304" t="str">
        <f t="shared" si="0"/>
        <v>Terreno_más_ConstrucciónTradicional</v>
      </c>
      <c r="Q22" s="304" t="s">
        <v>402</v>
      </c>
    </row>
    <row r="23" spans="2:17" ht="11.65" customHeight="1" x14ac:dyDescent="0.25">
      <c r="B23" s="312">
        <f>IF(B22=Simulador!$H$49,"",IF(B22="","",'Tabla Notaría'!B22+1))</f>
        <v>11</v>
      </c>
      <c r="C23" s="313">
        <f t="shared" si="2"/>
        <v>988184.53084994783</v>
      </c>
      <c r="D23" s="313">
        <f>IF(B23="","",IF(Sheet1!$AA$1=3,'Tabla de Pagos Crecientes'!V17,'Tabla Fijos CAT'!G22))</f>
        <v>1242.7479019336934</v>
      </c>
      <c r="E23" s="314">
        <f t="shared" si="1"/>
        <v>986941.78294801409</v>
      </c>
      <c r="M23" s="307" t="s">
        <v>327</v>
      </c>
      <c r="N23" s="304" t="s">
        <v>7</v>
      </c>
      <c r="O23" s="304" t="str">
        <f t="shared" si="0"/>
        <v>Terreno_más_ConstrucciónApoyo INFONAVIT</v>
      </c>
      <c r="Q23" s="304" t="s">
        <v>403</v>
      </c>
    </row>
    <row r="24" spans="2:17" ht="11.65" customHeight="1" x14ac:dyDescent="0.25">
      <c r="B24" s="315">
        <f>IF(B23=Simulador!$H$49,"",IF(B23="","",'Tabla Notaría'!B23+1))</f>
        <v>12</v>
      </c>
      <c r="C24" s="316">
        <f t="shared" si="2"/>
        <v>986941.78294801409</v>
      </c>
      <c r="D24" s="316">
        <f>IF(B24="","",IF(Sheet1!$AA$1=3,'Tabla de Pagos Crecientes'!V18,'Tabla Fijos CAT'!G23))</f>
        <v>1254.2916491116557</v>
      </c>
      <c r="E24" s="317">
        <f t="shared" si="1"/>
        <v>985687.49129890243</v>
      </c>
      <c r="M24" s="307"/>
    </row>
    <row r="25" spans="2:17" ht="11.65" customHeight="1" x14ac:dyDescent="0.25">
      <c r="B25" s="308">
        <f>IF(B24=Simulador!$H$49,"",IF(B24="","",'Tabla Notaría'!B24+1))</f>
        <v>13</v>
      </c>
      <c r="C25" s="309">
        <f t="shared" si="2"/>
        <v>985687.49129890243</v>
      </c>
      <c r="D25" s="310">
        <f>IF(B25="","",IF(Sheet1!$AA$1=3,'Tabla de Pagos Crecientes'!V19,'Tabla Fijos CAT'!G24))</f>
        <v>1265.9426248745167</v>
      </c>
      <c r="E25" s="311">
        <f t="shared" si="1"/>
        <v>984421.5486740279</v>
      </c>
      <c r="M25" s="307" t="s">
        <v>328</v>
      </c>
      <c r="N25" s="304" t="s">
        <v>382</v>
      </c>
      <c r="O25" s="304" t="str">
        <f t="shared" si="0"/>
        <v>Compra_Venta_Termino_ObraTradicional</v>
      </c>
      <c r="Q25" s="304" t="s">
        <v>402</v>
      </c>
    </row>
    <row r="26" spans="2:17" ht="11.65" customHeight="1" x14ac:dyDescent="0.25">
      <c r="B26" s="312">
        <f>IF(B25=Simulador!$H$49,"",IF(B25="","",'Tabla Notaría'!B25+1))</f>
        <v>14</v>
      </c>
      <c r="C26" s="313">
        <f t="shared" si="2"/>
        <v>984421.5486740279</v>
      </c>
      <c r="D26" s="313">
        <f>IF(B26="","",IF(Sheet1!$AA$1=3,'Tabla de Pagos Crecientes'!V20,'Tabla Fijos CAT'!G25))</f>
        <v>1277.7018252566832</v>
      </c>
      <c r="E26" s="314">
        <f t="shared" si="1"/>
        <v>983143.84684877121</v>
      </c>
      <c r="M26" s="307" t="s">
        <v>328</v>
      </c>
      <c r="N26" s="304" t="s">
        <v>7</v>
      </c>
      <c r="O26" s="304" t="str">
        <f t="shared" si="0"/>
        <v>Compra_Venta_Termino_ObraApoyo INFONAVIT</v>
      </c>
      <c r="Q26" s="304" t="s">
        <v>403</v>
      </c>
    </row>
    <row r="27" spans="2:17" ht="11.65" customHeight="1" x14ac:dyDescent="0.25">
      <c r="B27" s="312">
        <f>IF(B26=Simulador!$H$49,"",IF(B26="","",'Tabla Notaría'!B26+1))</f>
        <v>15</v>
      </c>
      <c r="C27" s="313">
        <f t="shared" si="2"/>
        <v>983143.84684877121</v>
      </c>
      <c r="D27" s="313">
        <f>IF(B27="","",IF(Sheet1!$AA$1=3,'Tabla de Pagos Crecientes'!V21,'Tabla Fijos CAT'!G26))</f>
        <v>1289.5702555446242</v>
      </c>
      <c r="E27" s="314">
        <f t="shared" si="1"/>
        <v>981854.27659322659</v>
      </c>
      <c r="M27" s="307"/>
    </row>
    <row r="28" spans="2:17" ht="11.65" customHeight="1" x14ac:dyDescent="0.25">
      <c r="B28" s="312">
        <f>IF(B27=Simulador!$H$49,"",IF(B27="","",'Tabla Notaría'!B27+1))</f>
        <v>16</v>
      </c>
      <c r="C28" s="313">
        <f t="shared" si="2"/>
        <v>981854.27659322659</v>
      </c>
      <c r="D28" s="313">
        <f>IF(B28="","",IF(Sheet1!$AA$1=3,'Tabla de Pagos Crecientes'!V22,'Tabla Fijos CAT'!G27))</f>
        <v>1301.5489303627928</v>
      </c>
      <c r="E28" s="314">
        <f t="shared" si="1"/>
        <v>980552.72766286379</v>
      </c>
      <c r="M28" s="307" t="s">
        <v>14</v>
      </c>
      <c r="N28" s="304" t="s">
        <v>382</v>
      </c>
      <c r="O28" s="304" t="str">
        <f t="shared" si="0"/>
        <v>LiquidezTradicional</v>
      </c>
      <c r="Q28" s="304" t="s">
        <v>402</v>
      </c>
    </row>
    <row r="29" spans="2:17" ht="11.65" customHeight="1" x14ac:dyDescent="0.25">
      <c r="B29" s="312">
        <f>IF(B28=Simulador!$H$49,"",IF(B28="","",'Tabla Notaría'!B28+1))</f>
        <v>17</v>
      </c>
      <c r="C29" s="313">
        <f t="shared" si="2"/>
        <v>980552.72766286379</v>
      </c>
      <c r="D29" s="313">
        <f>IF(B29="","",IF(Sheet1!$AA$1=3,'Tabla de Pagos Crecientes'!V23,'Tabla Fijos CAT'!G28))</f>
        <v>1313.6388737603866</v>
      </c>
      <c r="E29" s="314">
        <f t="shared" si="1"/>
        <v>979239.08878910344</v>
      </c>
      <c r="M29" s="307" t="s">
        <v>431</v>
      </c>
      <c r="N29" s="304" t="s">
        <v>382</v>
      </c>
      <c r="O29" s="304" t="str">
        <f t="shared" si="0"/>
        <v>Terreno_UrbanizadoTradicional</v>
      </c>
      <c r="Q29" s="304" t="s">
        <v>402</v>
      </c>
    </row>
    <row r="30" spans="2:17" ht="11.65" customHeight="1" x14ac:dyDescent="0.25">
      <c r="B30" s="312">
        <f>IF(B29=Simulador!$H$49,"",IF(B29="","",'Tabla Notaría'!B29+1))</f>
        <v>18</v>
      </c>
      <c r="C30" s="313">
        <f t="shared" si="2"/>
        <v>979239.08878910344</v>
      </c>
      <c r="D30" s="313">
        <f>IF(B30="","",IF(Sheet1!$AA$1=3,'Tabla de Pagos Crecientes'!V24,'Tabla Fijos CAT'!G29))</f>
        <v>1325.8411192988715</v>
      </c>
      <c r="E30" s="314">
        <f t="shared" si="1"/>
        <v>977913.24766980461</v>
      </c>
    </row>
    <row r="31" spans="2:17" ht="11.65" customHeight="1" x14ac:dyDescent="0.3">
      <c r="B31" s="312">
        <f>IF(B30=Simulador!$H$49,"",IF(B30="","",'Tabla Notaría'!B30+1))</f>
        <v>19</v>
      </c>
      <c r="C31" s="313">
        <f t="shared" si="2"/>
        <v>977913.24766980461</v>
      </c>
      <c r="D31" s="313">
        <f>IF(B31="","",IF(Sheet1!$AA$1=3,'Tabla de Pagos Crecientes'!V25,'Tabla Fijos CAT'!G30))</f>
        <v>1338.156710140358</v>
      </c>
      <c r="E31" s="314">
        <f t="shared" si="1"/>
        <v>976575.0909596642</v>
      </c>
      <c r="M31" s="307" t="s">
        <v>134</v>
      </c>
      <c r="O31" s="305" t="str">
        <f>Simulador!F9&amp;Simulador!N7</f>
        <v>AdquisiciónTradicional</v>
      </c>
    </row>
    <row r="32" spans="2:17" ht="11.65" customHeight="1" x14ac:dyDescent="0.3">
      <c r="B32" s="312">
        <f>IF(B31=Simulador!$H$49,"",IF(B31="","",'Tabla Notaría'!B31+1))</f>
        <v>20</v>
      </c>
      <c r="C32" s="313">
        <f t="shared" si="2"/>
        <v>976575.0909596642</v>
      </c>
      <c r="D32" s="313">
        <f>IF(B32="","",IF(Sheet1!$AA$1=3,'Tabla de Pagos Crecientes'!V26,'Tabla Fijos CAT'!G31))</f>
        <v>1350.5866991367729</v>
      </c>
      <c r="E32" s="314">
        <f t="shared" si="1"/>
        <v>975224.50426052744</v>
      </c>
      <c r="M32" s="306" t="s">
        <v>2</v>
      </c>
      <c r="N32" s="306" t="s">
        <v>83</v>
      </c>
    </row>
    <row r="33" spans="2:17" ht="11.65" customHeight="1" x14ac:dyDescent="0.25">
      <c r="B33" s="312">
        <f>IF(B32=Simulador!$H$49,"",IF(B32="","",'Tabla Notaría'!B32+1))</f>
        <v>21</v>
      </c>
      <c r="C33" s="313">
        <f t="shared" si="2"/>
        <v>975224.50426052744</v>
      </c>
      <c r="D33" s="313">
        <f>IF(B33="","",IF(Sheet1!$AA$1=3,'Tabla de Pagos Crecientes'!V27,'Tabla Fijos CAT'!G32))</f>
        <v>1363.1321489198654</v>
      </c>
      <c r="E33" s="314">
        <f t="shared" si="1"/>
        <v>973861.37211160758</v>
      </c>
      <c r="M33" s="307" t="s">
        <v>15</v>
      </c>
      <c r="N33" s="304" t="s">
        <v>382</v>
      </c>
      <c r="O33" s="304" t="str">
        <f t="shared" ref="O33:O53" si="3">M33&amp;N33</f>
        <v>AdquisiciónTradicional</v>
      </c>
      <c r="Q33" s="304" t="s">
        <v>405</v>
      </c>
    </row>
    <row r="34" spans="2:17" ht="11.65" customHeight="1" x14ac:dyDescent="0.25">
      <c r="B34" s="312">
        <f>IF(B33=Simulador!$H$49,"",IF(B33="","",'Tabla Notaría'!B33+1))</f>
        <v>22</v>
      </c>
      <c r="C34" s="313">
        <f t="shared" si="2"/>
        <v>973861.37211160758</v>
      </c>
      <c r="D34" s="313">
        <f>IF(B34="","",IF(Sheet1!$AA$1=3,'Tabla de Pagos Crecientes'!V28,'Tabla Fijos CAT'!G33))</f>
        <v>1375.7941319920556</v>
      </c>
      <c r="E34" s="314">
        <f t="shared" si="1"/>
        <v>972485.57797961554</v>
      </c>
      <c r="M34" s="307" t="s">
        <v>15</v>
      </c>
      <c r="N34" s="304" t="s">
        <v>7</v>
      </c>
      <c r="O34" s="304" t="str">
        <f t="shared" si="3"/>
        <v>AdquisiciónApoyo INFONAVIT</v>
      </c>
      <c r="Q34" s="304" t="s">
        <v>406</v>
      </c>
    </row>
    <row r="35" spans="2:17" ht="11.65" customHeight="1" x14ac:dyDescent="0.25">
      <c r="B35" s="312">
        <f>IF(B34=Simulador!$H$49,"",IF(B34="","",'Tabla Notaría'!B34+1))</f>
        <v>23</v>
      </c>
      <c r="C35" s="313">
        <f t="shared" si="2"/>
        <v>972485.57797961554</v>
      </c>
      <c r="D35" s="313">
        <f>IF(B35="","",IF(Sheet1!$AA$1=3,'Tabla de Pagos Crecientes'!V29,'Tabla Fijos CAT'!G34))</f>
        <v>1388.5737308181142</v>
      </c>
      <c r="E35" s="314">
        <f t="shared" si="1"/>
        <v>971097.00424879743</v>
      </c>
      <c r="M35" s="307" t="s">
        <v>15</v>
      </c>
      <c r="N35" s="304" t="s">
        <v>8</v>
      </c>
      <c r="O35" s="304" t="str">
        <f t="shared" si="3"/>
        <v>AdquisiciónCofinavit</v>
      </c>
      <c r="Q35" s="304" t="s">
        <v>407</v>
      </c>
    </row>
    <row r="36" spans="2:17" ht="11.65" customHeight="1" x14ac:dyDescent="0.25">
      <c r="B36" s="315">
        <f>IF(B35=Simulador!$H$49,"",IF(B35="","",'Tabla Notaría'!B35+1))</f>
        <v>24</v>
      </c>
      <c r="C36" s="316">
        <f t="shared" si="2"/>
        <v>971097.00424879743</v>
      </c>
      <c r="D36" s="316">
        <f>IF(B36="","",IF(Sheet1!$AA$1=3,'Tabla de Pagos Crecientes'!V30,'Tabla Fijos CAT'!G35))</f>
        <v>1401.4720379177143</v>
      </c>
      <c r="E36" s="317">
        <f t="shared" si="1"/>
        <v>969695.53221087973</v>
      </c>
      <c r="M36" s="307" t="s">
        <v>15</v>
      </c>
      <c r="N36" s="304" t="s">
        <v>9</v>
      </c>
      <c r="O36" s="304" t="str">
        <f t="shared" si="3"/>
        <v>AdquisiciónAlia2+</v>
      </c>
      <c r="Q36" s="304" t="s">
        <v>408</v>
      </c>
    </row>
    <row r="37" spans="2:17" ht="11.65" customHeight="1" x14ac:dyDescent="0.25">
      <c r="B37" s="308">
        <f>IF(B36=Simulador!$H$49,"",IF(B36="","",'Tabla Notaría'!B36+1))</f>
        <v>25</v>
      </c>
      <c r="C37" s="309">
        <f t="shared" si="2"/>
        <v>969695.53221087973</v>
      </c>
      <c r="D37" s="310">
        <f>IF(B37="","",IF(Sheet1!$AA$1=3,'Tabla de Pagos Crecientes'!V31,'Tabla Fijos CAT'!G36))</f>
        <v>1414.4901559588161</v>
      </c>
      <c r="E37" s="311">
        <f t="shared" si="1"/>
        <v>968281.04205492092</v>
      </c>
      <c r="M37" s="307" t="s">
        <v>15</v>
      </c>
      <c r="N37" s="304" t="s">
        <v>10</v>
      </c>
      <c r="O37" s="304" t="str">
        <f t="shared" si="3"/>
        <v>AdquisiciónRespalda2</v>
      </c>
      <c r="Q37" s="304" t="s">
        <v>409</v>
      </c>
    </row>
    <row r="38" spans="2:17" ht="11.65" customHeight="1" x14ac:dyDescent="0.25">
      <c r="B38" s="312">
        <f>IF(B37=Simulador!$H$49,"",IF(B37="","",'Tabla Notaría'!B37+1))</f>
        <v>26</v>
      </c>
      <c r="C38" s="313">
        <f t="shared" si="2"/>
        <v>968281.04205492092</v>
      </c>
      <c r="D38" s="313">
        <f>IF(B38="","",IF(Sheet1!$AA$1=3,'Tabla de Pagos Crecientes'!V32,'Tabla Fijos CAT'!G37))</f>
        <v>1427.6291978519439</v>
      </c>
      <c r="E38" s="314">
        <f t="shared" si="1"/>
        <v>966853.41285706894</v>
      </c>
      <c r="M38" s="307"/>
    </row>
    <row r="39" spans="2:17" ht="11.65" customHeight="1" x14ac:dyDescent="0.25">
      <c r="B39" s="312">
        <f>IF(B38=Simulador!$H$49,"",IF(B38="","",'Tabla Notaría'!B38+1))</f>
        <v>27</v>
      </c>
      <c r="C39" s="313">
        <f t="shared" si="2"/>
        <v>966853.41285706894</v>
      </c>
      <c r="D39" s="313">
        <f>IF(B39="","",IF(Sheet1!$AA$1=3,'Tabla de Pagos Crecientes'!V33,'Tabla Fijos CAT'!G38))</f>
        <v>1440.8902868453242</v>
      </c>
      <c r="E39" s="314">
        <f t="shared" si="1"/>
        <v>965412.52257022366</v>
      </c>
      <c r="M39" s="307" t="s">
        <v>11</v>
      </c>
      <c r="N39" s="304" t="s">
        <v>382</v>
      </c>
      <c r="O39" s="304" t="str">
        <f t="shared" si="3"/>
        <v>MejoraTradicional</v>
      </c>
      <c r="Q39" s="304" t="s">
        <v>405</v>
      </c>
    </row>
    <row r="40" spans="2:17" ht="11.65" customHeight="1" x14ac:dyDescent="0.25">
      <c r="B40" s="312">
        <f>IF(B39=Simulador!$H$49,"",IF(B39="","",'Tabla Notaría'!B39+1))</f>
        <v>28</v>
      </c>
      <c r="C40" s="313">
        <f t="shared" si="2"/>
        <v>965412.52257022366</v>
      </c>
      <c r="D40" s="313">
        <f>IF(B40="","",IF(Sheet1!$AA$1=3,'Tabla de Pagos Crecientes'!V34,'Tabla Fijos CAT'!G39))</f>
        <v>1454.2745566209105</v>
      </c>
      <c r="E40" s="314">
        <f t="shared" si="1"/>
        <v>963958.2480136028</v>
      </c>
      <c r="M40" s="307" t="s">
        <v>11</v>
      </c>
      <c r="N40" s="304" t="s">
        <v>7</v>
      </c>
      <c r="O40" s="304" t="str">
        <f t="shared" si="3"/>
        <v>MejoraApoyo INFONAVIT</v>
      </c>
      <c r="Q40" s="304" t="s">
        <v>406</v>
      </c>
    </row>
    <row r="41" spans="2:17" ht="11.65" customHeight="1" x14ac:dyDescent="0.25">
      <c r="B41" s="312">
        <f>IF(B40=Simulador!$H$49,"",IF(B40="","",'Tabla Notaría'!B40+1))</f>
        <v>29</v>
      </c>
      <c r="C41" s="313">
        <f t="shared" si="2"/>
        <v>963958.2480136028</v>
      </c>
      <c r="D41" s="313">
        <f>IF(B41="","",IF(Sheet1!$AA$1=3,'Tabla de Pagos Crecientes'!V35,'Tabla Fijos CAT'!G40))</f>
        <v>1467.7831513912988</v>
      </c>
      <c r="E41" s="314">
        <f t="shared" si="1"/>
        <v>962490.46486221149</v>
      </c>
      <c r="M41" s="307"/>
    </row>
    <row r="42" spans="2:17" ht="11.65" customHeight="1" x14ac:dyDescent="0.25">
      <c r="B42" s="312">
        <f>IF(B41=Simulador!$H$49,"",IF(B41="","",'Tabla Notaría'!B41+1))</f>
        <v>30</v>
      </c>
      <c r="C42" s="313">
        <f t="shared" si="2"/>
        <v>962490.46486221149</v>
      </c>
      <c r="D42" s="313">
        <f>IF(B42="","",IF(Sheet1!$AA$1=3,'Tabla de Pagos Crecientes'!V36,'Tabla Fijos CAT'!G41))</f>
        <v>1481.4172259975567</v>
      </c>
      <c r="E42" s="314">
        <f t="shared" si="1"/>
        <v>961009.04763621395</v>
      </c>
      <c r="M42" s="307" t="s">
        <v>221</v>
      </c>
      <c r="N42" s="304" t="s">
        <v>382</v>
      </c>
      <c r="O42" s="304" t="str">
        <f t="shared" si="3"/>
        <v>Mejora más RemodelaciónTradicional</v>
      </c>
      <c r="Q42" s="304" t="s">
        <v>405</v>
      </c>
    </row>
    <row r="43" spans="2:17" ht="11.65" customHeight="1" x14ac:dyDescent="0.25">
      <c r="B43" s="312">
        <f>IF(B42=Simulador!$H$49,"",IF(B42="","",'Tabla Notaría'!B42+1))</f>
        <v>31</v>
      </c>
      <c r="C43" s="313">
        <f t="shared" si="2"/>
        <v>961009.04763621395</v>
      </c>
      <c r="D43" s="313">
        <f>IF(B43="","",IF(Sheet1!$AA$1=3,'Tabla de Pagos Crecientes'!V37,'Tabla Fijos CAT'!G42))</f>
        <v>1495.1779460079342</v>
      </c>
      <c r="E43" s="314">
        <f t="shared" si="1"/>
        <v>959513.86969020602</v>
      </c>
      <c r="M43" s="307"/>
    </row>
    <row r="44" spans="2:17" ht="11.65" customHeight="1" x14ac:dyDescent="0.25">
      <c r="B44" s="312">
        <f>IF(B43=Simulador!$H$49,"",IF(B43="","",'Tabla Notaría'!B43+1))</f>
        <v>32</v>
      </c>
      <c r="C44" s="313">
        <f t="shared" si="2"/>
        <v>959513.86969020602</v>
      </c>
      <c r="D44" s="313">
        <f>IF(B44="","",IF(Sheet1!$AA$1=3,'Tabla de Pagos Crecientes'!V38,'Tabla Fijos CAT'!G43))</f>
        <v>1509.0664878175176</v>
      </c>
      <c r="E44" s="314">
        <f t="shared" si="1"/>
        <v>958004.80320238846</v>
      </c>
      <c r="M44" s="307" t="s">
        <v>13</v>
      </c>
      <c r="N44" s="304" t="s">
        <v>382</v>
      </c>
      <c r="O44" s="304" t="str">
        <f t="shared" si="3"/>
        <v>RemodelaciónTradicional</v>
      </c>
      <c r="Q44" s="304" t="s">
        <v>405</v>
      </c>
    </row>
    <row r="45" spans="2:17" ht="11.65" customHeight="1" x14ac:dyDescent="0.25">
      <c r="B45" s="312">
        <f>IF(B44=Simulador!$H$49,"",IF(B44="","",'Tabla Notaría'!B44+1))</f>
        <v>33</v>
      </c>
      <c r="C45" s="313">
        <f t="shared" si="2"/>
        <v>958004.80320238846</v>
      </c>
      <c r="D45" s="313">
        <f>IF(B45="","",IF(Sheet1!$AA$1=3,'Tabla de Pagos Crecientes'!V39,'Tabla Fijos CAT'!G44))</f>
        <v>1523.0840387488006</v>
      </c>
      <c r="E45" s="314">
        <f t="shared" si="1"/>
        <v>956481.7191636397</v>
      </c>
      <c r="M45" s="307"/>
    </row>
    <row r="46" spans="2:17" ht="11.65" customHeight="1" x14ac:dyDescent="0.25">
      <c r="B46" s="312">
        <f>IF(B45=Simulador!$H$49,"",IF(B45="","",'Tabla Notaría'!B45+1))</f>
        <v>34</v>
      </c>
      <c r="C46" s="313">
        <f t="shared" si="2"/>
        <v>956481.7191636397</v>
      </c>
      <c r="D46" s="313">
        <f>IF(B46="","",IF(Sheet1!$AA$1=3,'Tabla de Pagos Crecientes'!V40,'Tabla Fijos CAT'!G45))</f>
        <v>1537.2317971531793</v>
      </c>
      <c r="E46" s="314">
        <f t="shared" si="1"/>
        <v>954944.48736648657</v>
      </c>
      <c r="M46" s="307" t="s">
        <v>12</v>
      </c>
      <c r="N46" s="304" t="s">
        <v>382</v>
      </c>
      <c r="O46" s="304" t="str">
        <f t="shared" si="3"/>
        <v>ConstrucciónTradicional</v>
      </c>
      <c r="Q46" s="304" t="s">
        <v>405</v>
      </c>
    </row>
    <row r="47" spans="2:17" ht="11.65" customHeight="1" x14ac:dyDescent="0.25">
      <c r="B47" s="312">
        <f>IF(B46=Simulador!$H$49,"",IF(B46="","",'Tabla Notaría'!B46+1))</f>
        <v>35</v>
      </c>
      <c r="C47" s="313">
        <f t="shared" si="2"/>
        <v>954944.48736648657</v>
      </c>
      <c r="D47" s="313">
        <f>IF(B47="","",IF(Sheet1!$AA$1=3,'Tabla de Pagos Crecientes'!V41,'Tabla Fijos CAT'!G46))</f>
        <v>1551.5109725134007</v>
      </c>
      <c r="E47" s="314">
        <f t="shared" si="1"/>
        <v>953392.97639397322</v>
      </c>
      <c r="M47" s="307" t="s">
        <v>12</v>
      </c>
      <c r="N47" s="304" t="s">
        <v>7</v>
      </c>
      <c r="O47" s="304" t="str">
        <f t="shared" si="3"/>
        <v>ConstrucciónApoyo INFONAVIT</v>
      </c>
      <c r="Q47" s="304" t="s">
        <v>406</v>
      </c>
    </row>
    <row r="48" spans="2:17" ht="11.65" customHeight="1" x14ac:dyDescent="0.25">
      <c r="B48" s="315">
        <f>IF(B47=Simulador!$H$49,"",IF(B47="","",'Tabla Notaría'!B47+1))</f>
        <v>36</v>
      </c>
      <c r="C48" s="316">
        <f t="shared" si="2"/>
        <v>953392.97639397322</v>
      </c>
      <c r="D48" s="316">
        <f>IF(B48="","",IF(Sheet1!$AA$1=3,'Tabla de Pagos Crecientes'!V42,'Tabla Fijos CAT'!G47))</f>
        <v>1565.922785546969</v>
      </c>
      <c r="E48" s="317">
        <f t="shared" si="1"/>
        <v>951827.05360842624</v>
      </c>
      <c r="M48" s="307"/>
    </row>
    <row r="49" spans="2:17" ht="11.65" customHeight="1" x14ac:dyDescent="0.25">
      <c r="B49" s="308">
        <f>IF(B48=Simulador!$H$49,"",IF(B48="","",'Tabla Notaría'!B48+1))</f>
        <v>37</v>
      </c>
      <c r="C49" s="309">
        <f t="shared" si="2"/>
        <v>951827.05360842624</v>
      </c>
      <c r="D49" s="310">
        <f>IF(B49="","",IF(Sheet1!$AA$1=3,'Tabla de Pagos Crecientes'!V43,'Tabla Fijos CAT'!G48))</f>
        <v>1580.4684683104952</v>
      </c>
      <c r="E49" s="311">
        <f t="shared" si="1"/>
        <v>950246.5851401157</v>
      </c>
      <c r="M49" s="307" t="s">
        <v>327</v>
      </c>
      <c r="N49" s="304" t="s">
        <v>382</v>
      </c>
      <c r="O49" s="304" t="str">
        <f t="shared" si="3"/>
        <v>Terreno_más_ConstrucciónTradicional</v>
      </c>
      <c r="Q49" s="304" t="s">
        <v>405</v>
      </c>
    </row>
    <row r="50" spans="2:17" ht="11.65" customHeight="1" x14ac:dyDescent="0.25">
      <c r="B50" s="312">
        <f>IF(B49=Simulador!$H$49,"",IF(B49="","",'Tabla Notaría'!B49+1))</f>
        <v>38</v>
      </c>
      <c r="C50" s="313">
        <f t="shared" si="2"/>
        <v>950246.5851401157</v>
      </c>
      <c r="D50" s="313">
        <f>IF(B50="","",IF(Sheet1!$AA$1=3,'Tabla de Pagos Crecientes'!V44,'Tabla Fijos CAT'!G49))</f>
        <v>1595.1492643050242</v>
      </c>
      <c r="E50" s="314">
        <f t="shared" si="1"/>
        <v>948651.43587581068</v>
      </c>
      <c r="M50" s="307" t="s">
        <v>327</v>
      </c>
      <c r="N50" s="304" t="s">
        <v>7</v>
      </c>
      <c r="O50" s="304" t="str">
        <f t="shared" si="3"/>
        <v>Terreno_más_ConstrucciónApoyo INFONAVIT</v>
      </c>
      <c r="Q50" s="304" t="s">
        <v>406</v>
      </c>
    </row>
    <row r="51" spans="2:17" ht="11.65" customHeight="1" x14ac:dyDescent="0.25">
      <c r="B51" s="312">
        <f>IF(B50=Simulador!$H$49,"",IF(B50="","",'Tabla Notaría'!B50+1))</f>
        <v>39</v>
      </c>
      <c r="C51" s="313">
        <f t="shared" si="2"/>
        <v>948651.43587581068</v>
      </c>
      <c r="D51" s="313">
        <f>IF(B51="","",IF(Sheet1!$AA$1=3,'Tabla de Pagos Crecientes'!V45,'Tabla Fijos CAT'!G50))</f>
        <v>1609.9664285823455</v>
      </c>
      <c r="E51" s="314">
        <f t="shared" si="1"/>
        <v>947041.46944722836</v>
      </c>
      <c r="M51" s="307"/>
    </row>
    <row r="52" spans="2:17" ht="11.65" customHeight="1" x14ac:dyDescent="0.25">
      <c r="B52" s="312">
        <f>IF(B51=Simulador!$H$49,"",IF(B51="","",'Tabla Notaría'!B51+1))</f>
        <v>40</v>
      </c>
      <c r="C52" s="313">
        <f t="shared" si="2"/>
        <v>947041.46944722836</v>
      </c>
      <c r="D52" s="313">
        <f>IF(B52="","",IF(Sheet1!$AA$1=3,'Tabla de Pagos Crecientes'!V46,'Tabla Fijos CAT'!G51))</f>
        <v>1624.9212278522882</v>
      </c>
      <c r="E52" s="314">
        <f t="shared" si="1"/>
        <v>945416.54821937613</v>
      </c>
      <c r="M52" s="307" t="s">
        <v>328</v>
      </c>
      <c r="N52" s="304" t="s">
        <v>382</v>
      </c>
      <c r="O52" s="304" t="str">
        <f t="shared" si="3"/>
        <v>Compra_Venta_Termino_ObraTradicional</v>
      </c>
      <c r="Q52" s="304" t="s">
        <v>405</v>
      </c>
    </row>
    <row r="53" spans="2:17" ht="11.65" customHeight="1" x14ac:dyDescent="0.25">
      <c r="B53" s="312">
        <f>IF(B52=Simulador!$H$49,"",IF(B52="","",'Tabla Notaría'!B52+1))</f>
        <v>41</v>
      </c>
      <c r="C53" s="313">
        <f t="shared" si="2"/>
        <v>945416.54821937613</v>
      </c>
      <c r="D53" s="313">
        <f>IF(B53="","",IF(Sheet1!$AA$1=3,'Tabla de Pagos Crecientes'!V47,'Tabla Fijos CAT'!G52))</f>
        <v>1640.0149405910051</v>
      </c>
      <c r="E53" s="314">
        <f t="shared" si="1"/>
        <v>943776.53327878518</v>
      </c>
      <c r="M53" s="307" t="s">
        <v>328</v>
      </c>
      <c r="N53" s="304" t="s">
        <v>7</v>
      </c>
      <c r="O53" s="304" t="str">
        <f t="shared" si="3"/>
        <v>Compra_Venta_Termino_ObraApoyo INFONAVIT</v>
      </c>
      <c r="Q53" s="304" t="s">
        <v>406</v>
      </c>
    </row>
    <row r="54" spans="2:17" ht="11.65" customHeight="1" x14ac:dyDescent="0.25">
      <c r="B54" s="312">
        <f>IF(B53=Simulador!$H$49,"",IF(B53="","",'Tabla Notaría'!B53+1))</f>
        <v>42</v>
      </c>
      <c r="C54" s="313">
        <f t="shared" si="2"/>
        <v>943776.53327878518</v>
      </c>
      <c r="D54" s="313">
        <f>IF(B54="","",IF(Sheet1!$AA$1=3,'Tabla de Pagos Crecientes'!V48,'Tabla Fijos CAT'!G53))</f>
        <v>1655.2488571502709</v>
      </c>
      <c r="E54" s="314">
        <f t="shared" si="1"/>
        <v>942121.28442163486</v>
      </c>
    </row>
    <row r="55" spans="2:17" ht="11.65" customHeight="1" x14ac:dyDescent="0.25">
      <c r="B55" s="312">
        <f>IF(B54=Simulador!$H$49,"",IF(B54="","",'Tabla Notaría'!B54+1))</f>
        <v>43</v>
      </c>
      <c r="C55" s="313">
        <f t="shared" si="2"/>
        <v>942121.28442163486</v>
      </c>
      <c r="D55" s="313">
        <f>IF(B55="","",IF(Sheet1!$AA$1=3,'Tabla de Pagos Crecientes'!V49,'Tabla Fijos CAT'!G54))</f>
        <v>1670.6242798678013</v>
      </c>
      <c r="E55" s="314">
        <f t="shared" si="1"/>
        <v>940450.660141767</v>
      </c>
    </row>
    <row r="56" spans="2:17" ht="11.65" customHeight="1" x14ac:dyDescent="0.25">
      <c r="B56" s="312">
        <f>IF(B55=Simulador!$H$49,"",IF(B55="","",'Tabla Notaría'!B55+1))</f>
        <v>44</v>
      </c>
      <c r="C56" s="313">
        <f t="shared" si="2"/>
        <v>940450.660141767</v>
      </c>
      <c r="D56" s="313">
        <f>IF(B56="","",IF(Sheet1!$AA$1=3,'Tabla de Pagos Crecientes'!V50,'Tabla Fijos CAT'!G55))</f>
        <v>1686.1425231785743</v>
      </c>
      <c r="E56" s="314">
        <f t="shared" si="1"/>
        <v>938764.5176185884</v>
      </c>
    </row>
    <row r="57" spans="2:17" ht="11.65" customHeight="1" x14ac:dyDescent="0.25">
      <c r="B57" s="312">
        <f>IF(B56=Simulador!$H$49,"",IF(B56="","",'Tabla Notaría'!B56+1))</f>
        <v>45</v>
      </c>
      <c r="C57" s="313">
        <f t="shared" si="2"/>
        <v>938764.5176185884</v>
      </c>
      <c r="D57" s="313">
        <f>IF(B57="","",IF(Sheet1!$AA$1=3,'Tabla de Pagos Crecientes'!V51,'Tabla Fijos CAT'!G56))</f>
        <v>1701.8049137272101</v>
      </c>
      <c r="E57" s="314">
        <f t="shared" si="1"/>
        <v>937062.71270486119</v>
      </c>
    </row>
    <row r="58" spans="2:17" ht="11.65" customHeight="1" x14ac:dyDescent="0.25">
      <c r="B58" s="312">
        <f>IF(B57=Simulador!$H$49,"",IF(B57="","",'Tabla Notaría'!B57+1))</f>
        <v>46</v>
      </c>
      <c r="C58" s="313">
        <f t="shared" si="2"/>
        <v>937062.71270486119</v>
      </c>
      <c r="D58" s="313">
        <f>IF(B58="","",IF(Sheet1!$AA$1=3,'Tabla de Pagos Crecientes'!V52,'Tabla Fijos CAT'!G57))</f>
        <v>1717.6127904813875</v>
      </c>
      <c r="E58" s="314">
        <f t="shared" si="1"/>
        <v>935345.09991437977</v>
      </c>
    </row>
    <row r="59" spans="2:17" ht="11.65" customHeight="1" x14ac:dyDescent="0.25">
      <c r="B59" s="312">
        <f>IF(B58=Simulador!$H$49,"",IF(B58="","",'Tabla Notaría'!B58+1))</f>
        <v>47</v>
      </c>
      <c r="C59" s="313">
        <f t="shared" si="2"/>
        <v>935345.09991437977</v>
      </c>
      <c r="D59" s="313">
        <f>IF(B59="","",IF(Sheet1!$AA$1=3,'Tabla de Pagos Crecientes'!V53,'Tabla Fijos CAT'!G58))</f>
        <v>1733.5675048463036</v>
      </c>
      <c r="E59" s="314">
        <f t="shared" si="1"/>
        <v>933611.53240953351</v>
      </c>
    </row>
    <row r="60" spans="2:17" ht="11.65" customHeight="1" x14ac:dyDescent="0.25">
      <c r="B60" s="315">
        <f>IF(B59=Simulador!$H$49,"",IF(B59="","",'Tabla Notaría'!B59+1))</f>
        <v>48</v>
      </c>
      <c r="C60" s="316">
        <f t="shared" si="2"/>
        <v>933611.53240953351</v>
      </c>
      <c r="D60" s="316">
        <f>IF(B60="","",IF(Sheet1!$AA$1=3,'Tabla de Pagos Crecientes'!V54,'Tabla Fijos CAT'!G59))</f>
        <v>1749.6704207802086</v>
      </c>
      <c r="E60" s="317">
        <f t="shared" si="1"/>
        <v>931861.86198875331</v>
      </c>
    </row>
    <row r="61" spans="2:17" ht="11.65" customHeight="1" x14ac:dyDescent="0.25">
      <c r="B61" s="308">
        <f>IF(B60=Simulador!$H$49,"",IF(B60="","",'Tabla Notaría'!B60+1))</f>
        <v>49</v>
      </c>
      <c r="C61" s="309">
        <f t="shared" si="2"/>
        <v>931861.86198875331</v>
      </c>
      <c r="D61" s="310">
        <f>IF(B61="","",IF(Sheet1!$AA$1=3,'Tabla de Pagos Crecientes'!V55,'Tabla Fijos CAT'!G60))</f>
        <v>1765.9229149110124</v>
      </c>
      <c r="E61" s="311">
        <f t="shared" si="1"/>
        <v>930095.93907384225</v>
      </c>
    </row>
    <row r="62" spans="2:17" ht="11.65" customHeight="1" x14ac:dyDescent="0.25">
      <c r="B62" s="312">
        <f>IF(B61=Simulador!$H$49,"",IF(B61="","",'Tabla Notaría'!B61+1))</f>
        <v>50</v>
      </c>
      <c r="C62" s="313">
        <f t="shared" si="2"/>
        <v>930095.93907384225</v>
      </c>
      <c r="D62" s="313">
        <f>IF(B62="","",IF(Sheet1!$AA$1=3,'Tabla de Pagos Crecientes'!V56,'Tabla Fijos CAT'!G61))</f>
        <v>1782.326376653964</v>
      </c>
      <c r="E62" s="314">
        <f t="shared" si="1"/>
        <v>928313.61269718828</v>
      </c>
    </row>
    <row r="63" spans="2:17" ht="11.65" customHeight="1" x14ac:dyDescent="0.25">
      <c r="B63" s="312">
        <f>IF(B62=Simulador!$H$49,"",IF(B62="","",'Tabla Notaría'!B62+1))</f>
        <v>51</v>
      </c>
      <c r="C63" s="313">
        <f t="shared" si="2"/>
        <v>928313.61269718828</v>
      </c>
      <c r="D63" s="313">
        <f>IF(B63="","",IF(Sheet1!$AA$1=3,'Tabla de Pagos Crecientes'!V57,'Tabla Fijos CAT'!G62))</f>
        <v>1798.8822083304385</v>
      </c>
      <c r="E63" s="314">
        <f t="shared" si="1"/>
        <v>926514.73048885784</v>
      </c>
    </row>
    <row r="64" spans="2:17" ht="11.65" customHeight="1" x14ac:dyDescent="0.25">
      <c r="B64" s="312">
        <f>IF(B63=Simulador!$H$49,"",IF(B63="","",'Tabla Notaría'!B63+1))</f>
        <v>52</v>
      </c>
      <c r="C64" s="313">
        <f t="shared" si="2"/>
        <v>926514.73048885784</v>
      </c>
      <c r="D64" s="313">
        <f>IF(B64="","",IF(Sheet1!$AA$1=3,'Tabla de Pagos Crecientes'!V58,'Tabla Fijos CAT'!G63))</f>
        <v>1815.5918252878182</v>
      </c>
      <c r="E64" s="314">
        <f t="shared" si="1"/>
        <v>924699.13866357005</v>
      </c>
    </row>
    <row r="65" spans="2:5" ht="11.65" customHeight="1" x14ac:dyDescent="0.25">
      <c r="B65" s="312">
        <f>IF(B64=Simulador!$H$49,"",IF(B64="","",'Tabla Notaría'!B64+1))</f>
        <v>53</v>
      </c>
      <c r="C65" s="313">
        <f t="shared" si="2"/>
        <v>924699.13866357005</v>
      </c>
      <c r="D65" s="313">
        <f>IF(B65="","",IF(Sheet1!$AA$1=3,'Tabla de Pagos Crecientes'!V59,'Tabla Fijos CAT'!G64))</f>
        <v>1832.456656020493</v>
      </c>
      <c r="E65" s="314">
        <f t="shared" si="1"/>
        <v>922866.68200754956</v>
      </c>
    </row>
    <row r="66" spans="2:5" ht="11.65" customHeight="1" x14ac:dyDescent="0.25">
      <c r="B66" s="312">
        <f>IF(B65=Simulador!$H$49,"",IF(B65="","",'Tabla Notaría'!B65+1))</f>
        <v>54</v>
      </c>
      <c r="C66" s="313">
        <f t="shared" si="2"/>
        <v>922866.68200754956</v>
      </c>
      <c r="D66" s="313">
        <f>IF(B66="","",IF(Sheet1!$AA$1=3,'Tabla de Pagos Crecientes'!V60,'Tabla Fijos CAT'!G65))</f>
        <v>1849.4781422919714</v>
      </c>
      <c r="E66" s="314">
        <f t="shared" si="1"/>
        <v>921017.20386525756</v>
      </c>
    </row>
    <row r="67" spans="2:5" ht="11.65" customHeight="1" x14ac:dyDescent="0.25">
      <c r="B67" s="312">
        <f>IF(B66=Simulador!$H$49,"",IF(B66="","",'Tabla Notaría'!B66+1))</f>
        <v>55</v>
      </c>
      <c r="C67" s="313">
        <f t="shared" si="2"/>
        <v>921017.20386525756</v>
      </c>
      <c r="D67" s="313">
        <f>IF(B67="","",IF(Sheet1!$AA$1=3,'Tabla de Pagos Crecientes'!V61,'Tabla Fijos CAT'!G66))</f>
        <v>1866.6577392581512</v>
      </c>
      <c r="E67" s="314">
        <f t="shared" si="1"/>
        <v>919150.54612599942</v>
      </c>
    </row>
    <row r="68" spans="2:5" ht="11.65" customHeight="1" x14ac:dyDescent="0.25">
      <c r="B68" s="312">
        <f>IF(B67=Simulador!$H$49,"",IF(B67="","",'Tabla Notaría'!B67+1))</f>
        <v>56</v>
      </c>
      <c r="C68" s="313">
        <f t="shared" si="2"/>
        <v>919150.54612599942</v>
      </c>
      <c r="D68" s="313">
        <f>IF(B68="","",IF(Sheet1!$AA$1=3,'Tabla de Pagos Crecientes'!V62,'Tabla Fijos CAT'!G67))</f>
        <v>1883.9969155917042</v>
      </c>
      <c r="E68" s="314">
        <f t="shared" si="1"/>
        <v>917266.54921040777</v>
      </c>
    </row>
    <row r="69" spans="2:5" ht="11.65" customHeight="1" x14ac:dyDescent="0.25">
      <c r="B69" s="312">
        <f>IF(B68=Simulador!$H$49,"",IF(B68="","",'Tabla Notaría'!B68+1))</f>
        <v>57</v>
      </c>
      <c r="C69" s="313">
        <f t="shared" si="2"/>
        <v>917266.54921040777</v>
      </c>
      <c r="D69" s="313">
        <f>IF(B69="","",IF(Sheet1!$AA$1=3,'Tabla de Pagos Crecientes'!V63,'Tabla Fijos CAT'!G68))</f>
        <v>1901.4971536076446</v>
      </c>
      <c r="E69" s="314">
        <f t="shared" si="1"/>
        <v>915365.05205680011</v>
      </c>
    </row>
    <row r="70" spans="2:5" ht="11.65" customHeight="1" x14ac:dyDescent="0.25">
      <c r="B70" s="312">
        <f>IF(B69=Simulador!$H$49,"",IF(B69="","",'Tabla Notaría'!B69+1))</f>
        <v>58</v>
      </c>
      <c r="C70" s="313">
        <f t="shared" si="2"/>
        <v>915365.05205680011</v>
      </c>
      <c r="D70" s="313">
        <f>IF(B70="","",IF(Sheet1!$AA$1=3,'Tabla de Pagos Crecientes'!V64,'Tabla Fijos CAT'!G69))</f>
        <v>1919.1599493900449</v>
      </c>
      <c r="E70" s="314">
        <f t="shared" si="1"/>
        <v>913445.89210741001</v>
      </c>
    </row>
    <row r="71" spans="2:5" ht="11.65" customHeight="1" x14ac:dyDescent="0.25">
      <c r="B71" s="312">
        <f>IF(B70=Simulador!$H$49,"",IF(B70="","",'Tabla Notaría'!B70+1))</f>
        <v>59</v>
      </c>
      <c r="C71" s="313">
        <f t="shared" si="2"/>
        <v>913445.89210741001</v>
      </c>
      <c r="D71" s="313">
        <f>IF(B71="","",IF(Sheet1!$AA$1=3,'Tabla de Pagos Crecientes'!V65,'Tabla Fijos CAT'!G70))</f>
        <v>1936.9868129199349</v>
      </c>
      <c r="E71" s="314">
        <f t="shared" si="1"/>
        <v>911508.90529449005</v>
      </c>
    </row>
    <row r="72" spans="2:5" ht="11.65" customHeight="1" x14ac:dyDescent="0.25">
      <c r="B72" s="315">
        <f>IF(B71=Simulador!$H$49,"",IF(B71="","",'Tabla Notaría'!B71+1))</f>
        <v>60</v>
      </c>
      <c r="C72" s="316">
        <f t="shared" si="2"/>
        <v>911508.90529449005</v>
      </c>
      <c r="D72" s="316">
        <f>IF(B72="","",IF(Sheet1!$AA$1=3,'Tabla de Pagos Crecientes'!V66,'Tabla Fijos CAT'!G71))</f>
        <v>1954.9792682043917</v>
      </c>
      <c r="E72" s="317">
        <f t="shared" si="1"/>
        <v>909553.92602628563</v>
      </c>
    </row>
    <row r="73" spans="2:5" ht="11.65" customHeight="1" x14ac:dyDescent="0.25">
      <c r="B73" s="308">
        <f>IF(B72=Simulador!$H$49,"",IF(B72="","",'Tabla Notaría'!B72+1))</f>
        <v>61</v>
      </c>
      <c r="C73" s="309">
        <f t="shared" si="2"/>
        <v>909553.92602628563</v>
      </c>
      <c r="D73" s="310">
        <f>IF(B73="","",IF(Sheet1!$AA$1=3,'Tabla de Pagos Crecientes'!V67,'Tabla Fijos CAT'!G72))</f>
        <v>1973.1388534068228</v>
      </c>
      <c r="E73" s="311">
        <f t="shared" si="1"/>
        <v>907580.78717287886</v>
      </c>
    </row>
    <row r="74" spans="2:5" ht="11.65" customHeight="1" x14ac:dyDescent="0.25">
      <c r="B74" s="312">
        <f>IF(B73=Simulador!$H$49,"",IF(B73="","",'Tabla Notaría'!B73+1))</f>
        <v>62</v>
      </c>
      <c r="C74" s="313">
        <f t="shared" si="2"/>
        <v>907580.78717287886</v>
      </c>
      <c r="D74" s="313">
        <f>IF(B74="","",IF(Sheet1!$AA$1=3,'Tabla de Pagos Crecientes'!V68,'Tabla Fijos CAT'!G73))</f>
        <v>1991.4671209784683</v>
      </c>
      <c r="E74" s="314">
        <f t="shared" si="1"/>
        <v>905589.32005190034</v>
      </c>
    </row>
    <row r="75" spans="2:5" ht="11.65" customHeight="1" x14ac:dyDescent="0.25">
      <c r="B75" s="312">
        <f>IF(B74=Simulador!$H$49,"",IF(B74="","",'Tabla Notaría'!B74+1))</f>
        <v>63</v>
      </c>
      <c r="C75" s="313">
        <f t="shared" si="2"/>
        <v>905589.32005190034</v>
      </c>
      <c r="D75" s="313">
        <f>IF(B75="","",IF(Sheet1!$AA$1=3,'Tabla de Pagos Crecientes'!V69,'Tabla Fijos CAT'!G74))</f>
        <v>2009.9656377911124</v>
      </c>
      <c r="E75" s="314">
        <f t="shared" si="1"/>
        <v>903579.35441410926</v>
      </c>
    </row>
    <row r="76" spans="2:5" ht="11.65" customHeight="1" x14ac:dyDescent="0.25">
      <c r="B76" s="312">
        <f>IF(B75=Simulador!$H$49,"",IF(B75="","",'Tabla Notaría'!B75+1))</f>
        <v>64</v>
      </c>
      <c r="C76" s="313">
        <f t="shared" si="2"/>
        <v>903579.35441410926</v>
      </c>
      <c r="D76" s="313">
        <f>IF(B76="","",IF(Sheet1!$AA$1=3,'Tabla de Pagos Crecientes'!V70,'Tabla Fijos CAT'!G75))</f>
        <v>2028.6359852710393</v>
      </c>
      <c r="E76" s="314">
        <f t="shared" si="1"/>
        <v>901550.71842883818</v>
      </c>
    </row>
    <row r="77" spans="2:5" ht="11.65" customHeight="1" x14ac:dyDescent="0.25">
      <c r="B77" s="312">
        <f>IF(B76=Simulador!$H$49,"",IF(B76="","",'Tabla Notaría'!B76+1))</f>
        <v>65</v>
      </c>
      <c r="C77" s="313">
        <f t="shared" si="2"/>
        <v>901550.71842883818</v>
      </c>
      <c r="D77" s="313">
        <f>IF(B77="","",IF(Sheet1!$AA$1=3,'Tabla de Pagos Crecientes'!V71,'Tabla Fijos CAT'!G76))</f>
        <v>2047.4797595342243</v>
      </c>
      <c r="E77" s="314">
        <f t="shared" ref="E77:E140" si="4">IF(B77="","",C77-D77)</f>
        <v>899503.23866930394</v>
      </c>
    </row>
    <row r="78" spans="2:5" ht="11.65" customHeight="1" x14ac:dyDescent="0.25">
      <c r="B78" s="312">
        <f>IF(B77=Simulador!$H$49,"",IF(B77="","",'Tabla Notaría'!B77+1))</f>
        <v>66</v>
      </c>
      <c r="C78" s="313">
        <f t="shared" si="2"/>
        <v>899503.23866930394</v>
      </c>
      <c r="D78" s="313">
        <f>IF(B78="","",IF(Sheet1!$AA$1=3,'Tabla de Pagos Crecientes'!V72,'Tabla Fijos CAT'!G77))</f>
        <v>2066.4985715227867</v>
      </c>
      <c r="E78" s="314">
        <f t="shared" si="4"/>
        <v>897436.74009778118</v>
      </c>
    </row>
    <row r="79" spans="2:5" ht="11.65" customHeight="1" x14ac:dyDescent="0.25">
      <c r="B79" s="312">
        <f>IF(B78=Simulador!$H$49,"",IF(B78="","",'Tabla Notaría'!B78+1))</f>
        <v>67</v>
      </c>
      <c r="C79" s="313">
        <f t="shared" ref="C79:C142" si="5">IF(B79="","",C78-D78)</f>
        <v>897436.74009778118</v>
      </c>
      <c r="D79" s="313">
        <f>IF(B79="","",IF(Sheet1!$AA$1=3,'Tabla de Pagos Crecientes'!V73,'Tabla Fijos CAT'!G78))</f>
        <v>2085.6940471427097</v>
      </c>
      <c r="E79" s="314">
        <f t="shared" si="4"/>
        <v>895351.04605063843</v>
      </c>
    </row>
    <row r="80" spans="2:5" ht="11.65" customHeight="1" x14ac:dyDescent="0.25">
      <c r="B80" s="312">
        <f>IF(B79=Simulador!$H$49,"",IF(B79="","",'Tabla Notaría'!B79+1))</f>
        <v>68</v>
      </c>
      <c r="C80" s="313">
        <f t="shared" si="5"/>
        <v>895351.04605063843</v>
      </c>
      <c r="D80" s="313">
        <f>IF(B80="","",IF(Sheet1!$AA$1=3,'Tabla de Pagos Crecientes'!V74,'Tabla Fijos CAT'!G79))</f>
        <v>2105.0678274028342</v>
      </c>
      <c r="E80" s="314">
        <f t="shared" si="4"/>
        <v>893245.97822323558</v>
      </c>
    </row>
    <row r="81" spans="2:5" ht="11.65" customHeight="1" x14ac:dyDescent="0.25">
      <c r="B81" s="312">
        <f>IF(B80=Simulador!$H$49,"",IF(B80="","",'Tabla Notaría'!B80+1))</f>
        <v>69</v>
      </c>
      <c r="C81" s="313">
        <f t="shared" si="5"/>
        <v>893245.97822323558</v>
      </c>
      <c r="D81" s="313">
        <f>IF(B81="","",IF(Sheet1!$AA$1=3,'Tabla de Pagos Crecientes'!V75,'Tabla Fijos CAT'!G80))</f>
        <v>2124.6215685551542</v>
      </c>
      <c r="E81" s="314">
        <f t="shared" si="4"/>
        <v>891121.35665468045</v>
      </c>
    </row>
    <row r="82" spans="2:5" ht="11.65" customHeight="1" x14ac:dyDescent="0.25">
      <c r="B82" s="312">
        <f>IF(B81=Simulador!$H$49,"",IF(B81="","",'Tabla Notaría'!B81+1))</f>
        <v>70</v>
      </c>
      <c r="C82" s="313">
        <f t="shared" si="5"/>
        <v>891121.35665468045</v>
      </c>
      <c r="D82" s="313">
        <f>IF(B82="","",IF(Sheet1!$AA$1=3,'Tabla de Pagos Crecientes'!V76,'Tabla Fijos CAT'!G81))</f>
        <v>2144.3569422363998</v>
      </c>
      <c r="E82" s="314">
        <f t="shared" si="4"/>
        <v>888976.99971244403</v>
      </c>
    </row>
    <row r="83" spans="2:5" ht="11.65" customHeight="1" x14ac:dyDescent="0.25">
      <c r="B83" s="312">
        <f>IF(B82=Simulador!$H$49,"",IF(B82="","",'Tabla Notaría'!B82+1))</f>
        <v>71</v>
      </c>
      <c r="C83" s="313">
        <f t="shared" si="5"/>
        <v>888976.99971244403</v>
      </c>
      <c r="D83" s="313">
        <f>IF(B83="","",IF(Sheet1!$AA$1=3,'Tabla de Pagos Crecientes'!V77,'Tabla Fijos CAT'!G82))</f>
        <v>2164.2756356109512</v>
      </c>
      <c r="E83" s="314">
        <f t="shared" si="4"/>
        <v>886812.72407683311</v>
      </c>
    </row>
    <row r="84" spans="2:5" ht="11.65" customHeight="1" x14ac:dyDescent="0.25">
      <c r="B84" s="315">
        <f>IF(B83=Simulador!$H$49,"",IF(B83="","",'Tabla Notaría'!B83+1))</f>
        <v>72</v>
      </c>
      <c r="C84" s="316">
        <f t="shared" si="5"/>
        <v>886812.72407683311</v>
      </c>
      <c r="D84" s="316">
        <f>IF(B84="","",IF(Sheet1!$AA$1=3,'Tabla de Pagos Crecientes'!V78,'Tabla Fijos CAT'!G83))</f>
        <v>2184.3793515150701</v>
      </c>
      <c r="E84" s="317">
        <f t="shared" si="4"/>
        <v>884628.34472531802</v>
      </c>
    </row>
    <row r="85" spans="2:5" ht="11.65" customHeight="1" x14ac:dyDescent="0.25">
      <c r="B85" s="308">
        <f>IF(B84=Simulador!$H$49,"",IF(B84="","",'Tabla Notaría'!B84+1))</f>
        <v>73</v>
      </c>
      <c r="C85" s="309">
        <f t="shared" si="5"/>
        <v>884628.34472531802</v>
      </c>
      <c r="D85" s="310">
        <f>IF(B85="","",IF(Sheet1!$AA$1=3,'Tabla de Pagos Crecientes'!V79,'Tabla Fijos CAT'!G84))</f>
        <v>2204.6698086024771</v>
      </c>
      <c r="E85" s="311">
        <f t="shared" si="4"/>
        <v>882423.67491671559</v>
      </c>
    </row>
    <row r="86" spans="2:5" ht="11.65" customHeight="1" x14ac:dyDescent="0.25">
      <c r="B86" s="312">
        <f>IF(B85=Simulador!$H$49,"",IF(B85="","",'Tabla Notaría'!B85+1))</f>
        <v>74</v>
      </c>
      <c r="C86" s="313">
        <f t="shared" si="5"/>
        <v>882423.67491671559</v>
      </c>
      <c r="D86" s="313">
        <f>IF(B86="","",IF(Sheet1!$AA$1=3,'Tabla de Pagos Crecientes'!V80,'Tabla Fijos CAT'!G85))</f>
        <v>2225.1487414912735</v>
      </c>
      <c r="E86" s="314">
        <f t="shared" si="4"/>
        <v>880198.52617522434</v>
      </c>
    </row>
    <row r="87" spans="2:5" ht="11.65" customHeight="1" x14ac:dyDescent="0.25">
      <c r="B87" s="312">
        <f>IF(B86=Simulador!$H$49,"",IF(B86="","",'Tabla Notaría'!B86+1))</f>
        <v>75</v>
      </c>
      <c r="C87" s="313">
        <f t="shared" si="5"/>
        <v>880198.52617522434</v>
      </c>
      <c r="D87" s="313">
        <f>IF(B87="","",IF(Sheet1!$AA$1=3,'Tabla de Pagos Crecientes'!V81,'Tabla Fijos CAT'!G86))</f>
        <v>2245.8179009122368</v>
      </c>
      <c r="E87" s="314">
        <f t="shared" si="4"/>
        <v>877952.70827431208</v>
      </c>
    </row>
    <row r="88" spans="2:5" ht="11.65" customHeight="1" x14ac:dyDescent="0.25">
      <c r="B88" s="312">
        <f>IF(B87=Simulador!$H$49,"",IF(B87="","",'Tabla Notaría'!B87+1))</f>
        <v>76</v>
      </c>
      <c r="C88" s="313">
        <f t="shared" si="5"/>
        <v>877952.70827431208</v>
      </c>
      <c r="D88" s="313">
        <f>IF(B88="","",IF(Sheet1!$AA$1=3,'Tabla de Pagos Crecientes'!V82,'Tabla Fijos CAT'!G87))</f>
        <v>2266.6790538584883</v>
      </c>
      <c r="E88" s="314">
        <f t="shared" si="4"/>
        <v>875686.02922045358</v>
      </c>
    </row>
    <row r="89" spans="2:5" ht="11.65" customHeight="1" x14ac:dyDescent="0.25">
      <c r="B89" s="312">
        <f>IF(B88=Simulador!$H$49,"",IF(B88="","",'Tabla Notaría'!B88+1))</f>
        <v>77</v>
      </c>
      <c r="C89" s="313">
        <f t="shared" si="5"/>
        <v>875686.02922045358</v>
      </c>
      <c r="D89" s="313">
        <f>IF(B89="","",IF(Sheet1!$AA$1=3,'Tabla de Pagos Crecientes'!V83,'Tabla Fijos CAT'!G88))</f>
        <v>2287.7339837365516</v>
      </c>
      <c r="E89" s="314">
        <f t="shared" si="4"/>
        <v>873398.29523671698</v>
      </c>
    </row>
    <row r="90" spans="2:5" ht="11.65" customHeight="1" x14ac:dyDescent="0.25">
      <c r="B90" s="312">
        <f>IF(B89=Simulador!$H$49,"",IF(B89="","",'Tabla Notaría'!B89+1))</f>
        <v>78</v>
      </c>
      <c r="C90" s="313">
        <f t="shared" si="5"/>
        <v>873398.29523671698</v>
      </c>
      <c r="D90" s="313">
        <f>IF(B90="","",IF(Sheet1!$AA$1=3,'Tabla de Pagos Crecientes'!V84,'Tabla Fijos CAT'!G89))</f>
        <v>2308.9844905188165</v>
      </c>
      <c r="E90" s="314">
        <f t="shared" si="4"/>
        <v>871089.31074619817</v>
      </c>
    </row>
    <row r="91" spans="2:5" ht="11.65" customHeight="1" x14ac:dyDescent="0.25">
      <c r="B91" s="312">
        <f>IF(B90=Simulador!$H$49,"",IF(B90="","",'Tabla Notaría'!B90+1))</f>
        <v>79</v>
      </c>
      <c r="C91" s="313">
        <f t="shared" si="5"/>
        <v>871089.31074619817</v>
      </c>
      <c r="D91" s="313">
        <f>IF(B91="","",IF(Sheet1!$AA$1=3,'Tabla de Pagos Crecientes'!V85,'Tabla Fijos CAT'!G90))</f>
        <v>2330.4323908974129</v>
      </c>
      <c r="E91" s="314">
        <f t="shared" si="4"/>
        <v>868758.87835530075</v>
      </c>
    </row>
    <row r="92" spans="2:5" ht="11.65" customHeight="1" x14ac:dyDescent="0.25">
      <c r="B92" s="312">
        <f>IF(B91=Simulador!$H$49,"",IF(B91="","",'Tabla Notaría'!B91+1))</f>
        <v>80</v>
      </c>
      <c r="C92" s="313">
        <f t="shared" si="5"/>
        <v>868758.87835530075</v>
      </c>
      <c r="D92" s="313">
        <f>IF(B92="","",IF(Sheet1!$AA$1=3,'Tabla de Pagos Crecientes'!V86,'Tabla Fijos CAT'!G91))</f>
        <v>2352.0795184395265</v>
      </c>
      <c r="E92" s="314">
        <f t="shared" si="4"/>
        <v>866406.79883686127</v>
      </c>
    </row>
    <row r="93" spans="2:5" ht="11.65" customHeight="1" x14ac:dyDescent="0.25">
      <c r="B93" s="312">
        <f>IF(B92=Simulador!$H$49,"",IF(B92="","",'Tabla Notaría'!B92+1))</f>
        <v>81</v>
      </c>
      <c r="C93" s="313">
        <f t="shared" si="5"/>
        <v>866406.79883686127</v>
      </c>
      <c r="D93" s="313">
        <f>IF(B93="","",IF(Sheet1!$AA$1=3,'Tabla de Pagos Crecientes'!V87,'Tabla Fijos CAT'!G92))</f>
        <v>2373.9277237441429</v>
      </c>
      <c r="E93" s="314">
        <f t="shared" si="4"/>
        <v>864032.87111311709</v>
      </c>
    </row>
    <row r="94" spans="2:5" ht="11.65" customHeight="1" x14ac:dyDescent="0.25">
      <c r="B94" s="312">
        <f>IF(B93=Simulador!$H$49,"",IF(B93="","",'Tabla Notaría'!B93+1))</f>
        <v>82</v>
      </c>
      <c r="C94" s="313">
        <f t="shared" si="5"/>
        <v>864032.87111311709</v>
      </c>
      <c r="D94" s="313">
        <f>IF(B94="","",IF(Sheet1!$AA$1=3,'Tabla de Pagos Crecientes'!V88,'Tabla Fijos CAT'!G93))</f>
        <v>2395.978874600255</v>
      </c>
      <c r="E94" s="314">
        <f t="shared" si="4"/>
        <v>861636.89223851683</v>
      </c>
    </row>
    <row r="95" spans="2:5" ht="11.65" customHeight="1" x14ac:dyDescent="0.25">
      <c r="B95" s="312">
        <f>IF(B94=Simulador!$H$49,"",IF(B94="","",'Tabla Notaría'!B94+1))</f>
        <v>83</v>
      </c>
      <c r="C95" s="313">
        <f t="shared" si="5"/>
        <v>861636.89223851683</v>
      </c>
      <c r="D95" s="313">
        <f>IF(B95="","",IF(Sheet1!$AA$1=3,'Tabla de Pagos Crecientes'!V89,'Tabla Fijos CAT'!G94))</f>
        <v>2418.2348561465424</v>
      </c>
      <c r="E95" s="314">
        <f t="shared" si="4"/>
        <v>859218.65738237032</v>
      </c>
    </row>
    <row r="96" spans="2:5" ht="11.65" customHeight="1" x14ac:dyDescent="0.25">
      <c r="B96" s="315">
        <f>IF(B95=Simulador!$H$49,"",IF(B95="","",'Tabla Notaría'!B95+1))</f>
        <v>84</v>
      </c>
      <c r="C96" s="316">
        <f t="shared" si="5"/>
        <v>859218.65738237032</v>
      </c>
      <c r="D96" s="316">
        <f>IF(B96="","",IF(Sheet1!$AA$1=3,'Tabla de Pagos Crecientes'!V90,'Tabla Fijos CAT'!G95))</f>
        <v>2440.697571032525</v>
      </c>
      <c r="E96" s="317">
        <f t="shared" si="4"/>
        <v>856777.95981133776</v>
      </c>
    </row>
    <row r="97" spans="2:5" ht="11.65" customHeight="1" x14ac:dyDescent="0.25">
      <c r="B97" s="308">
        <f>IF(B96=Simulador!$H$49,"",IF(B96="","",'Tabla Notaría'!B96+1))</f>
        <v>85</v>
      </c>
      <c r="C97" s="309">
        <f t="shared" si="5"/>
        <v>856777.95981133776</v>
      </c>
      <c r="D97" s="310">
        <f>IF(B97="","",IF(Sheet1!$AA$1=3,'Tabla de Pagos Crecientes'!V91,'Tabla Fijos CAT'!G96))</f>
        <v>2463.368939581228</v>
      </c>
      <c r="E97" s="311">
        <f t="shared" si="4"/>
        <v>854314.59087175655</v>
      </c>
    </row>
    <row r="98" spans="2:5" ht="11.65" customHeight="1" x14ac:dyDescent="0.25">
      <c r="B98" s="312">
        <f>IF(B97=Simulador!$H$49,"",IF(B97="","",'Tabla Notaría'!B97+1))</f>
        <v>86</v>
      </c>
      <c r="C98" s="313">
        <f t="shared" si="5"/>
        <v>854314.59087175655</v>
      </c>
      <c r="D98" s="313">
        <f>IF(B98="","",IF(Sheet1!$AA$1=3,'Tabla de Pagos Crecientes'!V92,'Tabla Fijos CAT'!G97))</f>
        <v>2486.2508999533375</v>
      </c>
      <c r="E98" s="314">
        <f t="shared" si="4"/>
        <v>851828.33997180325</v>
      </c>
    </row>
    <row r="99" spans="2:5" ht="11.65" customHeight="1" x14ac:dyDescent="0.25">
      <c r="B99" s="312">
        <f>IF(B98=Simulador!$H$49,"",IF(B98="","",'Tabla Notaría'!B98+1))</f>
        <v>87</v>
      </c>
      <c r="C99" s="313">
        <f t="shared" si="5"/>
        <v>851828.33997180325</v>
      </c>
      <c r="D99" s="313">
        <f>IF(B99="","",IF(Sheet1!$AA$1=3,'Tabla de Pagos Crecientes'!V93,'Tabla Fijos CAT'!G98))</f>
        <v>2509.3454083129036</v>
      </c>
      <c r="E99" s="314">
        <f t="shared" si="4"/>
        <v>849318.99456349039</v>
      </c>
    </row>
    <row r="100" spans="2:5" ht="11.65" customHeight="1" x14ac:dyDescent="0.25">
      <c r="B100" s="312">
        <f>IF(B99=Simulador!$H$49,"",IF(B99="","",'Tabla Notaría'!B99+1))</f>
        <v>88</v>
      </c>
      <c r="C100" s="313">
        <f t="shared" si="5"/>
        <v>849318.99456349039</v>
      </c>
      <c r="D100" s="313">
        <f>IF(B100="","",IF(Sheet1!$AA$1=3,'Tabla de Pagos Crecientes'!V94,'Tabla Fijos CAT'!G99))</f>
        <v>2532.6544389945657</v>
      </c>
      <c r="E100" s="314">
        <f t="shared" si="4"/>
        <v>846786.34012449579</v>
      </c>
    </row>
    <row r="101" spans="2:5" ht="11.65" customHeight="1" x14ac:dyDescent="0.25">
      <c r="B101" s="312">
        <f>IF(B100=Simulador!$H$49,"",IF(B100="","",'Tabla Notaría'!B100+1))</f>
        <v>89</v>
      </c>
      <c r="C101" s="313">
        <f t="shared" si="5"/>
        <v>846786.34012449579</v>
      </c>
      <c r="D101" s="313">
        <f>IF(B101="","",IF(Sheet1!$AA$1=3,'Tabla de Pagos Crecientes'!V95,'Tabla Fijos CAT'!G100))</f>
        <v>2556.179984672337</v>
      </c>
      <c r="E101" s="314">
        <f t="shared" si="4"/>
        <v>844230.16013982345</v>
      </c>
    </row>
    <row r="102" spans="2:5" ht="11.65" customHeight="1" x14ac:dyDescent="0.25">
      <c r="B102" s="312">
        <f>IF(B101=Simulador!$H$49,"",IF(B101="","",'Tabla Notaría'!B101+1))</f>
        <v>90</v>
      </c>
      <c r="C102" s="313">
        <f t="shared" si="5"/>
        <v>844230.16013982345</v>
      </c>
      <c r="D102" s="313">
        <f>IF(B102="","",IF(Sheet1!$AA$1=3,'Tabla de Pagos Crecientes'!V96,'Tabla Fijos CAT'!G101))</f>
        <v>2579.9240565299606</v>
      </c>
      <c r="E102" s="314">
        <f t="shared" si="4"/>
        <v>841650.23608329345</v>
      </c>
    </row>
    <row r="103" spans="2:5" ht="11.65" customHeight="1" x14ac:dyDescent="0.25">
      <c r="B103" s="312">
        <f>IF(B102=Simulador!$H$49,"",IF(B102="","",'Tabla Notaría'!B102+1))</f>
        <v>91</v>
      </c>
      <c r="C103" s="313">
        <f t="shared" si="5"/>
        <v>841650.23608329345</v>
      </c>
      <c r="D103" s="313">
        <f>IF(B103="","",IF(Sheet1!$AA$1=3,'Tabla de Pagos Crecientes'!V97,'Tabla Fijos CAT'!G102))</f>
        <v>2603.888684432839</v>
      </c>
      <c r="E103" s="314">
        <f t="shared" si="4"/>
        <v>839046.34739886061</v>
      </c>
    </row>
    <row r="104" spans="2:5" ht="11.65" customHeight="1" x14ac:dyDescent="0.25">
      <c r="B104" s="312">
        <f>IF(B103=Simulador!$H$49,"",IF(B103="","",'Tabla Notaría'!B103+1))</f>
        <v>92</v>
      </c>
      <c r="C104" s="313">
        <f t="shared" si="5"/>
        <v>839046.34739886061</v>
      </c>
      <c r="D104" s="313">
        <f>IF(B104="","",IF(Sheet1!$AA$1=3,'Tabla de Pagos Crecientes'!V98,'Tabla Fijos CAT'!G103))</f>
        <v>2628.0759171015707</v>
      </c>
      <c r="E104" s="314">
        <f t="shared" si="4"/>
        <v>836418.27148175903</v>
      </c>
    </row>
    <row r="105" spans="2:5" ht="11.65" customHeight="1" x14ac:dyDescent="0.25">
      <c r="B105" s="312">
        <f>IF(B104=Simulador!$H$49,"",IF(B104="","",'Tabla Notaría'!B104+1))</f>
        <v>93</v>
      </c>
      <c r="C105" s="313">
        <f t="shared" si="5"/>
        <v>836418.27148175903</v>
      </c>
      <c r="D105" s="313">
        <f>IF(B105="","",IF(Sheet1!$AA$1=3,'Tabla de Pagos Crecientes'!V99,'Tabla Fijos CAT'!G104))</f>
        <v>2652.4878222870921</v>
      </c>
      <c r="E105" s="314">
        <f t="shared" si="4"/>
        <v>833765.7836594719</v>
      </c>
    </row>
    <row r="106" spans="2:5" ht="11.65" customHeight="1" x14ac:dyDescent="0.25">
      <c r="B106" s="312">
        <f>IF(B105=Simulador!$H$49,"",IF(B105="","",'Tabla Notaría'!B105+1))</f>
        <v>94</v>
      </c>
      <c r="C106" s="313">
        <f t="shared" si="5"/>
        <v>833765.7836594719</v>
      </c>
      <c r="D106" s="313">
        <f>IF(B106="","",IF(Sheet1!$AA$1=3,'Tabla de Pagos Crecientes'!V100,'Tabla Fijos CAT'!G105))</f>
        <v>2677.126486947448</v>
      </c>
      <c r="E106" s="314">
        <f t="shared" si="4"/>
        <v>831088.65717252449</v>
      </c>
    </row>
    <row r="107" spans="2:5" ht="11.65" customHeight="1" x14ac:dyDescent="0.25">
      <c r="B107" s="312">
        <f>IF(B106=Simulador!$H$49,"",IF(B106="","",'Tabla Notaría'!B106+1))</f>
        <v>95</v>
      </c>
      <c r="C107" s="313">
        <f t="shared" si="5"/>
        <v>831088.65717252449</v>
      </c>
      <c r="D107" s="313">
        <f>IF(B107="","",IF(Sheet1!$AA$1=3,'Tabla de Pagos Crecientes'!V101,'Tabla Fijos CAT'!G106))</f>
        <v>2701.9940174262047</v>
      </c>
      <c r="E107" s="314">
        <f t="shared" si="4"/>
        <v>828386.66315509833</v>
      </c>
    </row>
    <row r="108" spans="2:5" ht="11.65" customHeight="1" x14ac:dyDescent="0.25">
      <c r="B108" s="315">
        <f>IF(B107=Simulador!$H$49,"",IF(B107="","",'Tabla Notaría'!B107+1))</f>
        <v>96</v>
      </c>
      <c r="C108" s="316">
        <f t="shared" si="5"/>
        <v>828386.66315509833</v>
      </c>
      <c r="D108" s="316">
        <f>IF(B108="","",IF(Sheet1!$AA$1=3,'Tabla de Pagos Crecientes'!V102,'Tabla Fijos CAT'!G107))</f>
        <v>2727.0925396325183</v>
      </c>
      <c r="E108" s="317">
        <f t="shared" si="4"/>
        <v>825659.57061546575</v>
      </c>
    </row>
    <row r="109" spans="2:5" ht="11.65" customHeight="1" x14ac:dyDescent="0.25">
      <c r="B109" s="308">
        <f>IF(B108=Simulador!$H$49,"",IF(B108="","",'Tabla Notaría'!B108+1))</f>
        <v>97</v>
      </c>
      <c r="C109" s="309">
        <f t="shared" si="5"/>
        <v>825659.57061546575</v>
      </c>
      <c r="D109" s="310">
        <f>IF(B109="","",IF(Sheet1!$AA$1=3,'Tabla de Pagos Crecientes'!V103,'Tabla Fijos CAT'!G108))</f>
        <v>2752.4241992228835</v>
      </c>
      <c r="E109" s="311">
        <f t="shared" si="4"/>
        <v>822907.14641624282</v>
      </c>
    </row>
    <row r="110" spans="2:5" ht="11.65" customHeight="1" x14ac:dyDescent="0.25">
      <c r="B110" s="312">
        <f>IF(B109=Simulador!$H$49,"",IF(B109="","",'Tabla Notaría'!B109+1))</f>
        <v>98</v>
      </c>
      <c r="C110" s="313">
        <f t="shared" si="5"/>
        <v>822907.14641624282</v>
      </c>
      <c r="D110" s="313">
        <f>IF(B110="","",IF(Sheet1!$AA$1=3,'Tabla de Pagos Crecientes'!V104,'Tabla Fijos CAT'!G109))</f>
        <v>2777.9911617845537</v>
      </c>
      <c r="E110" s="314">
        <f t="shared" si="4"/>
        <v>820129.15525445831</v>
      </c>
    </row>
    <row r="111" spans="2:5" ht="11.65" customHeight="1" x14ac:dyDescent="0.25">
      <c r="B111" s="312">
        <f>IF(B110=Simulador!$H$49,"",IF(B110="","",'Tabla Notaría'!B110+1))</f>
        <v>99</v>
      </c>
      <c r="C111" s="313">
        <f t="shared" si="5"/>
        <v>820129.15525445831</v>
      </c>
      <c r="D111" s="313">
        <f>IF(B111="","",IF(Sheet1!$AA$1=3,'Tabla de Pagos Crecientes'!V105,'Tabla Fijos CAT'!G110))</f>
        <v>2803.7956130206858</v>
      </c>
      <c r="E111" s="314">
        <f t="shared" si="4"/>
        <v>817325.35964143765</v>
      </c>
    </row>
    <row r="112" spans="2:5" ht="11.65" customHeight="1" x14ac:dyDescent="0.25">
      <c r="B112" s="312">
        <f>IF(B111=Simulador!$H$49,"",IF(B111="","",'Tabla Notaría'!B111+1))</f>
        <v>100</v>
      </c>
      <c r="C112" s="313">
        <f t="shared" si="5"/>
        <v>817325.35964143765</v>
      </c>
      <c r="D112" s="313">
        <f>IF(B112="","",IF(Sheet1!$AA$1=3,'Tabla de Pagos Crecientes'!V106,'Tabla Fijos CAT'!G111))</f>
        <v>2829.8397589371889</v>
      </c>
      <c r="E112" s="314">
        <f t="shared" si="4"/>
        <v>814495.5198825004</v>
      </c>
    </row>
    <row r="113" spans="2:5" ht="11.65" customHeight="1" x14ac:dyDescent="0.25">
      <c r="B113" s="312">
        <f>IF(B112=Simulador!$H$49,"",IF(B112="","",'Tabla Notaría'!B112+1))</f>
        <v>101</v>
      </c>
      <c r="C113" s="313">
        <f t="shared" si="5"/>
        <v>814495.5198825004</v>
      </c>
      <c r="D113" s="313">
        <f>IF(B113="","",IF(Sheet1!$AA$1=3,'Tabla de Pagos Crecientes'!V107,'Tabla Fijos CAT'!G112))</f>
        <v>2856.125826031317</v>
      </c>
      <c r="E113" s="314">
        <f t="shared" si="4"/>
        <v>811639.39405646909</v>
      </c>
    </row>
    <row r="114" spans="2:5" ht="11.65" customHeight="1" x14ac:dyDescent="0.25">
      <c r="B114" s="312">
        <f>IF(B113=Simulador!$H$49,"",IF(B113="","",'Tabla Notaría'!B113+1))</f>
        <v>102</v>
      </c>
      <c r="C114" s="313">
        <f t="shared" si="5"/>
        <v>811639.39405646909</v>
      </c>
      <c r="D114" s="313">
        <f>IF(B114="","",IF(Sheet1!$AA$1=3,'Tabla de Pagos Crecientes'!V108,'Tabla Fijos CAT'!G113))</f>
        <v>2882.6560614820073</v>
      </c>
      <c r="E114" s="314">
        <f t="shared" si="4"/>
        <v>808756.73799498705</v>
      </c>
    </row>
    <row r="115" spans="2:5" ht="11.65" customHeight="1" x14ac:dyDescent="0.25">
      <c r="B115" s="312">
        <f>IF(B114=Simulador!$H$49,"",IF(B114="","",'Tabla Notaría'!B114+1))</f>
        <v>103</v>
      </c>
      <c r="C115" s="313">
        <f t="shared" si="5"/>
        <v>808756.73799498705</v>
      </c>
      <c r="D115" s="313">
        <f>IF(B115="","",IF(Sheet1!$AA$1=3,'Tabla de Pagos Crecientes'!V109,'Tabla Fijos CAT'!G114))</f>
        <v>2909.432733341996</v>
      </c>
      <c r="E115" s="314">
        <f t="shared" si="4"/>
        <v>805847.305261645</v>
      </c>
    </row>
    <row r="116" spans="2:5" ht="11.65" customHeight="1" x14ac:dyDescent="0.25">
      <c r="B116" s="312">
        <f>IF(B115=Simulador!$H$49,"",IF(B115="","",'Tabla Notaría'!B115+1))</f>
        <v>104</v>
      </c>
      <c r="C116" s="313">
        <f t="shared" si="5"/>
        <v>805847.305261645</v>
      </c>
      <c r="D116" s="313">
        <f>IF(B116="","",IF(Sheet1!$AA$1=3,'Tabla de Pagos Crecientes'!V110,'Tabla Fijos CAT'!G115))</f>
        <v>2936.4581307317067</v>
      </c>
      <c r="E116" s="314">
        <f t="shared" si="4"/>
        <v>802910.84713091329</v>
      </c>
    </row>
    <row r="117" spans="2:5" ht="11.65" customHeight="1" x14ac:dyDescent="0.25">
      <c r="B117" s="312">
        <f>IF(B116=Simulador!$H$49,"",IF(B116="","",'Tabla Notaría'!B116+1))</f>
        <v>105</v>
      </c>
      <c r="C117" s="313">
        <f t="shared" si="5"/>
        <v>802910.84713091329</v>
      </c>
      <c r="D117" s="313">
        <f>IF(B117="","",IF(Sheet1!$AA$1=3,'Tabla de Pagos Crecientes'!V111,'Tabla Fijos CAT'!G116))</f>
        <v>2963.7345640349486</v>
      </c>
      <c r="E117" s="314">
        <f t="shared" si="4"/>
        <v>799947.11256687832</v>
      </c>
    </row>
    <row r="118" spans="2:5" ht="11.65" customHeight="1" x14ac:dyDescent="0.25">
      <c r="B118" s="312">
        <f>IF(B117=Simulador!$H$49,"",IF(B117="","",'Tabla Notaría'!B117+1))</f>
        <v>106</v>
      </c>
      <c r="C118" s="313">
        <f t="shared" si="5"/>
        <v>799947.11256687832</v>
      </c>
      <c r="D118" s="313">
        <f>IF(B118="","",IF(Sheet1!$AA$1=3,'Tabla de Pagos Crecientes'!V112,'Tabla Fijos CAT'!G117))</f>
        <v>2991.2643650964283</v>
      </c>
      <c r="E118" s="314">
        <f t="shared" si="4"/>
        <v>796955.84820178186</v>
      </c>
    </row>
    <row r="119" spans="2:5" ht="11.65" customHeight="1" x14ac:dyDescent="0.25">
      <c r="B119" s="312">
        <f>IF(B118=Simulador!$H$49,"",IF(B118="","",'Tabla Notaría'!B118+1))</f>
        <v>107</v>
      </c>
      <c r="C119" s="313">
        <f t="shared" si="5"/>
        <v>796955.84820178186</v>
      </c>
      <c r="D119" s="313">
        <f>IF(B119="","",IF(Sheet1!$AA$1=3,'Tabla de Pagos Crecientes'!V113,'Tabla Fijos CAT'!G118))</f>
        <v>3019.0498874211025</v>
      </c>
      <c r="E119" s="314">
        <f t="shared" si="4"/>
        <v>793936.79831436079</v>
      </c>
    </row>
    <row r="120" spans="2:5" ht="11.65" customHeight="1" x14ac:dyDescent="0.25">
      <c r="B120" s="315">
        <f>IF(B119=Simulador!$H$49,"",IF(B119="","",'Tabla Notaría'!B119+1))</f>
        <v>108</v>
      </c>
      <c r="C120" s="316">
        <f t="shared" si="5"/>
        <v>793936.79831436079</v>
      </c>
      <c r="D120" s="316">
        <f>IF(B120="","",IF(Sheet1!$AA$1=3,'Tabla de Pagos Crecientes'!V114,'Tabla Fijos CAT'!G119))</f>
        <v>3047.0935063753695</v>
      </c>
      <c r="E120" s="317">
        <f t="shared" si="4"/>
        <v>790889.70480798546</v>
      </c>
    </row>
    <row r="121" spans="2:5" ht="11.65" customHeight="1" x14ac:dyDescent="0.25">
      <c r="B121" s="308">
        <f>IF(B120=Simulador!$H$49,"",IF(B120="","",'Tabla Notaría'!B120+1))</f>
        <v>109</v>
      </c>
      <c r="C121" s="309">
        <f t="shared" si="5"/>
        <v>790889.70480798546</v>
      </c>
      <c r="D121" s="310">
        <f>IF(B121="","",IF(Sheet1!$AA$1=3,'Tabla de Pagos Crecientes'!V115,'Tabla Fijos CAT'!G120))</f>
        <v>3075.3976193901444</v>
      </c>
      <c r="E121" s="311">
        <f t="shared" si="4"/>
        <v>787814.3071885953</v>
      </c>
    </row>
    <row r="122" spans="2:5" ht="11.65" customHeight="1" x14ac:dyDescent="0.25">
      <c r="B122" s="312">
        <f>IF(B121=Simulador!$H$49,"",IF(B121="","",'Tabla Notaría'!B121+1))</f>
        <v>110</v>
      </c>
      <c r="C122" s="313">
        <f t="shared" si="5"/>
        <v>787814.3071885953</v>
      </c>
      <c r="D122" s="313">
        <f>IF(B122="","",IF(Sheet1!$AA$1=3,'Tabla de Pagos Crecientes'!V116,'Tabla Fijos CAT'!G121))</f>
        <v>3103.9646461658131</v>
      </c>
      <c r="E122" s="314">
        <f t="shared" si="4"/>
        <v>784710.34254242945</v>
      </c>
    </row>
    <row r="123" spans="2:5" ht="11.65" customHeight="1" x14ac:dyDescent="0.25">
      <c r="B123" s="312">
        <f>IF(B122=Simulador!$H$49,"",IF(B122="","",'Tabla Notaría'!B122+1))</f>
        <v>111</v>
      </c>
      <c r="C123" s="313">
        <f t="shared" si="5"/>
        <v>784710.34254242945</v>
      </c>
      <c r="D123" s="313">
        <f>IF(B123="","",IF(Sheet1!$AA$1=3,'Tabla de Pagos Crecientes'!V117,'Tabla Fijos CAT'!G122))</f>
        <v>3132.7970288790866</v>
      </c>
      <c r="E123" s="314">
        <f t="shared" si="4"/>
        <v>781577.5455135504</v>
      </c>
    </row>
    <row r="124" spans="2:5" ht="11.65" customHeight="1" x14ac:dyDescent="0.25">
      <c r="B124" s="312">
        <f>IF(B123=Simulador!$H$49,"",IF(B123="","",'Tabla Notaría'!B123+1))</f>
        <v>112</v>
      </c>
      <c r="C124" s="313">
        <f t="shared" si="5"/>
        <v>781577.5455135504</v>
      </c>
      <c r="D124" s="313">
        <f>IF(B124="","",IF(Sheet1!$AA$1=3,'Tabla de Pagos Crecientes'!V118,'Tabla Fijos CAT'!G123))</f>
        <v>3161.897232391786</v>
      </c>
      <c r="E124" s="314">
        <f t="shared" si="4"/>
        <v>778415.64828115865</v>
      </c>
    </row>
    <row r="125" spans="2:5" ht="11.65" customHeight="1" x14ac:dyDescent="0.25">
      <c r="B125" s="312">
        <f>IF(B124=Simulador!$H$49,"",IF(B124="","",'Tabla Notaría'!B124+1))</f>
        <v>113</v>
      </c>
      <c r="C125" s="313">
        <f t="shared" si="5"/>
        <v>778415.64828115865</v>
      </c>
      <c r="D125" s="313">
        <f>IF(B125="","",IF(Sheet1!$AA$1=3,'Tabla de Pagos Crecientes'!V119,'Tabla Fijos CAT'!G124))</f>
        <v>3191.2677444615583</v>
      </c>
      <c r="E125" s="314">
        <f t="shared" si="4"/>
        <v>775224.38053669711</v>
      </c>
    </row>
    <row r="126" spans="2:5" ht="11.65" customHeight="1" x14ac:dyDescent="0.25">
      <c r="B126" s="312">
        <f>IF(B125=Simulador!$H$49,"",IF(B125="","",'Tabla Notaría'!B125+1))</f>
        <v>114</v>
      </c>
      <c r="C126" s="313">
        <f t="shared" si="5"/>
        <v>775224.38053669711</v>
      </c>
      <c r="D126" s="313">
        <f>IF(B126="","",IF(Sheet1!$AA$1=3,'Tabla de Pagos Crecientes'!V120,'Tabla Fijos CAT'!G125))</f>
        <v>3220.9110759545565</v>
      </c>
      <c r="E126" s="314">
        <f t="shared" si="4"/>
        <v>772003.46946074255</v>
      </c>
    </row>
    <row r="127" spans="2:5" ht="11.65" customHeight="1" x14ac:dyDescent="0.25">
      <c r="B127" s="312">
        <f>IF(B126=Simulador!$H$49,"",IF(B126="","",'Tabla Notaría'!B126+1))</f>
        <v>115</v>
      </c>
      <c r="C127" s="313">
        <f t="shared" si="5"/>
        <v>772003.46946074255</v>
      </c>
      <c r="D127" s="313">
        <f>IF(B127="","",IF(Sheet1!$AA$1=3,'Tabla de Pagos Crecientes'!V121,'Tabla Fijos CAT'!G126))</f>
        <v>3250.8297610600894</v>
      </c>
      <c r="E127" s="314">
        <f t="shared" si="4"/>
        <v>768752.63969968248</v>
      </c>
    </row>
    <row r="128" spans="2:5" ht="11.65" customHeight="1" x14ac:dyDescent="0.25">
      <c r="B128" s="312">
        <f>IF(B127=Simulador!$H$49,"",IF(B127="","",'Tabla Notaría'!B127+1))</f>
        <v>116</v>
      </c>
      <c r="C128" s="313">
        <f t="shared" si="5"/>
        <v>768752.63969968248</v>
      </c>
      <c r="D128" s="313">
        <f>IF(B128="","",IF(Sheet1!$AA$1=3,'Tabla de Pagos Crecientes'!V122,'Tabla Fijos CAT'!G127))</f>
        <v>3281.0263575072704</v>
      </c>
      <c r="E128" s="314">
        <f t="shared" si="4"/>
        <v>765471.61334217526</v>
      </c>
    </row>
    <row r="129" spans="2:5" ht="11.65" customHeight="1" x14ac:dyDescent="0.25">
      <c r="B129" s="312">
        <f>IF(B128=Simulador!$H$49,"",IF(B128="","",'Tabla Notaría'!B128+1))</f>
        <v>117</v>
      </c>
      <c r="C129" s="313">
        <f t="shared" si="5"/>
        <v>765471.61334217526</v>
      </c>
      <c r="D129" s="313">
        <f>IF(B129="","",IF(Sheet1!$AA$1=3,'Tabla de Pagos Crecientes'!V123,'Tabla Fijos CAT'!G128))</f>
        <v>3311.5034467836704</v>
      </c>
      <c r="E129" s="314">
        <f t="shared" si="4"/>
        <v>762160.10989539162</v>
      </c>
    </row>
    <row r="130" spans="2:5" ht="11.65" customHeight="1" x14ac:dyDescent="0.25">
      <c r="B130" s="312">
        <f>IF(B129=Simulador!$H$49,"",IF(B129="","",'Tabla Notaría'!B129+1))</f>
        <v>118</v>
      </c>
      <c r="C130" s="313">
        <f t="shared" si="5"/>
        <v>762160.10989539162</v>
      </c>
      <c r="D130" s="313">
        <f>IF(B130="","",IF(Sheet1!$AA$1=3,'Tabla de Pagos Crecientes'!V124,'Tabla Fijos CAT'!G129))</f>
        <v>3342.2636343560162</v>
      </c>
      <c r="E130" s="314">
        <f t="shared" si="4"/>
        <v>758817.84626103565</v>
      </c>
    </row>
    <row r="131" spans="2:5" ht="11.65" customHeight="1" x14ac:dyDescent="0.25">
      <c r="B131" s="312">
        <f>IF(B130=Simulador!$H$49,"",IF(B130="","",'Tabla Notaría'!B130+1))</f>
        <v>119</v>
      </c>
      <c r="C131" s="313">
        <f t="shared" si="5"/>
        <v>758817.84626103565</v>
      </c>
      <c r="D131" s="313">
        <f>IF(B131="","",IF(Sheet1!$AA$1=3,'Tabla de Pagos Crecientes'!V125,'Tabla Fijos CAT'!G130))</f>
        <v>3373.3095498929224</v>
      </c>
      <c r="E131" s="314">
        <f t="shared" si="4"/>
        <v>755444.53671114275</v>
      </c>
    </row>
    <row r="132" spans="2:5" ht="11.65" customHeight="1" x14ac:dyDescent="0.25">
      <c r="B132" s="315">
        <f>IF(B131=Simulador!$H$49,"",IF(B131="","",'Tabla Notaría'!B131+1))</f>
        <v>120</v>
      </c>
      <c r="C132" s="316">
        <f t="shared" si="5"/>
        <v>755444.53671114275</v>
      </c>
      <c r="D132" s="316">
        <f>IF(B132="","",IF(Sheet1!$AA$1=3,'Tabla de Pagos Crecientes'!V126,'Tabla Fijos CAT'!G131))</f>
        <v>3404.6438474897059</v>
      </c>
      <c r="E132" s="317">
        <f t="shared" si="4"/>
        <v>752039.89286365302</v>
      </c>
    </row>
    <row r="133" spans="2:5" ht="11.65" customHeight="1" x14ac:dyDescent="0.25">
      <c r="B133" s="308">
        <f>IF(B132=Simulador!$H$49,"",IF(B132="","",'Tabla Notaría'!B132+1))</f>
        <v>121</v>
      </c>
      <c r="C133" s="309">
        <f t="shared" si="5"/>
        <v>752039.89286365302</v>
      </c>
      <c r="D133" s="310">
        <f>IF(B133="","",IF(Sheet1!$AA$1=3,'Tabla de Pagos Crecientes'!V127,'Tabla Fijos CAT'!G132))</f>
        <v>3436.2692058952771</v>
      </c>
      <c r="E133" s="311">
        <f t="shared" si="4"/>
        <v>748603.62365775777</v>
      </c>
    </row>
    <row r="134" spans="2:5" ht="11.65" customHeight="1" x14ac:dyDescent="0.25">
      <c r="B134" s="312">
        <f>IF(B133=Simulador!$H$49,"",IF(B133="","",'Tabla Notaría'!B133+1))</f>
        <v>122</v>
      </c>
      <c r="C134" s="313">
        <f t="shared" si="5"/>
        <v>748603.62365775777</v>
      </c>
      <c r="D134" s="313">
        <f>IF(B134="","",IF(Sheet1!$AA$1=3,'Tabla de Pagos Crecientes'!V128,'Tabla Fijos CAT'!G133))</f>
        <v>3468.1883287411483</v>
      </c>
      <c r="E134" s="314">
        <f t="shared" si="4"/>
        <v>745135.43532901665</v>
      </c>
    </row>
    <row r="135" spans="2:5" ht="11.65" customHeight="1" x14ac:dyDescent="0.25">
      <c r="B135" s="312">
        <f>IF(B134=Simulador!$H$49,"",IF(B134="","",'Tabla Notaría'!B134+1))</f>
        <v>123</v>
      </c>
      <c r="C135" s="313">
        <f t="shared" si="5"/>
        <v>745135.43532901665</v>
      </c>
      <c r="D135" s="313">
        <f>IF(B135="","",IF(Sheet1!$AA$1=3,'Tabla de Pagos Crecientes'!V129,'Tabla Fijos CAT'!G134))</f>
        <v>3500.4039447725663</v>
      </c>
      <c r="E135" s="314">
        <f t="shared" si="4"/>
        <v>741635.0313842441</v>
      </c>
    </row>
    <row r="136" spans="2:5" ht="11.65" customHeight="1" x14ac:dyDescent="0.25">
      <c r="B136" s="312">
        <f>IF(B135=Simulador!$H$49,"",IF(B135="","",'Tabla Notaría'!B135+1))</f>
        <v>124</v>
      </c>
      <c r="C136" s="313">
        <f t="shared" si="5"/>
        <v>741635.0313842441</v>
      </c>
      <c r="D136" s="313">
        <f>IF(B136="","",IF(Sheet1!$AA$1=3,'Tabla de Pagos Crecientes'!V130,'Tabla Fijos CAT'!G135))</f>
        <v>3532.9188080817867</v>
      </c>
      <c r="E136" s="314">
        <f t="shared" si="4"/>
        <v>738102.11257616233</v>
      </c>
    </row>
    <row r="137" spans="2:5" ht="11.65" customHeight="1" x14ac:dyDescent="0.25">
      <c r="B137" s="312">
        <f>IF(B136=Simulador!$H$49,"",IF(B136="","",'Tabla Notaría'!B136+1))</f>
        <v>125</v>
      </c>
      <c r="C137" s="313">
        <f t="shared" si="5"/>
        <v>738102.11257616233</v>
      </c>
      <c r="D137" s="313">
        <f>IF(B137="","",IF(Sheet1!$AA$1=3,'Tabla de Pagos Crecientes'!V131,'Tabla Fijos CAT'!G136))</f>
        <v>3565.7356983435238</v>
      </c>
      <c r="E137" s="314">
        <f t="shared" si="4"/>
        <v>734536.37687781884</v>
      </c>
    </row>
    <row r="138" spans="2:5" ht="11.65" customHeight="1" x14ac:dyDescent="0.25">
      <c r="B138" s="312">
        <f>IF(B137=Simulador!$H$49,"",IF(B137="","",'Tabla Notaría'!B137+1))</f>
        <v>126</v>
      </c>
      <c r="C138" s="313">
        <f t="shared" si="5"/>
        <v>734536.37687781884</v>
      </c>
      <c r="D138" s="313">
        <f>IF(B138="","",IF(Sheet1!$AA$1=3,'Tabla de Pagos Crecientes'!V132,'Tabla Fijos CAT'!G137))</f>
        <v>3598.8574210525812</v>
      </c>
      <c r="E138" s="314">
        <f t="shared" si="4"/>
        <v>730937.51945676631</v>
      </c>
    </row>
    <row r="139" spans="2:5" ht="11.65" customHeight="1" x14ac:dyDescent="0.25">
      <c r="B139" s="312">
        <f>IF(B138=Simulador!$H$49,"",IF(B138="","",'Tabla Notaría'!B138+1))</f>
        <v>127</v>
      </c>
      <c r="C139" s="313">
        <f t="shared" si="5"/>
        <v>730937.51945676631</v>
      </c>
      <c r="D139" s="313">
        <f>IF(B139="","",IF(Sheet1!$AA$1=3,'Tabla de Pagos Crecientes'!V133,'Tabla Fijos CAT'!G138))</f>
        <v>3632.2868077636913</v>
      </c>
      <c r="E139" s="314">
        <f t="shared" si="4"/>
        <v>727305.23264900257</v>
      </c>
    </row>
    <row r="140" spans="2:5" ht="11.65" customHeight="1" x14ac:dyDescent="0.25">
      <c r="B140" s="312">
        <f>IF(B139=Simulador!$H$49,"",IF(B139="","",'Tabla Notaría'!B139+1))</f>
        <v>128</v>
      </c>
      <c r="C140" s="313">
        <f t="shared" si="5"/>
        <v>727305.23264900257</v>
      </c>
      <c r="D140" s="313">
        <f>IF(B140="","",IF(Sheet1!$AA$1=3,'Tabla de Pagos Crecientes'!V134,'Tabla Fijos CAT'!G139))</f>
        <v>3666.0267163335857</v>
      </c>
      <c r="E140" s="314">
        <f t="shared" si="4"/>
        <v>723639.20593266899</v>
      </c>
    </row>
    <row r="141" spans="2:5" ht="11.65" customHeight="1" x14ac:dyDescent="0.25">
      <c r="B141" s="312">
        <f>IF(B140=Simulador!$H$49,"",IF(B140="","",'Tabla Notaría'!B140+1))</f>
        <v>129</v>
      </c>
      <c r="C141" s="313">
        <f t="shared" si="5"/>
        <v>723639.20593266899</v>
      </c>
      <c r="D141" s="313">
        <f>IF(B141="","",IF(Sheet1!$AA$1=3,'Tabla de Pagos Crecientes'!V135,'Tabla Fijos CAT'!G140))</f>
        <v>3700.0800311653065</v>
      </c>
      <c r="E141" s="314">
        <f t="shared" ref="E141:E192" si="6">IF(B141="","",C141-D141)</f>
        <v>719939.12590150372</v>
      </c>
    </row>
    <row r="142" spans="2:5" ht="11.65" customHeight="1" x14ac:dyDescent="0.25">
      <c r="B142" s="312">
        <f>IF(B141=Simulador!$H$49,"",IF(B141="","",'Tabla Notaría'!B141+1))</f>
        <v>130</v>
      </c>
      <c r="C142" s="313">
        <f t="shared" si="5"/>
        <v>719939.12590150372</v>
      </c>
      <c r="D142" s="313">
        <f>IF(B142="","",IF(Sheet1!$AA$1=3,'Tabla de Pagos Crecientes'!V136,'Tabla Fijos CAT'!G141))</f>
        <v>3734.4496634547968</v>
      </c>
      <c r="E142" s="314">
        <f t="shared" si="6"/>
        <v>716204.67623804894</v>
      </c>
    </row>
    <row r="143" spans="2:5" ht="11.65" customHeight="1" x14ac:dyDescent="0.25">
      <c r="B143" s="312">
        <f>IF(B142=Simulador!$H$49,"",IF(B142="","",'Tabla Notaría'!B142+1))</f>
        <v>131</v>
      </c>
      <c r="C143" s="313">
        <f t="shared" ref="C143:C206" si="7">IF(B143="","",C142-D142)</f>
        <v>716204.67623804894</v>
      </c>
      <c r="D143" s="313">
        <f>IF(B143="","",IF(Sheet1!$AA$1=3,'Tabla de Pagos Crecientes'!V137,'Tabla Fijos CAT'!G142))</f>
        <v>3769.1385514397771</v>
      </c>
      <c r="E143" s="314">
        <f t="shared" si="6"/>
        <v>712435.5376866092</v>
      </c>
    </row>
    <row r="144" spans="2:5" ht="11.65" customHeight="1" x14ac:dyDescent="0.25">
      <c r="B144" s="315">
        <f>IF(B143=Simulador!$H$49,"",IF(B143="","",'Tabla Notaría'!B143+1))</f>
        <v>132</v>
      </c>
      <c r="C144" s="316">
        <f t="shared" si="7"/>
        <v>712435.5376866092</v>
      </c>
      <c r="D144" s="316">
        <f>IF(B144="","",IF(Sheet1!$AA$1=3,'Tabla de Pagos Crecientes'!V138,'Tabla Fijos CAT'!G143))</f>
        <v>3804.1496606509281</v>
      </c>
      <c r="E144" s="317">
        <f t="shared" si="6"/>
        <v>708631.38802595832</v>
      </c>
    </row>
    <row r="145" spans="2:5" ht="11.65" customHeight="1" x14ac:dyDescent="0.25">
      <c r="B145" s="308">
        <f>IF(B144=Simulador!$H$49,"",IF(B144="","",'Tabla Notaría'!B144+1))</f>
        <v>133</v>
      </c>
      <c r="C145" s="309">
        <f t="shared" si="7"/>
        <v>708631.38802595832</v>
      </c>
      <c r="D145" s="310">
        <f>IF(B145="","",IF(Sheet1!$AA$1=3,'Tabla de Pagos Crecientes'!V139,'Tabla Fijos CAT'!G144))</f>
        <v>3839.4859841654188</v>
      </c>
      <c r="E145" s="311">
        <f t="shared" si="6"/>
        <v>704791.90204179287</v>
      </c>
    </row>
    <row r="146" spans="2:5" ht="11.65" customHeight="1" x14ac:dyDescent="0.25">
      <c r="B146" s="312">
        <f>IF(B145=Simulador!$H$49,"",IF(B145="","",'Tabla Notaría'!B145+1))</f>
        <v>134</v>
      </c>
      <c r="C146" s="313">
        <f t="shared" si="7"/>
        <v>704791.90204179287</v>
      </c>
      <c r="D146" s="313">
        <f>IF(B146="","",IF(Sheet1!$AA$1=3,'Tabla de Pagos Crecientes'!V140,'Tabla Fijos CAT'!G145))</f>
        <v>3875.1505428627779</v>
      </c>
      <c r="E146" s="314">
        <f t="shared" si="6"/>
        <v>700916.75149893004</v>
      </c>
    </row>
    <row r="147" spans="2:5" ht="11.65" customHeight="1" x14ac:dyDescent="0.25">
      <c r="B147" s="312">
        <f>IF(B146=Simulador!$H$49,"",IF(B146="","",'Tabla Notaría'!B146+1))</f>
        <v>135</v>
      </c>
      <c r="C147" s="313">
        <f t="shared" si="7"/>
        <v>700916.75149893004</v>
      </c>
      <c r="D147" s="313">
        <f>IF(B147="","",IF(Sheet1!$AA$1=3,'Tabla de Pagos Crecientes'!V141,'Tabla Fijos CAT'!G146))</f>
        <v>3911.1463856831479</v>
      </c>
      <c r="E147" s="314">
        <f t="shared" si="6"/>
        <v>697005.60511324694</v>
      </c>
    </row>
    <row r="148" spans="2:5" ht="11.65" customHeight="1" x14ac:dyDescent="0.25">
      <c r="B148" s="312">
        <f>IF(B147=Simulador!$H$49,"",IF(B147="","",'Tabla Notaría'!B147+1))</f>
        <v>136</v>
      </c>
      <c r="C148" s="313">
        <f t="shared" si="7"/>
        <v>697005.60511324694</v>
      </c>
      <c r="D148" s="313">
        <f>IF(B148="","",IF(Sheet1!$AA$1=3,'Tabla de Pagos Crecientes'!V142,'Tabla Fijos CAT'!G147))</f>
        <v>3947.4765898879377</v>
      </c>
      <c r="E148" s="314">
        <f t="shared" si="6"/>
        <v>693058.12852335896</v>
      </c>
    </row>
    <row r="149" spans="2:5" ht="11.65" customHeight="1" x14ac:dyDescent="0.25">
      <c r="B149" s="312">
        <f>IF(B148=Simulador!$H$49,"",IF(B148="","",'Tabla Notaría'!B148+1))</f>
        <v>137</v>
      </c>
      <c r="C149" s="313">
        <f t="shared" si="7"/>
        <v>693058.12852335896</v>
      </c>
      <c r="D149" s="313">
        <f>IF(B149="","",IF(Sheet1!$AA$1=3,'Tabla de Pagos Crecientes'!V143,'Tabla Fijos CAT'!G148))</f>
        <v>3984.1442613228974</v>
      </c>
      <c r="E149" s="314">
        <f t="shared" si="6"/>
        <v>689073.98426203604</v>
      </c>
    </row>
    <row r="150" spans="2:5" ht="11.65" customHeight="1" x14ac:dyDescent="0.25">
      <c r="B150" s="312">
        <f>IF(B149=Simulador!$H$49,"",IF(B149="","",'Tabla Notaría'!B149+1))</f>
        <v>138</v>
      </c>
      <c r="C150" s="313">
        <f t="shared" si="7"/>
        <v>689073.98426203604</v>
      </c>
      <c r="D150" s="313">
        <f>IF(B150="","",IF(Sheet1!$AA$1=3,'Tabla de Pagos Crecientes'!V144,'Tabla Fijos CAT'!G149))</f>
        <v>4021.1525346836297</v>
      </c>
      <c r="E150" s="314">
        <f t="shared" si="6"/>
        <v>685052.83172735246</v>
      </c>
    </row>
    <row r="151" spans="2:5" ht="11.65" customHeight="1" x14ac:dyDescent="0.25">
      <c r="B151" s="312">
        <f>IF(B150=Simulador!$H$49,"",IF(B150="","",'Tabla Notaría'!B150+1))</f>
        <v>139</v>
      </c>
      <c r="C151" s="313">
        <f t="shared" si="7"/>
        <v>685052.83172735246</v>
      </c>
      <c r="D151" s="313">
        <f>IF(B151="","",IF(Sheet1!$AA$1=3,'Tabla de Pagos Crecientes'!V145,'Tabla Fijos CAT'!G150))</f>
        <v>4058.5045737835799</v>
      </c>
      <c r="E151" s="314">
        <f t="shared" si="6"/>
        <v>680994.32715356885</v>
      </c>
    </row>
    <row r="152" spans="2:5" ht="11.65" customHeight="1" x14ac:dyDescent="0.25">
      <c r="B152" s="312">
        <f>IF(B151=Simulador!$H$49,"",IF(B151="","",'Tabla Notaría'!B151+1))</f>
        <v>140</v>
      </c>
      <c r="C152" s="313">
        <f t="shared" si="7"/>
        <v>680994.32715356885</v>
      </c>
      <c r="D152" s="313">
        <f>IF(B152="","",IF(Sheet1!$AA$1=3,'Tabla de Pagos Crecientes'!V146,'Tabla Fijos CAT'!G151))</f>
        <v>4096.2035718245033</v>
      </c>
      <c r="E152" s="314">
        <f t="shared" si="6"/>
        <v>676898.12358174438</v>
      </c>
    </row>
    <row r="153" spans="2:5" ht="11.65" customHeight="1" x14ac:dyDescent="0.25">
      <c r="B153" s="312">
        <f>IF(B152=Simulador!$H$49,"",IF(B152="","",'Tabla Notaría'!B152+1))</f>
        <v>141</v>
      </c>
      <c r="C153" s="313">
        <f t="shared" si="7"/>
        <v>676898.12358174438</v>
      </c>
      <c r="D153" s="313">
        <f>IF(B153="","",IF(Sheet1!$AA$1=3,'Tabla de Pagos Crecientes'!V147,'Tabla Fijos CAT'!G152))</f>
        <v>4134.2527516694508</v>
      </c>
      <c r="E153" s="314">
        <f t="shared" si="6"/>
        <v>672763.87083007488</v>
      </c>
    </row>
    <row r="154" spans="2:5" ht="11.65" customHeight="1" x14ac:dyDescent="0.25">
      <c r="B154" s="312">
        <f>IF(B153=Simulador!$H$49,"",IF(B153="","",'Tabla Notaría'!B153+1))</f>
        <v>142</v>
      </c>
      <c r="C154" s="313">
        <f t="shared" si="7"/>
        <v>672763.87083007488</v>
      </c>
      <c r="D154" s="313">
        <f>IF(B154="","",IF(Sheet1!$AA$1=3,'Tabla de Pagos Crecientes'!V148,'Tabla Fijos CAT'!G153))</f>
        <v>4172.6553661182916</v>
      </c>
      <c r="E154" s="314">
        <f t="shared" si="6"/>
        <v>668591.21546395659</v>
      </c>
    </row>
    <row r="155" spans="2:5" ht="11.65" customHeight="1" x14ac:dyDescent="0.25">
      <c r="B155" s="312">
        <f>IF(B154=Simulador!$H$49,"",IF(B154="","",'Tabla Notaría'!B154+1))</f>
        <v>143</v>
      </c>
      <c r="C155" s="313">
        <f t="shared" si="7"/>
        <v>668591.21546395659</v>
      </c>
      <c r="D155" s="313">
        <f>IF(B155="","",IF(Sheet1!$AA$1=3,'Tabla de Pagos Crecientes'!V149,'Tabla Fijos CAT'!G154))</f>
        <v>4211.4146981857903</v>
      </c>
      <c r="E155" s="314">
        <f t="shared" si="6"/>
        <v>664379.80076577084</v>
      </c>
    </row>
    <row r="156" spans="2:5" ht="11.65" customHeight="1" x14ac:dyDescent="0.25">
      <c r="B156" s="315">
        <f>IF(B155=Simulador!$H$49,"",IF(B155="","",'Tabla Notaría'!B155+1))</f>
        <v>144</v>
      </c>
      <c r="C156" s="316">
        <f t="shared" si="7"/>
        <v>664379.80076577084</v>
      </c>
      <c r="D156" s="316">
        <f>IF(B156="","",IF(Sheet1!$AA$1=3,'Tabla de Pagos Crecientes'!V150,'Tabla Fijos CAT'!G155))</f>
        <v>4250.5340613822709</v>
      </c>
      <c r="E156" s="317">
        <f t="shared" si="6"/>
        <v>660129.26670438854</v>
      </c>
    </row>
    <row r="157" spans="2:5" ht="11.65" customHeight="1" x14ac:dyDescent="0.25">
      <c r="B157" s="308">
        <f>IF(B156=Simulador!$H$49,"",IF(B156="","",'Tabla Notaría'!B156+1))</f>
        <v>145</v>
      </c>
      <c r="C157" s="309">
        <f t="shared" si="7"/>
        <v>660129.26670438854</v>
      </c>
      <c r="D157" s="310">
        <f>IF(B157="","",IF(Sheet1!$AA$1=3,'Tabla de Pagos Crecientes'!V151,'Tabla Fijos CAT'!G156))</f>
        <v>4290.0167999968889</v>
      </c>
      <c r="E157" s="311">
        <f t="shared" si="6"/>
        <v>655839.24990439171</v>
      </c>
    </row>
    <row r="158" spans="2:5" ht="11.65" customHeight="1" x14ac:dyDescent="0.25">
      <c r="B158" s="312">
        <f>IF(B157=Simulador!$H$49,"",IF(B157="","",'Tabla Notaría'!B157+1))</f>
        <v>146</v>
      </c>
      <c r="C158" s="313">
        <f t="shared" si="7"/>
        <v>655839.24990439171</v>
      </c>
      <c r="D158" s="313">
        <f>IF(B158="","",IF(Sheet1!$AA$1=3,'Tabla de Pagos Crecientes'!V152,'Tabla Fijos CAT'!G157))</f>
        <v>4329.8662893835262</v>
      </c>
      <c r="E158" s="314">
        <f t="shared" si="6"/>
        <v>651509.38361500821</v>
      </c>
    </row>
    <row r="159" spans="2:5" ht="11.65" customHeight="1" x14ac:dyDescent="0.25">
      <c r="B159" s="312">
        <f>IF(B158=Simulador!$H$49,"",IF(B158="","",'Tabla Notaría'!B158+1))</f>
        <v>147</v>
      </c>
      <c r="C159" s="313">
        <f t="shared" si="7"/>
        <v>651509.38361500821</v>
      </c>
      <c r="D159" s="313">
        <f>IF(B159="","",IF(Sheet1!$AA$1=3,'Tabla de Pagos Crecientes'!V153,'Tabla Fijos CAT'!G158))</f>
        <v>4370.0859362493557</v>
      </c>
      <c r="E159" s="314">
        <f t="shared" si="6"/>
        <v>647139.29767875886</v>
      </c>
    </row>
    <row r="160" spans="2:5" ht="11.65" customHeight="1" x14ac:dyDescent="0.25">
      <c r="B160" s="312">
        <f>IF(B159=Simulador!$H$49,"",IF(B159="","",'Tabla Notaría'!B159+1))</f>
        <v>148</v>
      </c>
      <c r="C160" s="313">
        <f t="shared" si="7"/>
        <v>647139.29767875886</v>
      </c>
      <c r="D160" s="313">
        <f>IF(B160="","",IF(Sheet1!$AA$1=3,'Tabla de Pagos Crecientes'!V154,'Tabla Fijos CAT'!G159))</f>
        <v>4410.6791789460713</v>
      </c>
      <c r="E160" s="314">
        <f t="shared" si="6"/>
        <v>642728.61849981279</v>
      </c>
    </row>
    <row r="161" spans="2:5" ht="11.65" customHeight="1" x14ac:dyDescent="0.25">
      <c r="B161" s="312">
        <f>IF(B160=Simulador!$H$49,"",IF(B160="","",'Tabla Notaría'!B160+1))</f>
        <v>149</v>
      </c>
      <c r="C161" s="313">
        <f t="shared" si="7"/>
        <v>642728.61849981279</v>
      </c>
      <c r="D161" s="313">
        <f>IF(B161="","",IF(Sheet1!$AA$1=3,'Tabla de Pagos Crecientes'!V155,'Tabla Fijos CAT'!G160))</f>
        <v>4451.649487763837</v>
      </c>
      <c r="E161" s="314">
        <f t="shared" si="6"/>
        <v>638276.96901204891</v>
      </c>
    </row>
    <row r="162" spans="2:5" ht="11.65" customHeight="1" x14ac:dyDescent="0.25">
      <c r="B162" s="312">
        <f>IF(B161=Simulador!$H$49,"",IF(B161="","",'Tabla Notaría'!B161+1))</f>
        <v>150</v>
      </c>
      <c r="C162" s="313">
        <f t="shared" si="7"/>
        <v>638276.96901204891</v>
      </c>
      <c r="D162" s="313">
        <f>IF(B162="","",IF(Sheet1!$AA$1=3,'Tabla de Pagos Crecientes'!V156,'Tabla Fijos CAT'!G161))</f>
        <v>4493.0003652279547</v>
      </c>
      <c r="E162" s="314">
        <f t="shared" si="6"/>
        <v>633783.96864682098</v>
      </c>
    </row>
    <row r="163" spans="2:5" ht="11.65" customHeight="1" x14ac:dyDescent="0.25">
      <c r="B163" s="312">
        <f>IF(B162=Simulador!$H$49,"",IF(B162="","",'Tabla Notaría'!B162+1))</f>
        <v>151</v>
      </c>
      <c r="C163" s="313">
        <f t="shared" si="7"/>
        <v>633783.96864682098</v>
      </c>
      <c r="D163" s="313">
        <f>IF(B163="","",IF(Sheet1!$AA$1=3,'Tabla de Pagos Crecientes'!V157,'Tabla Fijos CAT'!G162))</f>
        <v>4534.7353463982945</v>
      </c>
      <c r="E163" s="314">
        <f t="shared" si="6"/>
        <v>629249.23330042267</v>
      </c>
    </row>
    <row r="164" spans="2:5" ht="11.65" customHeight="1" x14ac:dyDescent="0.25">
      <c r="B164" s="312">
        <f>IF(B163=Simulador!$H$49,"",IF(B163="","",'Tabla Notaría'!B163+1))</f>
        <v>152</v>
      </c>
      <c r="C164" s="313">
        <f t="shared" si="7"/>
        <v>629249.23330042267</v>
      </c>
      <c r="D164" s="313">
        <f>IF(B164="","",IF(Sheet1!$AA$1=3,'Tabla de Pagos Crecientes'!V158,'Tabla Fijos CAT'!G163))</f>
        <v>4576.8579991715051</v>
      </c>
      <c r="E164" s="314">
        <f t="shared" si="6"/>
        <v>624672.37530125119</v>
      </c>
    </row>
    <row r="165" spans="2:5" ht="11.65" customHeight="1" x14ac:dyDescent="0.25">
      <c r="B165" s="312">
        <f>IF(B164=Simulador!$H$49,"",IF(B164="","",'Tabla Notaría'!B164+1))</f>
        <v>153</v>
      </c>
      <c r="C165" s="313">
        <f t="shared" si="7"/>
        <v>624672.37530125119</v>
      </c>
      <c r="D165" s="313">
        <f>IF(B165="","",IF(Sheet1!$AA$1=3,'Tabla de Pagos Crecientes'!V159,'Tabla Fijos CAT'!G164))</f>
        <v>4619.371924586032</v>
      </c>
      <c r="E165" s="314">
        <f t="shared" si="6"/>
        <v>620053.00337666518</v>
      </c>
    </row>
    <row r="166" spans="2:5" ht="11.65" customHeight="1" x14ac:dyDescent="0.25">
      <c r="B166" s="312">
        <f>IF(B165=Simulador!$H$49,"",IF(B165="","",'Tabla Notaría'!B165+1))</f>
        <v>154</v>
      </c>
      <c r="C166" s="313">
        <f t="shared" si="7"/>
        <v>620053.00337666518</v>
      </c>
      <c r="D166" s="313">
        <f>IF(B166="","",IF(Sheet1!$AA$1=3,'Tabla de Pagos Crecientes'!V160,'Tabla Fijos CAT'!G165))</f>
        <v>4662.2807571299636</v>
      </c>
      <c r="E166" s="314">
        <f t="shared" si="6"/>
        <v>615390.72261953517</v>
      </c>
    </row>
    <row r="167" spans="2:5" ht="11.65" customHeight="1" x14ac:dyDescent="0.25">
      <c r="B167" s="312">
        <f>IF(B166=Simulador!$H$49,"",IF(B166="","",'Tabla Notaría'!B166+1))</f>
        <v>155</v>
      </c>
      <c r="C167" s="313">
        <f t="shared" si="7"/>
        <v>615390.72261953517</v>
      </c>
      <c r="D167" s="313">
        <f>IF(B167="","",IF(Sheet1!$AA$1=3,'Tabla de Pagos Crecientes'!V161,'Tabla Fijos CAT'!G166))</f>
        <v>4705.5881650517495</v>
      </c>
      <c r="E167" s="314">
        <f t="shared" si="6"/>
        <v>610685.1344544834</v>
      </c>
    </row>
    <row r="168" spans="2:5" ht="11.65" customHeight="1" x14ac:dyDescent="0.25">
      <c r="B168" s="315">
        <f>IF(B167=Simulador!$H$49,"",IF(B167="","",'Tabla Notaría'!B167+1))</f>
        <v>156</v>
      </c>
      <c r="C168" s="316">
        <f t="shared" si="7"/>
        <v>610685.1344544834</v>
      </c>
      <c r="D168" s="316">
        <f>IF(B168="","",IF(Sheet1!$AA$1=3,'Tabla de Pagos Crecientes'!V162,'Tabla Fijos CAT'!G167))</f>
        <v>4749.2978506737854</v>
      </c>
      <c r="E168" s="317">
        <f t="shared" si="6"/>
        <v>605935.83660380961</v>
      </c>
    </row>
    <row r="169" spans="2:5" ht="11.65" customHeight="1" x14ac:dyDescent="0.25">
      <c r="B169" s="308">
        <f>IF(B168=Simulador!$H$49,"",IF(B168="","",'Tabla Notaría'!B168+1))</f>
        <v>157</v>
      </c>
      <c r="C169" s="309">
        <f t="shared" si="7"/>
        <v>605935.83660380961</v>
      </c>
      <c r="D169" s="310">
        <f>IF(B169="","",IF(Sheet1!$AA$1=3,'Tabla de Pagos Crecientes'!V163,'Tabla Fijos CAT'!G168))</f>
        <v>4793.4135507089331</v>
      </c>
      <c r="E169" s="311">
        <f t="shared" si="6"/>
        <v>601142.42305310071</v>
      </c>
    </row>
    <row r="170" spans="2:5" ht="11.65" customHeight="1" x14ac:dyDescent="0.25">
      <c r="B170" s="312">
        <f>IF(B169=Simulador!$H$49,"",IF(B169="","",'Tabla Notaría'!B169+1))</f>
        <v>158</v>
      </c>
      <c r="C170" s="313">
        <f t="shared" si="7"/>
        <v>601142.42305310071</v>
      </c>
      <c r="D170" s="313">
        <f>IF(B170="","",IF(Sheet1!$AA$1=3,'Tabla de Pagos Crecientes'!V164,'Tabla Fijos CAT'!G169))</f>
        <v>4837.9390365799627</v>
      </c>
      <c r="E170" s="314">
        <f t="shared" si="6"/>
        <v>596304.48401652079</v>
      </c>
    </row>
    <row r="171" spans="2:5" ht="11.65" customHeight="1" x14ac:dyDescent="0.25">
      <c r="B171" s="312">
        <f>IF(B170=Simulador!$H$49,"",IF(B170="","",'Tabla Notaría'!B170+1))</f>
        <v>159</v>
      </c>
      <c r="C171" s="313">
        <f t="shared" si="7"/>
        <v>596304.48401652079</v>
      </c>
      <c r="D171" s="313">
        <f>IF(B171="","",IF(Sheet1!$AA$1=3,'Tabla de Pagos Crecientes'!V165,'Tabla Fijos CAT'!G170))</f>
        <v>4882.8781147419713</v>
      </c>
      <c r="E171" s="314">
        <f t="shared" si="6"/>
        <v>591421.60590177879</v>
      </c>
    </row>
    <row r="172" spans="2:5" ht="11.65" customHeight="1" x14ac:dyDescent="0.25">
      <c r="B172" s="312">
        <f>IF(B171=Simulador!$H$49,"",IF(B171="","",'Tabla Notaría'!B171+1))</f>
        <v>160</v>
      </c>
      <c r="C172" s="313">
        <f t="shared" si="7"/>
        <v>591421.60590177879</v>
      </c>
      <c r="D172" s="313">
        <f>IF(B172="","",IF(Sheet1!$AA$1=3,'Tabla de Pagos Crecientes'!V166,'Tabla Fijos CAT'!G171))</f>
        <v>4928.2346270077978</v>
      </c>
      <c r="E172" s="314">
        <f t="shared" si="6"/>
        <v>586493.37127477094</v>
      </c>
    </row>
    <row r="173" spans="2:5" ht="11.65" customHeight="1" x14ac:dyDescent="0.25">
      <c r="B173" s="312">
        <f>IF(B172=Simulador!$H$49,"",IF(B172="","",'Tabla Notaría'!B172+1))</f>
        <v>161</v>
      </c>
      <c r="C173" s="313">
        <f t="shared" si="7"/>
        <v>586493.37127477094</v>
      </c>
      <c r="D173" s="313">
        <f>IF(B173="","",IF(Sheet1!$AA$1=3,'Tabla de Pagos Crecientes'!V167,'Tabla Fijos CAT'!G172))</f>
        <v>4974.0124508764484</v>
      </c>
      <c r="E173" s="314">
        <f t="shared" si="6"/>
        <v>581519.35882389452</v>
      </c>
    </row>
    <row r="174" spans="2:5" ht="11.65" customHeight="1" x14ac:dyDescent="0.25">
      <c r="B174" s="312">
        <f>IF(B173=Simulador!$H$49,"",IF(B173="","",'Tabla Notaría'!B173+1))</f>
        <v>162</v>
      </c>
      <c r="C174" s="313">
        <f t="shared" si="7"/>
        <v>581519.35882389452</v>
      </c>
      <c r="D174" s="313">
        <f>IF(B174="","",IF(Sheet1!$AA$1=3,'Tabla de Pagos Crecientes'!V168,'Tabla Fijos CAT'!G173))</f>
        <v>5020.2154998645892</v>
      </c>
      <c r="E174" s="314">
        <f t="shared" si="6"/>
        <v>576499.14332402998</v>
      </c>
    </row>
    <row r="175" spans="2:5" ht="11.65" customHeight="1" x14ac:dyDescent="0.25">
      <c r="B175" s="312">
        <f>IF(B174=Simulador!$H$49,"",IF(B174="","",'Tabla Notaría'!B174+1))</f>
        <v>163</v>
      </c>
      <c r="C175" s="313">
        <f t="shared" si="7"/>
        <v>576499.14332402998</v>
      </c>
      <c r="D175" s="313">
        <f>IF(B175="","",IF(Sheet1!$AA$1=3,'Tabla de Pagos Crecientes'!V169,'Tabla Fijos CAT'!G174))</f>
        <v>5066.8477238411087</v>
      </c>
      <c r="E175" s="314">
        <f t="shared" si="6"/>
        <v>571432.2956001889</v>
      </c>
    </row>
    <row r="176" spans="2:5" ht="11.65" customHeight="1" x14ac:dyDescent="0.25">
      <c r="B176" s="312">
        <f>IF(B175=Simulador!$H$49,"",IF(B175="","",'Tabla Notaría'!B175+1))</f>
        <v>164</v>
      </c>
      <c r="C176" s="313">
        <f t="shared" si="7"/>
        <v>571432.2956001889</v>
      </c>
      <c r="D176" s="313">
        <f>IF(B176="","",IF(Sheet1!$AA$1=3,'Tabla de Pagos Crecientes'!V170,'Tabla Fijos CAT'!G175))</f>
        <v>5113.9131093647884</v>
      </c>
      <c r="E176" s="314">
        <f t="shared" si="6"/>
        <v>566318.38249082409</v>
      </c>
    </row>
    <row r="177" spans="2:5" ht="11.65" customHeight="1" x14ac:dyDescent="0.25">
      <c r="B177" s="312">
        <f>IF(B176=Simulador!$H$49,"",IF(B176="","",'Tabla Notaría'!B176+1))</f>
        <v>165</v>
      </c>
      <c r="C177" s="313">
        <f t="shared" si="7"/>
        <v>566318.38249082409</v>
      </c>
      <c r="D177" s="313">
        <f>IF(B177="","",IF(Sheet1!$AA$1=3,'Tabla de Pagos Crecientes'!V171,'Tabla Fijos CAT'!G176))</f>
        <v>5161.4156800251103</v>
      </c>
      <c r="E177" s="314">
        <f t="shared" si="6"/>
        <v>561156.96681079897</v>
      </c>
    </row>
    <row r="178" spans="2:5" ht="11.65" customHeight="1" x14ac:dyDescent="0.25">
      <c r="B178" s="312">
        <f>IF(B177=Simulador!$H$49,"",IF(B177="","",'Tabla Notaría'!B177+1))</f>
        <v>166</v>
      </c>
      <c r="C178" s="313">
        <f t="shared" si="7"/>
        <v>561156.96681079897</v>
      </c>
      <c r="D178" s="313">
        <f>IF(B178="","",IF(Sheet1!$AA$1=3,'Tabla de Pagos Crecientes'!V172,'Tabla Fijos CAT'!G177))</f>
        <v>5209.3594967862318</v>
      </c>
      <c r="E178" s="314">
        <f t="shared" si="6"/>
        <v>555947.60731401271</v>
      </c>
    </row>
    <row r="179" spans="2:5" ht="11.65" customHeight="1" x14ac:dyDescent="0.25">
      <c r="B179" s="312">
        <f>IF(B178=Simulador!$H$49,"",IF(B178="","",'Tabla Notaría'!B178+1))</f>
        <v>167</v>
      </c>
      <c r="C179" s="313">
        <f t="shared" si="7"/>
        <v>555947.60731401271</v>
      </c>
      <c r="D179" s="313">
        <f>IF(B179="","",IF(Sheet1!$AA$1=3,'Tabla de Pagos Crecientes'!V173,'Tabla Fijos CAT'!G178))</f>
        <v>5257.7486583341579</v>
      </c>
      <c r="E179" s="314">
        <f t="shared" si="6"/>
        <v>550689.85865567857</v>
      </c>
    </row>
    <row r="180" spans="2:5" ht="11.65" customHeight="1" x14ac:dyDescent="0.25">
      <c r="B180" s="315">
        <f>IF(B179=Simulador!$H$49,"",IF(B179="","",'Tabla Notaría'!B179+1))</f>
        <v>168</v>
      </c>
      <c r="C180" s="316">
        <f t="shared" si="7"/>
        <v>550689.85865567857</v>
      </c>
      <c r="D180" s="316">
        <f>IF(B180="","",IF(Sheet1!$AA$1=3,'Tabla de Pagos Crecientes'!V174,'Tabla Fijos CAT'!G179))</f>
        <v>5306.5873014271283</v>
      </c>
      <c r="E180" s="317">
        <f t="shared" si="6"/>
        <v>545383.27135425142</v>
      </c>
    </row>
    <row r="181" spans="2:5" ht="11.65" customHeight="1" x14ac:dyDescent="0.25">
      <c r="B181" s="308">
        <f>IF(B180=Simulador!$H$49,"",IF(B180="","",'Tabla Notaría'!B180+1))</f>
        <v>169</v>
      </c>
      <c r="C181" s="309">
        <f t="shared" si="7"/>
        <v>545383.27135425142</v>
      </c>
      <c r="D181" s="310">
        <f>IF(B181="","",IF(Sheet1!$AA$1=3,'Tabla de Pagos Crecientes'!V175,'Tabla Fijos CAT'!G180))</f>
        <v>5355.8796012492739</v>
      </c>
      <c r="E181" s="311">
        <f t="shared" si="6"/>
        <v>540027.39175300219</v>
      </c>
    </row>
    <row r="182" spans="2:5" ht="11.65" customHeight="1" x14ac:dyDescent="0.25">
      <c r="B182" s="312">
        <f>IF(B181=Simulador!$H$49,"",IF(B181="","",'Tabla Notaría'!B181+1))</f>
        <v>170</v>
      </c>
      <c r="C182" s="313">
        <f t="shared" si="7"/>
        <v>540027.39175300219</v>
      </c>
      <c r="D182" s="313">
        <f>IF(B182="","",IF(Sheet1!$AA$1=3,'Tabla de Pagos Crecientes'!V176,'Tabla Fijos CAT'!G181))</f>
        <v>5405.6297717675443</v>
      </c>
      <c r="E182" s="314">
        <f t="shared" si="6"/>
        <v>534621.76198123465</v>
      </c>
    </row>
    <row r="183" spans="2:5" ht="11.65" customHeight="1" x14ac:dyDescent="0.25">
      <c r="B183" s="312">
        <f>IF(B182=Simulador!$H$49,"",IF(B182="","",'Tabla Notaría'!B182+1))</f>
        <v>171</v>
      </c>
      <c r="C183" s="313">
        <f t="shared" si="7"/>
        <v>534621.76198123465</v>
      </c>
      <c r="D183" s="313">
        <f>IF(B183="","",IF(Sheet1!$AA$1=3,'Tabla de Pagos Crecientes'!V177,'Tabla Fijos CAT'!G182))</f>
        <v>5455.8420660919628</v>
      </c>
      <c r="E183" s="314">
        <f t="shared" si="6"/>
        <v>529165.9199151427</v>
      </c>
    </row>
    <row r="184" spans="2:5" ht="11.65" customHeight="1" x14ac:dyDescent="0.25">
      <c r="B184" s="312">
        <f>IF(B183=Simulador!$H$49,"",IF(B183="","",'Tabla Notaría'!B183+1))</f>
        <v>172</v>
      </c>
      <c r="C184" s="313">
        <f t="shared" si="7"/>
        <v>529165.9199151427</v>
      </c>
      <c r="D184" s="313">
        <f>IF(B184="","",IF(Sheet1!$AA$1=3,'Tabla de Pagos Crecientes'!V178,'Tabla Fijos CAT'!G183))</f>
        <v>5506.5207768392174</v>
      </c>
      <c r="E184" s="314">
        <f t="shared" si="6"/>
        <v>523659.39913830347</v>
      </c>
    </row>
    <row r="185" spans="2:5" ht="11.65" customHeight="1" x14ac:dyDescent="0.25">
      <c r="B185" s="312">
        <f>IF(B184=Simulador!$H$49,"",IF(B184="","",'Tabla Notaría'!B184+1))</f>
        <v>173</v>
      </c>
      <c r="C185" s="313">
        <f t="shared" si="7"/>
        <v>523659.39913830347</v>
      </c>
      <c r="D185" s="313">
        <f>IF(B185="","",IF(Sheet1!$AA$1=3,'Tabla de Pagos Crecientes'!V179,'Tabla Fijos CAT'!G184))</f>
        <v>5557.6702364996345</v>
      </c>
      <c r="E185" s="314">
        <f t="shared" si="6"/>
        <v>518101.72890180384</v>
      </c>
    </row>
    <row r="186" spans="2:5" ht="11.65" customHeight="1" x14ac:dyDescent="0.25">
      <c r="B186" s="312">
        <f>IF(B185=Simulador!$H$49,"",IF(B185="","",'Tabla Notaría'!B185+1))</f>
        <v>174</v>
      </c>
      <c r="C186" s="313">
        <f t="shared" si="7"/>
        <v>518101.72890180384</v>
      </c>
      <c r="D186" s="313">
        <f>IF(B186="","",IF(Sheet1!$AA$1=3,'Tabla de Pagos Crecientes'!V180,'Tabla Fijos CAT'!G185))</f>
        <v>5609.2948178075649</v>
      </c>
      <c r="E186" s="314">
        <f t="shared" si="6"/>
        <v>512492.43408399628</v>
      </c>
    </row>
    <row r="187" spans="2:5" ht="11.65" customHeight="1" x14ac:dyDescent="0.25">
      <c r="B187" s="312">
        <f>IF(B186=Simulador!$H$49,"",IF(B186="","",'Tabla Notaría'!B186+1))</f>
        <v>175</v>
      </c>
      <c r="C187" s="313">
        <f t="shared" si="7"/>
        <v>512492.43408399628</v>
      </c>
      <c r="D187" s="313">
        <f>IF(B187="","",IF(Sheet1!$AA$1=3,'Tabla de Pagos Crecientes'!V181,'Tabla Fijos CAT'!G186))</f>
        <v>5661.3989341151992</v>
      </c>
      <c r="E187" s="314">
        <f t="shared" si="6"/>
        <v>506831.03514988109</v>
      </c>
    </row>
    <row r="188" spans="2:5" ht="11.65" customHeight="1" x14ac:dyDescent="0.25">
      <c r="B188" s="312">
        <f>IF(B187=Simulador!$H$49,"",IF(B187="","",'Tabla Notaría'!B187+1))</f>
        <v>176</v>
      </c>
      <c r="C188" s="313">
        <f t="shared" si="7"/>
        <v>506831.03514988109</v>
      </c>
      <c r="D188" s="313">
        <f>IF(B188="","",IF(Sheet1!$AA$1=3,'Tabla de Pagos Crecientes'!V182,'Tabla Fijos CAT'!G187))</f>
        <v>5713.9870397698696</v>
      </c>
      <c r="E188" s="314">
        <f t="shared" si="6"/>
        <v>501117.04811011121</v>
      </c>
    </row>
    <row r="189" spans="2:5" ht="11.65" customHeight="1" x14ac:dyDescent="0.25">
      <c r="B189" s="312">
        <f>IF(B188=Simulador!$H$49,"",IF(B188="","",'Tabla Notaría'!B188+1))</f>
        <v>177</v>
      </c>
      <c r="C189" s="313">
        <f t="shared" si="7"/>
        <v>501117.04811011121</v>
      </c>
      <c r="D189" s="313">
        <f>IF(B189="","",IF(Sheet1!$AA$1=3,'Tabla de Pagos Crecientes'!V183,'Tabla Fijos CAT'!G188))</f>
        <v>5767.063630494843</v>
      </c>
      <c r="E189" s="314">
        <f t="shared" si="6"/>
        <v>495349.98447961634</v>
      </c>
    </row>
    <row r="190" spans="2:5" ht="11.65" customHeight="1" x14ac:dyDescent="0.25">
      <c r="B190" s="312">
        <f>IF(B189=Simulador!$H$49,"",IF(B189="","",'Tabla Notaría'!B189+1))</f>
        <v>178</v>
      </c>
      <c r="C190" s="313">
        <f t="shared" si="7"/>
        <v>495349.98447961634</v>
      </c>
      <c r="D190" s="313">
        <f>IF(B190="","",IF(Sheet1!$AA$1=3,'Tabla de Pagos Crecientes'!V184,'Tabla Fijos CAT'!G189))</f>
        <v>5820.6332437736619</v>
      </c>
      <c r="E190" s="314">
        <f t="shared" si="6"/>
        <v>489529.35123584268</v>
      </c>
    </row>
    <row r="191" spans="2:5" ht="11.65" customHeight="1" x14ac:dyDescent="0.25">
      <c r="B191" s="312">
        <f>IF(B190=Simulador!$H$49,"",IF(B190="","",'Tabla Notaría'!B190+1))</f>
        <v>179</v>
      </c>
      <c r="C191" s="313">
        <f t="shared" si="7"/>
        <v>489529.35123584268</v>
      </c>
      <c r="D191" s="313">
        <f>IF(B191="","",IF(Sheet1!$AA$1=3,'Tabla de Pagos Crecientes'!V185,'Tabla Fijos CAT'!G190))</f>
        <v>5874.7004592380481</v>
      </c>
      <c r="E191" s="314">
        <f t="shared" si="6"/>
        <v>483654.65077660466</v>
      </c>
    </row>
    <row r="192" spans="2:5" ht="11.65" customHeight="1" x14ac:dyDescent="0.25">
      <c r="B192" s="315">
        <f>IF(B191=Simulador!$H$49,"",IF(B191="","",'Tabla Notaría'!B191+1))</f>
        <v>180</v>
      </c>
      <c r="C192" s="316">
        <f t="shared" si="7"/>
        <v>483654.65077660466</v>
      </c>
      <c r="D192" s="316">
        <f>IF(B192="","",IF(Sheet1!$AA$1=3,'Tabla de Pagos Crecientes'!V186,'Tabla Fijos CAT'!G191))</f>
        <v>5929.2698990594145</v>
      </c>
      <c r="E192" s="317">
        <f t="shared" si="6"/>
        <v>477725.38087754522</v>
      </c>
    </row>
    <row r="193" spans="2:5" ht="11.65" customHeight="1" x14ac:dyDescent="0.25">
      <c r="B193" s="308">
        <f>IF(B192=Simulador!$H$49,"",IF(B192="","",'Tabla Notaría'!B192+1))</f>
        <v>181</v>
      </c>
      <c r="C193" s="309">
        <f t="shared" si="7"/>
        <v>477725.38087754522</v>
      </c>
      <c r="D193" s="310">
        <f>IF(B193="","",IF(Sheet1!$AA$1=3,'Tabla de Pagos Crecientes'!V187,'Tabla Fijos CAT'!G192))</f>
        <v>5984.3462283440113</v>
      </c>
      <c r="E193" s="311">
        <f>IF(B193="","",C193-D193)</f>
        <v>471741.0346492012</v>
      </c>
    </row>
    <row r="194" spans="2:5" ht="11.65" customHeight="1" x14ac:dyDescent="0.25">
      <c r="B194" s="312">
        <f>IF(B193=Simulador!$H$49,"",IF(B193="","",'Tabla Notaría'!B193+1))</f>
        <v>182</v>
      </c>
      <c r="C194" s="313">
        <f t="shared" si="7"/>
        <v>471741.0346492012</v>
      </c>
      <c r="D194" s="313">
        <f>IF(B194="","",IF(Sheet1!$AA$1=3,'Tabla de Pagos Crecientes'!V188,'Tabla Fijos CAT'!G193))</f>
        <v>6039.9341555317405</v>
      </c>
      <c r="E194" s="314">
        <f t="shared" ref="E194:E251" si="8">IF(B194="","",C194-D194)</f>
        <v>465701.10049366945</v>
      </c>
    </row>
    <row r="195" spans="2:5" ht="11.65" customHeight="1" x14ac:dyDescent="0.25">
      <c r="B195" s="312">
        <f>IF(B194=Simulador!$H$49,"",IF(B194="","",'Tabla Notaría'!B194+1))</f>
        <v>183</v>
      </c>
      <c r="C195" s="313">
        <f t="shared" si="7"/>
        <v>465701.10049366945</v>
      </c>
      <c r="D195" s="313">
        <f>IF(B195="","",IF(Sheet1!$AA$1=3,'Tabla de Pagos Crecientes'!V189,'Tabla Fijos CAT'!G194))</f>
        <v>6096.0384327986794</v>
      </c>
      <c r="E195" s="314">
        <f t="shared" si="8"/>
        <v>459605.06206087075</v>
      </c>
    </row>
    <row r="196" spans="2:5" ht="11.65" customHeight="1" x14ac:dyDescent="0.25">
      <c r="B196" s="312">
        <f>IF(B195=Simulador!$H$49,"",IF(B195="","",'Tabla Notaría'!B195+1))</f>
        <v>184</v>
      </c>
      <c r="C196" s="313">
        <f t="shared" si="7"/>
        <v>459605.06206087075</v>
      </c>
      <c r="D196" s="313">
        <f>IF(B196="","",IF(Sheet1!$AA$1=3,'Tabla de Pagos Crecientes'!V190,'Tabla Fijos CAT'!G195))</f>
        <v>6152.6638564633431</v>
      </c>
      <c r="E196" s="314">
        <f t="shared" si="8"/>
        <v>453452.39820440742</v>
      </c>
    </row>
    <row r="197" spans="2:5" ht="11.65" customHeight="1" x14ac:dyDescent="0.25">
      <c r="B197" s="312">
        <f>IF(B196=Simulador!$H$49,"",IF(B196="","",'Tabla Notaría'!B196+1))</f>
        <v>185</v>
      </c>
      <c r="C197" s="313">
        <f t="shared" si="7"/>
        <v>453452.39820440742</v>
      </c>
      <c r="D197" s="313">
        <f>IF(B197="","",IF(Sheet1!$AA$1=3,'Tabla de Pagos Crecientes'!V191,'Tabla Fijos CAT'!G196))</f>
        <v>6209.8152673967134</v>
      </c>
      <c r="E197" s="314">
        <f t="shared" si="8"/>
        <v>447242.58293701068</v>
      </c>
    </row>
    <row r="198" spans="2:5" ht="11.65" customHeight="1" x14ac:dyDescent="0.25">
      <c r="B198" s="312">
        <f>IF(B197=Simulador!$H$49,"",IF(B197="","",'Tabla Notaría'!B197+1))</f>
        <v>186</v>
      </c>
      <c r="C198" s="313">
        <f t="shared" si="7"/>
        <v>447242.58293701068</v>
      </c>
      <c r="D198" s="313">
        <f>IF(B198="","",IF(Sheet1!$AA$1=3,'Tabla de Pagos Crecientes'!V192,'Tabla Fijos CAT'!G197))</f>
        <v>6267.4975514360876</v>
      </c>
      <c r="E198" s="314">
        <f t="shared" si="8"/>
        <v>440975.08538557461</v>
      </c>
    </row>
    <row r="199" spans="2:5" ht="11.65" customHeight="1" x14ac:dyDescent="0.25">
      <c r="B199" s="312">
        <f>IF(B198=Simulador!$H$49,"",IF(B198="","",'Tabla Notaría'!B198+1))</f>
        <v>187</v>
      </c>
      <c r="C199" s="313">
        <f t="shared" si="7"/>
        <v>440975.08538557461</v>
      </c>
      <c r="D199" s="313">
        <f>IF(B199="","",IF(Sheet1!$AA$1=3,'Tabla de Pagos Crecientes'!V193,'Tabla Fijos CAT'!G198))</f>
        <v>6325.715639802761</v>
      </c>
      <c r="E199" s="314">
        <f t="shared" si="8"/>
        <v>434649.36974577187</v>
      </c>
    </row>
    <row r="200" spans="2:5" ht="11.65" customHeight="1" x14ac:dyDescent="0.25">
      <c r="B200" s="312">
        <f>IF(B199=Simulador!$H$49,"",IF(B199="","",'Tabla Notaría'!B199+1))</f>
        <v>188</v>
      </c>
      <c r="C200" s="313">
        <f t="shared" si="7"/>
        <v>434649.36974577187</v>
      </c>
      <c r="D200" s="313">
        <f>IF(B200="","",IF(Sheet1!$AA$1=3,'Tabla de Pagos Crecientes'!V194,'Tabla Fijos CAT'!G199))</f>
        <v>6384.4745095235949</v>
      </c>
      <c r="E200" s="314">
        <f t="shared" si="8"/>
        <v>428264.89523624827</v>
      </c>
    </row>
    <row r="201" spans="2:5" ht="11.65" customHeight="1" x14ac:dyDescent="0.25">
      <c r="B201" s="312">
        <f>IF(B200=Simulador!$H$49,"",IF(B200="","",'Tabla Notaría'!B200+1))</f>
        <v>189</v>
      </c>
      <c r="C201" s="313">
        <f t="shared" si="7"/>
        <v>428264.89523624827</v>
      </c>
      <c r="D201" s="313">
        <f>IF(B201="","",IF(Sheet1!$AA$1=3,'Tabla de Pagos Crecientes'!V195,'Tabla Fijos CAT'!G200))</f>
        <v>6443.7791838565026</v>
      </c>
      <c r="E201" s="314">
        <f t="shared" si="8"/>
        <v>421821.11605239176</v>
      </c>
    </row>
    <row r="202" spans="2:5" ht="11.65" customHeight="1" x14ac:dyDescent="0.25">
      <c r="B202" s="312">
        <f>IF(B201=Simulador!$H$49,"",IF(B201="","",'Tabla Notaría'!B201+1))</f>
        <v>190</v>
      </c>
      <c r="C202" s="313">
        <f t="shared" si="7"/>
        <v>421821.11605239176</v>
      </c>
      <c r="D202" s="313">
        <f>IF(B202="","",IF(Sheet1!$AA$1=3,'Tabla de Pagos Crecientes'!V196,'Tabla Fijos CAT'!G201))</f>
        <v>6503.6347327198819</v>
      </c>
      <c r="E202" s="314">
        <f t="shared" si="8"/>
        <v>415317.4813196719</v>
      </c>
    </row>
    <row r="203" spans="2:5" ht="11.65" customHeight="1" x14ac:dyDescent="0.25">
      <c r="B203" s="312">
        <f>IF(B202=Simulador!$H$49,"",IF(B202="","",'Tabla Notaría'!B202+1))</f>
        <v>191</v>
      </c>
      <c r="C203" s="313">
        <f t="shared" si="7"/>
        <v>415317.4813196719</v>
      </c>
      <c r="D203" s="313">
        <f>IF(B203="","",IF(Sheet1!$AA$1=3,'Tabla de Pagos Crecientes'!V197,'Tabla Fijos CAT'!G202))</f>
        <v>6564.0462731260341</v>
      </c>
      <c r="E203" s="314">
        <f t="shared" si="8"/>
        <v>408753.43504654587</v>
      </c>
    </row>
    <row r="204" spans="2:5" ht="11.65" customHeight="1" x14ac:dyDescent="0.25">
      <c r="B204" s="315">
        <f>IF(B203=Simulador!$H$49,"",IF(B203="","",'Tabla Notaría'!B203+1))</f>
        <v>192</v>
      </c>
      <c r="C204" s="316">
        <f t="shared" si="7"/>
        <v>408753.43504654587</v>
      </c>
      <c r="D204" s="316">
        <f>IF(B204="","",IF(Sheet1!$AA$1=3,'Tabla de Pagos Crecientes'!V198,'Tabla Fijos CAT'!G203))</f>
        <v>6625.018969618628</v>
      </c>
      <c r="E204" s="317">
        <f t="shared" si="8"/>
        <v>402128.41607692721</v>
      </c>
    </row>
    <row r="205" spans="2:5" ht="11.65" customHeight="1" x14ac:dyDescent="0.25">
      <c r="B205" s="308">
        <f>IF(B204=Simulador!$H$49,"",IF(B204="","",'Tabla Notaría'!B204+1))</f>
        <v>193</v>
      </c>
      <c r="C205" s="309">
        <f t="shared" si="7"/>
        <v>402128.41607692721</v>
      </c>
      <c r="D205" s="310">
        <f>IF(B205="","",IF(Sheet1!$AA$1=3,'Tabla de Pagos Crecientes'!V199,'Tabla Fijos CAT'!G204))</f>
        <v>6686.5580347141968</v>
      </c>
      <c r="E205" s="311">
        <f t="shared" si="8"/>
        <v>395441.85804221302</v>
      </c>
    </row>
    <row r="206" spans="2:5" ht="11.65" customHeight="1" x14ac:dyDescent="0.25">
      <c r="B206" s="312">
        <f>IF(B205=Simulador!$H$49,"",IF(B205="","",'Tabla Notaría'!B205+1))</f>
        <v>194</v>
      </c>
      <c r="C206" s="313">
        <f t="shared" si="7"/>
        <v>395441.85804221302</v>
      </c>
      <c r="D206" s="313">
        <f>IF(B206="","",IF(Sheet1!$AA$1=3,'Tabla de Pagos Crecientes'!V200,'Tabla Fijos CAT'!G205))</f>
        <v>6748.6687293477644</v>
      </c>
      <c r="E206" s="314">
        <f t="shared" si="8"/>
        <v>388693.18931286526</v>
      </c>
    </row>
    <row r="207" spans="2:5" ht="11.65" customHeight="1" x14ac:dyDescent="0.25">
      <c r="B207" s="312">
        <f>IF(B206=Simulador!$H$49,"",IF(B206="","",'Tabla Notaría'!B206+1))</f>
        <v>195</v>
      </c>
      <c r="C207" s="313">
        <f t="shared" ref="C207:C251" si="9">IF(B207="","",C206-D206)</f>
        <v>388693.18931286526</v>
      </c>
      <c r="D207" s="313">
        <f>IF(B207="","",IF(Sheet1!$AA$1=3,'Tabla de Pagos Crecientes'!V201,'Tabla Fijos CAT'!G206))</f>
        <v>6811.356363322594</v>
      </c>
      <c r="E207" s="314">
        <f t="shared" si="8"/>
        <v>381881.83294954267</v>
      </c>
    </row>
    <row r="208" spans="2:5" ht="11.65" customHeight="1" x14ac:dyDescent="0.25">
      <c r="B208" s="312">
        <f>IF(B207=Simulador!$H$49,"",IF(B207="","",'Tabla Notaría'!B207+1))</f>
        <v>196</v>
      </c>
      <c r="C208" s="313">
        <f t="shared" si="9"/>
        <v>381881.83294954267</v>
      </c>
      <c r="D208" s="313">
        <f>IF(B208="","",IF(Sheet1!$AA$1=3,'Tabla de Pagos Crecientes'!V202,'Tabla Fijos CAT'!G207))</f>
        <v>6874.6262957641238</v>
      </c>
      <c r="E208" s="314">
        <f t="shared" si="8"/>
        <v>375007.20665377856</v>
      </c>
    </row>
    <row r="209" spans="2:5" ht="11.65" customHeight="1" x14ac:dyDescent="0.25">
      <c r="B209" s="312">
        <f>IF(B208=Simulador!$H$49,"",IF(B208="","",'Tabla Notaría'!B208+1))</f>
        <v>197</v>
      </c>
      <c r="C209" s="313">
        <f t="shared" si="9"/>
        <v>375007.20665377856</v>
      </c>
      <c r="D209" s="313">
        <f>IF(B209="","",IF(Sheet1!$AA$1=3,'Tabla de Pagos Crecientes'!V203,'Tabla Fijos CAT'!G208))</f>
        <v>6938.4839355781105</v>
      </c>
      <c r="E209" s="314">
        <f t="shared" si="8"/>
        <v>368068.72271820047</v>
      </c>
    </row>
    <row r="210" spans="2:5" ht="11.65" customHeight="1" x14ac:dyDescent="0.25">
      <c r="B210" s="312">
        <f>IF(B209=Simulador!$H$49,"",IF(B209="","",'Tabla Notaría'!B209+1))</f>
        <v>198</v>
      </c>
      <c r="C210" s="313">
        <f t="shared" si="9"/>
        <v>368068.72271820047</v>
      </c>
      <c r="D210" s="313">
        <f>IF(B210="","",IF(Sheet1!$AA$1=3,'Tabla de Pagos Crecientes'!V204,'Tabla Fijos CAT'!G209))</f>
        <v>7002.9347419130354</v>
      </c>
      <c r="E210" s="314">
        <f t="shared" si="8"/>
        <v>361065.78797628742</v>
      </c>
    </row>
    <row r="211" spans="2:5" ht="11.65" customHeight="1" x14ac:dyDescent="0.25">
      <c r="B211" s="312">
        <f>IF(B210=Simulador!$H$49,"",IF(B210="","",'Tabla Notaría'!B210+1))</f>
        <v>199</v>
      </c>
      <c r="C211" s="313">
        <f t="shared" si="9"/>
        <v>361065.78797628742</v>
      </c>
      <c r="D211" s="313">
        <f>IF(B211="","",IF(Sheet1!$AA$1=3,'Tabla de Pagos Crecientes'!V205,'Tabla Fijos CAT'!G210))</f>
        <v>7067.9842246268054</v>
      </c>
      <c r="E211" s="314">
        <f t="shared" si="8"/>
        <v>353997.80375166063</v>
      </c>
    </row>
    <row r="212" spans="2:5" ht="11.65" customHeight="1" x14ac:dyDescent="0.25">
      <c r="B212" s="312">
        <f>IF(B211=Simulador!$H$49,"",IF(B211="","",'Tabla Notaría'!B211+1))</f>
        <v>200</v>
      </c>
      <c r="C212" s="313">
        <f t="shared" si="9"/>
        <v>353997.80375166063</v>
      </c>
      <c r="D212" s="313">
        <f>IF(B212="","",IF(Sheet1!$AA$1=3,'Tabla de Pagos Crecientes'!V206,'Tabla Fijos CAT'!G211))</f>
        <v>7133.6379447577838</v>
      </c>
      <c r="E212" s="314">
        <f t="shared" si="8"/>
        <v>346864.16580690286</v>
      </c>
    </row>
    <row r="213" spans="2:5" ht="11.65" customHeight="1" x14ac:dyDescent="0.25">
      <c r="B213" s="312">
        <f>IF(B212=Simulador!$H$49,"",IF(B212="","",'Tabla Notaría'!B212+1))</f>
        <v>201</v>
      </c>
      <c r="C213" s="313">
        <f t="shared" si="9"/>
        <v>346864.16580690286</v>
      </c>
      <c r="D213" s="313">
        <f>IF(B213="","",IF(Sheet1!$AA$1=3,'Tabla de Pagos Crecientes'!V207,'Tabla Fijos CAT'!G212))</f>
        <v>7199.9015150001997</v>
      </c>
      <c r="E213" s="314">
        <f t="shared" si="8"/>
        <v>339664.26429190265</v>
      </c>
    </row>
    <row r="214" spans="2:5" ht="11.65" customHeight="1" x14ac:dyDescent="0.25">
      <c r="B214" s="312">
        <f>IF(B213=Simulador!$H$49,"",IF(B213="","",'Tabla Notaría'!B213+1))</f>
        <v>202</v>
      </c>
      <c r="C214" s="313">
        <f t="shared" si="9"/>
        <v>339664.26429190265</v>
      </c>
      <c r="D214" s="313">
        <f>IF(B214="","",IF(Sheet1!$AA$1=3,'Tabla de Pagos Crecientes'!V208,'Tabla Fijos CAT'!G213))</f>
        <v>7266.7806001839799</v>
      </c>
      <c r="E214" s="314">
        <f t="shared" si="8"/>
        <v>332397.48369171866</v>
      </c>
    </row>
    <row r="215" spans="2:5" ht="11.65" customHeight="1" x14ac:dyDescent="0.25">
      <c r="B215" s="312">
        <f>IF(B214=Simulador!$H$49,"",IF(B214="","",'Tabla Notaría'!B214+1))</f>
        <v>203</v>
      </c>
      <c r="C215" s="313">
        <f t="shared" si="9"/>
        <v>332397.48369171866</v>
      </c>
      <c r="D215" s="313">
        <f>IF(B215="","",IF(Sheet1!$AA$1=3,'Tabla de Pagos Crecientes'!V209,'Tabla Fijos CAT'!G214))</f>
        <v>7334.2809177590225</v>
      </c>
      <c r="E215" s="314">
        <f t="shared" si="8"/>
        <v>325063.20277395967</v>
      </c>
    </row>
    <row r="216" spans="2:5" ht="11.65" customHeight="1" x14ac:dyDescent="0.25">
      <c r="B216" s="315">
        <f>IF(B215=Simulador!$H$49,"",IF(B215="","",'Tabla Notaría'!B215+1))</f>
        <v>204</v>
      </c>
      <c r="C216" s="316">
        <f t="shared" si="9"/>
        <v>325063.20277395967</v>
      </c>
      <c r="D216" s="316">
        <f>IF(B216="","",IF(Sheet1!$AA$1=3,'Tabla de Pagos Crecientes'!V210,'Tabla Fijos CAT'!G215))</f>
        <v>7402.4082382839842</v>
      </c>
      <c r="E216" s="317">
        <f t="shared" si="8"/>
        <v>317660.79453567567</v>
      </c>
    </row>
    <row r="217" spans="2:5" ht="11.65" customHeight="1" x14ac:dyDescent="0.25">
      <c r="B217" s="308">
        <f>IF(B216=Simulador!$H$49,"",IF(B216="","",'Tabla Notaría'!B216+1))</f>
        <v>205</v>
      </c>
      <c r="C217" s="309">
        <f t="shared" si="9"/>
        <v>317660.79453567567</v>
      </c>
      <c r="D217" s="310">
        <f>IF(B217="","",IF(Sheet1!$AA$1=3,'Tabla de Pagos Crecientes'!V211,'Tabla Fijos CAT'!G216))</f>
        <v>7471.1683859196</v>
      </c>
      <c r="E217" s="311">
        <f t="shared" si="8"/>
        <v>310189.62614975608</v>
      </c>
    </row>
    <row r="218" spans="2:5" ht="11.65" customHeight="1" x14ac:dyDescent="0.25">
      <c r="B218" s="312">
        <f>IF(B217=Simulador!$H$49,"",IF(B217="","",'Tabla Notaría'!B217+1))</f>
        <v>206</v>
      </c>
      <c r="C218" s="313">
        <f t="shared" si="9"/>
        <v>310189.62614975608</v>
      </c>
      <c r="D218" s="313">
        <f>IF(B218="","",IF(Sheet1!$AA$1=3,'Tabla de Pagos Crecientes'!V212,'Tabla Fijos CAT'!G217))</f>
        <v>7540.5672389265856</v>
      </c>
      <c r="E218" s="314">
        <f t="shared" si="8"/>
        <v>302649.05891082948</v>
      </c>
    </row>
    <row r="219" spans="2:5" ht="11.65" customHeight="1" x14ac:dyDescent="0.25">
      <c r="B219" s="312">
        <f>IF(B218=Simulador!$H$49,"",IF(B218="","",'Tabla Notaría'!B218+1))</f>
        <v>207</v>
      </c>
      <c r="C219" s="313">
        <f t="shared" si="9"/>
        <v>302649.05891082948</v>
      </c>
      <c r="D219" s="313">
        <f>IF(B219="","",IF(Sheet1!$AA$1=3,'Tabla de Pagos Crecientes'!V213,'Tabla Fijos CAT'!G218))</f>
        <v>7610.6107301681714</v>
      </c>
      <c r="E219" s="314">
        <f t="shared" si="8"/>
        <v>295038.4481806613</v>
      </c>
    </row>
    <row r="220" spans="2:5" ht="11.65" customHeight="1" x14ac:dyDescent="0.25">
      <c r="B220" s="312">
        <f>IF(B219=Simulador!$H$49,"",IF(B219="","",'Tabla Notaría'!B219+1))</f>
        <v>208</v>
      </c>
      <c r="C220" s="313">
        <f t="shared" si="9"/>
        <v>295038.4481806613</v>
      </c>
      <c r="D220" s="313">
        <f>IF(B220="","",IF(Sheet1!$AA$1=3,'Tabla de Pagos Crecientes'!V214,'Tabla Fijos CAT'!G219))</f>
        <v>7681.304847617288</v>
      </c>
      <c r="E220" s="314">
        <f t="shared" si="8"/>
        <v>287357.14333304402</v>
      </c>
    </row>
    <row r="221" spans="2:5" ht="11.65" customHeight="1" x14ac:dyDescent="0.25">
      <c r="B221" s="312">
        <f>IF(B220=Simulador!$H$49,"",IF(B220="","",'Tabla Notaría'!B220+1))</f>
        <v>209</v>
      </c>
      <c r="C221" s="313">
        <f t="shared" si="9"/>
        <v>287357.14333304402</v>
      </c>
      <c r="D221" s="313">
        <f>IF(B221="","",IF(Sheet1!$AA$1=3,'Tabla de Pagos Crecientes'!V215,'Tabla Fijos CAT'!G220))</f>
        <v>7752.655634868489</v>
      </c>
      <c r="E221" s="314">
        <f t="shared" si="8"/>
        <v>279604.48769817554</v>
      </c>
    </row>
    <row r="222" spans="2:5" ht="11.65" customHeight="1" x14ac:dyDescent="0.25">
      <c r="B222" s="312">
        <f>IF(B221=Simulador!$H$49,"",IF(B221="","",'Tabla Notaría'!B221+1))</f>
        <v>210</v>
      </c>
      <c r="C222" s="313">
        <f t="shared" si="9"/>
        <v>279604.48769817554</v>
      </c>
      <c r="D222" s="313">
        <f>IF(B222="","",IF(Sheet1!$AA$1=3,'Tabla de Pagos Crecientes'!V216,'Tabla Fijos CAT'!G221))</f>
        <v>7824.6691916546006</v>
      </c>
      <c r="E222" s="314">
        <f t="shared" si="8"/>
        <v>271779.81850652094</v>
      </c>
    </row>
    <row r="223" spans="2:5" ht="11.65" customHeight="1" x14ac:dyDescent="0.25">
      <c r="B223" s="312">
        <f>IF(B222=Simulador!$H$49,"",IF(B222="","",'Tabla Notaría'!B222+1))</f>
        <v>211</v>
      </c>
      <c r="C223" s="313">
        <f t="shared" si="9"/>
        <v>271779.81850652094</v>
      </c>
      <c r="D223" s="313">
        <f>IF(B223="","",IF(Sheet1!$AA$1=3,'Tabla de Pagos Crecientes'!V217,'Tabla Fijos CAT'!G222))</f>
        <v>7897.3516743681921</v>
      </c>
      <c r="E223" s="314">
        <f t="shared" si="8"/>
        <v>263882.46683215274</v>
      </c>
    </row>
    <row r="224" spans="2:5" ht="11.65" customHeight="1" x14ac:dyDescent="0.25">
      <c r="B224" s="312">
        <f>IF(B223=Simulador!$H$49,"",IF(B223="","",'Tabla Notaría'!B223+1))</f>
        <v>212</v>
      </c>
      <c r="C224" s="313">
        <f t="shared" si="9"/>
        <v>263882.46683215274</v>
      </c>
      <c r="D224" s="313">
        <f>IF(B224="","",IF(Sheet1!$AA$1=3,'Tabla de Pagos Crecientes'!V218,'Tabla Fijos CAT'!G223))</f>
        <v>7970.7092965878792</v>
      </c>
      <c r="E224" s="314">
        <f t="shared" si="8"/>
        <v>255911.75753556486</v>
      </c>
    </row>
    <row r="225" spans="2:5" ht="11.65" customHeight="1" x14ac:dyDescent="0.25">
      <c r="B225" s="312">
        <f>IF(B224=Simulador!$H$49,"",IF(B224="","",'Tabla Notaría'!B224+1))</f>
        <v>213</v>
      </c>
      <c r="C225" s="313">
        <f t="shared" si="9"/>
        <v>255911.75753556486</v>
      </c>
      <c r="D225" s="313">
        <f>IF(B225="","",IF(Sheet1!$AA$1=3,'Tabla de Pagos Crecientes'!V219,'Tabla Fijos CAT'!G224))</f>
        <v>8044.7483296095179</v>
      </c>
      <c r="E225" s="314">
        <f t="shared" si="8"/>
        <v>247867.00920595534</v>
      </c>
    </row>
    <row r="226" spans="2:5" ht="11.65" customHeight="1" x14ac:dyDescent="0.25">
      <c r="B226" s="312">
        <f>IF(B225=Simulador!$H$49,"",IF(B225="","",'Tabla Notaría'!B225+1))</f>
        <v>214</v>
      </c>
      <c r="C226" s="313">
        <f t="shared" si="9"/>
        <v>247867.00920595534</v>
      </c>
      <c r="D226" s="313">
        <f>IF(B226="","",IF(Sheet1!$AA$1=3,'Tabla de Pagos Crecientes'!V220,'Tabla Fijos CAT'!G225))</f>
        <v>8119.4751029823346</v>
      </c>
      <c r="E226" s="314">
        <f t="shared" si="8"/>
        <v>239747.534102973</v>
      </c>
    </row>
    <row r="227" spans="2:5" ht="11.65" customHeight="1" x14ac:dyDescent="0.25">
      <c r="B227" s="312">
        <f>IF(B226=Simulador!$H$49,"",IF(B226="","",'Tabla Notaría'!B226+1))</f>
        <v>215</v>
      </c>
      <c r="C227" s="313">
        <f t="shared" si="9"/>
        <v>239747.534102973</v>
      </c>
      <c r="D227" s="313">
        <f>IF(B227="","",IF(Sheet1!$AA$1=3,'Tabla de Pagos Crecientes'!V221,'Tabla Fijos CAT'!G226))</f>
        <v>8194.8960050500373</v>
      </c>
      <c r="E227" s="314">
        <f t="shared" si="8"/>
        <v>231552.63809792296</v>
      </c>
    </row>
    <row r="228" spans="2:5" ht="11.65" customHeight="1" x14ac:dyDescent="0.25">
      <c r="B228" s="315">
        <f>IF(B227=Simulador!$H$49,"",IF(B227="","",'Tabla Notaría'!B227+1))</f>
        <v>216</v>
      </c>
      <c r="C228" s="316">
        <f t="shared" si="9"/>
        <v>231552.63809792296</v>
      </c>
      <c r="D228" s="316">
        <f>IF(B228="","",IF(Sheet1!$AA$1=3,'Tabla de Pagos Crecientes'!V222,'Tabla Fijos CAT'!G227))</f>
        <v>8271.0174834969475</v>
      </c>
      <c r="E228" s="317">
        <f t="shared" si="8"/>
        <v>223281.62061442601</v>
      </c>
    </row>
    <row r="229" spans="2:5" ht="11.65" customHeight="1" x14ac:dyDescent="0.25">
      <c r="B229" s="308">
        <f>IF(B228=Simulador!$H$49,"",IF(B228="","",'Tabla Notaría'!B228+1))</f>
        <v>217</v>
      </c>
      <c r="C229" s="309">
        <f t="shared" si="9"/>
        <v>223281.62061442601</v>
      </c>
      <c r="D229" s="310">
        <f>IF(B229="","",IF(Sheet1!$AA$1=3,'Tabla de Pagos Crecientes'!V223,'Tabla Fijos CAT'!G228))</f>
        <v>8347.8460458992085</v>
      </c>
      <c r="E229" s="311">
        <f t="shared" si="8"/>
        <v>214933.7745685268</v>
      </c>
    </row>
    <row r="230" spans="2:5" ht="11.65" customHeight="1" x14ac:dyDescent="0.25">
      <c r="B230" s="312">
        <f>IF(B229=Simulador!$H$49,"",IF(B229="","",'Tabla Notaría'!B229+1))</f>
        <v>218</v>
      </c>
      <c r="C230" s="313">
        <f t="shared" si="9"/>
        <v>214933.7745685268</v>
      </c>
      <c r="D230" s="313">
        <f>IF(B230="","",IF(Sheet1!$AA$1=3,'Tabla de Pagos Crecientes'!V224,'Tabla Fijos CAT'!G229))</f>
        <v>8425.3882602811154</v>
      </c>
      <c r="E230" s="314">
        <f t="shared" si="8"/>
        <v>206508.38630824568</v>
      </c>
    </row>
    <row r="231" spans="2:5" ht="11.65" customHeight="1" x14ac:dyDescent="0.25">
      <c r="B231" s="312">
        <f>IF(B230=Simulador!$H$49,"",IF(B230="","",'Tabla Notaría'!B230+1))</f>
        <v>219</v>
      </c>
      <c r="C231" s="313">
        <f t="shared" si="9"/>
        <v>206508.38630824568</v>
      </c>
      <c r="D231" s="313">
        <f>IF(B231="","",IF(Sheet1!$AA$1=3,'Tabla de Pagos Crecientes'!V225,'Tabla Fijos CAT'!G230))</f>
        <v>8503.6507556766155</v>
      </c>
      <c r="E231" s="314">
        <f t="shared" si="8"/>
        <v>198004.73555256907</v>
      </c>
    </row>
    <row r="232" spans="2:5" ht="11.65" customHeight="1" x14ac:dyDescent="0.25">
      <c r="B232" s="312">
        <f>IF(B231=Simulador!$H$49,"",IF(B231="","",'Tabla Notaría'!B231+1))</f>
        <v>220</v>
      </c>
      <c r="C232" s="313">
        <f t="shared" si="9"/>
        <v>198004.73555256907</v>
      </c>
      <c r="D232" s="313">
        <f>IF(B232="","",IF(Sheet1!$AA$1=3,'Tabla de Pagos Crecientes'!V226,'Tabla Fijos CAT'!G231))</f>
        <v>8582.6402226960126</v>
      </c>
      <c r="E232" s="314">
        <f t="shared" si="8"/>
        <v>189422.09532987306</v>
      </c>
    </row>
    <row r="233" spans="2:5" ht="11.65" customHeight="1" x14ac:dyDescent="0.25">
      <c r="B233" s="312">
        <f>IF(B232=Simulador!$H$49,"",IF(B232="","",'Tabla Notaría'!B232+1))</f>
        <v>221</v>
      </c>
      <c r="C233" s="313">
        <f t="shared" si="9"/>
        <v>189422.09532987306</v>
      </c>
      <c r="D233" s="313">
        <f>IF(B233="","",IF(Sheet1!$AA$1=3,'Tabla de Pagos Crecientes'!V227,'Tabla Fijos CAT'!G232))</f>
        <v>8662.363414097943</v>
      </c>
      <c r="E233" s="314">
        <f t="shared" si="8"/>
        <v>180759.7319157751</v>
      </c>
    </row>
    <row r="234" spans="2:5" ht="11.65" customHeight="1" x14ac:dyDescent="0.25">
      <c r="B234" s="312">
        <f>IF(B233=Simulador!$H$49,"",IF(B233="","",'Tabla Notaría'!B233+1))</f>
        <v>222</v>
      </c>
      <c r="C234" s="313">
        <f t="shared" si="9"/>
        <v>180759.7319157751</v>
      </c>
      <c r="D234" s="313">
        <f>IF(B234="","",IF(Sheet1!$AA$1=3,'Tabla de Pagos Crecientes'!V228,'Tabla Fijos CAT'!G233))</f>
        <v>8742.8271453666748</v>
      </c>
      <c r="E234" s="314">
        <f t="shared" si="8"/>
        <v>172016.90477040844</v>
      </c>
    </row>
    <row r="235" spans="2:5" ht="11.65" customHeight="1" x14ac:dyDescent="0.25">
      <c r="B235" s="312">
        <f>IF(B234=Simulador!$H$49,"",IF(B234="","",'Tabla Notaría'!B234+1))</f>
        <v>223</v>
      </c>
      <c r="C235" s="313">
        <f t="shared" si="9"/>
        <v>172016.90477040844</v>
      </c>
      <c r="D235" s="313">
        <f>IF(B235="","",IF(Sheet1!$AA$1=3,'Tabla de Pagos Crecientes'!V229,'Tabla Fijos CAT'!G234))</f>
        <v>8824.0382952947475</v>
      </c>
      <c r="E235" s="314">
        <f t="shared" si="8"/>
        <v>163192.8664751137</v>
      </c>
    </row>
    <row r="236" spans="2:5" ht="11.65" customHeight="1" x14ac:dyDescent="0.25">
      <c r="B236" s="312">
        <f>IF(B235=Simulador!$H$49,"",IF(B235="","",'Tabla Notaría'!B235+1))</f>
        <v>224</v>
      </c>
      <c r="C236" s="313">
        <f t="shared" si="9"/>
        <v>163192.8664751137</v>
      </c>
      <c r="D236" s="313">
        <f>IF(B236="","",IF(Sheet1!$AA$1=3,'Tabla de Pagos Crecientes'!V230,'Tabla Fijos CAT'!G235))</f>
        <v>8906.0038065710414</v>
      </c>
      <c r="E236" s="314">
        <f t="shared" si="8"/>
        <v>154286.86266854266</v>
      </c>
    </row>
    <row r="237" spans="2:5" ht="11.65" customHeight="1" x14ac:dyDescent="0.25">
      <c r="B237" s="312">
        <f>IF(B236=Simulador!$H$49,"",IF(B236="","",'Tabla Notaría'!B236+1))</f>
        <v>225</v>
      </c>
      <c r="C237" s="313">
        <f t="shared" si="9"/>
        <v>154286.86266854266</v>
      </c>
      <c r="D237" s="313">
        <f>IF(B237="","",IF(Sheet1!$AA$1=3,'Tabla de Pagos Crecientes'!V231,'Tabla Fijos CAT'!G236))</f>
        <v>8988.7306863743015</v>
      </c>
      <c r="E237" s="314">
        <f t="shared" si="8"/>
        <v>145298.13198216836</v>
      </c>
    </row>
    <row r="238" spans="2:5" ht="11.65" customHeight="1" x14ac:dyDescent="0.25">
      <c r="B238" s="312">
        <f>IF(B237=Simulador!$H$49,"",IF(B237="","",'Tabla Notaría'!B237+1))</f>
        <v>226</v>
      </c>
      <c r="C238" s="313">
        <f t="shared" si="9"/>
        <v>145298.13198216836</v>
      </c>
      <c r="D238" s="313">
        <f>IF(B238="","",IF(Sheet1!$AA$1=3,'Tabla de Pagos Crecientes'!V232,'Tabla Fijos CAT'!G237))</f>
        <v>9072.2260069721779</v>
      </c>
      <c r="E238" s="314">
        <f t="shared" si="8"/>
        <v>136225.90597519619</v>
      </c>
    </row>
    <row r="239" spans="2:5" ht="11.65" customHeight="1" x14ac:dyDescent="0.25">
      <c r="B239" s="312">
        <f>IF(B238=Simulador!$H$49,"",IF(B238="","",'Tabla Notaría'!B238+1))</f>
        <v>227</v>
      </c>
      <c r="C239" s="313">
        <f t="shared" si="9"/>
        <v>136225.90597519619</v>
      </c>
      <c r="D239" s="313">
        <f>IF(B239="","",IF(Sheet1!$AA$1=3,'Tabla de Pagos Crecientes'!V233,'Tabla Fijos CAT'!G238))</f>
        <v>9156.4969063258304</v>
      </c>
      <c r="E239" s="314">
        <f t="shared" si="8"/>
        <v>127069.40906887036</v>
      </c>
    </row>
    <row r="240" spans="2:5" ht="11.65" customHeight="1" x14ac:dyDescent="0.25">
      <c r="B240" s="315">
        <f>IF(B239=Simulador!$H$49,"",IF(B239="","",'Tabla Notaría'!B239+1))</f>
        <v>228</v>
      </c>
      <c r="C240" s="316">
        <f t="shared" si="9"/>
        <v>127069.40906887036</v>
      </c>
      <c r="D240" s="316">
        <f>IF(B240="","",IF(Sheet1!$AA$1=3,'Tabla de Pagos Crecientes'!V234,'Tabla Fijos CAT'!G239))</f>
        <v>9241.5505887001473</v>
      </c>
      <c r="E240" s="317">
        <f t="shared" si="8"/>
        <v>117827.85848017021</v>
      </c>
    </row>
    <row r="241" spans="2:5" ht="11.65" customHeight="1" x14ac:dyDescent="0.25">
      <c r="B241" s="308">
        <f>IF(B240=Simulador!$H$49,"",IF(B240="","",'Tabla Notaría'!B240+1))</f>
        <v>229</v>
      </c>
      <c r="C241" s="309">
        <f t="shared" si="9"/>
        <v>117827.85848017021</v>
      </c>
      <c r="D241" s="310">
        <f>IF(B241="","",IF(Sheet1!$AA$1=3,'Tabla de Pagos Crecientes'!V235,'Tabla Fijos CAT'!G240))</f>
        <v>9327.3943252796271</v>
      </c>
      <c r="E241" s="311">
        <f t="shared" si="8"/>
        <v>108500.46415489058</v>
      </c>
    </row>
    <row r="242" spans="2:5" ht="11.65" customHeight="1" x14ac:dyDescent="0.25">
      <c r="B242" s="312">
        <f>IF(B241=Simulador!$H$49,"",IF(B241="","",'Tabla Notaría'!B241+1))</f>
        <v>230</v>
      </c>
      <c r="C242" s="313">
        <f t="shared" si="9"/>
        <v>108500.46415489058</v>
      </c>
      <c r="D242" s="313">
        <f>IF(B242="","",IF(Sheet1!$AA$1=3,'Tabla de Pagos Crecientes'!V236,'Tabla Fijos CAT'!G241))</f>
        <v>9414.0354547900024</v>
      </c>
      <c r="E242" s="314">
        <f t="shared" si="8"/>
        <v>99086.428700100572</v>
      </c>
    </row>
    <row r="243" spans="2:5" ht="11.65" customHeight="1" x14ac:dyDescent="0.25">
      <c r="B243" s="312">
        <f>IF(B242=Simulador!$H$49,"",IF(B242="","",'Tabla Notaría'!B242+1))</f>
        <v>231</v>
      </c>
      <c r="C243" s="313">
        <f t="shared" si="9"/>
        <v>99086.428700100572</v>
      </c>
      <c r="D243" s="313">
        <f>IF(B243="","",IF(Sheet1!$AA$1=3,'Tabla de Pagos Crecientes'!V237,'Tabla Fijos CAT'!G242))</f>
        <v>9501.4813841256073</v>
      </c>
      <c r="E243" s="314">
        <f t="shared" si="8"/>
        <v>89584.947315974961</v>
      </c>
    </row>
    <row r="244" spans="2:5" ht="11.65" customHeight="1" x14ac:dyDescent="0.25">
      <c r="B244" s="312">
        <f>IF(B243=Simulador!$H$49,"",IF(B243="","",'Tabla Notaría'!B243+1))</f>
        <v>232</v>
      </c>
      <c r="C244" s="313">
        <f t="shared" si="9"/>
        <v>89584.947315974961</v>
      </c>
      <c r="D244" s="313">
        <f>IF(B244="","",IF(Sheet1!$AA$1=3,'Tabla de Pagos Crecientes'!V238,'Tabla Fijos CAT'!G243))</f>
        <v>9589.7395889825966</v>
      </c>
      <c r="E244" s="314">
        <f t="shared" si="8"/>
        <v>79995.207726992361</v>
      </c>
    </row>
    <row r="245" spans="2:5" ht="11.65" customHeight="1" x14ac:dyDescent="0.25">
      <c r="B245" s="312">
        <f>IF(B244=Simulador!$H$49,"",IF(B244="","",'Tabla Notaría'!B244+1))</f>
        <v>233</v>
      </c>
      <c r="C245" s="313">
        <f t="shared" si="9"/>
        <v>79995.207726992361</v>
      </c>
      <c r="D245" s="313">
        <f>IF(B245="","",IF(Sheet1!$AA$1=3,'Tabla de Pagos Crecientes'!V239,'Tabla Fijos CAT'!G244))</f>
        <v>9678.8176144980353</v>
      </c>
      <c r="E245" s="314">
        <f t="shared" si="8"/>
        <v>70316.390112494322</v>
      </c>
    </row>
    <row r="246" spans="2:5" ht="11.65" customHeight="1" x14ac:dyDescent="0.25">
      <c r="B246" s="312">
        <f>IF(B245=Simulador!$H$49,"",IF(B245="","",'Tabla Notaría'!B245+1))</f>
        <v>234</v>
      </c>
      <c r="C246" s="313">
        <f t="shared" si="9"/>
        <v>70316.390112494322</v>
      </c>
      <c r="D246" s="313">
        <f>IF(B246="","",IF(Sheet1!$AA$1=3,'Tabla de Pagos Crecientes'!V240,'Tabla Fijos CAT'!G245))</f>
        <v>9768.7230758949281</v>
      </c>
      <c r="E246" s="314">
        <f t="shared" si="8"/>
        <v>60547.667036599392</v>
      </c>
    </row>
    <row r="247" spans="2:5" ht="11.65" customHeight="1" x14ac:dyDescent="0.25">
      <c r="B247" s="312">
        <f>IF(B246=Simulador!$H$49,"",IF(B246="","",'Tabla Notaría'!B246+1))</f>
        <v>235</v>
      </c>
      <c r="C247" s="313">
        <f t="shared" si="9"/>
        <v>60547.667036599392</v>
      </c>
      <c r="D247" s="313">
        <f>IF(B247="","",IF(Sheet1!$AA$1=3,'Tabla de Pagos Crecientes'!V241,'Tabla Fijos CAT'!G246))</f>
        <v>9859.4636591332419</v>
      </c>
      <c r="E247" s="314">
        <f t="shared" si="8"/>
        <v>50688.203377466154</v>
      </c>
    </row>
    <row r="248" spans="2:5" ht="11.65" customHeight="1" x14ac:dyDescent="0.25">
      <c r="B248" s="312">
        <f>IF(B247=Simulador!$H$49,"",IF(B247="","",'Tabla Notaría'!B247+1))</f>
        <v>236</v>
      </c>
      <c r="C248" s="313">
        <f t="shared" si="9"/>
        <v>50688.203377466154</v>
      </c>
      <c r="D248" s="313">
        <f>IF(B248="","",IF(Sheet1!$AA$1=3,'Tabla de Pagos Crecientes'!V242,'Tabla Fijos CAT'!G247))</f>
        <v>9951.0471215669677</v>
      </c>
      <c r="E248" s="314">
        <f t="shared" si="8"/>
        <v>40737.156255899186</v>
      </c>
    </row>
    <row r="249" spans="2:5" ht="11.65" customHeight="1" x14ac:dyDescent="0.25">
      <c r="B249" s="312">
        <f>IF(B248=Simulador!$H$49,"",IF(B248="","",'Tabla Notaría'!B248+1))</f>
        <v>237</v>
      </c>
      <c r="C249" s="313">
        <f t="shared" si="9"/>
        <v>40737.156255899186</v>
      </c>
      <c r="D249" s="313">
        <f>IF(B249="","",IF(Sheet1!$AA$1=3,'Tabla de Pagos Crecientes'!V243,'Tabla Fijos CAT'!G248))</f>
        <v>10043.481292607301</v>
      </c>
      <c r="E249" s="314">
        <f t="shared" si="8"/>
        <v>30693.674963291887</v>
      </c>
    </row>
    <row r="250" spans="2:5" ht="11.65" customHeight="1" x14ac:dyDescent="0.25">
      <c r="B250" s="312">
        <f>IF(B249=Simulador!$H$49,"",IF(B249="","",'Tabla Notaría'!B249+1))</f>
        <v>238</v>
      </c>
      <c r="C250" s="313">
        <f t="shared" si="9"/>
        <v>30693.674963291887</v>
      </c>
      <c r="D250" s="313">
        <f>IF(B250="","",IF(Sheet1!$AA$1=3,'Tabla de Pagos Crecientes'!V244,'Tabla Fijos CAT'!G249))</f>
        <v>10136.774074391964</v>
      </c>
      <c r="E250" s="314">
        <f t="shared" si="8"/>
        <v>20556.900888899923</v>
      </c>
    </row>
    <row r="251" spans="2:5" ht="11.65" customHeight="1" x14ac:dyDescent="0.25">
      <c r="B251" s="312">
        <f>IF(B250=Simulador!$H$49,"",IF(B250="","",'Tabla Notaría'!B250+1))</f>
        <v>239</v>
      </c>
      <c r="C251" s="313">
        <f t="shared" si="9"/>
        <v>20556.900888899923</v>
      </c>
      <c r="D251" s="313">
        <f>IF(B251="","",IF(Sheet1!$AA$1=3,'Tabla de Pagos Crecientes'!V245,'Tabla Fijos CAT'!G250))</f>
        <v>10230.93344246076</v>
      </c>
      <c r="E251" s="314">
        <f t="shared" si="8"/>
        <v>10325.967446439163</v>
      </c>
    </row>
    <row r="252" spans="2:5" ht="11.65" customHeight="1" x14ac:dyDescent="0.25">
      <c r="B252" s="315">
        <f>IF(B251=Simulador!$H$49,"",IF(B251="","",'Tabla Notaría'!B251+1))</f>
        <v>240</v>
      </c>
      <c r="C252" s="316">
        <f t="shared" ref="C252:C284" si="10">IF(B252="","",C251-D251)</f>
        <v>10325.967446439163</v>
      </c>
      <c r="D252" s="316">
        <f>IF(B252="","",IF(Sheet1!$AA$1=3,'Tabla de Pagos Crecientes'!V246,'Tabla Fijos CAT'!G251))</f>
        <v>10325.967446437397</v>
      </c>
      <c r="E252" s="317">
        <f t="shared" ref="E252:E284" si="11">IF(B252="","",C252-D252)</f>
        <v>1.7662387108430266E-9</v>
      </c>
    </row>
    <row r="253" spans="2:5" ht="11.65" customHeight="1" x14ac:dyDescent="0.25">
      <c r="B253" s="308" t="str">
        <f>IF(B252=Simulador!$H$49,"",IF(B252="","",'Tabla Notaría'!B252+1))</f>
        <v/>
      </c>
      <c r="C253" s="309" t="str">
        <f t="shared" si="10"/>
        <v/>
      </c>
      <c r="D253" s="310" t="str">
        <f>IF(B253="","",IF(Sheet1!$AA$1=3,'Tabla de Pagos Crecientes'!V247,'Tabla Fijos CAT'!G252))</f>
        <v/>
      </c>
      <c r="E253" s="311" t="str">
        <f t="shared" si="11"/>
        <v/>
      </c>
    </row>
    <row r="254" spans="2:5" ht="11.65" customHeight="1" x14ac:dyDescent="0.25">
      <c r="B254" s="312" t="str">
        <f>IF(B253=Simulador!$H$49,"",IF(B253="","",'Tabla Notaría'!B253+1))</f>
        <v/>
      </c>
      <c r="C254" s="313" t="str">
        <f t="shared" si="10"/>
        <v/>
      </c>
      <c r="D254" s="313" t="str">
        <f>IF(B254="","",IF(Sheet1!$AA$1=3,'Tabla de Pagos Crecientes'!V248,'Tabla Fijos CAT'!G253))</f>
        <v/>
      </c>
      <c r="E254" s="314" t="str">
        <f t="shared" si="11"/>
        <v/>
      </c>
    </row>
    <row r="255" spans="2:5" ht="11.65" customHeight="1" x14ac:dyDescent="0.25">
      <c r="B255" s="312" t="str">
        <f>IF(B254=Simulador!$H$49,"",IF(B254="","",'Tabla Notaría'!B254+1))</f>
        <v/>
      </c>
      <c r="C255" s="313" t="str">
        <f t="shared" si="10"/>
        <v/>
      </c>
      <c r="D255" s="313" t="str">
        <f>IF(B255="","",IF(Sheet1!$AA$1=3,'Tabla de Pagos Crecientes'!V249,'Tabla Fijos CAT'!G254))</f>
        <v/>
      </c>
      <c r="E255" s="314" t="str">
        <f t="shared" si="11"/>
        <v/>
      </c>
    </row>
    <row r="256" spans="2:5" ht="11.65" customHeight="1" x14ac:dyDescent="0.25">
      <c r="B256" s="312" t="str">
        <f>IF(B255=Simulador!$H$49,"",IF(B255="","",'Tabla Notaría'!B255+1))</f>
        <v/>
      </c>
      <c r="C256" s="313" t="str">
        <f t="shared" si="10"/>
        <v/>
      </c>
      <c r="D256" s="313" t="str">
        <f>IF(B256="","",IF(Sheet1!$AA$1=3,'Tabla de Pagos Crecientes'!V250,'Tabla Fijos CAT'!G255))</f>
        <v/>
      </c>
      <c r="E256" s="314" t="str">
        <f t="shared" si="11"/>
        <v/>
      </c>
    </row>
    <row r="257" spans="2:5" ht="11.65" customHeight="1" x14ac:dyDescent="0.25">
      <c r="B257" s="312" t="str">
        <f>IF(B256=Simulador!$H$49,"",IF(B256="","",'Tabla Notaría'!B256+1))</f>
        <v/>
      </c>
      <c r="C257" s="313" t="str">
        <f t="shared" si="10"/>
        <v/>
      </c>
      <c r="D257" s="313" t="str">
        <f>IF(B257="","",IF(Sheet1!$AA$1=3,'Tabla de Pagos Crecientes'!V251,'Tabla Fijos CAT'!G256))</f>
        <v/>
      </c>
      <c r="E257" s="314" t="str">
        <f t="shared" si="11"/>
        <v/>
      </c>
    </row>
    <row r="258" spans="2:5" ht="11.65" customHeight="1" x14ac:dyDescent="0.25">
      <c r="B258" s="312" t="str">
        <f>IF(B257=Simulador!$H$49,"",IF(B257="","",'Tabla Notaría'!B257+1))</f>
        <v/>
      </c>
      <c r="C258" s="313" t="str">
        <f t="shared" si="10"/>
        <v/>
      </c>
      <c r="D258" s="313" t="str">
        <f>IF(B258="","",IF(Sheet1!$AA$1=3,'Tabla de Pagos Crecientes'!V252,'Tabla Fijos CAT'!G257))</f>
        <v/>
      </c>
      <c r="E258" s="314" t="str">
        <f t="shared" si="11"/>
        <v/>
      </c>
    </row>
    <row r="259" spans="2:5" ht="11.65" customHeight="1" x14ac:dyDescent="0.25">
      <c r="B259" s="312" t="str">
        <f>IF(B258=Simulador!$H$49,"",IF(B258="","",'Tabla Notaría'!B258+1))</f>
        <v/>
      </c>
      <c r="C259" s="313" t="str">
        <f t="shared" si="10"/>
        <v/>
      </c>
      <c r="D259" s="313" t="str">
        <f>IF(B259="","",IF(Sheet1!$AA$1=3,'Tabla de Pagos Crecientes'!V253,'Tabla Fijos CAT'!G258))</f>
        <v/>
      </c>
      <c r="E259" s="314" t="str">
        <f t="shared" si="11"/>
        <v/>
      </c>
    </row>
    <row r="260" spans="2:5" ht="11.65" customHeight="1" x14ac:dyDescent="0.25">
      <c r="B260" s="312" t="str">
        <f>IF(B259=Simulador!$H$49,"",IF(B259="","",'Tabla Notaría'!B259+1))</f>
        <v/>
      </c>
      <c r="C260" s="313" t="str">
        <f t="shared" si="10"/>
        <v/>
      </c>
      <c r="D260" s="313" t="str">
        <f>IF(B260="","",IF(Sheet1!$AA$1=3,'Tabla de Pagos Crecientes'!V254,'Tabla Fijos CAT'!G259))</f>
        <v/>
      </c>
      <c r="E260" s="314" t="str">
        <f t="shared" si="11"/>
        <v/>
      </c>
    </row>
    <row r="261" spans="2:5" ht="11.65" customHeight="1" x14ac:dyDescent="0.25">
      <c r="B261" s="312" t="str">
        <f>IF(B260=Simulador!$H$49,"",IF(B260="","",'Tabla Notaría'!B260+1))</f>
        <v/>
      </c>
      <c r="C261" s="313" t="str">
        <f t="shared" si="10"/>
        <v/>
      </c>
      <c r="D261" s="313" t="str">
        <f>IF(B261="","",IF(Sheet1!$AA$1=3,'Tabla de Pagos Crecientes'!V255,'Tabla Fijos CAT'!G260))</f>
        <v/>
      </c>
      <c r="E261" s="314" t="str">
        <f t="shared" si="11"/>
        <v/>
      </c>
    </row>
    <row r="262" spans="2:5" ht="11.65" customHeight="1" x14ac:dyDescent="0.25">
      <c r="B262" s="312" t="str">
        <f>IF(B261=Simulador!$H$49,"",IF(B261="","",'Tabla Notaría'!B261+1))</f>
        <v/>
      </c>
      <c r="C262" s="313" t="str">
        <f t="shared" si="10"/>
        <v/>
      </c>
      <c r="D262" s="313" t="str">
        <f>IF(B262="","",IF(Sheet1!$AA$1=3,'Tabla de Pagos Crecientes'!V256,'Tabla Fijos CAT'!G261))</f>
        <v/>
      </c>
      <c r="E262" s="314" t="str">
        <f t="shared" si="11"/>
        <v/>
      </c>
    </row>
    <row r="263" spans="2:5" ht="11.65" customHeight="1" x14ac:dyDescent="0.25">
      <c r="B263" s="312" t="str">
        <f>IF(B262=Simulador!$H$49,"",IF(B262="","",'Tabla Notaría'!B262+1))</f>
        <v/>
      </c>
      <c r="C263" s="313" t="str">
        <f t="shared" si="10"/>
        <v/>
      </c>
      <c r="D263" s="313" t="str">
        <f>IF(B263="","",IF(Sheet1!$AA$1=3,'Tabla de Pagos Crecientes'!V257,'Tabla Fijos CAT'!G262))</f>
        <v/>
      </c>
      <c r="E263" s="314" t="str">
        <f t="shared" si="11"/>
        <v/>
      </c>
    </row>
    <row r="264" spans="2:5" ht="11.65" customHeight="1" x14ac:dyDescent="0.25">
      <c r="B264" s="315" t="str">
        <f>IF(B263=Simulador!$H$49,"",IF(B263="","",'Tabla Notaría'!B263+1))</f>
        <v/>
      </c>
      <c r="C264" s="316" t="str">
        <f t="shared" si="10"/>
        <v/>
      </c>
      <c r="D264" s="316" t="str">
        <f>IF(B264="","",IF(Sheet1!$AA$1=3,'Tabla de Pagos Crecientes'!V258,'Tabla Fijos CAT'!G263))</f>
        <v/>
      </c>
      <c r="E264" s="317" t="str">
        <f t="shared" si="11"/>
        <v/>
      </c>
    </row>
    <row r="265" spans="2:5" ht="11.65" customHeight="1" x14ac:dyDescent="0.25">
      <c r="B265" s="308" t="str">
        <f>IF(B264=Simulador!$H$49,"",IF(B264="","",'Tabla Notaría'!B264+1))</f>
        <v/>
      </c>
      <c r="C265" s="309" t="str">
        <f t="shared" si="10"/>
        <v/>
      </c>
      <c r="D265" s="310" t="str">
        <f>IF(B265="","",IF(Sheet1!$AA$1=3,'Tabla de Pagos Crecientes'!V259,'Tabla Fijos CAT'!G264))</f>
        <v/>
      </c>
      <c r="E265" s="311" t="str">
        <f t="shared" si="11"/>
        <v/>
      </c>
    </row>
    <row r="266" spans="2:5" ht="11.65" customHeight="1" x14ac:dyDescent="0.25">
      <c r="B266" s="312" t="str">
        <f>IF(B265=Simulador!$H$49,"",IF(B265="","",'Tabla Notaría'!B265+1))</f>
        <v/>
      </c>
      <c r="C266" s="313" t="str">
        <f t="shared" si="10"/>
        <v/>
      </c>
      <c r="D266" s="313" t="str">
        <f>IF(B266="","",IF(Sheet1!$AA$1=3,'Tabla de Pagos Crecientes'!V260,'Tabla Fijos CAT'!G265))</f>
        <v/>
      </c>
      <c r="E266" s="314" t="str">
        <f t="shared" si="11"/>
        <v/>
      </c>
    </row>
    <row r="267" spans="2:5" ht="11.65" customHeight="1" x14ac:dyDescent="0.25">
      <c r="B267" s="312" t="str">
        <f>IF(B266=Simulador!$H$49,"",IF(B266="","",'Tabla Notaría'!B266+1))</f>
        <v/>
      </c>
      <c r="C267" s="313" t="str">
        <f t="shared" si="10"/>
        <v/>
      </c>
      <c r="D267" s="313" t="str">
        <f>IF(B267="","",IF(Sheet1!$AA$1=3,'Tabla de Pagos Crecientes'!V261,'Tabla Fijos CAT'!G266))</f>
        <v/>
      </c>
      <c r="E267" s="314" t="str">
        <f t="shared" si="11"/>
        <v/>
      </c>
    </row>
    <row r="268" spans="2:5" ht="11.65" customHeight="1" x14ac:dyDescent="0.25">
      <c r="B268" s="312" t="str">
        <f>IF(B267=Simulador!$H$49,"",IF(B267="","",'Tabla Notaría'!B267+1))</f>
        <v/>
      </c>
      <c r="C268" s="313" t="str">
        <f t="shared" si="10"/>
        <v/>
      </c>
      <c r="D268" s="313" t="str">
        <f>IF(B268="","",IF(Sheet1!$AA$1=3,'Tabla de Pagos Crecientes'!V262,'Tabla Fijos CAT'!G267))</f>
        <v/>
      </c>
      <c r="E268" s="314" t="str">
        <f t="shared" si="11"/>
        <v/>
      </c>
    </row>
    <row r="269" spans="2:5" ht="11.65" customHeight="1" x14ac:dyDescent="0.25">
      <c r="B269" s="312" t="str">
        <f>IF(B268=Simulador!$H$49,"",IF(B268="","",'Tabla Notaría'!B268+1))</f>
        <v/>
      </c>
      <c r="C269" s="313" t="str">
        <f t="shared" si="10"/>
        <v/>
      </c>
      <c r="D269" s="313" t="str">
        <f>IF(B269="","",IF(Sheet1!$AA$1=3,'Tabla de Pagos Crecientes'!V263,'Tabla Fijos CAT'!G268))</f>
        <v/>
      </c>
      <c r="E269" s="314" t="str">
        <f t="shared" si="11"/>
        <v/>
      </c>
    </row>
    <row r="270" spans="2:5" ht="11.65" customHeight="1" x14ac:dyDescent="0.25">
      <c r="B270" s="312" t="str">
        <f>IF(B269=Simulador!$H$49,"",IF(B269="","",'Tabla Notaría'!B269+1))</f>
        <v/>
      </c>
      <c r="C270" s="313" t="str">
        <f t="shared" si="10"/>
        <v/>
      </c>
      <c r="D270" s="313" t="str">
        <f>IF(B270="","",IF(Sheet1!$AA$1=3,'Tabla de Pagos Crecientes'!V264,'Tabla Fijos CAT'!G269))</f>
        <v/>
      </c>
      <c r="E270" s="314" t="str">
        <f t="shared" si="11"/>
        <v/>
      </c>
    </row>
    <row r="271" spans="2:5" ht="11.65" customHeight="1" x14ac:dyDescent="0.25">
      <c r="B271" s="312" t="str">
        <f>IF(B270=Simulador!$H$49,"",IF(B270="","",'Tabla Notaría'!B270+1))</f>
        <v/>
      </c>
      <c r="C271" s="313" t="str">
        <f t="shared" si="10"/>
        <v/>
      </c>
      <c r="D271" s="313" t="str">
        <f>IF(B271="","",IF(Sheet1!$AA$1=3,'Tabla de Pagos Crecientes'!V265,'Tabla Fijos CAT'!G270))</f>
        <v/>
      </c>
      <c r="E271" s="314" t="str">
        <f t="shared" si="11"/>
        <v/>
      </c>
    </row>
    <row r="272" spans="2:5" ht="11.65" customHeight="1" x14ac:dyDescent="0.25">
      <c r="B272" s="312" t="str">
        <f>IF(B271=Simulador!$H$49,"",IF(B271="","",'Tabla Notaría'!B271+1))</f>
        <v/>
      </c>
      <c r="C272" s="313" t="str">
        <f t="shared" si="10"/>
        <v/>
      </c>
      <c r="D272" s="313" t="str">
        <f>IF(B272="","",IF(Sheet1!$AA$1=3,'Tabla de Pagos Crecientes'!V266,'Tabla Fijos CAT'!G271))</f>
        <v/>
      </c>
      <c r="E272" s="314" t="str">
        <f t="shared" si="11"/>
        <v/>
      </c>
    </row>
    <row r="273" spans="2:5" ht="11.65" customHeight="1" x14ac:dyDescent="0.25">
      <c r="B273" s="312" t="str">
        <f>IF(B272=Simulador!$H$49,"",IF(B272="","",'Tabla Notaría'!B272+1))</f>
        <v/>
      </c>
      <c r="C273" s="313" t="str">
        <f t="shared" si="10"/>
        <v/>
      </c>
      <c r="D273" s="313" t="str">
        <f>IF(B273="","",IF(Sheet1!$AA$1=3,'Tabla de Pagos Crecientes'!V267,'Tabla Fijos CAT'!G272))</f>
        <v/>
      </c>
      <c r="E273" s="314" t="str">
        <f t="shared" si="11"/>
        <v/>
      </c>
    </row>
    <row r="274" spans="2:5" ht="11.65" customHeight="1" x14ac:dyDescent="0.25">
      <c r="B274" s="312" t="str">
        <f>IF(B273=Simulador!$H$49,"",IF(B273="","",'Tabla Notaría'!B273+1))</f>
        <v/>
      </c>
      <c r="C274" s="313" t="str">
        <f t="shared" si="10"/>
        <v/>
      </c>
      <c r="D274" s="313" t="str">
        <f>IF(B274="","",IF(Sheet1!$AA$1=3,'Tabla de Pagos Crecientes'!V268,'Tabla Fijos CAT'!G273))</f>
        <v/>
      </c>
      <c r="E274" s="314" t="str">
        <f t="shared" si="11"/>
        <v/>
      </c>
    </row>
    <row r="275" spans="2:5" ht="11.65" customHeight="1" x14ac:dyDescent="0.25">
      <c r="B275" s="312" t="str">
        <f>IF(B274=Simulador!$H$49,"",IF(B274="","",'Tabla Notaría'!B274+1))</f>
        <v/>
      </c>
      <c r="C275" s="313" t="str">
        <f t="shared" si="10"/>
        <v/>
      </c>
      <c r="D275" s="313" t="str">
        <f>IF(B275="","",IF(Sheet1!$AA$1=3,'Tabla de Pagos Crecientes'!V269,'Tabla Fijos CAT'!G274))</f>
        <v/>
      </c>
      <c r="E275" s="314" t="str">
        <f t="shared" si="11"/>
        <v/>
      </c>
    </row>
    <row r="276" spans="2:5" ht="11.65" customHeight="1" x14ac:dyDescent="0.25">
      <c r="B276" s="315" t="str">
        <f>IF(B275=Simulador!$H$49,"",IF(B275="","",'Tabla Notaría'!B275+1))</f>
        <v/>
      </c>
      <c r="C276" s="316" t="str">
        <f t="shared" si="10"/>
        <v/>
      </c>
      <c r="D276" s="316" t="str">
        <f>IF(B276="","",IF(Sheet1!$AA$1=3,'Tabla de Pagos Crecientes'!V270,'Tabla Fijos CAT'!G275))</f>
        <v/>
      </c>
      <c r="E276" s="317" t="str">
        <f t="shared" si="11"/>
        <v/>
      </c>
    </row>
    <row r="277" spans="2:5" ht="11.65" customHeight="1" x14ac:dyDescent="0.25">
      <c r="B277" s="308" t="str">
        <f>IF(B276=Simulador!$H$49,"",IF(B276="","",'Tabla Notaría'!B276+1))</f>
        <v/>
      </c>
      <c r="C277" s="309" t="str">
        <f t="shared" si="10"/>
        <v/>
      </c>
      <c r="D277" s="310" t="str">
        <f>IF(B277="","",IF(Sheet1!$AA$1=3,'Tabla de Pagos Crecientes'!V271,'Tabla Fijos CAT'!G276))</f>
        <v/>
      </c>
      <c r="E277" s="311" t="str">
        <f t="shared" si="11"/>
        <v/>
      </c>
    </row>
    <row r="278" spans="2:5" ht="11.65" customHeight="1" x14ac:dyDescent="0.25">
      <c r="B278" s="312" t="str">
        <f>IF(B277=Simulador!$H$49,"",IF(B277="","",'Tabla Notaría'!B277+1))</f>
        <v/>
      </c>
      <c r="C278" s="313" t="str">
        <f t="shared" si="10"/>
        <v/>
      </c>
      <c r="D278" s="313" t="str">
        <f>IF(B278="","",IF(Sheet1!$AA$1=3,'Tabla de Pagos Crecientes'!V272,'Tabla Fijos CAT'!G277))</f>
        <v/>
      </c>
      <c r="E278" s="314" t="str">
        <f t="shared" si="11"/>
        <v/>
      </c>
    </row>
    <row r="279" spans="2:5" ht="11.65" customHeight="1" x14ac:dyDescent="0.25">
      <c r="B279" s="312" t="str">
        <f>IF(B278=Simulador!$H$49,"",IF(B278="","",'Tabla Notaría'!B278+1))</f>
        <v/>
      </c>
      <c r="C279" s="313" t="str">
        <f t="shared" si="10"/>
        <v/>
      </c>
      <c r="D279" s="313" t="str">
        <f>IF(B279="","",IF(Sheet1!$AA$1=3,'Tabla de Pagos Crecientes'!V273,'Tabla Fijos CAT'!G278))</f>
        <v/>
      </c>
      <c r="E279" s="314" t="str">
        <f t="shared" si="11"/>
        <v/>
      </c>
    </row>
    <row r="280" spans="2:5" ht="11.65" customHeight="1" x14ac:dyDescent="0.25">
      <c r="B280" s="312" t="str">
        <f>IF(B279=Simulador!$H$49,"",IF(B279="","",'Tabla Notaría'!B279+1))</f>
        <v/>
      </c>
      <c r="C280" s="313" t="str">
        <f t="shared" si="10"/>
        <v/>
      </c>
      <c r="D280" s="313" t="str">
        <f>IF(B280="","",IF(Sheet1!$AA$1=3,'Tabla de Pagos Crecientes'!V274,'Tabla Fijos CAT'!G279))</f>
        <v/>
      </c>
      <c r="E280" s="314" t="str">
        <f t="shared" si="11"/>
        <v/>
      </c>
    </row>
    <row r="281" spans="2:5" ht="11.65" customHeight="1" x14ac:dyDescent="0.25">
      <c r="B281" s="312" t="str">
        <f>IF(B280=Simulador!$H$49,"",IF(B280="","",'Tabla Notaría'!B280+1))</f>
        <v/>
      </c>
      <c r="C281" s="313" t="str">
        <f t="shared" si="10"/>
        <v/>
      </c>
      <c r="D281" s="313" t="str">
        <f>IF(B281="","",IF(Sheet1!$AA$1=3,'Tabla de Pagos Crecientes'!V275,'Tabla Fijos CAT'!G280))</f>
        <v/>
      </c>
      <c r="E281" s="314" t="str">
        <f t="shared" si="11"/>
        <v/>
      </c>
    </row>
    <row r="282" spans="2:5" ht="11.65" customHeight="1" x14ac:dyDescent="0.25">
      <c r="B282" s="312" t="str">
        <f>IF(B281=Simulador!$H$49,"",IF(B281="","",'Tabla Notaría'!B281+1))</f>
        <v/>
      </c>
      <c r="C282" s="313" t="str">
        <f t="shared" si="10"/>
        <v/>
      </c>
      <c r="D282" s="313" t="str">
        <f>IF(B282="","",IF(Sheet1!$AA$1=3,'Tabla de Pagos Crecientes'!V276,'Tabla Fijos CAT'!G281))</f>
        <v/>
      </c>
      <c r="E282" s="314" t="str">
        <f t="shared" si="11"/>
        <v/>
      </c>
    </row>
    <row r="283" spans="2:5" ht="11.65" customHeight="1" x14ac:dyDescent="0.25">
      <c r="B283" s="312" t="str">
        <f>IF(B282=Simulador!$H$49,"",IF(B282="","",'Tabla Notaría'!B282+1))</f>
        <v/>
      </c>
      <c r="C283" s="313" t="str">
        <f t="shared" si="10"/>
        <v/>
      </c>
      <c r="D283" s="313" t="str">
        <f>IF(B283="","",IF(Sheet1!$AA$1=3,'Tabla de Pagos Crecientes'!V277,'Tabla Fijos CAT'!G282))</f>
        <v/>
      </c>
      <c r="E283" s="314" t="str">
        <f t="shared" si="11"/>
        <v/>
      </c>
    </row>
    <row r="284" spans="2:5" ht="11.65" customHeight="1" x14ac:dyDescent="0.25">
      <c r="B284" s="312" t="str">
        <f>IF(B283=Simulador!$H$49,"",IF(B283="","",'Tabla Notaría'!B283+1))</f>
        <v/>
      </c>
      <c r="C284" s="313" t="str">
        <f t="shared" si="10"/>
        <v/>
      </c>
      <c r="D284" s="313" t="str">
        <f>IF(B284="","",IF(Sheet1!$AA$1=3,'Tabla de Pagos Crecientes'!V278,'Tabla Fijos CAT'!G283))</f>
        <v/>
      </c>
      <c r="E284" s="314" t="str">
        <f t="shared" si="11"/>
        <v/>
      </c>
    </row>
    <row r="285" spans="2:5" ht="11.65" customHeight="1" x14ac:dyDescent="0.25">
      <c r="B285" s="312" t="str">
        <f>IF(B284=Simulador!$H$49,"",IF(B284="","",'Tabla Notaría'!B284+1))</f>
        <v/>
      </c>
      <c r="C285" s="313" t="str">
        <f t="shared" ref="C285:C311" si="12">IF(B285="","",C284-D284)</f>
        <v/>
      </c>
      <c r="D285" s="313" t="str">
        <f>IF(B285="","",IF(Sheet1!$AA$1=3,'Tabla de Pagos Crecientes'!V279,'Tabla Fijos CAT'!G284))</f>
        <v/>
      </c>
      <c r="E285" s="314" t="str">
        <f t="shared" ref="E285:E311" si="13">IF(B285="","",C285-D285)</f>
        <v/>
      </c>
    </row>
    <row r="286" spans="2:5" ht="11.65" customHeight="1" x14ac:dyDescent="0.25">
      <c r="B286" s="312" t="str">
        <f>IF(B285=Simulador!$H$49,"",IF(B285="","",'Tabla Notaría'!B285+1))</f>
        <v/>
      </c>
      <c r="C286" s="313" t="str">
        <f t="shared" si="12"/>
        <v/>
      </c>
      <c r="D286" s="313" t="str">
        <f>IF(B286="","",IF(Sheet1!$AA$1=3,'Tabla de Pagos Crecientes'!V280,'Tabla Fijos CAT'!G285))</f>
        <v/>
      </c>
      <c r="E286" s="314" t="str">
        <f t="shared" si="13"/>
        <v/>
      </c>
    </row>
    <row r="287" spans="2:5" ht="11.65" customHeight="1" x14ac:dyDescent="0.25">
      <c r="B287" s="312" t="str">
        <f>IF(B286=Simulador!$H$49,"",IF(B286="","",'Tabla Notaría'!B286+1))</f>
        <v/>
      </c>
      <c r="C287" s="313" t="str">
        <f t="shared" si="12"/>
        <v/>
      </c>
      <c r="D287" s="313" t="str">
        <f>IF(B287="","",IF(Sheet1!$AA$1=3,'Tabla de Pagos Crecientes'!V281,'Tabla Fijos CAT'!G286))</f>
        <v/>
      </c>
      <c r="E287" s="314" t="str">
        <f t="shared" si="13"/>
        <v/>
      </c>
    </row>
    <row r="288" spans="2:5" ht="11.65" customHeight="1" x14ac:dyDescent="0.25">
      <c r="B288" s="315" t="str">
        <f>IF(B287=Simulador!$H$49,"",IF(B287="","",'Tabla Notaría'!B287+1))</f>
        <v/>
      </c>
      <c r="C288" s="316" t="str">
        <f t="shared" si="12"/>
        <v/>
      </c>
      <c r="D288" s="316" t="str">
        <f>IF(B288="","",IF(Sheet1!$AA$1=3,'Tabla de Pagos Crecientes'!V282,'Tabla Fijos CAT'!G287))</f>
        <v/>
      </c>
      <c r="E288" s="317" t="str">
        <f t="shared" si="13"/>
        <v/>
      </c>
    </row>
    <row r="289" spans="2:5" ht="11.65" customHeight="1" x14ac:dyDescent="0.25">
      <c r="B289" s="308" t="str">
        <f>IF(B288=Simulador!$H$49,"",IF(B288="","",'Tabla Notaría'!B288+1))</f>
        <v/>
      </c>
      <c r="C289" s="309" t="str">
        <f t="shared" si="12"/>
        <v/>
      </c>
      <c r="D289" s="310" t="str">
        <f>IF(B289="","",IF(Sheet1!$AA$1=3,'Tabla de Pagos Crecientes'!V283,'Tabla Fijos CAT'!G288))</f>
        <v/>
      </c>
      <c r="E289" s="311" t="str">
        <f t="shared" si="13"/>
        <v/>
      </c>
    </row>
    <row r="290" spans="2:5" ht="11.65" customHeight="1" x14ac:dyDescent="0.25">
      <c r="B290" s="312" t="str">
        <f>IF(B289=Simulador!$H$49,"",IF(B289="","",'Tabla Notaría'!B289+1))</f>
        <v/>
      </c>
      <c r="C290" s="313" t="str">
        <f t="shared" si="12"/>
        <v/>
      </c>
      <c r="D290" s="313" t="str">
        <f>IF(B290="","",IF(Sheet1!$AA$1=3,'Tabla de Pagos Crecientes'!V284,'Tabla Fijos CAT'!G289))</f>
        <v/>
      </c>
      <c r="E290" s="314" t="str">
        <f t="shared" si="13"/>
        <v/>
      </c>
    </row>
    <row r="291" spans="2:5" ht="11.65" customHeight="1" x14ac:dyDescent="0.25">
      <c r="B291" s="312" t="str">
        <f>IF(B290=Simulador!$H$49,"",IF(B290="","",'Tabla Notaría'!B290+1))</f>
        <v/>
      </c>
      <c r="C291" s="313" t="str">
        <f t="shared" si="12"/>
        <v/>
      </c>
      <c r="D291" s="313" t="str">
        <f>IF(B291="","",IF(Sheet1!$AA$1=3,'Tabla de Pagos Crecientes'!V285,'Tabla Fijos CAT'!G290))</f>
        <v/>
      </c>
      <c r="E291" s="314" t="str">
        <f t="shared" si="13"/>
        <v/>
      </c>
    </row>
    <row r="292" spans="2:5" ht="11.65" customHeight="1" x14ac:dyDescent="0.25">
      <c r="B292" s="312" t="str">
        <f>IF(B291=Simulador!$H$49,"",IF(B291="","",'Tabla Notaría'!B291+1))</f>
        <v/>
      </c>
      <c r="C292" s="313" t="str">
        <f t="shared" si="12"/>
        <v/>
      </c>
      <c r="D292" s="313" t="str">
        <f>IF(B292="","",IF(Sheet1!$AA$1=3,'Tabla de Pagos Crecientes'!V286,'Tabla Fijos CAT'!G291))</f>
        <v/>
      </c>
      <c r="E292" s="314" t="str">
        <f t="shared" si="13"/>
        <v/>
      </c>
    </row>
    <row r="293" spans="2:5" ht="11.65" customHeight="1" x14ac:dyDescent="0.25">
      <c r="B293" s="312" t="str">
        <f>IF(B292=Simulador!$H$49,"",IF(B292="","",'Tabla Notaría'!B292+1))</f>
        <v/>
      </c>
      <c r="C293" s="313" t="str">
        <f t="shared" si="12"/>
        <v/>
      </c>
      <c r="D293" s="313" t="str">
        <f>IF(B293="","",IF(Sheet1!$AA$1=3,'Tabla de Pagos Crecientes'!V287,'Tabla Fijos CAT'!G292))</f>
        <v/>
      </c>
      <c r="E293" s="314" t="str">
        <f t="shared" si="13"/>
        <v/>
      </c>
    </row>
    <row r="294" spans="2:5" ht="11.65" customHeight="1" x14ac:dyDescent="0.25">
      <c r="B294" s="312" t="str">
        <f>IF(B293=Simulador!$H$49,"",IF(B293="","",'Tabla Notaría'!B293+1))</f>
        <v/>
      </c>
      <c r="C294" s="313" t="str">
        <f t="shared" si="12"/>
        <v/>
      </c>
      <c r="D294" s="313" t="str">
        <f>IF(B294="","",IF(Sheet1!$AA$1=3,'Tabla de Pagos Crecientes'!V288,'Tabla Fijos CAT'!G293))</f>
        <v/>
      </c>
      <c r="E294" s="314" t="str">
        <f t="shared" si="13"/>
        <v/>
      </c>
    </row>
    <row r="295" spans="2:5" ht="11.65" customHeight="1" x14ac:dyDescent="0.25">
      <c r="B295" s="312" t="str">
        <f>IF(B294=Simulador!$H$49,"",IF(B294="","",'Tabla Notaría'!B294+1))</f>
        <v/>
      </c>
      <c r="C295" s="313" t="str">
        <f t="shared" si="12"/>
        <v/>
      </c>
      <c r="D295" s="313" t="str">
        <f>IF(B295="","",IF(Sheet1!$AA$1=3,'Tabla de Pagos Crecientes'!V289,'Tabla Fijos CAT'!G294))</f>
        <v/>
      </c>
      <c r="E295" s="314" t="str">
        <f t="shared" si="13"/>
        <v/>
      </c>
    </row>
    <row r="296" spans="2:5" ht="11.65" customHeight="1" x14ac:dyDescent="0.25">
      <c r="B296" s="312" t="str">
        <f>IF(B295=Simulador!$H$49,"",IF(B295="","",'Tabla Notaría'!B295+1))</f>
        <v/>
      </c>
      <c r="C296" s="313" t="str">
        <f t="shared" si="12"/>
        <v/>
      </c>
      <c r="D296" s="313" t="str">
        <f>IF(B296="","",IF(Sheet1!$AA$1=3,'Tabla de Pagos Crecientes'!V290,'Tabla Fijos CAT'!G295))</f>
        <v/>
      </c>
      <c r="E296" s="314" t="str">
        <f t="shared" si="13"/>
        <v/>
      </c>
    </row>
    <row r="297" spans="2:5" ht="11.65" customHeight="1" x14ac:dyDescent="0.25">
      <c r="B297" s="312" t="str">
        <f>IF(B296=Simulador!$H$49,"",IF(B296="","",'Tabla Notaría'!B296+1))</f>
        <v/>
      </c>
      <c r="C297" s="313" t="str">
        <f t="shared" si="12"/>
        <v/>
      </c>
      <c r="D297" s="313" t="str">
        <f>IF(B297="","",IF(Sheet1!$AA$1=3,'Tabla de Pagos Crecientes'!V291,'Tabla Fijos CAT'!G296))</f>
        <v/>
      </c>
      <c r="E297" s="314" t="str">
        <f t="shared" si="13"/>
        <v/>
      </c>
    </row>
    <row r="298" spans="2:5" ht="11.65" customHeight="1" x14ac:dyDescent="0.25">
      <c r="B298" s="312" t="str">
        <f>IF(B297=Simulador!$H$49,"",IF(B297="","",'Tabla Notaría'!B297+1))</f>
        <v/>
      </c>
      <c r="C298" s="313" t="str">
        <f t="shared" si="12"/>
        <v/>
      </c>
      <c r="D298" s="313" t="str">
        <f>IF(B298="","",IF(Sheet1!$AA$1=3,'Tabla de Pagos Crecientes'!V292,'Tabla Fijos CAT'!G297))</f>
        <v/>
      </c>
      <c r="E298" s="314" t="str">
        <f t="shared" si="13"/>
        <v/>
      </c>
    </row>
    <row r="299" spans="2:5" ht="11.65" customHeight="1" x14ac:dyDescent="0.25">
      <c r="B299" s="312" t="str">
        <f>IF(B298=Simulador!$H$49,"",IF(B298="","",'Tabla Notaría'!B298+1))</f>
        <v/>
      </c>
      <c r="C299" s="313" t="str">
        <f t="shared" si="12"/>
        <v/>
      </c>
      <c r="D299" s="313" t="str">
        <f>IF(B299="","",IF(Sheet1!$AA$1=3,'Tabla de Pagos Crecientes'!V293,'Tabla Fijos CAT'!G298))</f>
        <v/>
      </c>
      <c r="E299" s="314" t="str">
        <f t="shared" si="13"/>
        <v/>
      </c>
    </row>
    <row r="300" spans="2:5" ht="11.65" customHeight="1" x14ac:dyDescent="0.25">
      <c r="B300" s="315" t="str">
        <f>IF(B299=Simulador!$H$49,"",IF(B299="","",'Tabla Notaría'!B299+1))</f>
        <v/>
      </c>
      <c r="C300" s="316" t="str">
        <f t="shared" si="12"/>
        <v/>
      </c>
      <c r="D300" s="316" t="str">
        <f>IF(B300="","",IF(Sheet1!$AA$1=3,'Tabla de Pagos Crecientes'!V294,'Tabla Fijos CAT'!G299))</f>
        <v/>
      </c>
      <c r="E300" s="317" t="str">
        <f t="shared" si="13"/>
        <v/>
      </c>
    </row>
    <row r="301" spans="2:5" ht="11.65" customHeight="1" x14ac:dyDescent="0.25">
      <c r="B301" s="308" t="str">
        <f>IF(B300=Simulador!$H$49,"",IF(B300="","",'Tabla Notaría'!B300+1))</f>
        <v/>
      </c>
      <c r="C301" s="309" t="str">
        <f t="shared" si="12"/>
        <v/>
      </c>
      <c r="D301" s="310" t="str">
        <f>IF(B301="","",IF(Sheet1!$AA$1=3,'Tabla de Pagos Crecientes'!V295,'Tabla Fijos CAT'!G300))</f>
        <v/>
      </c>
      <c r="E301" s="311" t="str">
        <f t="shared" si="13"/>
        <v/>
      </c>
    </row>
    <row r="302" spans="2:5" ht="11.65" customHeight="1" x14ac:dyDescent="0.25">
      <c r="B302" s="312" t="str">
        <f>IF(B301=Simulador!$H$49,"",IF(B301="","",'Tabla Notaría'!B301+1))</f>
        <v/>
      </c>
      <c r="C302" s="313" t="str">
        <f t="shared" si="12"/>
        <v/>
      </c>
      <c r="D302" s="313" t="str">
        <f>IF(B302="","",IF(Sheet1!$AA$1=3,'Tabla de Pagos Crecientes'!V296,'Tabla Fijos CAT'!G301))</f>
        <v/>
      </c>
      <c r="E302" s="314" t="str">
        <f t="shared" si="13"/>
        <v/>
      </c>
    </row>
    <row r="303" spans="2:5" ht="11.65" customHeight="1" x14ac:dyDescent="0.25">
      <c r="B303" s="312" t="str">
        <f>IF(B302=Simulador!$H$49,"",IF(B302="","",'Tabla Notaría'!B302+1))</f>
        <v/>
      </c>
      <c r="C303" s="313" t="str">
        <f t="shared" si="12"/>
        <v/>
      </c>
      <c r="D303" s="313" t="str">
        <f>IF(B303="","",IF(Sheet1!$AA$1=3,'Tabla de Pagos Crecientes'!V297,'Tabla Fijos CAT'!G302))</f>
        <v/>
      </c>
      <c r="E303" s="314" t="str">
        <f t="shared" si="13"/>
        <v/>
      </c>
    </row>
    <row r="304" spans="2:5" ht="11.65" customHeight="1" x14ac:dyDescent="0.25">
      <c r="B304" s="312" t="str">
        <f>IF(B303=Simulador!$H$49,"",IF(B303="","",'Tabla Notaría'!B303+1))</f>
        <v/>
      </c>
      <c r="C304" s="313" t="str">
        <f t="shared" si="12"/>
        <v/>
      </c>
      <c r="D304" s="313" t="str">
        <f>IF(B304="","",IF(Sheet1!$AA$1=3,'Tabla de Pagos Crecientes'!V298,'Tabla Fijos CAT'!G303))</f>
        <v/>
      </c>
      <c r="E304" s="314" t="str">
        <f t="shared" si="13"/>
        <v/>
      </c>
    </row>
    <row r="305" spans="2:5" ht="11.65" customHeight="1" x14ac:dyDescent="0.25">
      <c r="B305" s="312" t="str">
        <f>IF(B304=Simulador!$H$49,"",IF(B304="","",'Tabla Notaría'!B304+1))</f>
        <v/>
      </c>
      <c r="C305" s="313" t="str">
        <f t="shared" si="12"/>
        <v/>
      </c>
      <c r="D305" s="313" t="str">
        <f>IF(B305="","",IF(Sheet1!$AA$1=3,'Tabla de Pagos Crecientes'!V299,'Tabla Fijos CAT'!G304))</f>
        <v/>
      </c>
      <c r="E305" s="314" t="str">
        <f t="shared" si="13"/>
        <v/>
      </c>
    </row>
    <row r="306" spans="2:5" ht="11.65" customHeight="1" x14ac:dyDescent="0.25">
      <c r="B306" s="312" t="str">
        <f>IF(B305=Simulador!$H$49,"",IF(B305="","",'Tabla Notaría'!B305+1))</f>
        <v/>
      </c>
      <c r="C306" s="313" t="str">
        <f t="shared" si="12"/>
        <v/>
      </c>
      <c r="D306" s="313" t="str">
        <f>IF(B306="","",IF(Sheet1!$AA$1=3,'Tabla de Pagos Crecientes'!V300,'Tabla Fijos CAT'!G305))</f>
        <v/>
      </c>
      <c r="E306" s="314" t="str">
        <f t="shared" si="13"/>
        <v/>
      </c>
    </row>
    <row r="307" spans="2:5" ht="11.65" customHeight="1" x14ac:dyDescent="0.25">
      <c r="B307" s="312" t="str">
        <f>IF(B306=Simulador!$H$49,"",IF(B306="","",'Tabla Notaría'!B306+1))</f>
        <v/>
      </c>
      <c r="C307" s="313" t="str">
        <f t="shared" si="12"/>
        <v/>
      </c>
      <c r="D307" s="313" t="str">
        <f>IF(B307="","",IF(Sheet1!$AA$1=3,'Tabla de Pagos Crecientes'!V301,'Tabla Fijos CAT'!G306))</f>
        <v/>
      </c>
      <c r="E307" s="314" t="str">
        <f t="shared" si="13"/>
        <v/>
      </c>
    </row>
    <row r="308" spans="2:5" ht="11.65" customHeight="1" x14ac:dyDescent="0.25">
      <c r="B308" s="312" t="str">
        <f>IF(B307=Simulador!$H$49,"",IF(B307="","",'Tabla Notaría'!B307+1))</f>
        <v/>
      </c>
      <c r="C308" s="313" t="str">
        <f t="shared" si="12"/>
        <v/>
      </c>
      <c r="D308" s="313" t="str">
        <f>IF(B308="","",IF(Sheet1!$AA$1=3,'Tabla de Pagos Crecientes'!V302,'Tabla Fijos CAT'!G307))</f>
        <v/>
      </c>
      <c r="E308" s="314" t="str">
        <f t="shared" si="13"/>
        <v/>
      </c>
    </row>
    <row r="309" spans="2:5" ht="11.65" customHeight="1" x14ac:dyDescent="0.25">
      <c r="B309" s="312" t="str">
        <f>IF(B308=Simulador!$H$49,"",IF(B308="","",'Tabla Notaría'!B308+1))</f>
        <v/>
      </c>
      <c r="C309" s="313" t="str">
        <f t="shared" si="12"/>
        <v/>
      </c>
      <c r="D309" s="313" t="str">
        <f>IF(B309="","",IF(Sheet1!$AA$1=3,'Tabla de Pagos Crecientes'!V303,'Tabla Fijos CAT'!G308))</f>
        <v/>
      </c>
      <c r="E309" s="314" t="str">
        <f t="shared" si="13"/>
        <v/>
      </c>
    </row>
    <row r="310" spans="2:5" ht="11.65" customHeight="1" x14ac:dyDescent="0.25">
      <c r="B310" s="312" t="str">
        <f>IF(B309=Simulador!$H$49,"",IF(B309="","",'Tabla Notaría'!B309+1))</f>
        <v/>
      </c>
      <c r="C310" s="313" t="str">
        <f t="shared" si="12"/>
        <v/>
      </c>
      <c r="D310" s="313" t="str">
        <f>IF(B310="","",IF(Sheet1!$AA$1=3,'Tabla de Pagos Crecientes'!V304,'Tabla Fijos CAT'!G309))</f>
        <v/>
      </c>
      <c r="E310" s="314" t="str">
        <f t="shared" si="13"/>
        <v/>
      </c>
    </row>
    <row r="311" spans="2:5" ht="11.65" customHeight="1" x14ac:dyDescent="0.25">
      <c r="B311" s="312" t="str">
        <f>IF(B310=Simulador!$H$49,"",IF(B310="","",'Tabla Notaría'!B310+1))</f>
        <v/>
      </c>
      <c r="C311" s="313" t="str">
        <f t="shared" si="12"/>
        <v/>
      </c>
      <c r="D311" s="313" t="str">
        <f>IF(B311="","",IF(Sheet1!$AA$1=3,'Tabla de Pagos Crecientes'!V305,'Tabla Fijos CAT'!G310))</f>
        <v/>
      </c>
      <c r="E311" s="314" t="str">
        <f t="shared" si="13"/>
        <v/>
      </c>
    </row>
    <row r="312" spans="2:5" ht="11.65" customHeight="1" x14ac:dyDescent="0.25">
      <c r="B312" s="315" t="str">
        <f>IF(B311=Simulador!$H$49,"",IF(B311="","",'Tabla Notaría'!B311+1))</f>
        <v/>
      </c>
      <c r="C312" s="316" t="str">
        <f t="shared" ref="C312" si="14">IF(B312="","",C311-D311)</f>
        <v/>
      </c>
      <c r="D312" s="316" t="str">
        <f>IF(B312="","",IF(Sheet1!$AA$1=3,'Tabla de Pagos Crecientes'!V306,'Tabla Fijos CAT'!G311))</f>
        <v/>
      </c>
      <c r="E312" s="317" t="str">
        <f t="shared" ref="E312" si="15">IF(B312="","",C312-D312)</f>
        <v/>
      </c>
    </row>
    <row r="313" spans="2:5" ht="11.65" customHeight="1" x14ac:dyDescent="0.25"/>
    <row r="314" spans="2:5" ht="11.65" hidden="1" customHeight="1" x14ac:dyDescent="0.25">
      <c r="B314" s="763"/>
      <c r="C314" s="763"/>
      <c r="D314" s="763"/>
      <c r="E314" s="763"/>
    </row>
  </sheetData>
  <sheetProtection algorithmName="SHA-512" hashValue="oAfzLb9GXvxYngtbHHPX9ILaTK7YO4z622H1lQbqkVBgA9RMGo/Q0NNNILWE6AZwbKLZ+8xNLLlg2eNrU5i0+g==" saltValue="XAw+ZHQDLfdoJ9cLHh6RRw==" spinCount="100000" sheet="1" objects="1" scenarios="1"/>
  <mergeCells count="3">
    <mergeCell ref="B314:E314"/>
    <mergeCell ref="C4:E4"/>
    <mergeCell ref="B11:E11"/>
  </mergeCells>
  <printOptions horizontalCentered="1" verticalCentered="1"/>
  <pageMargins left="0.70866141732283472" right="0.70866141732283472" top="0.74803149606299213" bottom="0.74803149606299213" header="0.31496062992125984" footer="0.31496062992125984"/>
  <pageSetup paperSize="9" scale="88"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7">
    <pageSetUpPr fitToPage="1"/>
  </sheetPr>
  <dimension ref="A1:M182"/>
  <sheetViews>
    <sheetView showGridLines="0" zoomScale="120" zoomScaleNormal="120" workbookViewId="0">
      <selection activeCell="A85" sqref="A85:E88"/>
    </sheetView>
  </sheetViews>
  <sheetFormatPr baseColWidth="10" defaultColWidth="0" defaultRowHeight="14.5" zeroHeight="1" x14ac:dyDescent="0.35"/>
  <cols>
    <col min="1" max="1" width="26.81640625" customWidth="1"/>
    <col min="2" max="2" width="30.453125" customWidth="1"/>
    <col min="3" max="3" width="13.453125" customWidth="1"/>
    <col min="4" max="4" width="13" customWidth="1"/>
    <col min="5" max="5" width="27.7265625" customWidth="1"/>
    <col min="6" max="6" width="3" customWidth="1"/>
    <col min="7" max="7" width="11.453125" hidden="1" customWidth="1"/>
    <col min="8" max="8" width="12.54296875" hidden="1" customWidth="1"/>
    <col min="9" max="10" width="11.453125" hidden="1" customWidth="1"/>
    <col min="11" max="11" width="21.54296875" hidden="1" customWidth="1"/>
    <col min="12" max="13" width="0" hidden="1" customWidth="1"/>
    <col min="14" max="16384" width="11.453125" hidden="1"/>
  </cols>
  <sheetData>
    <row r="1" spans="1:8" ht="15" thickBot="1" x14ac:dyDescent="0.4"/>
    <row r="2" spans="1:8" x14ac:dyDescent="0.35">
      <c r="A2" s="778" t="s">
        <v>333</v>
      </c>
      <c r="B2" s="779"/>
      <c r="C2" s="779"/>
      <c r="D2" s="779"/>
      <c r="E2" s="780"/>
    </row>
    <row r="3" spans="1:8" x14ac:dyDescent="0.35">
      <c r="A3" s="781" t="s">
        <v>334</v>
      </c>
      <c r="B3" s="782"/>
      <c r="C3" s="203"/>
      <c r="D3" s="204" t="s">
        <v>335</v>
      </c>
      <c r="E3" s="220">
        <f ca="1">Simulador!$F$7</f>
        <v>46168</v>
      </c>
    </row>
    <row r="4" spans="1:8" x14ac:dyDescent="0.35">
      <c r="A4" s="221"/>
      <c r="B4" s="222"/>
      <c r="C4" s="222"/>
      <c r="D4" s="222"/>
      <c r="E4" s="336"/>
    </row>
    <row r="5" spans="1:8" ht="19" customHeight="1" x14ac:dyDescent="0.35">
      <c r="A5" s="783" t="s">
        <v>730</v>
      </c>
      <c r="B5" s="784"/>
      <c r="C5" s="784"/>
      <c r="D5" s="784"/>
      <c r="E5" s="785"/>
    </row>
    <row r="6" spans="1:8" x14ac:dyDescent="0.35">
      <c r="A6" s="786" t="s">
        <v>381</v>
      </c>
      <c r="B6" s="787"/>
      <c r="C6" s="787"/>
      <c r="D6" s="341" t="s">
        <v>336</v>
      </c>
      <c r="E6" s="254" t="s">
        <v>337</v>
      </c>
    </row>
    <row r="7" spans="1:8" x14ac:dyDescent="0.35">
      <c r="A7" s="223" t="s">
        <v>338</v>
      </c>
      <c r="B7" s="788" t="s">
        <v>339</v>
      </c>
      <c r="C7" s="788"/>
      <c r="D7" s="788"/>
      <c r="E7" s="789"/>
    </row>
    <row r="8" spans="1:8" x14ac:dyDescent="0.35">
      <c r="A8" s="790" t="s">
        <v>738</v>
      </c>
      <c r="B8" s="791"/>
      <c r="C8" s="791"/>
      <c r="D8" s="791"/>
      <c r="E8" s="792"/>
    </row>
    <row r="9" spans="1:8" x14ac:dyDescent="0.35">
      <c r="A9" s="790"/>
      <c r="B9" s="791"/>
      <c r="C9" s="791"/>
      <c r="D9" s="791"/>
      <c r="E9" s="792"/>
    </row>
    <row r="10" spans="1:8" x14ac:dyDescent="0.35">
      <c r="A10" s="790"/>
      <c r="B10" s="791"/>
      <c r="C10" s="791"/>
      <c r="D10" s="791"/>
      <c r="E10" s="792"/>
    </row>
    <row r="11" spans="1:8" x14ac:dyDescent="0.35">
      <c r="A11" s="790"/>
      <c r="B11" s="791"/>
      <c r="C11" s="791"/>
      <c r="D11" s="791"/>
      <c r="E11" s="792"/>
    </row>
    <row r="12" spans="1:8" x14ac:dyDescent="0.35">
      <c r="A12" s="790"/>
      <c r="B12" s="791"/>
      <c r="C12" s="791"/>
      <c r="D12" s="791"/>
      <c r="E12" s="792"/>
    </row>
    <row r="13" spans="1:8" x14ac:dyDescent="0.35">
      <c r="A13" s="790" t="s">
        <v>739</v>
      </c>
      <c r="B13" s="791"/>
      <c r="C13" s="791"/>
      <c r="D13" s="791"/>
      <c r="E13" s="792"/>
    </row>
    <row r="14" spans="1:8" x14ac:dyDescent="0.35">
      <c r="A14" s="790"/>
      <c r="B14" s="791"/>
      <c r="C14" s="791"/>
      <c r="D14" s="791"/>
      <c r="E14" s="792"/>
    </row>
    <row r="15" spans="1:8" x14ac:dyDescent="0.35">
      <c r="A15" s="793" t="s">
        <v>340</v>
      </c>
      <c r="B15" s="794"/>
      <c r="C15" s="335"/>
      <c r="D15" s="795" t="s">
        <v>341</v>
      </c>
      <c r="E15" s="796"/>
    </row>
    <row r="16" spans="1:8" ht="15" customHeight="1" x14ac:dyDescent="0.35">
      <c r="A16" s="224" t="s">
        <v>342</v>
      </c>
      <c r="B16" s="206" t="str">
        <f>Simulador!$N$7</f>
        <v>Tradicional</v>
      </c>
      <c r="C16" s="335"/>
      <c r="D16" s="797">
        <f>Simulador!$D$64</f>
        <v>0.11734144041403516</v>
      </c>
      <c r="E16" s="800" t="s">
        <v>385</v>
      </c>
      <c r="H16" t="str">
        <f>IF(Simulador!$F$9="Liquidez",Simulador!$F$9,IF(Simulador!$F$9='Tabla Parámetros'!$J$11,Simulador!$F$9,'Oferta Vinculante'!$H$18))</f>
        <v>Adquisición Hipoteca (Hipoteca Fuerte Cero)</v>
      </c>
    </row>
    <row r="17" spans="1:13" ht="27" customHeight="1" x14ac:dyDescent="0.35">
      <c r="A17" s="225" t="s">
        <v>2</v>
      </c>
      <c r="B17" s="207" t="str">
        <f>H16</f>
        <v>Adquisición Hipoteca (Hipoteca Fuerte Cero)</v>
      </c>
      <c r="C17" s="335"/>
      <c r="D17" s="798"/>
      <c r="E17" s="801"/>
      <c r="H17" t="str">
        <f>Simulador!$F$9</f>
        <v>Adquisición</v>
      </c>
      <c r="I17" t="s">
        <v>436</v>
      </c>
      <c r="J17" t="str">
        <f>Simulador!$F$11</f>
        <v>Hipoteca Fuerte Cero</v>
      </c>
    </row>
    <row r="18" spans="1:13" ht="15" customHeight="1" x14ac:dyDescent="0.35">
      <c r="A18" s="339" t="s">
        <v>343</v>
      </c>
      <c r="B18" s="208">
        <f>Simulador!$H$48</f>
        <v>1000000</v>
      </c>
      <c r="C18" s="335"/>
      <c r="D18" s="798"/>
      <c r="E18" s="801"/>
      <c r="H18" t="str">
        <f>H17&amp;" "&amp;I17&amp;"("&amp;J17&amp;")"</f>
        <v>Adquisición Hipoteca (Hipoteca Fuerte Cero)</v>
      </c>
    </row>
    <row r="19" spans="1:13" ht="15" customHeight="1" x14ac:dyDescent="0.35">
      <c r="A19" s="224" t="s">
        <v>344</v>
      </c>
      <c r="B19" s="205" t="s">
        <v>345</v>
      </c>
      <c r="C19" s="335"/>
      <c r="D19" s="798"/>
      <c r="E19" s="801"/>
    </row>
    <row r="20" spans="1:13" ht="15" customHeight="1" x14ac:dyDescent="0.35">
      <c r="A20" s="224" t="s">
        <v>346</v>
      </c>
      <c r="B20" s="205" t="s">
        <v>347</v>
      </c>
      <c r="C20" s="335"/>
      <c r="D20" s="798"/>
      <c r="E20" s="801"/>
    </row>
    <row r="21" spans="1:13" ht="19" customHeight="1" x14ac:dyDescent="0.35">
      <c r="A21" s="224" t="s">
        <v>731</v>
      </c>
      <c r="B21" s="209">
        <f>Simulador!$N$11</f>
        <v>3498000</v>
      </c>
      <c r="C21" s="335"/>
      <c r="D21" s="798"/>
      <c r="E21" s="801"/>
    </row>
    <row r="22" spans="1:13" ht="15" customHeight="1" x14ac:dyDescent="0.35">
      <c r="A22" s="224" t="s">
        <v>348</v>
      </c>
      <c r="B22" s="210">
        <f>Simulador!$N$19</f>
        <v>0.28587764436821039</v>
      </c>
      <c r="C22" s="335"/>
      <c r="D22" s="799"/>
      <c r="E22" s="802"/>
    </row>
    <row r="23" spans="1:13" ht="8.25" customHeight="1" x14ac:dyDescent="0.35">
      <c r="A23" s="226"/>
      <c r="B23" s="335"/>
      <c r="C23" s="335"/>
      <c r="D23" s="227"/>
      <c r="E23" s="228"/>
      <c r="H23" t="s">
        <v>122</v>
      </c>
    </row>
    <row r="24" spans="1:13" x14ac:dyDescent="0.35">
      <c r="A24" s="774" t="str">
        <f>H23&amp;I24</f>
        <v xml:space="preserve">Tasa de Interés Anual Fija </v>
      </c>
      <c r="B24" s="775"/>
      <c r="C24" s="335"/>
      <c r="D24" s="776" t="s">
        <v>349</v>
      </c>
      <c r="E24" s="777"/>
      <c r="I24" t="str">
        <f>IF(Simulador!$F$11='Tabla Parámetros'!$O$4,"*"," ")</f>
        <v xml:space="preserve"> </v>
      </c>
    </row>
    <row r="25" spans="1:13" x14ac:dyDescent="0.35">
      <c r="A25" s="224" t="s">
        <v>350</v>
      </c>
      <c r="B25" s="205" t="s">
        <v>351</v>
      </c>
      <c r="C25" s="335"/>
      <c r="D25" s="205" t="s">
        <v>352</v>
      </c>
      <c r="E25" s="229" t="s">
        <v>384</v>
      </c>
      <c r="K25" s="243" t="s">
        <v>383</v>
      </c>
    </row>
    <row r="26" spans="1:13" x14ac:dyDescent="0.35">
      <c r="A26" s="224" t="s">
        <v>353</v>
      </c>
      <c r="B26" s="210">
        <f>Simulador!$F$62</f>
        <v>0.11</v>
      </c>
      <c r="C26" s="335"/>
      <c r="E26" s="230"/>
      <c r="K26" t="str">
        <f>IF(Simulador!$F$9='Tabla Parámetros'!$J$7,'Oferta Vinculante'!$K$25,IF(Simulador!$F$9='Tabla Parámetros'!$J$8,'Oferta Vinculante'!$K$25,IF(Simulador!$F$9='Tabla Parámetros'!$J$9,'Oferta Vinculante'!$K$25,"No Aplica")))</f>
        <v>No Aplica</v>
      </c>
    </row>
    <row r="27" spans="1:13" x14ac:dyDescent="0.35">
      <c r="A27" s="224" t="s">
        <v>354</v>
      </c>
      <c r="B27" s="210">
        <f>$B$26*2</f>
        <v>0.22</v>
      </c>
      <c r="C27" s="335"/>
      <c r="E27" s="230"/>
    </row>
    <row r="28" spans="1:13" ht="6.75" customHeight="1" x14ac:dyDescent="0.35">
      <c r="A28" s="334"/>
      <c r="B28" s="335"/>
      <c r="C28" s="335"/>
      <c r="E28" s="230"/>
      <c r="K28" t="s">
        <v>383</v>
      </c>
    </row>
    <row r="29" spans="1:13" x14ac:dyDescent="0.35">
      <c r="A29" s="333" t="s">
        <v>355</v>
      </c>
      <c r="B29" s="211">
        <f>Simulador!$F$19/12</f>
        <v>20</v>
      </c>
      <c r="C29" s="335"/>
      <c r="E29" s="230"/>
      <c r="K29" s="346">
        <f>Simulador!$N$15</f>
        <v>0</v>
      </c>
    </row>
    <row r="30" spans="1:13" ht="6.75" customHeight="1" x14ac:dyDescent="0.35">
      <c r="A30" s="334"/>
      <c r="B30" s="335"/>
      <c r="C30" s="335"/>
      <c r="D30" s="335"/>
      <c r="E30" s="336"/>
    </row>
    <row r="31" spans="1:13" ht="15" customHeight="1" x14ac:dyDescent="0.35">
      <c r="A31" s="774" t="s">
        <v>356</v>
      </c>
      <c r="B31" s="775"/>
      <c r="C31" s="335"/>
      <c r="D31" s="812" t="str">
        <f>"Componentes y valores " &amp; VLOOKUP(2,NN.Catalogo,6) &amp; " del CAT"</f>
        <v>Componentes y valores (2) del CAT</v>
      </c>
      <c r="E31" s="813"/>
      <c r="K31" s="767" t="s">
        <v>600</v>
      </c>
      <c r="L31" s="768"/>
      <c r="M31" t="str">
        <f>IF(Simulador!$N$17="SI","Financiada",IF(Simulador!$N$17="NO","(de contado)",))</f>
        <v>(de contado)</v>
      </c>
    </row>
    <row r="32" spans="1:13" x14ac:dyDescent="0.35">
      <c r="A32" s="224" t="s">
        <v>357</v>
      </c>
      <c r="B32" s="212" t="s">
        <v>358</v>
      </c>
      <c r="C32" s="335"/>
      <c r="D32" s="767" t="str">
        <f>$K$31&amp;$M$31</f>
        <v>Contratación - crédito (de contado)</v>
      </c>
      <c r="E32" s="768"/>
      <c r="K32" s="767" t="s">
        <v>601</v>
      </c>
      <c r="L32" s="768"/>
      <c r="M32" s="121"/>
    </row>
    <row r="33" spans="1:12" x14ac:dyDescent="0.35">
      <c r="A33" s="224" t="s">
        <v>359</v>
      </c>
      <c r="B33" s="213" t="s">
        <v>347</v>
      </c>
      <c r="C33" s="335"/>
      <c r="D33" s="767" t="str">
        <f>K32&amp;" "&amp;M32</f>
        <v xml:space="preserve">Gastos de Preoriginación - avalúo hipotecario  </v>
      </c>
      <c r="E33" s="768"/>
      <c r="K33" s="767" t="s">
        <v>602</v>
      </c>
      <c r="L33" s="768"/>
    </row>
    <row r="34" spans="1:12" x14ac:dyDescent="0.35">
      <c r="A34" s="334"/>
      <c r="B34" s="335"/>
      <c r="C34" s="335"/>
      <c r="D34" s="767" t="s">
        <v>602</v>
      </c>
      <c r="E34" s="768"/>
      <c r="K34" s="767" t="s">
        <v>361</v>
      </c>
      <c r="L34" s="768"/>
    </row>
    <row r="35" spans="1:12" x14ac:dyDescent="0.35">
      <c r="A35" s="337" t="s">
        <v>360</v>
      </c>
      <c r="B35" s="338"/>
      <c r="C35" s="335"/>
      <c r="D35" s="767" t="s">
        <v>361</v>
      </c>
      <c r="E35" s="768"/>
      <c r="K35" s="772" t="s">
        <v>386</v>
      </c>
      <c r="L35" s="773"/>
    </row>
    <row r="36" spans="1:12" x14ac:dyDescent="0.35">
      <c r="A36" s="224" t="str">
        <f>K31</f>
        <v xml:space="preserve">Contratación - crédito </v>
      </c>
      <c r="B36" s="210">
        <f>K29</f>
        <v>0</v>
      </c>
      <c r="C36" s="335"/>
      <c r="D36" s="772" t="s">
        <v>386</v>
      </c>
      <c r="E36" s="773"/>
      <c r="K36" s="767" t="s">
        <v>387</v>
      </c>
      <c r="L36" s="768"/>
    </row>
    <row r="37" spans="1:12" ht="20" x14ac:dyDescent="0.35">
      <c r="A37" s="224" t="s">
        <v>604</v>
      </c>
      <c r="B37" s="214" t="s">
        <v>347</v>
      </c>
      <c r="C37" s="335"/>
      <c r="D37" s="767" t="s">
        <v>387</v>
      </c>
      <c r="E37" s="768"/>
      <c r="K37" s="767" t="s">
        <v>603</v>
      </c>
      <c r="L37" s="768"/>
    </row>
    <row r="38" spans="1:12" ht="20" x14ac:dyDescent="0.35">
      <c r="A38" s="231" t="s">
        <v>599</v>
      </c>
      <c r="B38" s="210" t="str">
        <f>K26</f>
        <v>No Aplica</v>
      </c>
      <c r="C38" s="335"/>
      <c r="D38" s="767" t="str">
        <f>K37</f>
        <v>Administración - autorización de crédito diferido</v>
      </c>
      <c r="E38" s="768"/>
    </row>
    <row r="39" spans="1:12" ht="20" x14ac:dyDescent="0.35">
      <c r="A39" s="224" t="s">
        <v>602</v>
      </c>
      <c r="B39" s="215">
        <f>Simulador!$L$49</f>
        <v>0</v>
      </c>
      <c r="C39" s="335"/>
      <c r="D39" s="814" t="str">
        <f>[1]Cotización!$B$89 &amp; VLOOKUP(3,NN.Catalogo,6)</f>
        <v/>
      </c>
      <c r="E39" s="815" t="str">
        <f>Monto_Devolución</f>
        <v/>
      </c>
    </row>
    <row r="40" spans="1:12" x14ac:dyDescent="0.35">
      <c r="A40" s="806" t="s">
        <v>362</v>
      </c>
      <c r="B40" s="808">
        <f>'Tabla Fijos'!J4</f>
        <v>0</v>
      </c>
      <c r="C40" s="335"/>
      <c r="D40" s="814"/>
      <c r="E40" s="816"/>
    </row>
    <row r="41" spans="1:12" x14ac:dyDescent="0.35">
      <c r="A41" s="807"/>
      <c r="B41" s="809"/>
      <c r="C41" s="335"/>
      <c r="D41" s="810" t="str">
        <f>IF(Mujer_Banorte="Sí","Servicio de Asistencias","")</f>
        <v/>
      </c>
      <c r="E41" s="811"/>
      <c r="L41" t="s">
        <v>433</v>
      </c>
    </row>
    <row r="42" spans="1:12" x14ac:dyDescent="0.35">
      <c r="A42" s="224" t="s">
        <v>605</v>
      </c>
      <c r="B42" s="216" t="s">
        <v>363</v>
      </c>
      <c r="C42" s="335"/>
      <c r="D42" s="810" t="str">
        <f>IF(Mujer_Banorte="Sí","Seguro de Enfermedades Graves y Momentos de Vida","")</f>
        <v/>
      </c>
      <c r="E42" s="811"/>
    </row>
    <row r="43" spans="1:12" ht="30" x14ac:dyDescent="0.35">
      <c r="A43" s="224" t="s">
        <v>606</v>
      </c>
      <c r="B43" s="214" t="s">
        <v>364</v>
      </c>
      <c r="C43" s="335"/>
      <c r="D43" s="810" t="str">
        <f>IF(Destino=Construcción,"Comisión por supervisión de obra contado","")</f>
        <v/>
      </c>
      <c r="E43" s="811"/>
    </row>
    <row r="44" spans="1:12" ht="7.5" customHeight="1" x14ac:dyDescent="0.35">
      <c r="A44" s="334"/>
      <c r="B44" s="335"/>
      <c r="C44" s="335"/>
      <c r="D44" s="335"/>
      <c r="E44" s="336"/>
    </row>
    <row r="45" spans="1:12" x14ac:dyDescent="0.35">
      <c r="A45" s="337" t="str">
        <f>"Seguros " &amp; VLOOKUP(4,NN.Catalogo,6)</f>
        <v>Seguros (3)</v>
      </c>
      <c r="B45" s="338"/>
      <c r="C45" s="335"/>
      <c r="D45" s="776" t="s">
        <v>732</v>
      </c>
      <c r="E45" s="777"/>
      <c r="K45" t="s">
        <v>434</v>
      </c>
    </row>
    <row r="46" spans="1:12" x14ac:dyDescent="0.35">
      <c r="A46" s="826" t="str">
        <f>[1]Tipo_Seguro!o.Leyenda_Vida</f>
        <v>Seguro de Vida, Enfermedades Graves y Momentos de Vida.</v>
      </c>
      <c r="B46" s="827" t="str">
        <f>"$"&amp;L47&amp;K47</f>
        <v>$0 No genera I.V.A.</v>
      </c>
      <c r="C46" s="335"/>
      <c r="D46" s="633" t="s">
        <v>607</v>
      </c>
      <c r="E46" s="246" t="s">
        <v>733</v>
      </c>
      <c r="H46" s="244">
        <f>Simulador!L48</f>
        <v>174900</v>
      </c>
      <c r="I46" s="769" t="s">
        <v>389</v>
      </c>
      <c r="K46" t="e">
        <f>'Tabla Parámetros'!#REF!&amp;" "&amp;" "&amp;'Oferta Vinculante'!K45</f>
        <v>#REF!</v>
      </c>
    </row>
    <row r="47" spans="1:12" x14ac:dyDescent="0.35">
      <c r="A47" s="826"/>
      <c r="B47" s="827"/>
      <c r="C47" s="335"/>
      <c r="D47" s="828" t="s">
        <v>388</v>
      </c>
      <c r="E47" s="245">
        <f>H46</f>
        <v>174900</v>
      </c>
      <c r="I47" s="770"/>
      <c r="J47" s="347">
        <f>IF(Simulador!$F$11='Tabla Parámetros'!$G$45,VLOOKUP('Tabla Parámetros'!$G$47,'Tabla Parámetros'!$H$47:$K$61,4,0),IF(Simulador!$F$11='Tabla Parámetros'!$G$67,VLOOKUP('Tabla Parámetros'!$G$69,'Tabla Parámetros'!$H$69:$K$83,4,0),VLOOKUP('Tabla Parámetros'!$G$62,'Tabla Parámetros'!$H$63:$K$65,4,0)))</f>
        <v>0</v>
      </c>
      <c r="K47" t="s">
        <v>438</v>
      </c>
      <c r="L47" s="347">
        <f>ROUNDUP(J47,2)</f>
        <v>0</v>
      </c>
    </row>
    <row r="48" spans="1:12" ht="15" customHeight="1" x14ac:dyDescent="0.35">
      <c r="A48" s="826" t="str">
        <f>[1]Tipo_Seguro!o.Leyenda_OV_Seguros_Daños</f>
        <v>Daños y Contenidos.</v>
      </c>
      <c r="B48" s="827" t="str">
        <f>"$"&amp;L48&amp;K48</f>
        <v>$0 I.V.A. incluido</v>
      </c>
      <c r="C48" s="335"/>
      <c r="D48" s="828"/>
      <c r="E48" s="771" t="str">
        <f>I46</f>
        <v xml:space="preserve"> (monto estimado en virtud de tratarse de cantidades determinadas por el Notario Público, Registro Público de la Propiedad respectivo, de acuerdo al monto de la operación).</v>
      </c>
      <c r="I48" s="770"/>
      <c r="J48" s="347">
        <f>IF(Simulador!$F$11='Tabla Parámetros'!$G$45,VLOOKUP('Tabla Parámetros'!$G$47,'Tabla Parámetros'!$H$47:$L$62,5,0),IF(Simulador!$F$11='Tabla Parámetros'!$G$67,VLOOKUP('Tabla Parámetros'!$G$69,'Tabla Parámetros'!$H$69:$L$83,5,0),VLOOKUP('Tabla Parámetros'!$G$62,'Tabla Parámetros'!$H$63:$L$65,5,0)))</f>
        <v>0</v>
      </c>
      <c r="K48" t="s">
        <v>439</v>
      </c>
      <c r="L48" s="347">
        <f>ROUNDUP(J48,2)</f>
        <v>0</v>
      </c>
    </row>
    <row r="49" spans="1:9" x14ac:dyDescent="0.35">
      <c r="A49" s="826"/>
      <c r="B49" s="827"/>
      <c r="C49" s="335"/>
      <c r="D49" s="828"/>
      <c r="E49" s="771"/>
      <c r="I49" s="770"/>
    </row>
    <row r="50" spans="1:9" x14ac:dyDescent="0.35">
      <c r="A50" s="806" t="s">
        <v>365</v>
      </c>
      <c r="B50" s="830" t="s">
        <v>437</v>
      </c>
      <c r="C50" s="335"/>
      <c r="D50" s="828"/>
      <c r="E50" s="771"/>
      <c r="I50" s="770"/>
    </row>
    <row r="51" spans="1:9" x14ac:dyDescent="0.35">
      <c r="A51" s="829"/>
      <c r="B51" s="831"/>
      <c r="C51" s="335"/>
      <c r="D51" s="828"/>
      <c r="E51" s="771"/>
      <c r="I51" s="770"/>
    </row>
    <row r="52" spans="1:9" x14ac:dyDescent="0.35">
      <c r="A52" s="232" t="str">
        <f>IF(Mujer_Banorte="Sí","Seguro de Enfermedades Graves y Momentos de Vida","")</f>
        <v/>
      </c>
      <c r="B52" s="217" t="str">
        <f>IF(A52="","",""&amp;DOLLAR(+[1]Cotización!$D$209)&amp;" No genera I.V.A.")</f>
        <v/>
      </c>
      <c r="C52" s="335"/>
      <c r="D52" s="828"/>
      <c r="E52" s="771"/>
    </row>
    <row r="53" spans="1:9" x14ac:dyDescent="0.35">
      <c r="A53" s="803" t="s">
        <v>734</v>
      </c>
      <c r="B53" s="804"/>
      <c r="C53" s="804"/>
      <c r="D53" s="804"/>
      <c r="E53" s="805"/>
    </row>
    <row r="54" spans="1:9" x14ac:dyDescent="0.35">
      <c r="A54" s="803" t="s">
        <v>390</v>
      </c>
      <c r="B54" s="804"/>
      <c r="C54" s="804"/>
      <c r="D54" s="804"/>
      <c r="E54" s="805"/>
    </row>
    <row r="55" spans="1:9" x14ac:dyDescent="0.35">
      <c r="A55" s="803" t="s">
        <v>391</v>
      </c>
      <c r="B55" s="804"/>
      <c r="C55" s="804"/>
      <c r="D55" s="804"/>
      <c r="E55" s="805"/>
    </row>
    <row r="56" spans="1:9" x14ac:dyDescent="0.35">
      <c r="A56" s="803" t="s">
        <v>17</v>
      </c>
      <c r="B56" s="804"/>
      <c r="C56" s="804"/>
      <c r="D56" s="804"/>
      <c r="E56" s="805"/>
    </row>
    <row r="57" spans="1:9" x14ac:dyDescent="0.35">
      <c r="A57" s="803"/>
      <c r="B57" s="804"/>
      <c r="C57" s="804"/>
      <c r="D57" s="804"/>
      <c r="E57" s="805"/>
      <c r="I57" t="s">
        <v>435</v>
      </c>
    </row>
    <row r="58" spans="1:9" x14ac:dyDescent="0.35">
      <c r="A58" s="823" t="s">
        <v>366</v>
      </c>
      <c r="B58" s="824"/>
      <c r="C58" s="824"/>
      <c r="D58" s="824"/>
      <c r="E58" s="825"/>
    </row>
    <row r="59" spans="1:9" ht="7.5" customHeight="1" x14ac:dyDescent="0.35">
      <c r="A59" s="233"/>
      <c r="B59" s="218"/>
      <c r="C59" s="218"/>
      <c r="D59" s="218"/>
      <c r="E59" s="234"/>
    </row>
    <row r="60" spans="1:9" x14ac:dyDescent="0.35">
      <c r="A60" s="817" t="str">
        <f>IFERROR(VLOOKUP('CLAUSULADO ANTICIPADO'!A1,'CLAUSULADO ANTICIPADO'!A2:C24,3,0),'CLAUSULADO ANTICIPADO'!C2)</f>
        <v>DÉCIMA SÉPTIMA:- VENCIMIENTO ANTICIPADO.- EL BANCO se reserva la facultad de dar por vencido anticipadamente el plazo fijado en la cláusula de PLAZO DEL CONTRATO, y en consecuencia, el ACREDITADO deberá hacer el pago inmediato del importe del saldo del crédito, intereses ordinarios, moratorios, y demás accesorios legales, si el ACREDITADO faltare al cumplimiento de cualesquiera de las obligaciones contraídas en este contrato, o en los casos en que la Ley así lo previene, o en los siguientes supuestos:- a). - Si el ACREDITADO dejare de efectuar, en forma total, uno o más de los pagos que se obliga a realizar conforme al presente contrato, sean éstos de capital, intereses, comisiones, u otros accesorios. b). -Si el ACREDITADO, vende, grava, afecta o transmite por cualquier figura jurídica los derechos de propiedad que tiene respecto del (de los) inmueble(s) dado(s) en garantía hipotecaria, excepto en caso de herencia. c). - Si el valor del (de los) bien(es) dado(s) en garantía hipotecaria se reduce un 20%-veinte por ciento o más de su valor, tomando como base el (los) avalúo(s) que para el otorgamiento del crédito hubiere mandado practicar EL BANCO de manera que no bastare(n) a cubrir el pago de capital, intereses, comisiones, u otros accesorios pactados en esta escritura. Se agrega el siguiente inciso en el destino de Adquisición de vivienda, remodelación, Mejora de Hipoteca y Mejora de Hipoteca más Remodelación . d). - Si el ACREDITADO destinare el crédito a un fin distinto del expresamente señalado en la cláusula de DESTINO DEL CRÉDITO o sí EL INMUEBLE deja de ser destinado a casa habitación durante la vigencia del presente crédito. Se agrega el siguiente inciso en el destino de adquisición de terreno más construcción, compra venta con terminación de obra o construcción. d). - Si el ACREDITADO destinare el crédito a un fin distinto del expresamente señalado en la cláusula de DESTINO DEL CRÉDITO, impidiere en cualquier forma el derecho de vigilancia que a EL BANCO le corresponde conforme a dicha cláusula o sí EL INMUEBLE deja de ser destinado a casa habitación durante la vigencia del presente crédito. . e). - Si el(los) inmueble(s) no se inscribe(n) en el Registro Público de la Propiedad y del Comercio de conformidad con lo señalado en la cláusula de GARANTÍA(S), fuere(n) embargado(s) por terceros, o si fuere(n) gravado(s) en ulterior grado, sin autorización expresa y por escrito de EL BANCO. f). - Si el ACREDITADO introdujere modificaciones al (a los) inmueble(s) que causen una disminución en el valor comercial del (de los) inmueble(s) o si por cualquier causa resultare(n) total o parcialmente destruido(s) el(los) inmueble(s). g). - Si el ACREDITADO dejare de pagar dos bimestres consecutivos del impuesto predial, o cuotas por servicios de agua o cualquier responsabilidad civil dentro de los diez días siguientes a la notificación que les fuere hecha por las autoridades respectivas. h). - Si el ACREDITADO no mantuviere vigente el(los) contrato(s) de (de los) seguro(s) en caso de que lo(s) haya contratado con una Aseguradora Externa. Así como también si el ACREDITADO no entrega la(s) póliza(s) y comprobantes de pago de las primas en los términos estipulados en la cláusula de SEGUROS. i). - Si el ACREDITADO faltare al exacto cumplimiento de las obligaciones que en general ha contraído en este instrumento. j). - En los demás casos en que conforme a la Ley se hace exigible anticipadamente el cumplimiento de las obligaciones a plazo. k). - Si el ACREDITADO deja de cumplir con cualquier otro crédito o préstamo que le hubiere otorgado EL BANCO que se dé por vencido anticipadamente o cualquier obligación crediticia a plazo que tenga el ACREDITADO con EL BANCO. l). - Si el ACREDITADO incumple con uno o más de los pagos que se encuentra obligado a cubrir de conformidad con lo establecido en el presente instrumento derivado de una reclamación presentada por el ACREDITADO con relación a cargos mal aplicados. Agregar el siguiente inciso cuando el gravamen se cancele en instrumento por separado. m). - Si el ACREDITADO no entrega en un plazo de 30-treinta días naturales la cancelación de gravamen a que se hace referencia en el antecedente Primero inciso ( ) _________ de este instrumento y/o no entrega el estado de cuenta o documento en el que conste el fin de la relación contractual y la inexistencia de adeudos. n).-Si el BANCO es informado a través del ACREDITADO o notificado por la autoridad administrativa o judicial que se ha iniciado un juicio de extinción de dominio respecto del (los) INMUEBLE(S) otorgado(s) en garantía hipotecaria.</v>
      </c>
      <c r="B60" s="818"/>
      <c r="C60" s="818"/>
      <c r="D60" s="818"/>
      <c r="E60" s="819"/>
    </row>
    <row r="61" spans="1:9" x14ac:dyDescent="0.35">
      <c r="A61" s="817"/>
      <c r="B61" s="818"/>
      <c r="C61" s="818"/>
      <c r="D61" s="818"/>
      <c r="E61" s="819"/>
    </row>
    <row r="62" spans="1:9" x14ac:dyDescent="0.35">
      <c r="A62" s="817"/>
      <c r="B62" s="818"/>
      <c r="C62" s="818"/>
      <c r="D62" s="818"/>
      <c r="E62" s="819"/>
    </row>
    <row r="63" spans="1:9" x14ac:dyDescent="0.35">
      <c r="A63" s="817"/>
      <c r="B63" s="818"/>
      <c r="C63" s="818"/>
      <c r="D63" s="818"/>
      <c r="E63" s="819"/>
    </row>
    <row r="64" spans="1:9" x14ac:dyDescent="0.35">
      <c r="A64" s="817"/>
      <c r="B64" s="818"/>
      <c r="C64" s="818"/>
      <c r="D64" s="818"/>
      <c r="E64" s="819"/>
    </row>
    <row r="65" spans="1:5" x14ac:dyDescent="0.35">
      <c r="A65" s="817"/>
      <c r="B65" s="818"/>
      <c r="C65" s="818"/>
      <c r="D65" s="818"/>
      <c r="E65" s="819"/>
    </row>
    <row r="66" spans="1:5" x14ac:dyDescent="0.35">
      <c r="A66" s="817"/>
      <c r="B66" s="818"/>
      <c r="C66" s="818"/>
      <c r="D66" s="818"/>
      <c r="E66" s="819"/>
    </row>
    <row r="67" spans="1:5" x14ac:dyDescent="0.35">
      <c r="A67" s="817"/>
      <c r="B67" s="818"/>
      <c r="C67" s="818"/>
      <c r="D67" s="818"/>
      <c r="E67" s="819"/>
    </row>
    <row r="68" spans="1:5" x14ac:dyDescent="0.35">
      <c r="A68" s="817"/>
      <c r="B68" s="818"/>
      <c r="C68" s="818"/>
      <c r="D68" s="818"/>
      <c r="E68" s="819"/>
    </row>
    <row r="69" spans="1:5" x14ac:dyDescent="0.35">
      <c r="A69" s="817"/>
      <c r="B69" s="818"/>
      <c r="C69" s="818"/>
      <c r="D69" s="818"/>
      <c r="E69" s="819"/>
    </row>
    <row r="70" spans="1:5" x14ac:dyDescent="0.35">
      <c r="A70" s="817"/>
      <c r="B70" s="818"/>
      <c r="C70" s="818"/>
      <c r="D70" s="818"/>
      <c r="E70" s="819"/>
    </row>
    <row r="71" spans="1:5" ht="19" customHeight="1" x14ac:dyDescent="0.35">
      <c r="A71" s="817"/>
      <c r="B71" s="818"/>
      <c r="C71" s="818"/>
      <c r="D71" s="818"/>
      <c r="E71" s="819"/>
    </row>
    <row r="72" spans="1:5" x14ac:dyDescent="0.35">
      <c r="A72" s="817"/>
      <c r="B72" s="818"/>
      <c r="C72" s="818"/>
      <c r="D72" s="818"/>
      <c r="E72" s="819"/>
    </row>
    <row r="73" spans="1:5" x14ac:dyDescent="0.35">
      <c r="A73" s="817"/>
      <c r="B73" s="818"/>
      <c r="C73" s="818"/>
      <c r="D73" s="818"/>
      <c r="E73" s="819"/>
    </row>
    <row r="74" spans="1:5" x14ac:dyDescent="0.35">
      <c r="A74" s="817"/>
      <c r="B74" s="818"/>
      <c r="C74" s="818"/>
      <c r="D74" s="818"/>
      <c r="E74" s="819"/>
    </row>
    <row r="75" spans="1:5" x14ac:dyDescent="0.35">
      <c r="A75" s="817"/>
      <c r="B75" s="818"/>
      <c r="C75" s="818"/>
      <c r="D75" s="818"/>
      <c r="E75" s="819"/>
    </row>
    <row r="76" spans="1:5" x14ac:dyDescent="0.35">
      <c r="A76" s="817"/>
      <c r="B76" s="818"/>
      <c r="C76" s="818"/>
      <c r="D76" s="818"/>
      <c r="E76" s="819"/>
    </row>
    <row r="77" spans="1:5" x14ac:dyDescent="0.35">
      <c r="A77" s="817"/>
      <c r="B77" s="818"/>
      <c r="C77" s="818"/>
      <c r="D77" s="818"/>
      <c r="E77" s="819"/>
    </row>
    <row r="78" spans="1:5" x14ac:dyDescent="0.35">
      <c r="A78" s="817"/>
      <c r="B78" s="818"/>
      <c r="C78" s="818"/>
      <c r="D78" s="818"/>
      <c r="E78" s="819"/>
    </row>
    <row r="79" spans="1:5" x14ac:dyDescent="0.35">
      <c r="A79" s="817"/>
      <c r="B79" s="818"/>
      <c r="C79" s="818"/>
      <c r="D79" s="818"/>
      <c r="E79" s="819"/>
    </row>
    <row r="80" spans="1:5" x14ac:dyDescent="0.35">
      <c r="A80" s="820"/>
      <c r="B80" s="821"/>
      <c r="C80" s="821"/>
      <c r="D80" s="821"/>
      <c r="E80" s="822"/>
    </row>
    <row r="81" spans="1:5" x14ac:dyDescent="0.35">
      <c r="A81" s="235" t="s">
        <v>367</v>
      </c>
      <c r="B81" s="219"/>
      <c r="C81" s="219"/>
      <c r="D81" s="219"/>
      <c r="E81" s="236"/>
    </row>
    <row r="82" spans="1:5" x14ac:dyDescent="0.35">
      <c r="A82" s="838" t="s">
        <v>368</v>
      </c>
      <c r="B82" s="839"/>
      <c r="C82" s="839"/>
      <c r="D82" s="839"/>
      <c r="E82" s="840"/>
    </row>
    <row r="83" spans="1:5" x14ac:dyDescent="0.35">
      <c r="A83" s="838"/>
      <c r="B83" s="839"/>
      <c r="C83" s="839"/>
      <c r="D83" s="839"/>
      <c r="E83" s="840"/>
    </row>
    <row r="84" spans="1:5" x14ac:dyDescent="0.35">
      <c r="A84" s="838"/>
      <c r="B84" s="839"/>
      <c r="C84" s="839"/>
      <c r="D84" s="839"/>
      <c r="E84" s="840"/>
    </row>
    <row r="85" spans="1:5" x14ac:dyDescent="0.35">
      <c r="A85" s="841" t="s">
        <v>818</v>
      </c>
      <c r="B85" s="842"/>
      <c r="C85" s="842"/>
      <c r="D85" s="842"/>
      <c r="E85" s="843"/>
    </row>
    <row r="86" spans="1:5" x14ac:dyDescent="0.35">
      <c r="A86" s="844"/>
      <c r="B86" s="842"/>
      <c r="C86" s="842"/>
      <c r="D86" s="842"/>
      <c r="E86" s="843"/>
    </row>
    <row r="87" spans="1:5" x14ac:dyDescent="0.35">
      <c r="A87" s="844"/>
      <c r="B87" s="842"/>
      <c r="C87" s="842"/>
      <c r="D87" s="842"/>
      <c r="E87" s="843"/>
    </row>
    <row r="88" spans="1:5" x14ac:dyDescent="0.35">
      <c r="A88" s="845"/>
      <c r="B88" s="846"/>
      <c r="C88" s="846"/>
      <c r="D88" s="846"/>
      <c r="E88" s="847"/>
    </row>
    <row r="89" spans="1:5" x14ac:dyDescent="0.35">
      <c r="A89" s="848" t="s">
        <v>369</v>
      </c>
      <c r="B89" s="849"/>
      <c r="C89" s="849"/>
      <c r="D89" s="849"/>
      <c r="E89" s="850"/>
    </row>
    <row r="90" spans="1:5" x14ac:dyDescent="0.35">
      <c r="A90" s="851"/>
      <c r="B90" s="852"/>
      <c r="C90" s="852"/>
      <c r="D90" s="852"/>
      <c r="E90" s="853"/>
    </row>
    <row r="91" spans="1:5" x14ac:dyDescent="0.35">
      <c r="A91" s="854" t="s">
        <v>370</v>
      </c>
      <c r="B91" s="855"/>
      <c r="C91" s="855"/>
      <c r="D91" s="855"/>
      <c r="E91" s="856"/>
    </row>
    <row r="92" spans="1:5" x14ac:dyDescent="0.35">
      <c r="A92" s="857"/>
      <c r="B92" s="858"/>
      <c r="C92" s="858"/>
      <c r="D92" s="858"/>
      <c r="E92" s="859"/>
    </row>
    <row r="93" spans="1:5" x14ac:dyDescent="0.35">
      <c r="A93" s="851" t="s">
        <v>371</v>
      </c>
      <c r="B93" s="852"/>
      <c r="C93" s="852"/>
      <c r="D93" s="852"/>
      <c r="E93" s="853"/>
    </row>
    <row r="94" spans="1:5" x14ac:dyDescent="0.35">
      <c r="A94" s="832" t="s">
        <v>817</v>
      </c>
      <c r="B94" s="833"/>
      <c r="C94" s="833"/>
      <c r="D94" s="833"/>
      <c r="E94" s="834"/>
    </row>
    <row r="95" spans="1:5" x14ac:dyDescent="0.35">
      <c r="A95" s="790"/>
      <c r="B95" s="791"/>
      <c r="C95" s="791"/>
      <c r="D95" s="791"/>
      <c r="E95" s="792"/>
    </row>
    <row r="96" spans="1:5" x14ac:dyDescent="0.35">
      <c r="A96" s="790"/>
      <c r="B96" s="791"/>
      <c r="C96" s="791"/>
      <c r="D96" s="791"/>
      <c r="E96" s="792"/>
    </row>
    <row r="97" spans="1:5" x14ac:dyDescent="0.35">
      <c r="A97" s="790"/>
      <c r="B97" s="791"/>
      <c r="C97" s="791"/>
      <c r="D97" s="791"/>
      <c r="E97" s="792"/>
    </row>
    <row r="98" spans="1:5" x14ac:dyDescent="0.35">
      <c r="A98" s="835"/>
      <c r="B98" s="836"/>
      <c r="C98" s="836"/>
      <c r="D98" s="836"/>
      <c r="E98" s="837"/>
    </row>
    <row r="99" spans="1:5" x14ac:dyDescent="0.35">
      <c r="A99" s="863" t="s">
        <v>746</v>
      </c>
      <c r="B99" s="864"/>
      <c r="C99" s="864"/>
      <c r="D99" s="864"/>
      <c r="E99" s="865"/>
    </row>
    <row r="100" spans="1:5" x14ac:dyDescent="0.35">
      <c r="A100" s="790" t="s">
        <v>740</v>
      </c>
      <c r="B100" s="791"/>
      <c r="C100" s="791"/>
      <c r="D100" s="791"/>
      <c r="E100" s="792"/>
    </row>
    <row r="101" spans="1:5" x14ac:dyDescent="0.35">
      <c r="A101" s="790"/>
      <c r="B101" s="791"/>
      <c r="C101" s="791"/>
      <c r="D101" s="791"/>
      <c r="E101" s="792"/>
    </row>
    <row r="102" spans="1:5" x14ac:dyDescent="0.35">
      <c r="A102" s="790"/>
      <c r="B102" s="791"/>
      <c r="C102" s="791"/>
      <c r="D102" s="791"/>
      <c r="E102" s="792"/>
    </row>
    <row r="103" spans="1:5" x14ac:dyDescent="0.35">
      <c r="A103" s="790" t="s">
        <v>747</v>
      </c>
      <c r="B103" s="791"/>
      <c r="C103" s="791"/>
      <c r="D103" s="791"/>
      <c r="E103" s="792"/>
    </row>
    <row r="104" spans="1:5" x14ac:dyDescent="0.35">
      <c r="A104" s="790"/>
      <c r="B104" s="791"/>
      <c r="C104" s="791"/>
      <c r="D104" s="791"/>
      <c r="E104" s="792"/>
    </row>
    <row r="105" spans="1:5" x14ac:dyDescent="0.35">
      <c r="A105" s="790"/>
      <c r="B105" s="791"/>
      <c r="C105" s="791"/>
      <c r="D105" s="791"/>
      <c r="E105" s="792"/>
    </row>
    <row r="106" spans="1:5" x14ac:dyDescent="0.35">
      <c r="A106" s="790" t="s">
        <v>741</v>
      </c>
      <c r="B106" s="791"/>
      <c r="C106" s="791"/>
      <c r="D106" s="791"/>
      <c r="E106" s="792"/>
    </row>
    <row r="107" spans="1:5" x14ac:dyDescent="0.35">
      <c r="A107" s="790"/>
      <c r="B107" s="791"/>
      <c r="C107" s="791"/>
      <c r="D107" s="791"/>
      <c r="E107" s="792"/>
    </row>
    <row r="108" spans="1:5" x14ac:dyDescent="0.35">
      <c r="A108" s="247" t="s">
        <v>372</v>
      </c>
      <c r="B108" s="248"/>
      <c r="C108" s="248"/>
      <c r="D108" s="248"/>
      <c r="E108" s="249"/>
    </row>
    <row r="109" spans="1:5" x14ac:dyDescent="0.35">
      <c r="A109" s="790" t="s">
        <v>742</v>
      </c>
      <c r="B109" s="791"/>
      <c r="C109" s="791"/>
      <c r="D109" s="791"/>
      <c r="E109" s="792"/>
    </row>
    <row r="110" spans="1:5" x14ac:dyDescent="0.35">
      <c r="A110" s="790"/>
      <c r="B110" s="791"/>
      <c r="C110" s="791"/>
      <c r="D110" s="791"/>
      <c r="E110" s="792"/>
    </row>
    <row r="111" spans="1:5" x14ac:dyDescent="0.35">
      <c r="A111" s="790"/>
      <c r="B111" s="791"/>
      <c r="C111" s="791"/>
      <c r="D111" s="791"/>
      <c r="E111" s="792"/>
    </row>
    <row r="112" spans="1:5" x14ac:dyDescent="0.35">
      <c r="A112" s="790" t="s">
        <v>373</v>
      </c>
      <c r="B112" s="791"/>
      <c r="C112" s="791"/>
      <c r="D112" s="791"/>
      <c r="E112" s="792"/>
    </row>
    <row r="113" spans="1:9" x14ac:dyDescent="0.35">
      <c r="A113" s="790"/>
      <c r="B113" s="791"/>
      <c r="C113" s="791"/>
      <c r="D113" s="791"/>
      <c r="E113" s="792"/>
    </row>
    <row r="114" spans="1:9" x14ac:dyDescent="0.35">
      <c r="A114" s="866" t="s">
        <v>735</v>
      </c>
      <c r="B114" s="867"/>
      <c r="C114" s="867"/>
      <c r="D114" s="867"/>
      <c r="E114" s="868"/>
    </row>
    <row r="115" spans="1:9" x14ac:dyDescent="0.35">
      <c r="A115" s="869"/>
      <c r="B115" s="870"/>
      <c r="C115" s="870"/>
      <c r="D115" s="870"/>
      <c r="E115" s="871"/>
      <c r="I115" t="e">
        <f>IF(Simulador!$F$19=180,#REF!,IF(Simulador!$F$19=240,#REF!,))</f>
        <v>#REF!</v>
      </c>
    </row>
    <row r="116" spans="1:9" x14ac:dyDescent="0.35">
      <c r="A116" s="872" t="s">
        <v>736</v>
      </c>
      <c r="B116" s="873"/>
      <c r="C116" s="873"/>
      <c r="D116" s="873"/>
      <c r="E116" s="874"/>
    </row>
    <row r="117" spans="1:9" x14ac:dyDescent="0.35">
      <c r="A117" s="872"/>
      <c r="B117" s="873"/>
      <c r="C117" s="873"/>
      <c r="D117" s="873"/>
      <c r="E117" s="874"/>
    </row>
    <row r="118" spans="1:9" x14ac:dyDescent="0.35">
      <c r="A118" s="872"/>
      <c r="B118" s="873"/>
      <c r="C118" s="873"/>
      <c r="D118" s="873"/>
      <c r="E118" s="874"/>
    </row>
    <row r="119" spans="1:9" x14ac:dyDescent="0.35">
      <c r="A119" s="237"/>
      <c r="B119" s="335"/>
      <c r="C119" s="335"/>
      <c r="D119" s="335"/>
      <c r="E119" s="336"/>
    </row>
    <row r="120" spans="1:9" x14ac:dyDescent="0.35">
      <c r="A120" s="334"/>
      <c r="B120" s="335"/>
      <c r="C120" s="335"/>
      <c r="D120" s="250" t="str">
        <f>D3</f>
        <v>monterrey</v>
      </c>
      <c r="E120" s="251">
        <f ca="1">E3</f>
        <v>46168</v>
      </c>
    </row>
    <row r="121" spans="1:9" x14ac:dyDescent="0.35">
      <c r="A121" s="334"/>
      <c r="B121" s="335"/>
      <c r="C121" s="335"/>
      <c r="D121" s="238"/>
      <c r="E121" s="239"/>
    </row>
    <row r="122" spans="1:9" x14ac:dyDescent="0.35">
      <c r="A122" s="860" t="s">
        <v>743</v>
      </c>
      <c r="B122" s="861"/>
      <c r="C122" s="861"/>
      <c r="D122" s="861"/>
      <c r="E122" s="862"/>
    </row>
    <row r="123" spans="1:9" x14ac:dyDescent="0.35">
      <c r="A123" s="340"/>
      <c r="B123" s="341"/>
      <c r="C123" s="341"/>
      <c r="D123" s="341"/>
      <c r="E123" s="342"/>
    </row>
    <row r="124" spans="1:9" x14ac:dyDescent="0.35">
      <c r="A124" s="334"/>
      <c r="B124" s="335"/>
      <c r="C124" s="335"/>
      <c r="D124" s="238"/>
      <c r="E124" s="239"/>
    </row>
    <row r="125" spans="1:9" x14ac:dyDescent="0.35">
      <c r="A125" s="334"/>
      <c r="B125" s="335"/>
      <c r="C125" s="335"/>
      <c r="D125" s="238"/>
      <c r="E125" s="239"/>
    </row>
    <row r="126" spans="1:9" x14ac:dyDescent="0.35">
      <c r="A126" s="878" t="s">
        <v>374</v>
      </c>
      <c r="B126" s="879"/>
      <c r="C126" s="335"/>
      <c r="D126" s="879" t="s">
        <v>374</v>
      </c>
      <c r="E126" s="880"/>
    </row>
    <row r="127" spans="1:9" x14ac:dyDescent="0.35">
      <c r="A127" s="881" t="s">
        <v>375</v>
      </c>
      <c r="B127" s="882"/>
      <c r="C127" s="335"/>
      <c r="D127" s="882" t="s">
        <v>375</v>
      </c>
      <c r="E127" s="883"/>
    </row>
    <row r="128" spans="1:9" x14ac:dyDescent="0.35">
      <c r="A128" s="334"/>
      <c r="B128" s="335"/>
      <c r="C128" s="335"/>
      <c r="D128" s="240"/>
      <c r="E128" s="241"/>
    </row>
    <row r="129" spans="1:5" x14ac:dyDescent="0.35">
      <c r="A129" s="860" t="s">
        <v>376</v>
      </c>
      <c r="B129" s="861"/>
      <c r="C129" s="861"/>
      <c r="D129" s="861"/>
      <c r="E129" s="862"/>
    </row>
    <row r="130" spans="1:5" x14ac:dyDescent="0.35">
      <c r="A130" s="884"/>
      <c r="B130" s="885"/>
      <c r="C130" s="885"/>
      <c r="D130" s="885"/>
      <c r="E130" s="886"/>
    </row>
    <row r="131" spans="1:5" x14ac:dyDescent="0.35">
      <c r="A131" s="884"/>
      <c r="B131" s="885"/>
      <c r="C131" s="885"/>
      <c r="D131" s="885"/>
      <c r="E131" s="886"/>
    </row>
    <row r="132" spans="1:5" x14ac:dyDescent="0.35">
      <c r="A132" s="334"/>
      <c r="B132" s="335"/>
      <c r="C132" s="335"/>
      <c r="D132" s="335"/>
      <c r="E132" s="336"/>
    </row>
    <row r="133" spans="1:5" x14ac:dyDescent="0.35">
      <c r="A133" s="887" t="s">
        <v>392</v>
      </c>
      <c r="B133" s="888"/>
      <c r="C133" s="888"/>
      <c r="D133" s="888"/>
      <c r="E133" s="889"/>
    </row>
    <row r="134" spans="1:5" x14ac:dyDescent="0.35">
      <c r="A134" s="860" t="s">
        <v>377</v>
      </c>
      <c r="B134" s="861"/>
      <c r="C134" s="861"/>
      <c r="D134" s="861"/>
      <c r="E134" s="862"/>
    </row>
    <row r="135" spans="1:5" x14ac:dyDescent="0.35">
      <c r="A135" s="340"/>
      <c r="B135" s="341"/>
      <c r="C135" s="341"/>
      <c r="D135" s="341"/>
      <c r="E135" s="242"/>
    </row>
    <row r="136" spans="1:5" x14ac:dyDescent="0.35">
      <c r="A136" s="890" t="s">
        <v>372</v>
      </c>
      <c r="B136" s="891"/>
      <c r="C136" s="891"/>
      <c r="D136" s="891"/>
      <c r="E136" s="892"/>
    </row>
    <row r="137" spans="1:5" x14ac:dyDescent="0.35">
      <c r="A137" s="344"/>
      <c r="B137" s="345"/>
      <c r="C137" s="345"/>
      <c r="D137" s="345"/>
      <c r="E137" s="343"/>
    </row>
    <row r="138" spans="1:5" x14ac:dyDescent="0.35">
      <c r="A138" s="875" t="s">
        <v>750</v>
      </c>
      <c r="B138" s="876"/>
      <c r="C138" s="876"/>
      <c r="D138" s="876"/>
      <c r="E138" s="877"/>
    </row>
    <row r="139" spans="1:5" x14ac:dyDescent="0.35">
      <c r="A139" s="875"/>
      <c r="B139" s="876"/>
      <c r="C139" s="876"/>
      <c r="D139" s="876"/>
      <c r="E139" s="877"/>
    </row>
    <row r="140" spans="1:5" x14ac:dyDescent="0.35">
      <c r="A140" s="875"/>
      <c r="B140" s="876"/>
      <c r="C140" s="876"/>
      <c r="D140" s="876"/>
      <c r="E140" s="877"/>
    </row>
    <row r="141" spans="1:5" x14ac:dyDescent="0.35">
      <c r="A141" s="875" t="s">
        <v>744</v>
      </c>
      <c r="B141" s="876"/>
      <c r="C141" s="876"/>
      <c r="D141" s="876"/>
      <c r="E141" s="877"/>
    </row>
    <row r="142" spans="1:5" x14ac:dyDescent="0.35">
      <c r="A142" s="875"/>
      <c r="B142" s="876"/>
      <c r="C142" s="876"/>
      <c r="D142" s="876"/>
      <c r="E142" s="877"/>
    </row>
    <row r="143" spans="1:5" x14ac:dyDescent="0.35">
      <c r="A143" s="875" t="s">
        <v>378</v>
      </c>
      <c r="B143" s="876"/>
      <c r="C143" s="876"/>
      <c r="D143" s="876"/>
      <c r="E143" s="877"/>
    </row>
    <row r="144" spans="1:5" x14ac:dyDescent="0.35">
      <c r="A144" s="875"/>
      <c r="B144" s="876"/>
      <c r="C144" s="876"/>
      <c r="D144" s="876"/>
      <c r="E144" s="877"/>
    </row>
    <row r="145" spans="1:5" x14ac:dyDescent="0.35">
      <c r="A145" s="875"/>
      <c r="B145" s="876"/>
      <c r="C145" s="876"/>
      <c r="D145" s="876"/>
      <c r="E145" s="877"/>
    </row>
    <row r="146" spans="1:5" x14ac:dyDescent="0.35">
      <c r="A146" s="875" t="s">
        <v>379</v>
      </c>
      <c r="B146" s="876"/>
      <c r="C146" s="876"/>
      <c r="D146" s="876"/>
      <c r="E146" s="877"/>
    </row>
    <row r="147" spans="1:5" x14ac:dyDescent="0.35">
      <c r="A147" s="875"/>
      <c r="B147" s="876"/>
      <c r="C147" s="876"/>
      <c r="D147" s="876"/>
      <c r="E147" s="877"/>
    </row>
    <row r="148" spans="1:5" x14ac:dyDescent="0.35">
      <c r="A148" s="875"/>
      <c r="B148" s="876"/>
      <c r="C148" s="876"/>
      <c r="D148" s="876"/>
      <c r="E148" s="877"/>
    </row>
    <row r="149" spans="1:5" x14ac:dyDescent="0.35">
      <c r="A149" s="875" t="s">
        <v>748</v>
      </c>
      <c r="B149" s="876"/>
      <c r="C149" s="876"/>
      <c r="D149" s="876"/>
      <c r="E149" s="877"/>
    </row>
    <row r="150" spans="1:5" x14ac:dyDescent="0.35">
      <c r="A150" s="875"/>
      <c r="B150" s="876"/>
      <c r="C150" s="876"/>
      <c r="D150" s="876"/>
      <c r="E150" s="877"/>
    </row>
    <row r="151" spans="1:5" x14ac:dyDescent="0.35">
      <c r="A151" s="875"/>
      <c r="B151" s="876"/>
      <c r="C151" s="876"/>
      <c r="D151" s="876"/>
      <c r="E151" s="877"/>
    </row>
    <row r="152" spans="1:5" x14ac:dyDescent="0.35">
      <c r="A152" s="875" t="s">
        <v>749</v>
      </c>
      <c r="B152" s="876"/>
      <c r="C152" s="876"/>
      <c r="D152" s="876"/>
      <c r="E152" s="877"/>
    </row>
    <row r="153" spans="1:5" x14ac:dyDescent="0.35">
      <c r="A153" s="875"/>
      <c r="B153" s="876"/>
      <c r="C153" s="876"/>
      <c r="D153" s="876"/>
      <c r="E153" s="877"/>
    </row>
    <row r="154" spans="1:5" x14ac:dyDescent="0.35">
      <c r="A154" s="875"/>
      <c r="B154" s="876"/>
      <c r="C154" s="876"/>
      <c r="D154" s="876"/>
      <c r="E154" s="877"/>
    </row>
    <row r="155" spans="1:5" x14ac:dyDescent="0.35">
      <c r="A155" s="875" t="s">
        <v>745</v>
      </c>
      <c r="B155" s="876"/>
      <c r="C155" s="876"/>
      <c r="D155" s="876"/>
      <c r="E155" s="877"/>
    </row>
    <row r="156" spans="1:5" x14ac:dyDescent="0.35">
      <c r="A156" s="875"/>
      <c r="B156" s="876"/>
      <c r="C156" s="876"/>
      <c r="D156" s="876"/>
      <c r="E156" s="877"/>
    </row>
    <row r="157" spans="1:5" x14ac:dyDescent="0.35">
      <c r="A157" s="875"/>
      <c r="B157" s="876"/>
      <c r="C157" s="876"/>
      <c r="D157" s="876"/>
      <c r="E157" s="877"/>
    </row>
    <row r="158" spans="1:5" x14ac:dyDescent="0.35">
      <c r="A158" s="237"/>
      <c r="B158" s="227"/>
      <c r="C158" s="227"/>
      <c r="D158" s="227"/>
      <c r="E158" s="228"/>
    </row>
    <row r="159" spans="1:5" x14ac:dyDescent="0.35">
      <c r="A159" s="237"/>
      <c r="B159" s="227"/>
      <c r="C159" s="227"/>
      <c r="D159" s="253" t="str">
        <f>D120</f>
        <v>monterrey</v>
      </c>
      <c r="E159" s="252">
        <f ca="1">E120</f>
        <v>46168</v>
      </c>
    </row>
    <row r="160" spans="1:5" x14ac:dyDescent="0.35">
      <c r="A160" s="237"/>
      <c r="B160" s="227"/>
      <c r="C160" s="227"/>
      <c r="D160" s="227"/>
      <c r="E160" s="228"/>
    </row>
    <row r="161" spans="1:5" x14ac:dyDescent="0.35">
      <c r="A161" s="899" t="s">
        <v>380</v>
      </c>
      <c r="B161" s="900"/>
      <c r="C161" s="900"/>
      <c r="D161" s="900"/>
      <c r="E161" s="901"/>
    </row>
    <row r="162" spans="1:5" x14ac:dyDescent="0.35">
      <c r="A162" s="237"/>
      <c r="B162" s="227"/>
      <c r="C162" s="227"/>
      <c r="D162" s="227"/>
      <c r="E162" s="228"/>
    </row>
    <row r="163" spans="1:5" x14ac:dyDescent="0.35">
      <c r="A163" s="237"/>
      <c r="B163" s="227"/>
      <c r="C163" s="227"/>
      <c r="D163" s="227"/>
      <c r="E163" s="228"/>
    </row>
    <row r="164" spans="1:5" x14ac:dyDescent="0.35">
      <c r="A164" s="237"/>
      <c r="B164" s="227"/>
      <c r="C164" s="227"/>
      <c r="D164" s="227"/>
      <c r="E164" s="228"/>
    </row>
    <row r="165" spans="1:5" x14ac:dyDescent="0.35">
      <c r="A165" s="893" t="s">
        <v>392</v>
      </c>
      <c r="B165" s="894"/>
      <c r="C165" s="894"/>
      <c r="D165" s="894"/>
      <c r="E165" s="895"/>
    </row>
    <row r="166" spans="1:5" ht="15" thickBot="1" x14ac:dyDescent="0.4">
      <c r="A166" s="896" t="s">
        <v>377</v>
      </c>
      <c r="B166" s="897"/>
      <c r="C166" s="897"/>
      <c r="D166" s="897"/>
      <c r="E166" s="898"/>
    </row>
    <row r="167" spans="1:5" x14ac:dyDescent="0.35"/>
    <row r="168" spans="1:5" x14ac:dyDescent="0.35"/>
    <row r="169" spans="1:5" x14ac:dyDescent="0.35"/>
    <row r="176" spans="1:5" x14ac:dyDescent="0.35"/>
    <row r="177" x14ac:dyDescent="0.35"/>
    <row r="178" x14ac:dyDescent="0.35"/>
    <row r="179" x14ac:dyDescent="0.35"/>
    <row r="180" x14ac:dyDescent="0.35"/>
    <row r="181" x14ac:dyDescent="0.35"/>
    <row r="182" x14ac:dyDescent="0.35"/>
  </sheetData>
  <sheetProtection algorithmName="SHA-512" hashValue="iD10ZUN+RawB3N/zNY6er0e71Tq3oThS5r6k/dYVsBmkPHhywes09AseRSQAaPxNe3bO/7wN3hGBVD56q8tO6g==" saltValue="DO+cHDaWxIYBElu6d/nahg==" spinCount="100000" sheet="1" objects="1" scenarios="1"/>
  <mergeCells count="87">
    <mergeCell ref="A165:E165"/>
    <mergeCell ref="A166:E166"/>
    <mergeCell ref="A146:E148"/>
    <mergeCell ref="A149:E151"/>
    <mergeCell ref="A152:E154"/>
    <mergeCell ref="A155:E157"/>
    <mergeCell ref="A161:E161"/>
    <mergeCell ref="A143:E145"/>
    <mergeCell ref="A126:B126"/>
    <mergeCell ref="D126:E126"/>
    <mergeCell ref="A127:B127"/>
    <mergeCell ref="D127:E127"/>
    <mergeCell ref="A129:E129"/>
    <mergeCell ref="A130:E131"/>
    <mergeCell ref="A133:E133"/>
    <mergeCell ref="A134:E134"/>
    <mergeCell ref="A136:E136"/>
    <mergeCell ref="A138:E140"/>
    <mergeCell ref="A141:E142"/>
    <mergeCell ref="A122:E122"/>
    <mergeCell ref="A99:E99"/>
    <mergeCell ref="A100:E102"/>
    <mergeCell ref="A103:E105"/>
    <mergeCell ref="A106:E107"/>
    <mergeCell ref="A109:E111"/>
    <mergeCell ref="A112:E113"/>
    <mergeCell ref="A114:E115"/>
    <mergeCell ref="A116:E118"/>
    <mergeCell ref="A94:E98"/>
    <mergeCell ref="A82:E84"/>
    <mergeCell ref="A85:E88"/>
    <mergeCell ref="A89:E90"/>
    <mergeCell ref="A91:E92"/>
    <mergeCell ref="A93:E93"/>
    <mergeCell ref="A60:E80"/>
    <mergeCell ref="A58:E58"/>
    <mergeCell ref="A57:E57"/>
    <mergeCell ref="D42:E42"/>
    <mergeCell ref="D43:E43"/>
    <mergeCell ref="D45:E45"/>
    <mergeCell ref="A46:A47"/>
    <mergeCell ref="B46:B47"/>
    <mergeCell ref="D47:D52"/>
    <mergeCell ref="A48:A49"/>
    <mergeCell ref="B48:B49"/>
    <mergeCell ref="A50:A51"/>
    <mergeCell ref="B50:B51"/>
    <mergeCell ref="A53:E53"/>
    <mergeCell ref="A54:E54"/>
    <mergeCell ref="A55:E55"/>
    <mergeCell ref="A56:E56"/>
    <mergeCell ref="A40:A41"/>
    <mergeCell ref="B40:B41"/>
    <mergeCell ref="D41:E41"/>
    <mergeCell ref="A31:B31"/>
    <mergeCell ref="D31:E31"/>
    <mergeCell ref="D32:E32"/>
    <mergeCell ref="D33:E33"/>
    <mergeCell ref="D34:E34"/>
    <mergeCell ref="D35:E35"/>
    <mergeCell ref="D36:E36"/>
    <mergeCell ref="D37:E37"/>
    <mergeCell ref="D38:E38"/>
    <mergeCell ref="D39:D40"/>
    <mergeCell ref="E39:E40"/>
    <mergeCell ref="A24:B24"/>
    <mergeCell ref="D24:E24"/>
    <mergeCell ref="A2:E2"/>
    <mergeCell ref="A3:B3"/>
    <mergeCell ref="A5:E5"/>
    <mergeCell ref="A6:C6"/>
    <mergeCell ref="B7:E7"/>
    <mergeCell ref="A8:E12"/>
    <mergeCell ref="A13:E14"/>
    <mergeCell ref="A15:B15"/>
    <mergeCell ref="D15:E15"/>
    <mergeCell ref="D16:D22"/>
    <mergeCell ref="E16:E22"/>
    <mergeCell ref="K36:L36"/>
    <mergeCell ref="K37:L37"/>
    <mergeCell ref="I46:I51"/>
    <mergeCell ref="E48:E52"/>
    <mergeCell ref="K31:L31"/>
    <mergeCell ref="K32:L32"/>
    <mergeCell ref="K33:L33"/>
    <mergeCell ref="K34:L34"/>
    <mergeCell ref="K35:L35"/>
  </mergeCells>
  <conditionalFormatting sqref="B40:B41">
    <cfRule type="expression" dxfId="32" priority="2">
      <formula>OR(ixProducto=C_,Destino=Liquidez,Destino=Terreno)</formula>
    </cfRule>
  </conditionalFormatting>
  <conditionalFormatting sqref="D41:E43">
    <cfRule type="expression" dxfId="31" priority="1">
      <formula>Destino=Construcción</formula>
    </cfRule>
  </conditionalFormatting>
  <pageMargins left="0.7" right="0.7" top="0.75" bottom="0.75" header="0.3" footer="0.3"/>
  <pageSetup scale="81"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516A9-AB26-459E-A289-5BF4E01D6A34}">
  <dimension ref="A1:C24"/>
  <sheetViews>
    <sheetView workbookViewId="0">
      <selection activeCell="A2" sqref="A2"/>
    </sheetView>
  </sheetViews>
  <sheetFormatPr baseColWidth="10" defaultRowHeight="14.5" x14ac:dyDescent="0.35"/>
  <cols>
    <col min="1" max="1" width="49.6328125" customWidth="1"/>
    <col min="2" max="2" width="27.08984375" customWidth="1"/>
    <col min="3" max="3" width="133.453125" customWidth="1"/>
  </cols>
  <sheetData>
    <row r="1" spans="1:3" ht="15" thickBot="1" x14ac:dyDescent="0.4">
      <c r="A1" s="160" t="str">
        <f>Simulador!F11&amp;Simulador!N7</f>
        <v>Hipoteca Fuerte CeroTradicional</v>
      </c>
      <c r="B1" s="718" t="s">
        <v>751</v>
      </c>
      <c r="C1" s="719" t="s">
        <v>752</v>
      </c>
    </row>
    <row r="2" spans="1:3" ht="242" thickBot="1" x14ac:dyDescent="0.4">
      <c r="A2" s="156" t="s">
        <v>796</v>
      </c>
      <c r="B2" s="720" t="s">
        <v>753</v>
      </c>
      <c r="C2" s="721" t="s">
        <v>754</v>
      </c>
    </row>
    <row r="3" spans="1:3" ht="273.5" thickBot="1" x14ac:dyDescent="0.4">
      <c r="A3" s="160" t="s">
        <v>806</v>
      </c>
      <c r="B3" s="722" t="s">
        <v>755</v>
      </c>
      <c r="C3" s="721" t="s">
        <v>756</v>
      </c>
    </row>
    <row r="4" spans="1:3" ht="200" thickBot="1" x14ac:dyDescent="0.4">
      <c r="A4" s="160" t="s">
        <v>797</v>
      </c>
      <c r="B4" s="720" t="s">
        <v>757</v>
      </c>
      <c r="C4" s="721" t="s">
        <v>758</v>
      </c>
    </row>
    <row r="5" spans="1:3" ht="200" thickBot="1" x14ac:dyDescent="0.4">
      <c r="A5" s="160" t="s">
        <v>798</v>
      </c>
      <c r="B5" s="720" t="s">
        <v>759</v>
      </c>
      <c r="C5" s="721" t="s">
        <v>760</v>
      </c>
    </row>
    <row r="6" spans="1:3" ht="189.5" thickBot="1" x14ac:dyDescent="0.4">
      <c r="A6" s="160" t="s">
        <v>799</v>
      </c>
      <c r="B6" s="720" t="s">
        <v>761</v>
      </c>
      <c r="C6" s="721" t="s">
        <v>762</v>
      </c>
    </row>
    <row r="7" spans="1:3" ht="210.5" thickBot="1" x14ac:dyDescent="0.4">
      <c r="A7" s="160" t="s">
        <v>800</v>
      </c>
      <c r="B7" s="720" t="s">
        <v>763</v>
      </c>
      <c r="C7" s="721" t="s">
        <v>764</v>
      </c>
    </row>
    <row r="8" spans="1:3" ht="210.5" thickBot="1" x14ac:dyDescent="0.4">
      <c r="A8" s="160" t="s">
        <v>801</v>
      </c>
      <c r="B8" s="720" t="s">
        <v>765</v>
      </c>
      <c r="C8" s="721" t="s">
        <v>766</v>
      </c>
    </row>
    <row r="9" spans="1:3" ht="210.5" thickBot="1" x14ac:dyDescent="0.4">
      <c r="A9" s="160" t="s">
        <v>802</v>
      </c>
      <c r="B9" s="720" t="s">
        <v>767</v>
      </c>
      <c r="C9" s="721" t="s">
        <v>768</v>
      </c>
    </row>
    <row r="10" spans="1:3" ht="210.5" thickBot="1" x14ac:dyDescent="0.4">
      <c r="A10" s="160" t="s">
        <v>803</v>
      </c>
      <c r="B10" s="720" t="s">
        <v>769</v>
      </c>
      <c r="C10" s="721" t="s">
        <v>770</v>
      </c>
    </row>
    <row r="11" spans="1:3" ht="231.5" thickBot="1" x14ac:dyDescent="0.4">
      <c r="A11" s="160" t="s">
        <v>805</v>
      </c>
      <c r="B11" s="720" t="s">
        <v>771</v>
      </c>
      <c r="C11" s="721" t="s">
        <v>772</v>
      </c>
    </row>
    <row r="12" spans="1:3" ht="200" thickBot="1" x14ac:dyDescent="0.4">
      <c r="A12" s="160" t="s">
        <v>804</v>
      </c>
      <c r="B12" s="720" t="s">
        <v>773</v>
      </c>
      <c r="C12" s="721" t="s">
        <v>774</v>
      </c>
    </row>
    <row r="13" spans="1:3" ht="210.5" thickBot="1" x14ac:dyDescent="0.4">
      <c r="A13" s="160" t="s">
        <v>807</v>
      </c>
      <c r="B13" s="720" t="s">
        <v>775</v>
      </c>
      <c r="C13" s="721" t="s">
        <v>770</v>
      </c>
    </row>
    <row r="14" spans="1:3" ht="231.5" thickBot="1" x14ac:dyDescent="0.4">
      <c r="A14" s="160" t="s">
        <v>808</v>
      </c>
      <c r="B14" s="720" t="s">
        <v>776</v>
      </c>
      <c r="C14" s="721" t="s">
        <v>777</v>
      </c>
    </row>
    <row r="15" spans="1:3" ht="200" thickBot="1" x14ac:dyDescent="0.4">
      <c r="A15" s="160" t="s">
        <v>809</v>
      </c>
      <c r="B15" s="720" t="s">
        <v>778</v>
      </c>
      <c r="C15" s="721" t="s">
        <v>779</v>
      </c>
    </row>
    <row r="16" spans="1:3" ht="200" thickBot="1" x14ac:dyDescent="0.4">
      <c r="A16" s="160" t="s">
        <v>810</v>
      </c>
      <c r="B16" s="720" t="s">
        <v>780</v>
      </c>
      <c r="C16" s="721" t="s">
        <v>781</v>
      </c>
    </row>
    <row r="17" spans="1:3" ht="200" thickBot="1" x14ac:dyDescent="0.4">
      <c r="A17" s="160" t="s">
        <v>811</v>
      </c>
      <c r="B17" s="720" t="s">
        <v>782</v>
      </c>
      <c r="C17" s="721" t="s">
        <v>783</v>
      </c>
    </row>
    <row r="18" spans="1:3" ht="210.5" thickBot="1" x14ac:dyDescent="0.4">
      <c r="A18" s="160" t="s">
        <v>812</v>
      </c>
      <c r="B18" s="720" t="s">
        <v>784</v>
      </c>
      <c r="C18" s="721" t="s">
        <v>785</v>
      </c>
    </row>
    <row r="19" spans="1:3" ht="200" thickBot="1" x14ac:dyDescent="0.4">
      <c r="A19" s="160" t="s">
        <v>813</v>
      </c>
      <c r="B19" s="720" t="s">
        <v>786</v>
      </c>
      <c r="C19" s="721" t="s">
        <v>758</v>
      </c>
    </row>
    <row r="20" spans="1:3" ht="200" thickBot="1" x14ac:dyDescent="0.4">
      <c r="A20" s="160" t="s">
        <v>814</v>
      </c>
      <c r="B20" s="720" t="s">
        <v>787</v>
      </c>
      <c r="C20" s="721" t="s">
        <v>758</v>
      </c>
    </row>
    <row r="21" spans="1:3" ht="200" thickBot="1" x14ac:dyDescent="0.4">
      <c r="A21" s="160" t="s">
        <v>815</v>
      </c>
      <c r="B21" s="720" t="s">
        <v>788</v>
      </c>
      <c r="C21" s="721" t="s">
        <v>789</v>
      </c>
    </row>
    <row r="22" spans="1:3" ht="200" thickBot="1" x14ac:dyDescent="0.4">
      <c r="A22" s="160" t="s">
        <v>804</v>
      </c>
      <c r="B22" s="720" t="s">
        <v>790</v>
      </c>
      <c r="C22" s="721" t="s">
        <v>791</v>
      </c>
    </row>
    <row r="23" spans="1:3" ht="242" thickBot="1" x14ac:dyDescent="0.4">
      <c r="A23" s="160" t="s">
        <v>805</v>
      </c>
      <c r="B23" s="720" t="s">
        <v>792</v>
      </c>
      <c r="C23" s="721" t="s">
        <v>793</v>
      </c>
    </row>
    <row r="24" spans="1:3" ht="210.5" thickBot="1" x14ac:dyDescent="0.4">
      <c r="A24" s="160" t="s">
        <v>816</v>
      </c>
      <c r="B24" s="720" t="s">
        <v>794</v>
      </c>
      <c r="C24" s="721" t="s">
        <v>795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2A417-9024-4CA9-B5E2-E9131CDEB386}">
  <sheetPr codeName="Hoja13">
    <tabColor rgb="FF92D050"/>
  </sheetPr>
  <dimension ref="A1:M397"/>
  <sheetViews>
    <sheetView topLeftCell="C1" zoomScaleNormal="100" workbookViewId="0">
      <pane xSplit="5" topLeftCell="H1" activePane="topRight" state="frozen"/>
      <selection activeCell="D3" sqref="D3"/>
      <selection pane="topRight" activeCell="D3" sqref="D3"/>
    </sheetView>
  </sheetViews>
  <sheetFormatPr baseColWidth="10" defaultColWidth="11.453125" defaultRowHeight="10" x14ac:dyDescent="0.2"/>
  <cols>
    <col min="1" max="1" width="9.453125" style="1" customWidth="1"/>
    <col min="2" max="2" width="11.453125" style="1"/>
    <col min="3" max="3" width="13.1796875" style="1" bestFit="1" customWidth="1"/>
    <col min="4" max="4" width="14.54296875" style="1" bestFit="1" customWidth="1"/>
    <col min="5" max="5" width="13.1796875" style="1" bestFit="1" customWidth="1"/>
    <col min="6" max="6" width="26.453125" style="5" customWidth="1"/>
    <col min="7" max="7" width="16.1796875" style="5" customWidth="1"/>
    <col min="8" max="8" width="14.26953125" style="1" customWidth="1"/>
    <col min="9" max="9" width="32.7265625" style="24" customWidth="1"/>
    <col min="10" max="10" width="35.54296875" style="24" bestFit="1" customWidth="1"/>
    <col min="11" max="11" width="11.453125" style="1"/>
    <col min="12" max="12" width="36.7265625" style="24" customWidth="1"/>
    <col min="13" max="13" width="35.54296875" style="24" customWidth="1"/>
    <col min="14" max="16384" width="11.453125" style="1"/>
  </cols>
  <sheetData>
    <row r="1" spans="3:11" ht="10.5" thickBot="1" x14ac:dyDescent="0.25"/>
    <row r="2" spans="3:11" ht="10.5" x14ac:dyDescent="0.25">
      <c r="C2" s="668" t="str">
        <f>Simulador!$F$21</f>
        <v>Ciudad de México</v>
      </c>
      <c r="D2" s="669" t="str">
        <f>Simulador!$F$9</f>
        <v>Adquisición</v>
      </c>
      <c r="E2" s="670" t="str">
        <f>VLOOKUP($D$2,$J$2:$K$11,2,0)</f>
        <v>CASOS DE COMPRAVENTA MÁS CRÉDITO</v>
      </c>
      <c r="F2" s="671"/>
      <c r="G2" s="671"/>
      <c r="H2" s="672"/>
      <c r="J2" s="687" t="s">
        <v>104</v>
      </c>
      <c r="K2" s="664" t="s">
        <v>708</v>
      </c>
    </row>
    <row r="3" spans="3:11" x14ac:dyDescent="0.2">
      <c r="C3" s="673"/>
      <c r="H3" s="674"/>
      <c r="J3" s="24" t="s">
        <v>15</v>
      </c>
      <c r="K3" s="24" t="s">
        <v>624</v>
      </c>
    </row>
    <row r="4" spans="3:11" ht="10.5" x14ac:dyDescent="0.25">
      <c r="C4" s="673"/>
      <c r="D4" s="693" t="s">
        <v>625</v>
      </c>
      <c r="E4" s="693" t="s">
        <v>626</v>
      </c>
      <c r="F4" s="24" t="s">
        <v>624</v>
      </c>
      <c r="G4" s="24" t="s">
        <v>627</v>
      </c>
      <c r="H4" s="694" t="s">
        <v>710</v>
      </c>
      <c r="J4" s="24" t="s">
        <v>11</v>
      </c>
      <c r="K4" s="24" t="s">
        <v>628</v>
      </c>
    </row>
    <row r="5" spans="3:11" x14ac:dyDescent="0.2">
      <c r="C5" s="675" t="s">
        <v>629</v>
      </c>
      <c r="D5" s="681">
        <f t="shared" ref="D5:D12" si="0">VLOOKUP($C$2&amp;$C5,$A:$G,4,0)</f>
        <v>0</v>
      </c>
      <c r="E5" s="681">
        <f t="shared" ref="E5:E12" si="1">VLOOKUP($C$2&amp;$C5,$A:$G,5,0)</f>
        <v>75000</v>
      </c>
      <c r="F5" s="666">
        <f t="shared" ref="F5:F12" si="2">VLOOKUP($C$2&amp;$C5,$A:$G,6,0)</f>
        <v>7.0000000000000007E-2</v>
      </c>
      <c r="G5" s="666">
        <f t="shared" ref="G5:G12" si="3">VLOOKUP($C$2&amp;$C5,$A:$G,7,0)</f>
        <v>0.05</v>
      </c>
      <c r="H5" s="676">
        <f t="shared" ref="H5:H12" si="4">IF($E$2=$F$4,F5,IF($E$2=$G$4,G5,0))</f>
        <v>7.0000000000000007E-2</v>
      </c>
      <c r="J5" s="24" t="s">
        <v>440</v>
      </c>
      <c r="K5" s="24" t="s">
        <v>628</v>
      </c>
    </row>
    <row r="6" spans="3:11" x14ac:dyDescent="0.2">
      <c r="C6" s="675" t="s">
        <v>630</v>
      </c>
      <c r="D6" s="681">
        <f t="shared" si="0"/>
        <v>75000.009999999995</v>
      </c>
      <c r="E6" s="681">
        <f t="shared" si="1"/>
        <v>150000</v>
      </c>
      <c r="F6" s="666">
        <f t="shared" si="2"/>
        <v>7.0000000000000007E-2</v>
      </c>
      <c r="G6" s="666">
        <f t="shared" si="3"/>
        <v>0.05</v>
      </c>
      <c r="H6" s="676">
        <f t="shared" si="4"/>
        <v>7.0000000000000007E-2</v>
      </c>
      <c r="J6" s="24" t="s">
        <v>13</v>
      </c>
      <c r="K6" s="24" t="s">
        <v>627</v>
      </c>
    </row>
    <row r="7" spans="3:11" x14ac:dyDescent="0.2">
      <c r="C7" s="675" t="s">
        <v>631</v>
      </c>
      <c r="D7" s="681">
        <f t="shared" si="0"/>
        <v>150000.01</v>
      </c>
      <c r="E7" s="681">
        <f t="shared" si="1"/>
        <v>300000</v>
      </c>
      <c r="F7" s="666">
        <f t="shared" si="2"/>
        <v>7.0000000000000007E-2</v>
      </c>
      <c r="G7" s="666">
        <f t="shared" si="3"/>
        <v>0.05</v>
      </c>
      <c r="H7" s="676">
        <f t="shared" si="4"/>
        <v>7.0000000000000007E-2</v>
      </c>
      <c r="J7" s="24" t="s">
        <v>12</v>
      </c>
      <c r="K7" s="24" t="s">
        <v>627</v>
      </c>
    </row>
    <row r="8" spans="3:11" x14ac:dyDescent="0.2">
      <c r="C8" s="675" t="s">
        <v>632</v>
      </c>
      <c r="D8" s="681">
        <f t="shared" si="0"/>
        <v>300000.01</v>
      </c>
      <c r="E8" s="681">
        <f t="shared" si="1"/>
        <v>600000</v>
      </c>
      <c r="F8" s="666">
        <f t="shared" si="2"/>
        <v>7.0000000000000007E-2</v>
      </c>
      <c r="G8" s="666">
        <f t="shared" si="3"/>
        <v>0.05</v>
      </c>
      <c r="H8" s="676">
        <f t="shared" si="4"/>
        <v>7.0000000000000007E-2</v>
      </c>
      <c r="J8" s="24" t="s">
        <v>705</v>
      </c>
      <c r="K8" s="24" t="s">
        <v>624</v>
      </c>
    </row>
    <row r="9" spans="3:11" x14ac:dyDescent="0.2">
      <c r="C9" s="675" t="s">
        <v>633</v>
      </c>
      <c r="D9" s="681">
        <f t="shared" si="0"/>
        <v>600000.01</v>
      </c>
      <c r="E9" s="681">
        <f t="shared" si="1"/>
        <v>1200000</v>
      </c>
      <c r="F9" s="666">
        <f t="shared" si="2"/>
        <v>7.0000000000000007E-2</v>
      </c>
      <c r="G9" s="666">
        <f t="shared" si="3"/>
        <v>0.04</v>
      </c>
      <c r="H9" s="676">
        <f t="shared" si="4"/>
        <v>7.0000000000000007E-2</v>
      </c>
      <c r="J9" s="24" t="s">
        <v>706</v>
      </c>
      <c r="K9" s="24" t="s">
        <v>624</v>
      </c>
    </row>
    <row r="10" spans="3:11" x14ac:dyDescent="0.2">
      <c r="C10" s="675" t="s">
        <v>634</v>
      </c>
      <c r="D10" s="681">
        <f t="shared" si="0"/>
        <v>1200000.01</v>
      </c>
      <c r="E10" s="681">
        <f t="shared" si="1"/>
        <v>2400000</v>
      </c>
      <c r="F10" s="666">
        <f t="shared" si="2"/>
        <v>5.5E-2</v>
      </c>
      <c r="G10" s="666">
        <f t="shared" si="3"/>
        <v>0.04</v>
      </c>
      <c r="H10" s="676">
        <f t="shared" si="4"/>
        <v>5.5E-2</v>
      </c>
      <c r="J10" s="24" t="s">
        <v>14</v>
      </c>
      <c r="K10" s="24" t="s">
        <v>627</v>
      </c>
    </row>
    <row r="11" spans="3:11" x14ac:dyDescent="0.2">
      <c r="C11" s="675" t="s">
        <v>635</v>
      </c>
      <c r="D11" s="681">
        <f t="shared" si="0"/>
        <v>2400000.0099999998</v>
      </c>
      <c r="E11" s="681">
        <f t="shared" si="1"/>
        <v>4800000</v>
      </c>
      <c r="F11" s="666">
        <f t="shared" si="2"/>
        <v>0.05</v>
      </c>
      <c r="G11" s="666">
        <f t="shared" si="3"/>
        <v>0.02</v>
      </c>
      <c r="H11" s="676">
        <f t="shared" si="4"/>
        <v>0.05</v>
      </c>
      <c r="J11" s="24" t="s">
        <v>431</v>
      </c>
      <c r="K11" s="24" t="s">
        <v>624</v>
      </c>
    </row>
    <row r="12" spans="3:11" x14ac:dyDescent="0.2">
      <c r="C12" s="675" t="s">
        <v>636</v>
      </c>
      <c r="D12" s="681">
        <f t="shared" si="0"/>
        <v>4800000.01</v>
      </c>
      <c r="E12" s="681">
        <f t="shared" si="1"/>
        <v>999999999</v>
      </c>
      <c r="F12" s="666">
        <f t="shared" si="2"/>
        <v>7.0000000000000007E-2</v>
      </c>
      <c r="G12" s="666">
        <f t="shared" si="3"/>
        <v>0.02</v>
      </c>
      <c r="H12" s="676">
        <f t="shared" si="4"/>
        <v>7.0000000000000007E-2</v>
      </c>
    </row>
    <row r="13" spans="3:11" x14ac:dyDescent="0.2">
      <c r="C13" s="673"/>
      <c r="H13" s="674"/>
    </row>
    <row r="14" spans="3:11" x14ac:dyDescent="0.2">
      <c r="C14" s="673"/>
      <c r="H14" s="674"/>
    </row>
    <row r="15" spans="3:11" x14ac:dyDescent="0.2">
      <c r="C15" s="673" t="str">
        <f>IF($E$2="CASOS DE CRÉDITO SIMPLE","Monto de Crédito","Valor Vivienda")</f>
        <v>Valor Vivienda</v>
      </c>
      <c r="D15" s="667">
        <f>IF($C$15="Monto de Crédito",Simulador!$F$15,Simulador!$N$11)</f>
        <v>3498000</v>
      </c>
      <c r="H15" s="674"/>
    </row>
    <row r="16" spans="3:11" x14ac:dyDescent="0.2">
      <c r="C16" s="673" t="s">
        <v>709</v>
      </c>
      <c r="D16" s="665">
        <f>VLOOKUP(D15,D5:H12,5,TRUE)</f>
        <v>0.05</v>
      </c>
      <c r="H16" s="674"/>
    </row>
    <row r="17" spans="1:13" ht="10.5" thickBot="1" x14ac:dyDescent="0.25">
      <c r="C17" s="677"/>
      <c r="D17" s="678"/>
      <c r="E17" s="678"/>
      <c r="F17" s="679"/>
      <c r="G17" s="679"/>
      <c r="H17" s="680"/>
    </row>
    <row r="21" spans="1:13" ht="10.5" x14ac:dyDescent="0.25">
      <c r="I21" s="648" t="s">
        <v>624</v>
      </c>
      <c r="L21" s="648" t="s">
        <v>627</v>
      </c>
    </row>
    <row r="22" spans="1:13" ht="10.5" x14ac:dyDescent="0.25">
      <c r="A22" s="1" t="str">
        <f t="shared" ref="A22" si="5">B22&amp;C22</f>
        <v>AGUASCALIENTESAGUASCALIENTES</v>
      </c>
      <c r="B22" s="1" t="str">
        <f t="shared" ref="B22" si="6">IF(AND(ISBLANK(C22)=FALSE,LEFT(C22,1)&lt;&gt;"R"),C22,IF(ISBLANK(C22),B21,B21))</f>
        <v>AGUASCALIENTES</v>
      </c>
      <c r="C22" s="650" t="s">
        <v>707</v>
      </c>
    </row>
    <row r="23" spans="1:13" ht="10.5" x14ac:dyDescent="0.25">
      <c r="A23" s="1" t="str">
        <f t="shared" ref="A23:A86" si="7">B23&amp;C23</f>
        <v>AGUASCALIENTES</v>
      </c>
      <c r="B23" s="1" t="str">
        <f t="shared" ref="B23:B86" si="8">IF(AND(ISBLANK(C23)=FALSE,LEFT(C23,1)&lt;&gt;"R"),C23,IF(ISBLANK(C23),B22,B22))</f>
        <v>AGUASCALIENTES</v>
      </c>
      <c r="F23" s="648" t="s">
        <v>624</v>
      </c>
      <c r="G23" s="648" t="s">
        <v>627</v>
      </c>
      <c r="I23" s="682" t="s">
        <v>637</v>
      </c>
      <c r="J23" s="682" t="s">
        <v>638</v>
      </c>
      <c r="L23" s="682" t="s">
        <v>639</v>
      </c>
      <c r="M23" s="682" t="s">
        <v>638</v>
      </c>
    </row>
    <row r="24" spans="1:13" x14ac:dyDescent="0.2">
      <c r="A24" s="1" t="str">
        <f t="shared" si="7"/>
        <v>AGUASCALIENTESRANGO 1</v>
      </c>
      <c r="B24" s="1" t="str">
        <f t="shared" si="8"/>
        <v>AGUASCALIENTES</v>
      </c>
      <c r="C24" s="649" t="s">
        <v>629</v>
      </c>
      <c r="D24" s="651">
        <v>0</v>
      </c>
      <c r="E24" s="652">
        <v>75000</v>
      </c>
      <c r="F24" s="700">
        <v>0.06</v>
      </c>
      <c r="G24" s="700">
        <v>0.03</v>
      </c>
      <c r="H24" s="652"/>
      <c r="I24" s="683" t="s">
        <v>640</v>
      </c>
      <c r="J24" s="688">
        <v>0.06</v>
      </c>
      <c r="L24" s="683" t="s">
        <v>641</v>
      </c>
      <c r="M24" s="688">
        <v>0.03</v>
      </c>
    </row>
    <row r="25" spans="1:13" x14ac:dyDescent="0.2">
      <c r="A25" s="1" t="str">
        <f t="shared" si="7"/>
        <v>AGUASCALIENTESRANGO 2</v>
      </c>
      <c r="B25" s="1" t="str">
        <f t="shared" si="8"/>
        <v>AGUASCALIENTES</v>
      </c>
      <c r="C25" s="649" t="s">
        <v>630</v>
      </c>
      <c r="D25" s="652">
        <v>75000.009999999995</v>
      </c>
      <c r="E25" s="652">
        <v>150000</v>
      </c>
      <c r="F25" s="700">
        <v>0.06</v>
      </c>
      <c r="G25" s="700">
        <v>0.03</v>
      </c>
      <c r="H25" s="652"/>
      <c r="I25" s="683" t="s">
        <v>642</v>
      </c>
      <c r="J25" s="688">
        <v>0.05</v>
      </c>
      <c r="L25" s="683" t="s">
        <v>643</v>
      </c>
      <c r="M25" s="688">
        <v>0.02</v>
      </c>
    </row>
    <row r="26" spans="1:13" x14ac:dyDescent="0.2">
      <c r="A26" s="1" t="str">
        <f t="shared" si="7"/>
        <v>AGUASCALIENTESRANGO 3</v>
      </c>
      <c r="B26" s="1" t="str">
        <f t="shared" si="8"/>
        <v>AGUASCALIENTES</v>
      </c>
      <c r="C26" s="649" t="s">
        <v>631</v>
      </c>
      <c r="D26" s="652">
        <v>150000.01</v>
      </c>
      <c r="E26" s="652">
        <v>300000</v>
      </c>
      <c r="F26" s="700">
        <v>0.06</v>
      </c>
      <c r="G26" s="700">
        <v>0.03</v>
      </c>
      <c r="H26" s="652"/>
      <c r="I26" s="683" t="s">
        <v>644</v>
      </c>
      <c r="J26" s="688">
        <v>0.04</v>
      </c>
      <c r="L26" s="683" t="s">
        <v>645</v>
      </c>
      <c r="M26" s="688">
        <v>0.01</v>
      </c>
    </row>
    <row r="27" spans="1:13" x14ac:dyDescent="0.2">
      <c r="A27" s="1" t="str">
        <f t="shared" si="7"/>
        <v>AGUASCALIENTESRANGO 4</v>
      </c>
      <c r="B27" s="1" t="str">
        <f t="shared" si="8"/>
        <v>AGUASCALIENTES</v>
      </c>
      <c r="C27" s="649" t="s">
        <v>632</v>
      </c>
      <c r="D27" s="652">
        <v>300000.01</v>
      </c>
      <c r="E27" s="652">
        <v>600000</v>
      </c>
      <c r="F27" s="700">
        <v>0.06</v>
      </c>
      <c r="G27" s="700">
        <v>0.03</v>
      </c>
      <c r="H27" s="652"/>
      <c r="I27" s="683" t="s">
        <v>646</v>
      </c>
      <c r="J27" s="688">
        <v>3.5000000000000003E-2</v>
      </c>
    </row>
    <row r="28" spans="1:13" x14ac:dyDescent="0.2">
      <c r="A28" s="1" t="str">
        <f t="shared" si="7"/>
        <v>AGUASCALIENTESRANGO 5</v>
      </c>
      <c r="B28" s="1" t="str">
        <f t="shared" si="8"/>
        <v>AGUASCALIENTES</v>
      </c>
      <c r="C28" s="649" t="s">
        <v>633</v>
      </c>
      <c r="D28" s="652">
        <v>600000.01</v>
      </c>
      <c r="E28" s="652">
        <v>1200000</v>
      </c>
      <c r="F28" s="700">
        <v>0.06</v>
      </c>
      <c r="G28" s="699">
        <v>0.02</v>
      </c>
    </row>
    <row r="29" spans="1:13" x14ac:dyDescent="0.2">
      <c r="A29" s="1" t="str">
        <f t="shared" si="7"/>
        <v>AGUASCALIENTESRANGO 6</v>
      </c>
      <c r="B29" s="1" t="str">
        <f t="shared" si="8"/>
        <v>AGUASCALIENTES</v>
      </c>
      <c r="C29" s="649" t="s">
        <v>634</v>
      </c>
      <c r="D29" s="652">
        <v>1200000.01</v>
      </c>
      <c r="E29" s="652">
        <v>2400000</v>
      </c>
      <c r="F29" s="699">
        <v>0.05</v>
      </c>
      <c r="G29" s="698">
        <v>0.01</v>
      </c>
    </row>
    <row r="30" spans="1:13" x14ac:dyDescent="0.2">
      <c r="A30" s="1" t="str">
        <f t="shared" si="7"/>
        <v>AGUASCALIENTESRANGO 7</v>
      </c>
      <c r="B30" s="1" t="str">
        <f t="shared" si="8"/>
        <v>AGUASCALIENTES</v>
      </c>
      <c r="C30" s="649" t="s">
        <v>635</v>
      </c>
      <c r="D30" s="652">
        <v>2400000.0099999998</v>
      </c>
      <c r="E30" s="652">
        <v>4800000</v>
      </c>
      <c r="F30" s="698">
        <v>0.04</v>
      </c>
      <c r="G30" s="698">
        <v>0.01</v>
      </c>
    </row>
    <row r="31" spans="1:13" x14ac:dyDescent="0.2">
      <c r="A31" s="1" t="str">
        <f t="shared" si="7"/>
        <v>AGUASCALIENTESRANGO 8</v>
      </c>
      <c r="B31" s="1" t="str">
        <f t="shared" si="8"/>
        <v>AGUASCALIENTES</v>
      </c>
      <c r="C31" s="649" t="s">
        <v>636</v>
      </c>
      <c r="D31" s="652">
        <v>4800000.01</v>
      </c>
      <c r="E31" s="652">
        <v>999999999</v>
      </c>
      <c r="F31" s="701">
        <v>3.5000000000000003E-2</v>
      </c>
      <c r="G31" s="698">
        <v>0.01</v>
      </c>
    </row>
    <row r="32" spans="1:13" x14ac:dyDescent="0.2">
      <c r="A32" s="1" t="str">
        <f t="shared" si="7"/>
        <v>AGUASCALIENTES</v>
      </c>
      <c r="B32" s="1" t="str">
        <f t="shared" si="8"/>
        <v>AGUASCALIENTES</v>
      </c>
    </row>
    <row r="33" spans="1:13" x14ac:dyDescent="0.2">
      <c r="A33" s="1" t="str">
        <f t="shared" si="7"/>
        <v>AGUASCALIENTES</v>
      </c>
      <c r="B33" s="1" t="str">
        <f t="shared" si="8"/>
        <v>AGUASCALIENTES</v>
      </c>
    </row>
    <row r="34" spans="1:13" ht="10.5" x14ac:dyDescent="0.25">
      <c r="A34" s="1" t="str">
        <f t="shared" si="7"/>
        <v>CAMPECHECAMPECHE</v>
      </c>
      <c r="B34" s="1" t="str">
        <f t="shared" si="8"/>
        <v>CAMPECHE</v>
      </c>
      <c r="C34" s="650" t="s">
        <v>647</v>
      </c>
    </row>
    <row r="35" spans="1:13" ht="10.5" x14ac:dyDescent="0.25">
      <c r="A35" s="1" t="str">
        <f t="shared" si="7"/>
        <v>CAMPECHE</v>
      </c>
      <c r="B35" s="1" t="str">
        <f t="shared" si="8"/>
        <v>CAMPECHE</v>
      </c>
      <c r="F35" s="648" t="s">
        <v>624</v>
      </c>
      <c r="G35" s="648" t="s">
        <v>627</v>
      </c>
      <c r="I35" s="682" t="s">
        <v>637</v>
      </c>
      <c r="J35" s="682" t="s">
        <v>638</v>
      </c>
      <c r="L35" s="682" t="s">
        <v>639</v>
      </c>
      <c r="M35" s="682" t="s">
        <v>638</v>
      </c>
    </row>
    <row r="36" spans="1:13" x14ac:dyDescent="0.2">
      <c r="A36" s="1" t="str">
        <f t="shared" si="7"/>
        <v>CAMPECHERANGO 1</v>
      </c>
      <c r="B36" s="1" t="str">
        <f t="shared" si="8"/>
        <v>CAMPECHE</v>
      </c>
      <c r="C36" s="649" t="s">
        <v>629</v>
      </c>
      <c r="D36" s="654">
        <v>0</v>
      </c>
      <c r="E36" s="655">
        <v>75000</v>
      </c>
      <c r="F36" s="702">
        <v>0.05</v>
      </c>
      <c r="G36" s="702">
        <v>0.02</v>
      </c>
      <c r="I36" s="684" t="s">
        <v>640</v>
      </c>
      <c r="J36" s="689">
        <v>0.05</v>
      </c>
      <c r="L36" s="684" t="s">
        <v>648</v>
      </c>
      <c r="M36" s="689">
        <v>0.02</v>
      </c>
    </row>
    <row r="37" spans="1:13" x14ac:dyDescent="0.2">
      <c r="A37" s="1" t="str">
        <f t="shared" si="7"/>
        <v>CAMPECHERANGO 2</v>
      </c>
      <c r="B37" s="1" t="str">
        <f t="shared" si="8"/>
        <v>CAMPECHE</v>
      </c>
      <c r="C37" s="649" t="s">
        <v>630</v>
      </c>
      <c r="D37" s="655">
        <v>75000.009999999995</v>
      </c>
      <c r="E37" s="655">
        <v>150000</v>
      </c>
      <c r="F37" s="702">
        <v>0.05</v>
      </c>
      <c r="G37" s="702">
        <v>0.02</v>
      </c>
      <c r="I37" s="684" t="s">
        <v>645</v>
      </c>
      <c r="J37" s="689">
        <v>3.5000000000000003E-2</v>
      </c>
    </row>
    <row r="38" spans="1:13" x14ac:dyDescent="0.2">
      <c r="A38" s="1" t="str">
        <f t="shared" si="7"/>
        <v>CAMPECHERANGO 3</v>
      </c>
      <c r="B38" s="1" t="str">
        <f t="shared" si="8"/>
        <v>CAMPECHE</v>
      </c>
      <c r="C38" s="649" t="s">
        <v>631</v>
      </c>
      <c r="D38" s="655">
        <v>150000.01</v>
      </c>
      <c r="E38" s="655">
        <v>300000</v>
      </c>
      <c r="F38" s="702">
        <v>0.05</v>
      </c>
      <c r="G38" s="702">
        <v>0.02</v>
      </c>
    </row>
    <row r="39" spans="1:13" x14ac:dyDescent="0.2">
      <c r="A39" s="1" t="str">
        <f t="shared" si="7"/>
        <v>CAMPECHERANGO 4</v>
      </c>
      <c r="B39" s="1" t="str">
        <f t="shared" si="8"/>
        <v>CAMPECHE</v>
      </c>
      <c r="C39" s="649" t="s">
        <v>632</v>
      </c>
      <c r="D39" s="655">
        <v>300000.01</v>
      </c>
      <c r="E39" s="655">
        <v>600000</v>
      </c>
      <c r="F39" s="702">
        <v>0.05</v>
      </c>
      <c r="G39" s="702">
        <v>0.02</v>
      </c>
    </row>
    <row r="40" spans="1:13" x14ac:dyDescent="0.2">
      <c r="A40" s="1" t="str">
        <f t="shared" si="7"/>
        <v>CAMPECHERANGO 5</v>
      </c>
      <c r="B40" s="1" t="str">
        <f t="shared" si="8"/>
        <v>CAMPECHE</v>
      </c>
      <c r="C40" s="649" t="s">
        <v>633</v>
      </c>
      <c r="D40" s="655">
        <v>600000.01</v>
      </c>
      <c r="E40" s="655">
        <v>1200000</v>
      </c>
      <c r="F40" s="702">
        <v>0.05</v>
      </c>
      <c r="G40" s="702">
        <v>0.02</v>
      </c>
    </row>
    <row r="41" spans="1:13" x14ac:dyDescent="0.2">
      <c r="A41" s="1" t="str">
        <f t="shared" si="7"/>
        <v>CAMPECHERANGO 6</v>
      </c>
      <c r="B41" s="1" t="str">
        <f t="shared" si="8"/>
        <v>CAMPECHE</v>
      </c>
      <c r="C41" s="649" t="s">
        <v>634</v>
      </c>
      <c r="D41" s="655">
        <v>1200000.01</v>
      </c>
      <c r="E41" s="655">
        <v>2400000</v>
      </c>
      <c r="F41" s="703">
        <v>3.5000000000000003E-2</v>
      </c>
      <c r="G41" s="702">
        <v>0.02</v>
      </c>
    </row>
    <row r="42" spans="1:13" x14ac:dyDescent="0.2">
      <c r="A42" s="1" t="str">
        <f t="shared" si="7"/>
        <v>CAMPECHERANGO 7</v>
      </c>
      <c r="B42" s="1" t="str">
        <f t="shared" si="8"/>
        <v>CAMPECHE</v>
      </c>
      <c r="C42" s="649" t="s">
        <v>635</v>
      </c>
      <c r="D42" s="655">
        <v>2400000.0099999998</v>
      </c>
      <c r="E42" s="655">
        <v>4800000</v>
      </c>
      <c r="F42" s="703">
        <v>3.5000000000000003E-2</v>
      </c>
      <c r="G42" s="702">
        <v>0.02</v>
      </c>
    </row>
    <row r="43" spans="1:13" x14ac:dyDescent="0.2">
      <c r="A43" s="1" t="str">
        <f t="shared" si="7"/>
        <v>CAMPECHERANGO 8</v>
      </c>
      <c r="B43" s="1" t="str">
        <f t="shared" si="8"/>
        <v>CAMPECHE</v>
      </c>
      <c r="C43" s="649" t="s">
        <v>636</v>
      </c>
      <c r="D43" s="652">
        <v>4800000.01</v>
      </c>
      <c r="E43" s="652">
        <v>999999999</v>
      </c>
      <c r="F43" s="703">
        <v>3.5000000000000003E-2</v>
      </c>
      <c r="G43" s="702">
        <v>0.02</v>
      </c>
    </row>
    <row r="44" spans="1:13" x14ac:dyDescent="0.2">
      <c r="A44" s="1" t="str">
        <f t="shared" si="7"/>
        <v>CAMPECHE</v>
      </c>
      <c r="B44" s="1" t="str">
        <f t="shared" si="8"/>
        <v>CAMPECHE</v>
      </c>
    </row>
    <row r="45" spans="1:13" x14ac:dyDescent="0.2">
      <c r="A45" s="1" t="str">
        <f t="shared" si="7"/>
        <v>CAMPECHE</v>
      </c>
      <c r="B45" s="1" t="str">
        <f t="shared" si="8"/>
        <v>CAMPECHE</v>
      </c>
    </row>
    <row r="46" spans="1:13" ht="10.5" x14ac:dyDescent="0.2">
      <c r="A46" s="1" t="str">
        <f t="shared" si="7"/>
        <v>CHIAPASCHIAPAS</v>
      </c>
      <c r="B46" s="1" t="str">
        <f t="shared" si="8"/>
        <v>CHIAPAS</v>
      </c>
      <c r="C46" s="657" t="s">
        <v>649</v>
      </c>
    </row>
    <row r="47" spans="1:13" ht="10.5" x14ac:dyDescent="0.25">
      <c r="A47" s="1" t="str">
        <f t="shared" si="7"/>
        <v>CHIAPAS</v>
      </c>
      <c r="B47" s="1" t="str">
        <f t="shared" si="8"/>
        <v>CHIAPAS</v>
      </c>
      <c r="F47" s="648" t="s">
        <v>624</v>
      </c>
      <c r="G47" s="648" t="s">
        <v>627</v>
      </c>
      <c r="I47" s="682" t="s">
        <v>637</v>
      </c>
      <c r="J47" s="682" t="s">
        <v>638</v>
      </c>
      <c r="L47" s="682" t="s">
        <v>639</v>
      </c>
      <c r="M47" s="682" t="s">
        <v>638</v>
      </c>
    </row>
    <row r="48" spans="1:13" x14ac:dyDescent="0.2">
      <c r="A48" s="1" t="str">
        <f t="shared" si="7"/>
        <v>CHIAPASRANGO 1</v>
      </c>
      <c r="B48" s="1" t="str">
        <f t="shared" si="8"/>
        <v>CHIAPAS</v>
      </c>
      <c r="C48" s="651" t="s">
        <v>629</v>
      </c>
      <c r="D48" s="651">
        <v>0</v>
      </c>
      <c r="E48" s="652">
        <v>75000</v>
      </c>
      <c r="F48" s="702">
        <v>0.06</v>
      </c>
      <c r="G48" s="702">
        <v>0.02</v>
      </c>
      <c r="I48" s="684" t="s">
        <v>640</v>
      </c>
      <c r="J48" s="689">
        <v>0.06</v>
      </c>
      <c r="L48" s="684" t="s">
        <v>640</v>
      </c>
      <c r="M48" s="689">
        <v>0.02</v>
      </c>
    </row>
    <row r="49" spans="1:13" x14ac:dyDescent="0.2">
      <c r="A49" s="1" t="str">
        <f t="shared" si="7"/>
        <v>CHIAPASRANGO 2</v>
      </c>
      <c r="B49" s="1" t="str">
        <f t="shared" si="8"/>
        <v>CHIAPAS</v>
      </c>
      <c r="C49" s="651" t="s">
        <v>630</v>
      </c>
      <c r="D49" s="652">
        <v>75000.009999999995</v>
      </c>
      <c r="E49" s="652">
        <v>150000</v>
      </c>
      <c r="F49" s="702">
        <v>0.06</v>
      </c>
      <c r="G49" s="702">
        <v>0.02</v>
      </c>
      <c r="I49" s="684" t="s">
        <v>642</v>
      </c>
      <c r="J49" s="689">
        <v>5.5E-2</v>
      </c>
      <c r="L49" s="684" t="s">
        <v>642</v>
      </c>
      <c r="M49" s="689">
        <v>1.4999999999999999E-2</v>
      </c>
    </row>
    <row r="50" spans="1:13" x14ac:dyDescent="0.2">
      <c r="A50" s="1" t="str">
        <f t="shared" si="7"/>
        <v>CHIAPASRANGO 3</v>
      </c>
      <c r="B50" s="1" t="str">
        <f t="shared" si="8"/>
        <v>CHIAPAS</v>
      </c>
      <c r="C50" s="651" t="s">
        <v>631</v>
      </c>
      <c r="D50" s="652">
        <v>150000.01</v>
      </c>
      <c r="E50" s="652">
        <v>300000</v>
      </c>
      <c r="F50" s="702">
        <v>0.06</v>
      </c>
      <c r="G50" s="702">
        <v>0.02</v>
      </c>
      <c r="I50" s="684" t="s">
        <v>644</v>
      </c>
      <c r="J50" s="689">
        <v>0.05</v>
      </c>
      <c r="L50" s="684" t="s">
        <v>650</v>
      </c>
      <c r="M50" s="689">
        <v>0.01</v>
      </c>
    </row>
    <row r="51" spans="1:13" x14ac:dyDescent="0.2">
      <c r="A51" s="1" t="str">
        <f t="shared" si="7"/>
        <v>CHIAPASRANGO 4</v>
      </c>
      <c r="B51" s="1" t="str">
        <f t="shared" si="8"/>
        <v>CHIAPAS</v>
      </c>
      <c r="C51" s="651" t="s">
        <v>632</v>
      </c>
      <c r="D51" s="652">
        <v>300000.01</v>
      </c>
      <c r="E51" s="652">
        <v>600000</v>
      </c>
      <c r="F51" s="702">
        <v>0.06</v>
      </c>
      <c r="G51" s="702">
        <v>0.02</v>
      </c>
      <c r="I51" s="684" t="s">
        <v>651</v>
      </c>
      <c r="J51" s="689">
        <v>0.04</v>
      </c>
    </row>
    <row r="52" spans="1:13" x14ac:dyDescent="0.2">
      <c r="A52" s="1" t="str">
        <f t="shared" si="7"/>
        <v>CHIAPASRANGO 5</v>
      </c>
      <c r="B52" s="1" t="str">
        <f t="shared" si="8"/>
        <v>CHIAPAS</v>
      </c>
      <c r="C52" s="651" t="s">
        <v>633</v>
      </c>
      <c r="D52" s="652">
        <v>600000.01</v>
      </c>
      <c r="E52" s="652">
        <v>1200000</v>
      </c>
      <c r="F52" s="702">
        <v>0.06</v>
      </c>
      <c r="G52" s="702">
        <v>0.02</v>
      </c>
    </row>
    <row r="53" spans="1:13" x14ac:dyDescent="0.2">
      <c r="A53" s="1" t="str">
        <f t="shared" si="7"/>
        <v>CHIAPASRANGO 6</v>
      </c>
      <c r="B53" s="1" t="str">
        <f t="shared" si="8"/>
        <v>CHIAPAS</v>
      </c>
      <c r="C53" s="651" t="s">
        <v>634</v>
      </c>
      <c r="D53" s="652">
        <v>1200000.01</v>
      </c>
      <c r="E53" s="652">
        <v>2400000</v>
      </c>
      <c r="F53" s="703">
        <v>5.5E-2</v>
      </c>
      <c r="G53" s="703">
        <v>1.4999999999999999E-2</v>
      </c>
    </row>
    <row r="54" spans="1:13" x14ac:dyDescent="0.2">
      <c r="A54" s="1" t="str">
        <f t="shared" si="7"/>
        <v>CHIAPASRANGO 7</v>
      </c>
      <c r="B54" s="1" t="str">
        <f t="shared" si="8"/>
        <v>CHIAPAS</v>
      </c>
      <c r="C54" s="651" t="s">
        <v>635</v>
      </c>
      <c r="D54" s="652">
        <v>2400000.0099999998</v>
      </c>
      <c r="E54" s="652">
        <v>4800000</v>
      </c>
      <c r="F54" s="704">
        <v>0.05</v>
      </c>
      <c r="G54" s="704">
        <v>0.01</v>
      </c>
    </row>
    <row r="55" spans="1:13" x14ac:dyDescent="0.2">
      <c r="A55" s="1" t="str">
        <f t="shared" si="7"/>
        <v>CHIAPASRANGO 8</v>
      </c>
      <c r="B55" s="1" t="str">
        <f t="shared" si="8"/>
        <v>CHIAPAS</v>
      </c>
      <c r="C55" s="651" t="s">
        <v>636</v>
      </c>
      <c r="D55" s="652">
        <v>4800000.01</v>
      </c>
      <c r="E55" s="652">
        <v>999999999</v>
      </c>
      <c r="F55" s="705">
        <v>0.04</v>
      </c>
      <c r="G55" s="704">
        <v>0.01</v>
      </c>
    </row>
    <row r="56" spans="1:13" x14ac:dyDescent="0.2">
      <c r="A56" s="1" t="str">
        <f t="shared" si="7"/>
        <v>CHIAPAS</v>
      </c>
      <c r="B56" s="1" t="str">
        <f t="shared" si="8"/>
        <v>CHIAPAS</v>
      </c>
    </row>
    <row r="57" spans="1:13" x14ac:dyDescent="0.2">
      <c r="A57" s="1" t="str">
        <f t="shared" si="7"/>
        <v>CHIAPAS</v>
      </c>
      <c r="B57" s="1" t="str">
        <f t="shared" si="8"/>
        <v>CHIAPAS</v>
      </c>
    </row>
    <row r="58" spans="1:13" ht="10.5" x14ac:dyDescent="0.2">
      <c r="A58" s="1" t="str">
        <f t="shared" si="7"/>
        <v>COLIMACOLIMA</v>
      </c>
      <c r="B58" s="1" t="str">
        <f t="shared" si="8"/>
        <v>COLIMA</v>
      </c>
      <c r="C58" s="657" t="s">
        <v>623</v>
      </c>
    </row>
    <row r="59" spans="1:13" ht="10.5" x14ac:dyDescent="0.25">
      <c r="A59" s="1" t="str">
        <f t="shared" si="7"/>
        <v>COLIMA</v>
      </c>
      <c r="B59" s="1" t="str">
        <f t="shared" si="8"/>
        <v>COLIMA</v>
      </c>
      <c r="F59" s="648" t="s">
        <v>624</v>
      </c>
      <c r="G59" s="648" t="s">
        <v>627</v>
      </c>
      <c r="I59" s="682" t="s">
        <v>637</v>
      </c>
      <c r="J59" s="682" t="s">
        <v>638</v>
      </c>
      <c r="L59" s="682" t="s">
        <v>639</v>
      </c>
      <c r="M59" s="682" t="s">
        <v>638</v>
      </c>
    </row>
    <row r="60" spans="1:13" x14ac:dyDescent="0.2">
      <c r="A60" s="1" t="str">
        <f t="shared" si="7"/>
        <v>COLIMARANGO 1</v>
      </c>
      <c r="B60" s="1" t="str">
        <f t="shared" si="8"/>
        <v>COLIMA</v>
      </c>
      <c r="C60" s="649" t="s">
        <v>629</v>
      </c>
      <c r="D60" s="651">
        <v>0</v>
      </c>
      <c r="E60" s="652">
        <v>75000</v>
      </c>
      <c r="F60" s="700">
        <v>3.5000000000000003E-2</v>
      </c>
      <c r="G60" s="700">
        <v>0.02</v>
      </c>
      <c r="I60" s="683" t="s">
        <v>640</v>
      </c>
      <c r="J60" s="688">
        <v>3.5000000000000003E-2</v>
      </c>
      <c r="L60" s="683" t="s">
        <v>648</v>
      </c>
      <c r="M60" s="688">
        <v>0.02</v>
      </c>
    </row>
    <row r="61" spans="1:13" x14ac:dyDescent="0.2">
      <c r="A61" s="1" t="str">
        <f t="shared" si="7"/>
        <v>COLIMARANGO 2</v>
      </c>
      <c r="B61" s="1" t="str">
        <f t="shared" si="8"/>
        <v>COLIMA</v>
      </c>
      <c r="C61" s="649" t="s">
        <v>630</v>
      </c>
      <c r="D61" s="652">
        <v>75000.009999999995</v>
      </c>
      <c r="E61" s="652">
        <v>150000</v>
      </c>
      <c r="F61" s="700">
        <v>3.5000000000000003E-2</v>
      </c>
      <c r="G61" s="700">
        <v>0.02</v>
      </c>
      <c r="I61" s="683" t="s">
        <v>645</v>
      </c>
      <c r="J61" s="688">
        <v>0.03</v>
      </c>
    </row>
    <row r="62" spans="1:13" x14ac:dyDescent="0.2">
      <c r="A62" s="1" t="str">
        <f t="shared" si="7"/>
        <v>COLIMARANGO 3</v>
      </c>
      <c r="B62" s="1" t="str">
        <f t="shared" si="8"/>
        <v>COLIMA</v>
      </c>
      <c r="C62" s="649" t="s">
        <v>631</v>
      </c>
      <c r="D62" s="652">
        <v>150000.01</v>
      </c>
      <c r="E62" s="652">
        <v>300000</v>
      </c>
      <c r="F62" s="700">
        <v>3.5000000000000003E-2</v>
      </c>
      <c r="G62" s="700">
        <v>0.02</v>
      </c>
    </row>
    <row r="63" spans="1:13" x14ac:dyDescent="0.2">
      <c r="A63" s="1" t="str">
        <f t="shared" si="7"/>
        <v>COLIMARANGO 4</v>
      </c>
      <c r="B63" s="1" t="str">
        <f t="shared" si="8"/>
        <v>COLIMA</v>
      </c>
      <c r="C63" s="649" t="s">
        <v>632</v>
      </c>
      <c r="D63" s="652">
        <v>300000.01</v>
      </c>
      <c r="E63" s="652">
        <v>600000</v>
      </c>
      <c r="F63" s="700">
        <v>3.5000000000000003E-2</v>
      </c>
      <c r="G63" s="700">
        <v>0.02</v>
      </c>
    </row>
    <row r="64" spans="1:13" x14ac:dyDescent="0.2">
      <c r="A64" s="1" t="str">
        <f t="shared" si="7"/>
        <v>COLIMARANGO 5</v>
      </c>
      <c r="B64" s="1" t="str">
        <f t="shared" si="8"/>
        <v>COLIMA</v>
      </c>
      <c r="C64" s="649" t="s">
        <v>633</v>
      </c>
      <c r="D64" s="652">
        <v>600000.01</v>
      </c>
      <c r="E64" s="652">
        <v>1200000</v>
      </c>
      <c r="F64" s="700">
        <v>3.5000000000000003E-2</v>
      </c>
      <c r="G64" s="700">
        <v>0.02</v>
      </c>
    </row>
    <row r="65" spans="1:13" x14ac:dyDescent="0.2">
      <c r="A65" s="1" t="str">
        <f t="shared" si="7"/>
        <v>COLIMARANGO 6</v>
      </c>
      <c r="B65" s="1" t="str">
        <f t="shared" si="8"/>
        <v>COLIMA</v>
      </c>
      <c r="C65" s="649" t="s">
        <v>634</v>
      </c>
      <c r="D65" s="652">
        <v>1200000.01</v>
      </c>
      <c r="E65" s="652">
        <v>2400000</v>
      </c>
      <c r="F65" s="699">
        <v>0.03</v>
      </c>
      <c r="G65" s="700">
        <v>0.02</v>
      </c>
    </row>
    <row r="66" spans="1:13" x14ac:dyDescent="0.2">
      <c r="A66" s="1" t="str">
        <f t="shared" si="7"/>
        <v>COLIMARANGO 7</v>
      </c>
      <c r="B66" s="1" t="str">
        <f t="shared" si="8"/>
        <v>COLIMA</v>
      </c>
      <c r="C66" s="649" t="s">
        <v>635</v>
      </c>
      <c r="D66" s="652">
        <v>2400000.0099999998</v>
      </c>
      <c r="E66" s="652">
        <v>4800000</v>
      </c>
      <c r="F66" s="699">
        <v>0.03</v>
      </c>
      <c r="G66" s="700">
        <v>0.02</v>
      </c>
    </row>
    <row r="67" spans="1:13" x14ac:dyDescent="0.2">
      <c r="A67" s="1" t="str">
        <f t="shared" si="7"/>
        <v>COLIMARANGO 8</v>
      </c>
      <c r="B67" s="1" t="str">
        <f t="shared" si="8"/>
        <v>COLIMA</v>
      </c>
      <c r="C67" s="649" t="s">
        <v>636</v>
      </c>
      <c r="D67" s="652">
        <v>4800000.01</v>
      </c>
      <c r="E67" s="652">
        <v>999999999</v>
      </c>
      <c r="F67" s="699">
        <v>0.03</v>
      </c>
      <c r="G67" s="700">
        <v>0.02</v>
      </c>
    </row>
    <row r="68" spans="1:13" x14ac:dyDescent="0.2">
      <c r="A68" s="1" t="str">
        <f t="shared" si="7"/>
        <v>COLIMA</v>
      </c>
      <c r="B68" s="1" t="str">
        <f t="shared" si="8"/>
        <v>COLIMA</v>
      </c>
    </row>
    <row r="69" spans="1:13" x14ac:dyDescent="0.2">
      <c r="A69" s="1" t="str">
        <f t="shared" si="7"/>
        <v>COLIMA</v>
      </c>
      <c r="B69" s="1" t="str">
        <f t="shared" si="8"/>
        <v>COLIMA</v>
      </c>
    </row>
    <row r="70" spans="1:13" ht="10.5" x14ac:dyDescent="0.2">
      <c r="A70" s="1" t="str">
        <f t="shared" si="7"/>
        <v>GUERREROGUERRERO</v>
      </c>
      <c r="B70" s="1" t="str">
        <f t="shared" si="8"/>
        <v>GUERRERO</v>
      </c>
      <c r="C70" s="657" t="s">
        <v>652</v>
      </c>
    </row>
    <row r="71" spans="1:13" ht="10.5" x14ac:dyDescent="0.25">
      <c r="A71" s="1" t="str">
        <f t="shared" si="7"/>
        <v>GUERRERO</v>
      </c>
      <c r="B71" s="1" t="str">
        <f t="shared" si="8"/>
        <v>GUERRERO</v>
      </c>
      <c r="F71" s="648" t="s">
        <v>624</v>
      </c>
      <c r="G71" s="648" t="s">
        <v>627</v>
      </c>
      <c r="I71" s="682" t="s">
        <v>637</v>
      </c>
      <c r="J71" s="682" t="s">
        <v>638</v>
      </c>
      <c r="L71" s="682" t="s">
        <v>639</v>
      </c>
      <c r="M71" s="682" t="s">
        <v>638</v>
      </c>
    </row>
    <row r="72" spans="1:13" x14ac:dyDescent="0.2">
      <c r="A72" s="1" t="str">
        <f t="shared" si="7"/>
        <v>GUERRERORANGO 1</v>
      </c>
      <c r="B72" s="1" t="str">
        <f t="shared" si="8"/>
        <v>GUERRERO</v>
      </c>
      <c r="C72" s="651" t="s">
        <v>629</v>
      </c>
      <c r="D72" s="651">
        <v>0</v>
      </c>
      <c r="E72" s="652">
        <v>75000</v>
      </c>
      <c r="F72" s="702">
        <v>0.06</v>
      </c>
      <c r="G72" s="702">
        <v>0.02</v>
      </c>
      <c r="I72" s="684" t="s">
        <v>653</v>
      </c>
      <c r="J72" s="689">
        <v>0.06</v>
      </c>
      <c r="L72" s="684" t="s">
        <v>648</v>
      </c>
      <c r="M72" s="689">
        <v>0.02</v>
      </c>
    </row>
    <row r="73" spans="1:13" x14ac:dyDescent="0.2">
      <c r="A73" s="1" t="str">
        <f t="shared" si="7"/>
        <v>GUERRERORANGO 2</v>
      </c>
      <c r="B73" s="1" t="str">
        <f t="shared" si="8"/>
        <v>GUERRERO</v>
      </c>
      <c r="C73" s="651" t="s">
        <v>630</v>
      </c>
      <c r="D73" s="652">
        <v>75000.009999999995</v>
      </c>
      <c r="E73" s="652">
        <v>150000</v>
      </c>
      <c r="F73" s="702">
        <v>0.06</v>
      </c>
      <c r="G73" s="702">
        <v>0.02</v>
      </c>
      <c r="I73" s="684" t="s">
        <v>646</v>
      </c>
      <c r="J73" s="689">
        <v>5.5E-2</v>
      </c>
    </row>
    <row r="74" spans="1:13" x14ac:dyDescent="0.2">
      <c r="A74" s="1" t="str">
        <f t="shared" si="7"/>
        <v>GUERRERORANGO 3</v>
      </c>
      <c r="B74" s="1" t="str">
        <f t="shared" si="8"/>
        <v>GUERRERO</v>
      </c>
      <c r="C74" s="651" t="s">
        <v>631</v>
      </c>
      <c r="D74" s="652">
        <v>150000.01</v>
      </c>
      <c r="E74" s="652">
        <v>300000</v>
      </c>
      <c r="F74" s="702">
        <v>0.06</v>
      </c>
      <c r="G74" s="702">
        <v>0.02</v>
      </c>
    </row>
    <row r="75" spans="1:13" x14ac:dyDescent="0.2">
      <c r="A75" s="1" t="str">
        <f t="shared" si="7"/>
        <v>GUERRERORANGO 4</v>
      </c>
      <c r="B75" s="1" t="str">
        <f t="shared" si="8"/>
        <v>GUERRERO</v>
      </c>
      <c r="C75" s="651" t="s">
        <v>632</v>
      </c>
      <c r="D75" s="652">
        <v>300000.01</v>
      </c>
      <c r="E75" s="652">
        <v>600000</v>
      </c>
      <c r="F75" s="702">
        <v>0.06</v>
      </c>
      <c r="G75" s="702">
        <v>0.02</v>
      </c>
    </row>
    <row r="76" spans="1:13" x14ac:dyDescent="0.2">
      <c r="A76" s="1" t="str">
        <f t="shared" si="7"/>
        <v>GUERRERORANGO 5</v>
      </c>
      <c r="B76" s="1" t="str">
        <f t="shared" si="8"/>
        <v>GUERRERO</v>
      </c>
      <c r="C76" s="651" t="s">
        <v>633</v>
      </c>
      <c r="D76" s="652">
        <v>600000.01</v>
      </c>
      <c r="E76" s="652">
        <v>1200000</v>
      </c>
      <c r="F76" s="702">
        <v>0.06</v>
      </c>
      <c r="G76" s="702">
        <v>0.02</v>
      </c>
    </row>
    <row r="77" spans="1:13" x14ac:dyDescent="0.2">
      <c r="A77" s="1" t="str">
        <f t="shared" si="7"/>
        <v>GUERRERORANGO 6</v>
      </c>
      <c r="B77" s="1" t="str">
        <f t="shared" si="8"/>
        <v>GUERRERO</v>
      </c>
      <c r="C77" s="651" t="s">
        <v>634</v>
      </c>
      <c r="D77" s="652">
        <v>1200000.01</v>
      </c>
      <c r="E77" s="652">
        <v>2400000</v>
      </c>
      <c r="F77" s="702">
        <v>0.06</v>
      </c>
      <c r="G77" s="702">
        <v>0.02</v>
      </c>
    </row>
    <row r="78" spans="1:13" x14ac:dyDescent="0.2">
      <c r="A78" s="1" t="str">
        <f t="shared" si="7"/>
        <v>GUERRERORANGO 7</v>
      </c>
      <c r="B78" s="1" t="str">
        <f t="shared" si="8"/>
        <v>GUERRERO</v>
      </c>
      <c r="C78" s="651" t="s">
        <v>635</v>
      </c>
      <c r="D78" s="652">
        <v>2400000.0099999998</v>
      </c>
      <c r="E78" s="652">
        <v>4800000</v>
      </c>
      <c r="F78" s="702">
        <v>0.06</v>
      </c>
      <c r="G78" s="702">
        <v>0.02</v>
      </c>
    </row>
    <row r="79" spans="1:13" x14ac:dyDescent="0.2">
      <c r="A79" s="1" t="str">
        <f t="shared" si="7"/>
        <v>GUERRERORANGO 8</v>
      </c>
      <c r="B79" s="1" t="str">
        <f t="shared" si="8"/>
        <v>GUERRERO</v>
      </c>
      <c r="C79" s="651" t="s">
        <v>636</v>
      </c>
      <c r="D79" s="652">
        <v>4800000.01</v>
      </c>
      <c r="E79" s="652">
        <v>999999999</v>
      </c>
      <c r="F79" s="703">
        <v>5.5E-2</v>
      </c>
      <c r="G79" s="702">
        <v>0.02</v>
      </c>
    </row>
    <row r="80" spans="1:13" x14ac:dyDescent="0.2">
      <c r="A80" s="1" t="str">
        <f t="shared" si="7"/>
        <v>GUERRERO</v>
      </c>
      <c r="B80" s="1" t="str">
        <f t="shared" si="8"/>
        <v>GUERRERO</v>
      </c>
    </row>
    <row r="81" spans="1:13" x14ac:dyDescent="0.2">
      <c r="A81" s="1" t="str">
        <f t="shared" si="7"/>
        <v>GUERRERO</v>
      </c>
      <c r="B81" s="1" t="str">
        <f t="shared" si="8"/>
        <v>GUERRERO</v>
      </c>
    </row>
    <row r="82" spans="1:13" ht="10.5" x14ac:dyDescent="0.2">
      <c r="A82" s="1" t="str">
        <f t="shared" si="7"/>
        <v>MORELOSMORELOS</v>
      </c>
      <c r="B82" s="1" t="str">
        <f t="shared" si="8"/>
        <v>MORELOS</v>
      </c>
      <c r="C82" s="657" t="s">
        <v>654</v>
      </c>
    </row>
    <row r="83" spans="1:13" ht="10.5" x14ac:dyDescent="0.25">
      <c r="A83" s="1" t="str">
        <f t="shared" si="7"/>
        <v>MORELOS</v>
      </c>
      <c r="B83" s="1" t="str">
        <f t="shared" si="8"/>
        <v>MORELOS</v>
      </c>
      <c r="F83" s="648" t="s">
        <v>624</v>
      </c>
      <c r="G83" s="648" t="s">
        <v>627</v>
      </c>
      <c r="I83" s="682" t="s">
        <v>637</v>
      </c>
      <c r="J83" s="682" t="s">
        <v>638</v>
      </c>
      <c r="L83" s="682" t="s">
        <v>639</v>
      </c>
      <c r="M83" s="682" t="s">
        <v>638</v>
      </c>
    </row>
    <row r="84" spans="1:13" x14ac:dyDescent="0.2">
      <c r="A84" s="1" t="str">
        <f t="shared" si="7"/>
        <v>MORELOSRANGO 1</v>
      </c>
      <c r="B84" s="1" t="str">
        <f t="shared" si="8"/>
        <v>MORELOS</v>
      </c>
      <c r="C84" s="649" t="s">
        <v>629</v>
      </c>
      <c r="D84" s="651">
        <v>0</v>
      </c>
      <c r="E84" s="652">
        <v>75000</v>
      </c>
      <c r="F84" s="700">
        <v>0.06</v>
      </c>
      <c r="G84" s="700">
        <v>0.03</v>
      </c>
      <c r="I84" s="683" t="s">
        <v>653</v>
      </c>
      <c r="J84" s="688">
        <v>0.06</v>
      </c>
      <c r="L84" s="683" t="s">
        <v>640</v>
      </c>
      <c r="M84" s="688">
        <v>0.03</v>
      </c>
    </row>
    <row r="85" spans="1:13" x14ac:dyDescent="0.2">
      <c r="A85" s="1" t="str">
        <f t="shared" si="7"/>
        <v>MORELOSRANGO 2</v>
      </c>
      <c r="B85" s="1" t="str">
        <f t="shared" si="8"/>
        <v>MORELOS</v>
      </c>
      <c r="C85" s="649" t="s">
        <v>630</v>
      </c>
      <c r="D85" s="652">
        <v>75000.009999999995</v>
      </c>
      <c r="E85" s="652">
        <v>150000</v>
      </c>
      <c r="F85" s="700">
        <v>0.06</v>
      </c>
      <c r="G85" s="700">
        <v>0.03</v>
      </c>
      <c r="I85" s="683" t="s">
        <v>646</v>
      </c>
      <c r="J85" s="688">
        <v>5.5E-2</v>
      </c>
      <c r="L85" s="683" t="s">
        <v>642</v>
      </c>
      <c r="M85" s="683">
        <v>2</v>
      </c>
    </row>
    <row r="86" spans="1:13" x14ac:dyDescent="0.2">
      <c r="A86" s="1" t="str">
        <f t="shared" si="7"/>
        <v>MORELOSRANGO 3</v>
      </c>
      <c r="B86" s="1" t="str">
        <f t="shared" si="8"/>
        <v>MORELOS</v>
      </c>
      <c r="C86" s="649" t="s">
        <v>631</v>
      </c>
      <c r="D86" s="652">
        <v>150000.01</v>
      </c>
      <c r="E86" s="652">
        <v>300000</v>
      </c>
      <c r="F86" s="700">
        <v>0.06</v>
      </c>
      <c r="G86" s="700">
        <v>0.03</v>
      </c>
      <c r="L86" s="683" t="s">
        <v>644</v>
      </c>
      <c r="M86" s="688">
        <v>1.4999999999999999E-2</v>
      </c>
    </row>
    <row r="87" spans="1:13" x14ac:dyDescent="0.2">
      <c r="A87" s="1" t="str">
        <f t="shared" ref="A87:A150" si="9">B87&amp;C87</f>
        <v>MORELOSRANGO 4</v>
      </c>
      <c r="B87" s="1" t="str">
        <f t="shared" ref="B87:B150" si="10">IF(AND(ISBLANK(C87)=FALSE,LEFT(C87,1)&lt;&gt;"R"),C87,IF(ISBLANK(C87),B86,B86))</f>
        <v>MORELOS</v>
      </c>
      <c r="C87" s="649" t="s">
        <v>632</v>
      </c>
      <c r="D87" s="652">
        <v>300000.01</v>
      </c>
      <c r="E87" s="652">
        <v>600000</v>
      </c>
      <c r="F87" s="700">
        <v>0.06</v>
      </c>
      <c r="G87" s="700">
        <v>0.03</v>
      </c>
      <c r="L87" s="683" t="s">
        <v>646</v>
      </c>
      <c r="M87" s="688">
        <v>0.01</v>
      </c>
    </row>
    <row r="88" spans="1:13" x14ac:dyDescent="0.2">
      <c r="A88" s="1" t="str">
        <f t="shared" si="9"/>
        <v>MORELOSRANGO 5</v>
      </c>
      <c r="B88" s="1" t="str">
        <f t="shared" si="10"/>
        <v>MORELOS</v>
      </c>
      <c r="C88" s="649" t="s">
        <v>633</v>
      </c>
      <c r="D88" s="652">
        <v>600000.01</v>
      </c>
      <c r="E88" s="652">
        <v>1200000</v>
      </c>
      <c r="F88" s="700">
        <v>0.06</v>
      </c>
      <c r="G88" s="700">
        <v>0.03</v>
      </c>
    </row>
    <row r="89" spans="1:13" x14ac:dyDescent="0.2">
      <c r="A89" s="1" t="str">
        <f t="shared" si="9"/>
        <v>MORELOSRANGO 6</v>
      </c>
      <c r="B89" s="1" t="str">
        <f t="shared" si="10"/>
        <v>MORELOS</v>
      </c>
      <c r="C89" s="649" t="s">
        <v>634</v>
      </c>
      <c r="D89" s="652">
        <v>1200000.01</v>
      </c>
      <c r="E89" s="652">
        <v>2400000</v>
      </c>
      <c r="F89" s="700">
        <v>0.06</v>
      </c>
      <c r="G89" s="699">
        <v>0.02</v>
      </c>
    </row>
    <row r="90" spans="1:13" x14ac:dyDescent="0.2">
      <c r="A90" s="1" t="str">
        <f t="shared" si="9"/>
        <v>MORELOSRANGO 7</v>
      </c>
      <c r="B90" s="1" t="str">
        <f t="shared" si="10"/>
        <v>MORELOS</v>
      </c>
      <c r="C90" s="649" t="s">
        <v>635</v>
      </c>
      <c r="D90" s="652">
        <v>2400000.0099999998</v>
      </c>
      <c r="E90" s="652">
        <v>4800000</v>
      </c>
      <c r="F90" s="700">
        <v>0.06</v>
      </c>
      <c r="G90" s="698">
        <v>1.4999999999999999E-2</v>
      </c>
    </row>
    <row r="91" spans="1:13" x14ac:dyDescent="0.2">
      <c r="A91" s="1" t="str">
        <f t="shared" si="9"/>
        <v>MORELOSRANGO 8</v>
      </c>
      <c r="B91" s="1" t="str">
        <f t="shared" si="10"/>
        <v>MORELOS</v>
      </c>
      <c r="C91" s="649" t="s">
        <v>636</v>
      </c>
      <c r="D91" s="652">
        <v>4800000.01</v>
      </c>
      <c r="E91" s="652">
        <v>999999999</v>
      </c>
      <c r="F91" s="699">
        <v>5.5E-2</v>
      </c>
      <c r="G91" s="701">
        <v>0.01</v>
      </c>
    </row>
    <row r="92" spans="1:13" x14ac:dyDescent="0.2">
      <c r="A92" s="1" t="str">
        <f t="shared" si="9"/>
        <v>MORELOS</v>
      </c>
      <c r="B92" s="1" t="str">
        <f t="shared" si="10"/>
        <v>MORELOS</v>
      </c>
    </row>
    <row r="93" spans="1:13" x14ac:dyDescent="0.2">
      <c r="A93" s="1" t="str">
        <f t="shared" si="9"/>
        <v>MORELOS</v>
      </c>
      <c r="B93" s="1" t="str">
        <f t="shared" si="10"/>
        <v>MORELOS</v>
      </c>
    </row>
    <row r="94" spans="1:13" ht="10.5" x14ac:dyDescent="0.2">
      <c r="A94" s="1" t="str">
        <f t="shared" si="9"/>
        <v>NAYARITNAYARIT</v>
      </c>
      <c r="B94" s="1" t="str">
        <f t="shared" si="10"/>
        <v>NAYARIT</v>
      </c>
      <c r="C94" s="657" t="s">
        <v>655</v>
      </c>
    </row>
    <row r="95" spans="1:13" ht="10.5" x14ac:dyDescent="0.25">
      <c r="A95" s="1" t="str">
        <f t="shared" si="9"/>
        <v>NAYARIT</v>
      </c>
      <c r="B95" s="1" t="str">
        <f t="shared" si="10"/>
        <v>NAYARIT</v>
      </c>
      <c r="F95" s="648" t="s">
        <v>624</v>
      </c>
      <c r="G95" s="648" t="s">
        <v>627</v>
      </c>
      <c r="I95" s="682" t="s">
        <v>637</v>
      </c>
      <c r="J95" s="682" t="s">
        <v>638</v>
      </c>
      <c r="L95" s="682" t="s">
        <v>639</v>
      </c>
      <c r="M95" s="682" t="s">
        <v>638</v>
      </c>
    </row>
    <row r="96" spans="1:13" x14ac:dyDescent="0.2">
      <c r="A96" s="1" t="str">
        <f t="shared" si="9"/>
        <v>NAYARITRANGO 1</v>
      </c>
      <c r="B96" s="1" t="str">
        <f t="shared" si="10"/>
        <v>NAYARIT</v>
      </c>
      <c r="C96" s="651" t="s">
        <v>629</v>
      </c>
      <c r="D96" s="651">
        <v>0</v>
      </c>
      <c r="E96" s="652">
        <v>75000</v>
      </c>
      <c r="F96" s="702">
        <v>7.0000000000000007E-2</v>
      </c>
      <c r="G96" s="702">
        <v>0.02</v>
      </c>
      <c r="I96" s="684" t="s">
        <v>640</v>
      </c>
      <c r="J96" s="689">
        <v>7.0000000000000007E-2</v>
      </c>
      <c r="L96" s="684" t="s">
        <v>648</v>
      </c>
      <c r="M96" s="689">
        <v>0.02</v>
      </c>
    </row>
    <row r="97" spans="1:13" x14ac:dyDescent="0.2">
      <c r="A97" s="1" t="str">
        <f t="shared" si="9"/>
        <v>NAYARITRANGO 2</v>
      </c>
      <c r="B97" s="1" t="str">
        <f t="shared" si="10"/>
        <v>NAYARIT</v>
      </c>
      <c r="C97" s="651" t="s">
        <v>630</v>
      </c>
      <c r="D97" s="652">
        <v>75000.009999999995</v>
      </c>
      <c r="E97" s="652">
        <v>150000</v>
      </c>
      <c r="F97" s="702">
        <v>7.0000000000000007E-2</v>
      </c>
      <c r="G97" s="702">
        <v>0.02</v>
      </c>
      <c r="I97" s="684" t="s">
        <v>642</v>
      </c>
      <c r="J97" s="689">
        <v>0.06</v>
      </c>
    </row>
    <row r="98" spans="1:13" x14ac:dyDescent="0.2">
      <c r="A98" s="1" t="str">
        <f t="shared" si="9"/>
        <v>NAYARITRANGO 3</v>
      </c>
      <c r="B98" s="1" t="str">
        <f t="shared" si="10"/>
        <v>NAYARIT</v>
      </c>
      <c r="C98" s="651" t="s">
        <v>631</v>
      </c>
      <c r="D98" s="652">
        <v>150000.01</v>
      </c>
      <c r="E98" s="652">
        <v>300000</v>
      </c>
      <c r="F98" s="702">
        <v>7.0000000000000007E-2</v>
      </c>
      <c r="G98" s="702">
        <v>0.02</v>
      </c>
      <c r="I98" s="684" t="s">
        <v>644</v>
      </c>
      <c r="J98" s="689">
        <v>5.5E-2</v>
      </c>
    </row>
    <row r="99" spans="1:13" x14ac:dyDescent="0.2">
      <c r="A99" s="1" t="str">
        <f t="shared" si="9"/>
        <v>NAYARITRANGO 4</v>
      </c>
      <c r="B99" s="1" t="str">
        <f t="shared" si="10"/>
        <v>NAYARIT</v>
      </c>
      <c r="C99" s="651" t="s">
        <v>632</v>
      </c>
      <c r="D99" s="652">
        <v>300000.01</v>
      </c>
      <c r="E99" s="652">
        <v>600000</v>
      </c>
      <c r="F99" s="702">
        <v>7.0000000000000007E-2</v>
      </c>
      <c r="G99" s="702">
        <v>0.02</v>
      </c>
      <c r="I99" s="684" t="s">
        <v>646</v>
      </c>
      <c r="J99" s="689">
        <v>4.4999999999999998E-2</v>
      </c>
    </row>
    <row r="100" spans="1:13" x14ac:dyDescent="0.2">
      <c r="A100" s="1" t="str">
        <f t="shared" si="9"/>
        <v>NAYARITRANGO 5</v>
      </c>
      <c r="B100" s="1" t="str">
        <f t="shared" si="10"/>
        <v>NAYARIT</v>
      </c>
      <c r="C100" s="651" t="s">
        <v>633</v>
      </c>
      <c r="D100" s="652">
        <v>600000.01</v>
      </c>
      <c r="E100" s="652">
        <v>1200000</v>
      </c>
      <c r="F100" s="702">
        <v>7.0000000000000007E-2</v>
      </c>
      <c r="G100" s="702">
        <v>0.02</v>
      </c>
    </row>
    <row r="101" spans="1:13" x14ac:dyDescent="0.2">
      <c r="A101" s="1" t="str">
        <f t="shared" si="9"/>
        <v>NAYARITRANGO 6</v>
      </c>
      <c r="B101" s="1" t="str">
        <f t="shared" si="10"/>
        <v>NAYARIT</v>
      </c>
      <c r="C101" s="651" t="s">
        <v>634</v>
      </c>
      <c r="D101" s="652">
        <v>1200000.01</v>
      </c>
      <c r="E101" s="652">
        <v>2400000</v>
      </c>
      <c r="F101" s="703">
        <v>0.06</v>
      </c>
      <c r="G101" s="702">
        <v>0.02</v>
      </c>
    </row>
    <row r="102" spans="1:13" x14ac:dyDescent="0.2">
      <c r="A102" s="1" t="str">
        <f t="shared" si="9"/>
        <v>NAYARITRANGO 7</v>
      </c>
      <c r="B102" s="1" t="str">
        <f t="shared" si="10"/>
        <v>NAYARIT</v>
      </c>
      <c r="C102" s="651" t="s">
        <v>635</v>
      </c>
      <c r="D102" s="652">
        <v>2400000.0099999998</v>
      </c>
      <c r="E102" s="652">
        <v>4800000</v>
      </c>
      <c r="F102" s="704">
        <v>5.5E-2</v>
      </c>
      <c r="G102" s="702">
        <v>0.02</v>
      </c>
    </row>
    <row r="103" spans="1:13" x14ac:dyDescent="0.2">
      <c r="A103" s="1" t="str">
        <f t="shared" si="9"/>
        <v>NAYARITRANGO 8</v>
      </c>
      <c r="B103" s="1" t="str">
        <f t="shared" si="10"/>
        <v>NAYARIT</v>
      </c>
      <c r="C103" s="651" t="s">
        <v>636</v>
      </c>
      <c r="D103" s="652">
        <v>4800000.01</v>
      </c>
      <c r="E103" s="652">
        <v>999999999</v>
      </c>
      <c r="F103" s="705">
        <v>4.4999999999999998E-2</v>
      </c>
      <c r="G103" s="702">
        <v>0.02</v>
      </c>
    </row>
    <row r="104" spans="1:13" x14ac:dyDescent="0.2">
      <c r="A104" s="1" t="str">
        <f t="shared" si="9"/>
        <v>NAYARIT</v>
      </c>
      <c r="B104" s="1" t="str">
        <f t="shared" si="10"/>
        <v>NAYARIT</v>
      </c>
    </row>
    <row r="105" spans="1:13" x14ac:dyDescent="0.2">
      <c r="A105" s="1" t="str">
        <f t="shared" si="9"/>
        <v>NAYARIT</v>
      </c>
      <c r="B105" s="1" t="str">
        <f t="shared" si="10"/>
        <v>NAYARIT</v>
      </c>
    </row>
    <row r="106" spans="1:13" ht="10.5" x14ac:dyDescent="0.2">
      <c r="A106" s="1" t="str">
        <f t="shared" si="9"/>
        <v>OAXACAOAXACA</v>
      </c>
      <c r="B106" s="1" t="str">
        <f t="shared" si="10"/>
        <v>OAXACA</v>
      </c>
      <c r="C106" s="657" t="s">
        <v>656</v>
      </c>
    </row>
    <row r="107" spans="1:13" ht="10.5" x14ac:dyDescent="0.25">
      <c r="A107" s="1" t="str">
        <f t="shared" si="9"/>
        <v>OAXACA</v>
      </c>
      <c r="B107" s="1" t="str">
        <f t="shared" si="10"/>
        <v>OAXACA</v>
      </c>
      <c r="F107" s="648" t="s">
        <v>624</v>
      </c>
      <c r="G107" s="648" t="s">
        <v>627</v>
      </c>
      <c r="I107" s="682" t="s">
        <v>637</v>
      </c>
      <c r="J107" s="682" t="s">
        <v>638</v>
      </c>
      <c r="L107" s="682" t="s">
        <v>639</v>
      </c>
      <c r="M107" s="682" t="s">
        <v>638</v>
      </c>
    </row>
    <row r="108" spans="1:13" x14ac:dyDescent="0.2">
      <c r="A108" s="1" t="str">
        <f t="shared" si="9"/>
        <v>OAXACARANGO 1</v>
      </c>
      <c r="B108" s="1" t="str">
        <f t="shared" si="10"/>
        <v>OAXACA</v>
      </c>
      <c r="C108" s="651" t="s">
        <v>629</v>
      </c>
      <c r="D108" s="651">
        <v>0</v>
      </c>
      <c r="E108" s="652">
        <v>75000</v>
      </c>
      <c r="F108" s="702">
        <v>5.5E-2</v>
      </c>
      <c r="G108" s="702">
        <v>0.02</v>
      </c>
      <c r="I108" s="684" t="s">
        <v>657</v>
      </c>
      <c r="J108" s="689">
        <v>5.5E-2</v>
      </c>
      <c r="L108" s="684" t="s">
        <v>648</v>
      </c>
      <c r="M108" s="689">
        <v>0.02</v>
      </c>
    </row>
    <row r="109" spans="1:13" x14ac:dyDescent="0.2">
      <c r="A109" s="1" t="str">
        <f t="shared" si="9"/>
        <v>OAXACARANGO 2</v>
      </c>
      <c r="B109" s="1" t="str">
        <f t="shared" si="10"/>
        <v>OAXACA</v>
      </c>
      <c r="C109" s="651" t="s">
        <v>630</v>
      </c>
      <c r="D109" s="652">
        <v>75000.009999999995</v>
      </c>
      <c r="E109" s="652">
        <v>150000</v>
      </c>
      <c r="F109" s="702">
        <v>5.5E-2</v>
      </c>
      <c r="G109" s="702">
        <v>0.02</v>
      </c>
      <c r="I109" s="684" t="s">
        <v>650</v>
      </c>
      <c r="J109" s="689">
        <v>0.05</v>
      </c>
    </row>
    <row r="110" spans="1:13" x14ac:dyDescent="0.2">
      <c r="A110" s="1" t="str">
        <f t="shared" si="9"/>
        <v>OAXACARANGO 3</v>
      </c>
      <c r="B110" s="1" t="str">
        <f t="shared" si="10"/>
        <v>OAXACA</v>
      </c>
      <c r="C110" s="651" t="s">
        <v>631</v>
      </c>
      <c r="D110" s="652">
        <v>150000.01</v>
      </c>
      <c r="E110" s="652">
        <v>300000</v>
      </c>
      <c r="F110" s="702">
        <v>5.5E-2</v>
      </c>
      <c r="G110" s="702">
        <v>0.02</v>
      </c>
    </row>
    <row r="111" spans="1:13" x14ac:dyDescent="0.2">
      <c r="A111" s="1" t="str">
        <f t="shared" si="9"/>
        <v>OAXACARANGO 4</v>
      </c>
      <c r="B111" s="1" t="str">
        <f t="shared" si="10"/>
        <v>OAXACA</v>
      </c>
      <c r="C111" s="651" t="s">
        <v>632</v>
      </c>
      <c r="D111" s="652">
        <v>300000.01</v>
      </c>
      <c r="E111" s="652">
        <v>600000</v>
      </c>
      <c r="F111" s="702">
        <v>5.5E-2</v>
      </c>
      <c r="G111" s="702">
        <v>0.02</v>
      </c>
    </row>
    <row r="112" spans="1:13" x14ac:dyDescent="0.2">
      <c r="A112" s="1" t="str">
        <f t="shared" si="9"/>
        <v>OAXACARANGO 5</v>
      </c>
      <c r="B112" s="1" t="str">
        <f t="shared" si="10"/>
        <v>OAXACA</v>
      </c>
      <c r="C112" s="651" t="s">
        <v>633</v>
      </c>
      <c r="D112" s="652">
        <v>600000.01</v>
      </c>
      <c r="E112" s="652">
        <v>1200000</v>
      </c>
      <c r="F112" s="702">
        <v>5.5E-2</v>
      </c>
      <c r="G112" s="702">
        <v>0.02</v>
      </c>
    </row>
    <row r="113" spans="1:13" x14ac:dyDescent="0.2">
      <c r="A113" s="1" t="str">
        <f t="shared" si="9"/>
        <v>OAXACARANGO 6</v>
      </c>
      <c r="B113" s="1" t="str">
        <f t="shared" si="10"/>
        <v>OAXACA</v>
      </c>
      <c r="C113" s="651" t="s">
        <v>634</v>
      </c>
      <c r="D113" s="652">
        <v>1200000.01</v>
      </c>
      <c r="E113" s="652">
        <v>2400000</v>
      </c>
      <c r="F113" s="702">
        <v>5.5E-2</v>
      </c>
      <c r="G113" s="702">
        <v>0.02</v>
      </c>
    </row>
    <row r="114" spans="1:13" x14ac:dyDescent="0.2">
      <c r="A114" s="1" t="str">
        <f t="shared" si="9"/>
        <v>OAXACARANGO 7</v>
      </c>
      <c r="B114" s="1" t="str">
        <f t="shared" si="10"/>
        <v>OAXACA</v>
      </c>
      <c r="C114" s="651" t="s">
        <v>635</v>
      </c>
      <c r="D114" s="652">
        <v>2400000.0099999998</v>
      </c>
      <c r="E114" s="652">
        <v>4800000</v>
      </c>
      <c r="F114" s="703">
        <v>0.05</v>
      </c>
      <c r="G114" s="702">
        <v>0.02</v>
      </c>
    </row>
    <row r="115" spans="1:13" x14ac:dyDescent="0.2">
      <c r="A115" s="1" t="str">
        <f t="shared" si="9"/>
        <v>OAXACARANGO 8</v>
      </c>
      <c r="B115" s="1" t="str">
        <f t="shared" si="10"/>
        <v>OAXACA</v>
      </c>
      <c r="C115" s="651" t="s">
        <v>636</v>
      </c>
      <c r="D115" s="652">
        <v>4800000.01</v>
      </c>
      <c r="E115" s="652">
        <v>999999999</v>
      </c>
      <c r="F115" s="703">
        <v>0.05</v>
      </c>
      <c r="G115" s="702">
        <v>0.02</v>
      </c>
    </row>
    <row r="116" spans="1:13" x14ac:dyDescent="0.2">
      <c r="A116" s="1" t="str">
        <f t="shared" si="9"/>
        <v>OAXACA</v>
      </c>
      <c r="B116" s="1" t="str">
        <f t="shared" si="10"/>
        <v>OAXACA</v>
      </c>
    </row>
    <row r="117" spans="1:13" x14ac:dyDescent="0.2">
      <c r="A117" s="1" t="str">
        <f t="shared" si="9"/>
        <v>OAXACA</v>
      </c>
      <c r="B117" s="1" t="str">
        <f t="shared" si="10"/>
        <v>OAXACA</v>
      </c>
    </row>
    <row r="118" spans="1:13" ht="10.5" x14ac:dyDescent="0.2">
      <c r="A118" s="1" t="str">
        <f t="shared" si="9"/>
        <v>SINALOASINALOA</v>
      </c>
      <c r="B118" s="1" t="str">
        <f t="shared" si="10"/>
        <v>SINALOA</v>
      </c>
      <c r="C118" s="657" t="s">
        <v>658</v>
      </c>
    </row>
    <row r="119" spans="1:13" ht="10.5" x14ac:dyDescent="0.25">
      <c r="A119" s="1" t="str">
        <f t="shared" si="9"/>
        <v>SINALOA</v>
      </c>
      <c r="B119" s="1" t="str">
        <f t="shared" si="10"/>
        <v>SINALOA</v>
      </c>
      <c r="F119" s="648" t="s">
        <v>624</v>
      </c>
      <c r="G119" s="648" t="s">
        <v>627</v>
      </c>
      <c r="I119" s="682" t="s">
        <v>637</v>
      </c>
      <c r="J119" s="682" t="s">
        <v>638</v>
      </c>
      <c r="L119" s="682" t="s">
        <v>639</v>
      </c>
      <c r="M119" s="682" t="s">
        <v>638</v>
      </c>
    </row>
    <row r="120" spans="1:13" x14ac:dyDescent="0.2">
      <c r="A120" s="1" t="str">
        <f t="shared" si="9"/>
        <v>SINALOARANGO 1</v>
      </c>
      <c r="B120" s="1" t="str">
        <f t="shared" si="10"/>
        <v>SINALOA</v>
      </c>
      <c r="C120" s="649" t="s">
        <v>629</v>
      </c>
      <c r="D120" s="651">
        <v>0</v>
      </c>
      <c r="E120" s="652">
        <v>75000</v>
      </c>
      <c r="F120" s="700">
        <v>6.5000000000000002E-2</v>
      </c>
      <c r="G120" s="700">
        <v>0.03</v>
      </c>
      <c r="I120" s="683" t="s">
        <v>640</v>
      </c>
      <c r="J120" s="688">
        <v>6.5000000000000002E-2</v>
      </c>
      <c r="L120" s="683" t="s">
        <v>640</v>
      </c>
      <c r="M120" s="688">
        <v>0.03</v>
      </c>
    </row>
    <row r="121" spans="1:13" x14ac:dyDescent="0.2">
      <c r="A121" s="1" t="str">
        <f t="shared" si="9"/>
        <v>SINALOARANGO 2</v>
      </c>
      <c r="B121" s="1" t="str">
        <f t="shared" si="10"/>
        <v>SINALOA</v>
      </c>
      <c r="C121" s="649" t="s">
        <v>630</v>
      </c>
      <c r="D121" s="652">
        <v>75000.009999999995</v>
      </c>
      <c r="E121" s="652">
        <v>150000</v>
      </c>
      <c r="F121" s="700">
        <v>6.5000000000000002E-2</v>
      </c>
      <c r="G121" s="700">
        <v>0.03</v>
      </c>
      <c r="I121" s="683" t="s">
        <v>642</v>
      </c>
      <c r="J121" s="688">
        <v>5.5E-2</v>
      </c>
      <c r="L121" s="683" t="s">
        <v>659</v>
      </c>
      <c r="M121" s="688">
        <v>0.02</v>
      </c>
    </row>
    <row r="122" spans="1:13" x14ac:dyDescent="0.2">
      <c r="A122" s="1" t="str">
        <f t="shared" si="9"/>
        <v>SINALOARANGO 3</v>
      </c>
      <c r="B122" s="1" t="str">
        <f t="shared" si="10"/>
        <v>SINALOA</v>
      </c>
      <c r="C122" s="649" t="s">
        <v>631</v>
      </c>
      <c r="D122" s="652">
        <v>150000.01</v>
      </c>
      <c r="E122" s="652">
        <v>300000</v>
      </c>
      <c r="F122" s="700">
        <v>6.5000000000000002E-2</v>
      </c>
      <c r="G122" s="700">
        <v>0.03</v>
      </c>
      <c r="I122" s="683" t="s">
        <v>650</v>
      </c>
      <c r="J122" s="688">
        <v>0.05</v>
      </c>
      <c r="L122" s="683" t="s">
        <v>646</v>
      </c>
      <c r="M122" s="688">
        <v>0.01</v>
      </c>
    </row>
    <row r="123" spans="1:13" x14ac:dyDescent="0.2">
      <c r="A123" s="1" t="str">
        <f t="shared" si="9"/>
        <v>SINALOARANGO 4</v>
      </c>
      <c r="B123" s="1" t="str">
        <f t="shared" si="10"/>
        <v>SINALOA</v>
      </c>
      <c r="C123" s="649" t="s">
        <v>632</v>
      </c>
      <c r="D123" s="652">
        <v>300000.01</v>
      </c>
      <c r="E123" s="652">
        <v>600000</v>
      </c>
      <c r="F123" s="700">
        <v>6.5000000000000002E-2</v>
      </c>
      <c r="G123" s="700">
        <v>0.03</v>
      </c>
    </row>
    <row r="124" spans="1:13" x14ac:dyDescent="0.2">
      <c r="A124" s="1" t="str">
        <f t="shared" si="9"/>
        <v>SINALOARANGO 5</v>
      </c>
      <c r="B124" s="1" t="str">
        <f t="shared" si="10"/>
        <v>SINALOA</v>
      </c>
      <c r="C124" s="649" t="s">
        <v>633</v>
      </c>
      <c r="D124" s="652">
        <v>600000.01</v>
      </c>
      <c r="E124" s="652">
        <v>1200000</v>
      </c>
      <c r="F124" s="700">
        <v>6.5000000000000002E-2</v>
      </c>
      <c r="G124" s="700">
        <v>0.03</v>
      </c>
    </row>
    <row r="125" spans="1:13" x14ac:dyDescent="0.2">
      <c r="A125" s="1" t="str">
        <f t="shared" si="9"/>
        <v>SINALOARANGO 6</v>
      </c>
      <c r="B125" s="1" t="str">
        <f t="shared" si="10"/>
        <v>SINALOA</v>
      </c>
      <c r="C125" s="649" t="s">
        <v>634</v>
      </c>
      <c r="D125" s="652">
        <v>1200000.01</v>
      </c>
      <c r="E125" s="652">
        <v>2400000</v>
      </c>
      <c r="F125" s="699">
        <v>5.5E-2</v>
      </c>
      <c r="G125" s="699">
        <v>0.02</v>
      </c>
    </row>
    <row r="126" spans="1:13" x14ac:dyDescent="0.2">
      <c r="A126" s="1" t="str">
        <f t="shared" si="9"/>
        <v>SINALOARANGO 7</v>
      </c>
      <c r="B126" s="1" t="str">
        <f t="shared" si="10"/>
        <v>SINALOA</v>
      </c>
      <c r="C126" s="649" t="s">
        <v>635</v>
      </c>
      <c r="D126" s="652">
        <v>2400000.0099999998</v>
      </c>
      <c r="E126" s="652">
        <v>4800000</v>
      </c>
      <c r="F126" s="698">
        <v>0.05</v>
      </c>
      <c r="G126" s="699">
        <v>0.02</v>
      </c>
    </row>
    <row r="127" spans="1:13" x14ac:dyDescent="0.2">
      <c r="A127" s="1" t="str">
        <f t="shared" si="9"/>
        <v>SINALOARANGO 8</v>
      </c>
      <c r="B127" s="1" t="str">
        <f t="shared" si="10"/>
        <v>SINALOA</v>
      </c>
      <c r="C127" s="649" t="s">
        <v>636</v>
      </c>
      <c r="D127" s="652">
        <v>4800000.01</v>
      </c>
      <c r="E127" s="652">
        <v>999999999</v>
      </c>
      <c r="F127" s="698">
        <v>0.05</v>
      </c>
      <c r="G127" s="698">
        <v>0.01</v>
      </c>
    </row>
    <row r="128" spans="1:13" x14ac:dyDescent="0.2">
      <c r="A128" s="1" t="str">
        <f t="shared" si="9"/>
        <v>SINALOA</v>
      </c>
      <c r="B128" s="1" t="str">
        <f t="shared" si="10"/>
        <v>SINALOA</v>
      </c>
    </row>
    <row r="129" spans="1:13" x14ac:dyDescent="0.2">
      <c r="A129" s="1" t="str">
        <f t="shared" si="9"/>
        <v>SINALOA</v>
      </c>
      <c r="B129" s="1" t="str">
        <f t="shared" si="10"/>
        <v>SINALOA</v>
      </c>
    </row>
    <row r="130" spans="1:13" ht="10.5" x14ac:dyDescent="0.2">
      <c r="A130" s="1" t="str">
        <f t="shared" si="9"/>
        <v>SONORASONORA</v>
      </c>
      <c r="B130" s="1" t="str">
        <f t="shared" si="10"/>
        <v>SONORA</v>
      </c>
      <c r="C130" s="657" t="s">
        <v>660</v>
      </c>
    </row>
    <row r="131" spans="1:13" ht="10.5" x14ac:dyDescent="0.25">
      <c r="A131" s="1" t="str">
        <f t="shared" si="9"/>
        <v>SONORA</v>
      </c>
      <c r="B131" s="1" t="str">
        <f t="shared" si="10"/>
        <v>SONORA</v>
      </c>
      <c r="F131" s="648" t="s">
        <v>624</v>
      </c>
      <c r="G131" s="648" t="s">
        <v>627</v>
      </c>
      <c r="I131" s="682" t="s">
        <v>637</v>
      </c>
      <c r="J131" s="682" t="s">
        <v>638</v>
      </c>
      <c r="L131" s="682" t="s">
        <v>639</v>
      </c>
      <c r="M131" s="682" t="s">
        <v>638</v>
      </c>
    </row>
    <row r="132" spans="1:13" x14ac:dyDescent="0.2">
      <c r="A132" s="1" t="str">
        <f t="shared" si="9"/>
        <v>SONORARANGO 1</v>
      </c>
      <c r="B132" s="1" t="str">
        <f t="shared" si="10"/>
        <v>SONORA</v>
      </c>
      <c r="C132" s="651" t="s">
        <v>629</v>
      </c>
      <c r="D132" s="651">
        <v>0</v>
      </c>
      <c r="E132" s="652">
        <v>75000</v>
      </c>
      <c r="F132" s="702">
        <v>6.5000000000000002E-2</v>
      </c>
      <c r="G132" s="702">
        <v>0.02</v>
      </c>
      <c r="I132" s="684" t="s">
        <v>640</v>
      </c>
      <c r="J132" s="689">
        <v>6.5000000000000002E-2</v>
      </c>
      <c r="L132" s="684" t="s">
        <v>648</v>
      </c>
      <c r="M132" s="689">
        <v>0.02</v>
      </c>
    </row>
    <row r="133" spans="1:13" x14ac:dyDescent="0.2">
      <c r="A133" s="1" t="str">
        <f t="shared" si="9"/>
        <v>SONORARANGO 2</v>
      </c>
      <c r="B133" s="1" t="str">
        <f t="shared" si="10"/>
        <v>SONORA</v>
      </c>
      <c r="C133" s="651" t="s">
        <v>630</v>
      </c>
      <c r="D133" s="652">
        <v>75000.009999999995</v>
      </c>
      <c r="E133" s="652">
        <v>150000</v>
      </c>
      <c r="F133" s="702">
        <v>6.5000000000000002E-2</v>
      </c>
      <c r="G133" s="702">
        <v>0.02</v>
      </c>
      <c r="I133" s="684" t="s">
        <v>645</v>
      </c>
      <c r="J133" s="689">
        <v>0.06</v>
      </c>
    </row>
    <row r="134" spans="1:13" x14ac:dyDescent="0.2">
      <c r="A134" s="1" t="str">
        <f t="shared" si="9"/>
        <v>SONORARANGO 3</v>
      </c>
      <c r="B134" s="1" t="str">
        <f t="shared" si="10"/>
        <v>SONORA</v>
      </c>
      <c r="C134" s="651" t="s">
        <v>631</v>
      </c>
      <c r="D134" s="652">
        <v>150000.01</v>
      </c>
      <c r="E134" s="652">
        <v>300000</v>
      </c>
      <c r="F134" s="702">
        <v>6.5000000000000002E-2</v>
      </c>
      <c r="G134" s="702">
        <v>0.02</v>
      </c>
    </row>
    <row r="135" spans="1:13" x14ac:dyDescent="0.2">
      <c r="A135" s="1" t="str">
        <f t="shared" si="9"/>
        <v>SONORARANGO 4</v>
      </c>
      <c r="B135" s="1" t="str">
        <f t="shared" si="10"/>
        <v>SONORA</v>
      </c>
      <c r="C135" s="651" t="s">
        <v>632</v>
      </c>
      <c r="D135" s="652">
        <v>300000.01</v>
      </c>
      <c r="E135" s="652">
        <v>600000</v>
      </c>
      <c r="F135" s="702">
        <v>6.5000000000000002E-2</v>
      </c>
      <c r="G135" s="702">
        <v>0.02</v>
      </c>
    </row>
    <row r="136" spans="1:13" x14ac:dyDescent="0.2">
      <c r="A136" s="1" t="str">
        <f t="shared" si="9"/>
        <v>SONORARANGO 5</v>
      </c>
      <c r="B136" s="1" t="str">
        <f t="shared" si="10"/>
        <v>SONORA</v>
      </c>
      <c r="C136" s="651" t="s">
        <v>633</v>
      </c>
      <c r="D136" s="652">
        <v>600000.01</v>
      </c>
      <c r="E136" s="652">
        <v>1200000</v>
      </c>
      <c r="F136" s="702">
        <v>6.5000000000000002E-2</v>
      </c>
      <c r="G136" s="702">
        <v>0.02</v>
      </c>
    </row>
    <row r="137" spans="1:13" x14ac:dyDescent="0.2">
      <c r="A137" s="1" t="str">
        <f t="shared" si="9"/>
        <v>SONORARANGO 6</v>
      </c>
      <c r="B137" s="1" t="str">
        <f t="shared" si="10"/>
        <v>SONORA</v>
      </c>
      <c r="C137" s="651" t="s">
        <v>634</v>
      </c>
      <c r="D137" s="652">
        <v>1200000.01</v>
      </c>
      <c r="E137" s="652">
        <v>2400000</v>
      </c>
      <c r="F137" s="703">
        <v>0.06</v>
      </c>
      <c r="G137" s="702">
        <v>0.02</v>
      </c>
    </row>
    <row r="138" spans="1:13" x14ac:dyDescent="0.2">
      <c r="A138" s="1" t="str">
        <f t="shared" si="9"/>
        <v>SONORARANGO 7</v>
      </c>
      <c r="B138" s="1" t="str">
        <f t="shared" si="10"/>
        <v>SONORA</v>
      </c>
      <c r="C138" s="651" t="s">
        <v>635</v>
      </c>
      <c r="D138" s="652">
        <v>2400000.0099999998</v>
      </c>
      <c r="E138" s="652">
        <v>4800000</v>
      </c>
      <c r="F138" s="703">
        <v>0.06</v>
      </c>
      <c r="G138" s="702">
        <v>0.02</v>
      </c>
    </row>
    <row r="139" spans="1:13" x14ac:dyDescent="0.2">
      <c r="A139" s="1" t="str">
        <f t="shared" si="9"/>
        <v>SONORARANGO 8</v>
      </c>
      <c r="B139" s="1" t="str">
        <f t="shared" si="10"/>
        <v>SONORA</v>
      </c>
      <c r="C139" s="651" t="s">
        <v>636</v>
      </c>
      <c r="D139" s="652">
        <v>4800000.01</v>
      </c>
      <c r="E139" s="652">
        <v>999999999</v>
      </c>
      <c r="F139" s="703">
        <v>0.06</v>
      </c>
      <c r="G139" s="702">
        <v>0.02</v>
      </c>
    </row>
    <row r="140" spans="1:13" x14ac:dyDescent="0.2">
      <c r="A140" s="1" t="str">
        <f t="shared" si="9"/>
        <v>SONORA</v>
      </c>
      <c r="B140" s="1" t="str">
        <f t="shared" si="10"/>
        <v>SONORA</v>
      </c>
    </row>
    <row r="141" spans="1:13" x14ac:dyDescent="0.2">
      <c r="A141" s="1" t="str">
        <f t="shared" si="9"/>
        <v>SONORA</v>
      </c>
      <c r="B141" s="1" t="str">
        <f t="shared" si="10"/>
        <v>SONORA</v>
      </c>
    </row>
    <row r="142" spans="1:13" ht="10.5" x14ac:dyDescent="0.2">
      <c r="A142" s="1" t="str">
        <f t="shared" si="9"/>
        <v>TABASCOTABASCO</v>
      </c>
      <c r="B142" s="1" t="str">
        <f t="shared" si="10"/>
        <v>TABASCO</v>
      </c>
      <c r="C142" s="657" t="s">
        <v>661</v>
      </c>
    </row>
    <row r="143" spans="1:13" ht="10.5" x14ac:dyDescent="0.25">
      <c r="A143" s="1" t="str">
        <f t="shared" si="9"/>
        <v>TABASCO</v>
      </c>
      <c r="B143" s="1" t="str">
        <f t="shared" si="10"/>
        <v>TABASCO</v>
      </c>
      <c r="F143" s="648" t="s">
        <v>624</v>
      </c>
      <c r="G143" s="648" t="s">
        <v>627</v>
      </c>
      <c r="I143" s="682" t="s">
        <v>637</v>
      </c>
      <c r="J143" s="682" t="s">
        <v>638</v>
      </c>
      <c r="L143" s="682" t="s">
        <v>639</v>
      </c>
      <c r="M143" s="682" t="s">
        <v>638</v>
      </c>
    </row>
    <row r="144" spans="1:13" x14ac:dyDescent="0.2">
      <c r="A144" s="1" t="str">
        <f t="shared" si="9"/>
        <v>TABASCORANGO 1</v>
      </c>
      <c r="B144" s="1" t="str">
        <f t="shared" si="10"/>
        <v>TABASCO</v>
      </c>
      <c r="C144" s="651" t="s">
        <v>629</v>
      </c>
      <c r="D144" s="651">
        <v>0</v>
      </c>
      <c r="E144" s="652">
        <v>75000</v>
      </c>
      <c r="F144" s="702">
        <v>6.5000000000000002E-2</v>
      </c>
      <c r="G144" s="702">
        <v>0.02</v>
      </c>
      <c r="I144" s="684" t="s">
        <v>657</v>
      </c>
      <c r="J144" s="689">
        <v>6.5000000000000002E-2</v>
      </c>
      <c r="L144" s="684" t="s">
        <v>648</v>
      </c>
      <c r="M144" s="689">
        <v>0.02</v>
      </c>
    </row>
    <row r="145" spans="1:13" x14ac:dyDescent="0.2">
      <c r="A145" s="1" t="str">
        <f t="shared" si="9"/>
        <v>TABASCORANGO 2</v>
      </c>
      <c r="B145" s="1" t="str">
        <f t="shared" si="10"/>
        <v>TABASCO</v>
      </c>
      <c r="C145" s="651" t="s">
        <v>630</v>
      </c>
      <c r="D145" s="652">
        <v>75000.009999999995</v>
      </c>
      <c r="E145" s="652">
        <v>150000</v>
      </c>
      <c r="F145" s="702">
        <v>6.5000000000000002E-2</v>
      </c>
      <c r="G145" s="702">
        <v>0.02</v>
      </c>
      <c r="I145" s="684" t="s">
        <v>644</v>
      </c>
      <c r="J145" s="689">
        <v>5.5E-2</v>
      </c>
    </row>
    <row r="146" spans="1:13" x14ac:dyDescent="0.2">
      <c r="A146" s="1" t="str">
        <f t="shared" si="9"/>
        <v>TABASCORANGO 3</v>
      </c>
      <c r="B146" s="1" t="str">
        <f t="shared" si="10"/>
        <v>TABASCO</v>
      </c>
      <c r="C146" s="651" t="s">
        <v>631</v>
      </c>
      <c r="D146" s="652">
        <v>150000.01</v>
      </c>
      <c r="E146" s="652">
        <v>300000</v>
      </c>
      <c r="F146" s="702">
        <v>6.5000000000000002E-2</v>
      </c>
      <c r="G146" s="702">
        <v>0.02</v>
      </c>
      <c r="I146" s="684" t="s">
        <v>646</v>
      </c>
      <c r="J146" s="689">
        <v>0.05</v>
      </c>
    </row>
    <row r="147" spans="1:13" x14ac:dyDescent="0.2">
      <c r="A147" s="1" t="str">
        <f t="shared" si="9"/>
        <v>TABASCORANGO 4</v>
      </c>
      <c r="B147" s="1" t="str">
        <f t="shared" si="10"/>
        <v>TABASCO</v>
      </c>
      <c r="C147" s="651" t="s">
        <v>632</v>
      </c>
      <c r="D147" s="652">
        <v>300000.01</v>
      </c>
      <c r="E147" s="652">
        <v>600000</v>
      </c>
      <c r="F147" s="702">
        <v>6.5000000000000002E-2</v>
      </c>
      <c r="G147" s="702">
        <v>0.02</v>
      </c>
    </row>
    <row r="148" spans="1:13" x14ac:dyDescent="0.2">
      <c r="A148" s="1" t="str">
        <f t="shared" si="9"/>
        <v>TABASCORANGO 5</v>
      </c>
      <c r="B148" s="1" t="str">
        <f t="shared" si="10"/>
        <v>TABASCO</v>
      </c>
      <c r="C148" s="651" t="s">
        <v>633</v>
      </c>
      <c r="D148" s="652">
        <v>600000.01</v>
      </c>
      <c r="E148" s="652">
        <v>1200000</v>
      </c>
      <c r="F148" s="702">
        <v>6.5000000000000002E-2</v>
      </c>
      <c r="G148" s="702">
        <v>0.02</v>
      </c>
    </row>
    <row r="149" spans="1:13" x14ac:dyDescent="0.2">
      <c r="A149" s="1" t="str">
        <f t="shared" si="9"/>
        <v>TABASCORANGO 6</v>
      </c>
      <c r="B149" s="1" t="str">
        <f t="shared" si="10"/>
        <v>TABASCO</v>
      </c>
      <c r="C149" s="651" t="s">
        <v>634</v>
      </c>
      <c r="D149" s="652">
        <v>1200000.01</v>
      </c>
      <c r="E149" s="652">
        <v>2400000</v>
      </c>
      <c r="F149" s="702">
        <v>6.5000000000000002E-2</v>
      </c>
      <c r="G149" s="702">
        <v>0.02</v>
      </c>
    </row>
    <row r="150" spans="1:13" x14ac:dyDescent="0.2">
      <c r="A150" s="1" t="str">
        <f t="shared" si="9"/>
        <v>TABASCORANGO 7</v>
      </c>
      <c r="B150" s="1" t="str">
        <f t="shared" si="10"/>
        <v>TABASCO</v>
      </c>
      <c r="C150" s="651" t="s">
        <v>635</v>
      </c>
      <c r="D150" s="652">
        <v>2400000.0099999998</v>
      </c>
      <c r="E150" s="652">
        <v>4800000</v>
      </c>
      <c r="F150" s="703">
        <v>5.5E-2</v>
      </c>
      <c r="G150" s="702">
        <v>0.02</v>
      </c>
    </row>
    <row r="151" spans="1:13" x14ac:dyDescent="0.2">
      <c r="A151" s="1" t="str">
        <f t="shared" ref="A151:A214" si="11">B151&amp;C151</f>
        <v>TABASCORANGO 8</v>
      </c>
      <c r="B151" s="1" t="str">
        <f t="shared" ref="B151:B214" si="12">IF(AND(ISBLANK(C151)=FALSE,LEFT(C151,1)&lt;&gt;"R"),C151,IF(ISBLANK(C151),B150,B150))</f>
        <v>TABASCO</v>
      </c>
      <c r="C151" s="651" t="s">
        <v>636</v>
      </c>
      <c r="D151" s="652">
        <v>4800000.01</v>
      </c>
      <c r="E151" s="652">
        <v>999999999</v>
      </c>
      <c r="F151" s="704">
        <v>0.05</v>
      </c>
      <c r="G151" s="702">
        <v>0.02</v>
      </c>
    </row>
    <row r="152" spans="1:13" x14ac:dyDescent="0.2">
      <c r="A152" s="1" t="str">
        <f t="shared" si="11"/>
        <v>TABASCO</v>
      </c>
      <c r="B152" s="1" t="str">
        <f t="shared" si="12"/>
        <v>TABASCO</v>
      </c>
    </row>
    <row r="153" spans="1:13" x14ac:dyDescent="0.2">
      <c r="A153" s="1" t="str">
        <f t="shared" si="11"/>
        <v>TABASCO</v>
      </c>
      <c r="B153" s="1" t="str">
        <f t="shared" si="12"/>
        <v>TABASCO</v>
      </c>
    </row>
    <row r="154" spans="1:13" ht="10.5" x14ac:dyDescent="0.2">
      <c r="A154" s="1" t="str">
        <f t="shared" si="11"/>
        <v>TLAXCALATLAXCALA</v>
      </c>
      <c r="B154" s="1" t="str">
        <f t="shared" si="12"/>
        <v>TLAXCALA</v>
      </c>
      <c r="C154" s="657" t="s">
        <v>662</v>
      </c>
    </row>
    <row r="155" spans="1:13" ht="10.5" x14ac:dyDescent="0.25">
      <c r="A155" s="1" t="str">
        <f t="shared" si="11"/>
        <v>TLAXCALA</v>
      </c>
      <c r="B155" s="1" t="str">
        <f t="shared" si="12"/>
        <v>TLAXCALA</v>
      </c>
      <c r="F155" s="648" t="s">
        <v>624</v>
      </c>
      <c r="G155" s="648" t="s">
        <v>627</v>
      </c>
      <c r="I155" s="682" t="s">
        <v>637</v>
      </c>
      <c r="J155" s="682" t="s">
        <v>638</v>
      </c>
      <c r="L155" s="682" t="s">
        <v>639</v>
      </c>
      <c r="M155" s="682" t="s">
        <v>638</v>
      </c>
    </row>
    <row r="156" spans="1:13" x14ac:dyDescent="0.2">
      <c r="A156" s="1" t="str">
        <f t="shared" si="11"/>
        <v>TLAXCALARANGO 1</v>
      </c>
      <c r="B156" s="1" t="str">
        <f t="shared" si="12"/>
        <v>TLAXCALA</v>
      </c>
      <c r="C156" s="651" t="s">
        <v>629</v>
      </c>
      <c r="D156" s="651">
        <v>0</v>
      </c>
      <c r="E156" s="652">
        <v>75000</v>
      </c>
      <c r="F156" s="702">
        <v>0.06</v>
      </c>
      <c r="G156" s="702">
        <v>2.5000000000000001E-2</v>
      </c>
      <c r="I156" s="684" t="s">
        <v>657</v>
      </c>
      <c r="J156" s="689">
        <v>0.06</v>
      </c>
      <c r="L156" s="684" t="s">
        <v>648</v>
      </c>
      <c r="M156" s="689">
        <v>2.5000000000000001E-2</v>
      </c>
    </row>
    <row r="157" spans="1:13" x14ac:dyDescent="0.2">
      <c r="A157" s="1" t="str">
        <f t="shared" si="11"/>
        <v>TLAXCALARANGO 2</v>
      </c>
      <c r="B157" s="1" t="str">
        <f t="shared" si="12"/>
        <v>TLAXCALA</v>
      </c>
      <c r="C157" s="651" t="s">
        <v>630</v>
      </c>
      <c r="D157" s="652">
        <v>75000.009999999995</v>
      </c>
      <c r="E157" s="652">
        <v>150000</v>
      </c>
      <c r="F157" s="702">
        <v>0.06</v>
      </c>
      <c r="G157" s="702">
        <v>2.5000000000000001E-2</v>
      </c>
      <c r="I157" s="684" t="s">
        <v>650</v>
      </c>
      <c r="J157" s="689">
        <v>4.4999999999999998E-2</v>
      </c>
    </row>
    <row r="158" spans="1:13" x14ac:dyDescent="0.2">
      <c r="A158" s="1" t="str">
        <f t="shared" si="11"/>
        <v>TLAXCALARANGO 3</v>
      </c>
      <c r="B158" s="1" t="str">
        <f t="shared" si="12"/>
        <v>TLAXCALA</v>
      </c>
      <c r="C158" s="651" t="s">
        <v>631</v>
      </c>
      <c r="D158" s="652">
        <v>150000.01</v>
      </c>
      <c r="E158" s="652">
        <v>300000</v>
      </c>
      <c r="F158" s="702">
        <v>0.06</v>
      </c>
      <c r="G158" s="702">
        <v>2.5000000000000001E-2</v>
      </c>
    </row>
    <row r="159" spans="1:13" x14ac:dyDescent="0.2">
      <c r="A159" s="1" t="str">
        <f t="shared" si="11"/>
        <v>TLAXCALARANGO 4</v>
      </c>
      <c r="B159" s="1" t="str">
        <f t="shared" si="12"/>
        <v>TLAXCALA</v>
      </c>
      <c r="C159" s="651" t="s">
        <v>632</v>
      </c>
      <c r="D159" s="652">
        <v>300000.01</v>
      </c>
      <c r="E159" s="652">
        <v>600000</v>
      </c>
      <c r="F159" s="702">
        <v>0.06</v>
      </c>
      <c r="G159" s="702">
        <v>2.5000000000000001E-2</v>
      </c>
    </row>
    <row r="160" spans="1:13" x14ac:dyDescent="0.2">
      <c r="A160" s="1" t="str">
        <f t="shared" si="11"/>
        <v>TLAXCALARANGO 5</v>
      </c>
      <c r="B160" s="1" t="str">
        <f t="shared" si="12"/>
        <v>TLAXCALA</v>
      </c>
      <c r="C160" s="651" t="s">
        <v>633</v>
      </c>
      <c r="D160" s="652">
        <v>600000.01</v>
      </c>
      <c r="E160" s="652">
        <v>1200000</v>
      </c>
      <c r="F160" s="702">
        <v>0.06</v>
      </c>
      <c r="G160" s="702">
        <v>2.5000000000000001E-2</v>
      </c>
    </row>
    <row r="161" spans="1:13" x14ac:dyDescent="0.2">
      <c r="A161" s="1" t="str">
        <f t="shared" si="11"/>
        <v>TLAXCALARANGO 6</v>
      </c>
      <c r="B161" s="1" t="str">
        <f t="shared" si="12"/>
        <v>TLAXCALA</v>
      </c>
      <c r="C161" s="651" t="s">
        <v>634</v>
      </c>
      <c r="D161" s="652">
        <v>1200000.01</v>
      </c>
      <c r="E161" s="652">
        <v>2400000</v>
      </c>
      <c r="F161" s="702">
        <v>0.06</v>
      </c>
      <c r="G161" s="702">
        <v>2.5000000000000001E-2</v>
      </c>
    </row>
    <row r="162" spans="1:13" x14ac:dyDescent="0.2">
      <c r="A162" s="1" t="str">
        <f t="shared" si="11"/>
        <v>TLAXCALARANGO 7</v>
      </c>
      <c r="B162" s="1" t="str">
        <f t="shared" si="12"/>
        <v>TLAXCALA</v>
      </c>
      <c r="C162" s="651" t="s">
        <v>635</v>
      </c>
      <c r="D162" s="652">
        <v>2400000.0099999998</v>
      </c>
      <c r="E162" s="652">
        <v>4800000</v>
      </c>
      <c r="F162" s="703">
        <v>4.4999999999999998E-2</v>
      </c>
      <c r="G162" s="702">
        <v>2.5000000000000001E-2</v>
      </c>
    </row>
    <row r="163" spans="1:13" x14ac:dyDescent="0.2">
      <c r="A163" s="1" t="str">
        <f t="shared" si="11"/>
        <v>TLAXCALARANGO 8</v>
      </c>
      <c r="B163" s="1" t="str">
        <f t="shared" si="12"/>
        <v>TLAXCALA</v>
      </c>
      <c r="C163" s="651" t="s">
        <v>636</v>
      </c>
      <c r="D163" s="652">
        <v>4800000.01</v>
      </c>
      <c r="E163" s="652">
        <v>999999999</v>
      </c>
      <c r="F163" s="703">
        <v>4.4999999999999998E-2</v>
      </c>
      <c r="G163" s="702">
        <v>2.5000000000000001E-2</v>
      </c>
    </row>
    <row r="164" spans="1:13" x14ac:dyDescent="0.2">
      <c r="A164" s="1" t="str">
        <f t="shared" si="11"/>
        <v>TLAXCALA</v>
      </c>
      <c r="B164" s="1" t="str">
        <f t="shared" si="12"/>
        <v>TLAXCALA</v>
      </c>
    </row>
    <row r="165" spans="1:13" x14ac:dyDescent="0.2">
      <c r="A165" s="1" t="str">
        <f t="shared" si="11"/>
        <v>TLAXCALA</v>
      </c>
      <c r="B165" s="1" t="str">
        <f t="shared" si="12"/>
        <v>TLAXCALA</v>
      </c>
    </row>
    <row r="166" spans="1:13" ht="10.5" x14ac:dyDescent="0.2">
      <c r="A166" s="1" t="str">
        <f t="shared" si="11"/>
        <v>VERACRUZVERACRUZ</v>
      </c>
      <c r="B166" s="1" t="str">
        <f t="shared" si="12"/>
        <v>VERACRUZ</v>
      </c>
      <c r="C166" s="657" t="s">
        <v>663</v>
      </c>
    </row>
    <row r="167" spans="1:13" ht="10.5" x14ac:dyDescent="0.25">
      <c r="A167" s="1" t="str">
        <f t="shared" si="11"/>
        <v>VERACRUZ</v>
      </c>
      <c r="B167" s="1" t="str">
        <f t="shared" si="12"/>
        <v>VERACRUZ</v>
      </c>
      <c r="F167" s="648" t="s">
        <v>624</v>
      </c>
      <c r="G167" s="648" t="s">
        <v>627</v>
      </c>
      <c r="I167" s="682" t="s">
        <v>637</v>
      </c>
      <c r="J167" s="682" t="s">
        <v>638</v>
      </c>
      <c r="L167" s="682" t="s">
        <v>639</v>
      </c>
      <c r="M167" s="682" t="s">
        <v>638</v>
      </c>
    </row>
    <row r="168" spans="1:13" x14ac:dyDescent="0.2">
      <c r="A168" s="1" t="str">
        <f t="shared" si="11"/>
        <v>VERACRUZRANGO 1</v>
      </c>
      <c r="B168" s="1" t="str">
        <f t="shared" si="12"/>
        <v>VERACRUZ</v>
      </c>
      <c r="C168" s="649" t="s">
        <v>629</v>
      </c>
      <c r="D168" s="651">
        <v>0</v>
      </c>
      <c r="E168" s="652">
        <v>75000</v>
      </c>
      <c r="F168" s="700">
        <v>7.0000000000000007E-2</v>
      </c>
      <c r="G168" s="700">
        <v>3.5000000000000003E-2</v>
      </c>
      <c r="I168" s="683" t="s">
        <v>640</v>
      </c>
      <c r="J168" s="688">
        <v>7.0000000000000007E-2</v>
      </c>
      <c r="L168" s="683" t="s">
        <v>640</v>
      </c>
      <c r="M168" s="688">
        <v>3.5000000000000003E-2</v>
      </c>
    </row>
    <row r="169" spans="1:13" x14ac:dyDescent="0.2">
      <c r="A169" s="1" t="str">
        <f t="shared" si="11"/>
        <v>VERACRUZRANGO 2</v>
      </c>
      <c r="B169" s="1" t="str">
        <f t="shared" si="12"/>
        <v>VERACRUZ</v>
      </c>
      <c r="C169" s="649" t="s">
        <v>630</v>
      </c>
      <c r="D169" s="652">
        <v>75000.009999999995</v>
      </c>
      <c r="E169" s="652">
        <v>150000</v>
      </c>
      <c r="F169" s="700">
        <v>7.0000000000000007E-2</v>
      </c>
      <c r="G169" s="700">
        <v>3.5000000000000003E-2</v>
      </c>
      <c r="I169" s="683" t="s">
        <v>642</v>
      </c>
      <c r="J169" s="688">
        <v>0.06</v>
      </c>
      <c r="L169" s="683" t="s">
        <v>642</v>
      </c>
      <c r="M169" s="688">
        <v>0.02</v>
      </c>
    </row>
    <row r="170" spans="1:13" x14ac:dyDescent="0.2">
      <c r="A170" s="1" t="str">
        <f t="shared" si="11"/>
        <v>VERACRUZRANGO 3</v>
      </c>
      <c r="B170" s="1" t="str">
        <f t="shared" si="12"/>
        <v>VERACRUZ</v>
      </c>
      <c r="C170" s="649" t="s">
        <v>631</v>
      </c>
      <c r="D170" s="652">
        <v>150000.01</v>
      </c>
      <c r="E170" s="652">
        <v>300000</v>
      </c>
      <c r="F170" s="700">
        <v>7.0000000000000007E-2</v>
      </c>
      <c r="G170" s="700">
        <v>3.5000000000000003E-2</v>
      </c>
      <c r="I170" s="683" t="s">
        <v>644</v>
      </c>
      <c r="J170" s="688">
        <v>0.05</v>
      </c>
      <c r="L170" s="683" t="s">
        <v>650</v>
      </c>
      <c r="M170" s="688">
        <v>1.4999999999999999E-2</v>
      </c>
    </row>
    <row r="171" spans="1:13" x14ac:dyDescent="0.2">
      <c r="A171" s="1" t="str">
        <f t="shared" si="11"/>
        <v>VERACRUZRANGO 4</v>
      </c>
      <c r="B171" s="1" t="str">
        <f t="shared" si="12"/>
        <v>VERACRUZ</v>
      </c>
      <c r="C171" s="649" t="s">
        <v>632</v>
      </c>
      <c r="D171" s="652">
        <v>300000.01</v>
      </c>
      <c r="E171" s="652">
        <v>600000</v>
      </c>
      <c r="F171" s="700">
        <v>7.0000000000000007E-2</v>
      </c>
      <c r="G171" s="700">
        <v>3.5000000000000003E-2</v>
      </c>
      <c r="I171" s="683" t="s">
        <v>646</v>
      </c>
      <c r="J171" s="688">
        <v>0.04</v>
      </c>
    </row>
    <row r="172" spans="1:13" x14ac:dyDescent="0.2">
      <c r="A172" s="1" t="str">
        <f t="shared" si="11"/>
        <v>VERACRUZRANGO 5</v>
      </c>
      <c r="B172" s="1" t="str">
        <f t="shared" si="12"/>
        <v>VERACRUZ</v>
      </c>
      <c r="C172" s="649" t="s">
        <v>633</v>
      </c>
      <c r="D172" s="652">
        <v>600000.01</v>
      </c>
      <c r="E172" s="652">
        <v>1200000</v>
      </c>
      <c r="F172" s="700">
        <v>7.0000000000000007E-2</v>
      </c>
      <c r="G172" s="700">
        <v>3.5000000000000003E-2</v>
      </c>
    </row>
    <row r="173" spans="1:13" x14ac:dyDescent="0.2">
      <c r="A173" s="1" t="str">
        <f t="shared" si="11"/>
        <v>VERACRUZRANGO 6</v>
      </c>
      <c r="B173" s="1" t="str">
        <f t="shared" si="12"/>
        <v>VERACRUZ</v>
      </c>
      <c r="C173" s="649" t="s">
        <v>634</v>
      </c>
      <c r="D173" s="652">
        <v>1200000.01</v>
      </c>
      <c r="E173" s="652">
        <v>2400000</v>
      </c>
      <c r="F173" s="699">
        <v>0.06</v>
      </c>
      <c r="G173" s="699">
        <v>0.02</v>
      </c>
    </row>
    <row r="174" spans="1:13" x14ac:dyDescent="0.2">
      <c r="A174" s="1" t="str">
        <f t="shared" si="11"/>
        <v>VERACRUZRANGO 7</v>
      </c>
      <c r="B174" s="1" t="str">
        <f t="shared" si="12"/>
        <v>VERACRUZ</v>
      </c>
      <c r="C174" s="649" t="s">
        <v>635</v>
      </c>
      <c r="D174" s="652">
        <v>2400000.0099999998</v>
      </c>
      <c r="E174" s="652">
        <v>4800000</v>
      </c>
      <c r="F174" s="698">
        <v>0.05</v>
      </c>
      <c r="G174" s="698">
        <v>1.4999999999999999E-2</v>
      </c>
    </row>
    <row r="175" spans="1:13" x14ac:dyDescent="0.2">
      <c r="A175" s="1" t="str">
        <f t="shared" si="11"/>
        <v>VERACRUZRANGO 8</v>
      </c>
      <c r="B175" s="1" t="str">
        <f t="shared" si="12"/>
        <v>VERACRUZ</v>
      </c>
      <c r="C175" s="649" t="s">
        <v>636</v>
      </c>
      <c r="D175" s="652">
        <v>4800000.01</v>
      </c>
      <c r="E175" s="652">
        <v>999999999</v>
      </c>
      <c r="F175" s="701">
        <v>0.04</v>
      </c>
      <c r="G175" s="698">
        <v>1.4999999999999999E-2</v>
      </c>
    </row>
    <row r="176" spans="1:13" x14ac:dyDescent="0.2">
      <c r="A176" s="1" t="str">
        <f t="shared" si="11"/>
        <v>VERACRUZ</v>
      </c>
      <c r="B176" s="1" t="str">
        <f t="shared" si="12"/>
        <v>VERACRUZ</v>
      </c>
    </row>
    <row r="177" spans="1:13" x14ac:dyDescent="0.2">
      <c r="A177" s="1" t="str">
        <f t="shared" si="11"/>
        <v>VERACRUZ</v>
      </c>
      <c r="B177" s="1" t="str">
        <f t="shared" si="12"/>
        <v>VERACRUZ</v>
      </c>
    </row>
    <row r="178" spans="1:13" ht="10.5" x14ac:dyDescent="0.25">
      <c r="A178" s="1" t="str">
        <f t="shared" si="11"/>
        <v>COAHUILACOAHUILA</v>
      </c>
      <c r="B178" s="1" t="str">
        <f t="shared" si="12"/>
        <v>COAHUILA</v>
      </c>
      <c r="C178" s="658" t="s">
        <v>664</v>
      </c>
    </row>
    <row r="179" spans="1:13" ht="10.5" x14ac:dyDescent="0.25">
      <c r="A179" s="1" t="str">
        <f t="shared" si="11"/>
        <v>COAHUILA</v>
      </c>
      <c r="B179" s="1" t="str">
        <f t="shared" si="12"/>
        <v>COAHUILA</v>
      </c>
      <c r="F179" s="648" t="s">
        <v>624</v>
      </c>
      <c r="G179" s="648" t="s">
        <v>627</v>
      </c>
      <c r="I179" s="682" t="s">
        <v>637</v>
      </c>
      <c r="J179" s="682" t="s">
        <v>638</v>
      </c>
      <c r="L179" s="682" t="s">
        <v>639</v>
      </c>
      <c r="M179" s="682" t="s">
        <v>638</v>
      </c>
    </row>
    <row r="180" spans="1:13" x14ac:dyDescent="0.2">
      <c r="A180" s="1" t="str">
        <f t="shared" si="11"/>
        <v>COAHUILARANGO 1</v>
      </c>
      <c r="B180" s="1" t="str">
        <f t="shared" si="12"/>
        <v>COAHUILA</v>
      </c>
      <c r="C180" s="651" t="s">
        <v>629</v>
      </c>
      <c r="D180" s="651">
        <v>0</v>
      </c>
      <c r="E180" s="652">
        <v>100000</v>
      </c>
      <c r="F180" s="702">
        <v>8.5000000000000006E-2</v>
      </c>
      <c r="G180" s="702">
        <v>0.04</v>
      </c>
      <c r="I180" s="684" t="s">
        <v>665</v>
      </c>
      <c r="J180" s="689">
        <v>8.5000000000000006E-2</v>
      </c>
      <c r="L180" s="684" t="s">
        <v>666</v>
      </c>
      <c r="M180" s="689">
        <v>0.04</v>
      </c>
    </row>
    <row r="181" spans="1:13" x14ac:dyDescent="0.2">
      <c r="A181" s="1" t="str">
        <f t="shared" si="11"/>
        <v>COAHUILARANGO 2</v>
      </c>
      <c r="B181" s="1" t="str">
        <f t="shared" si="12"/>
        <v>COAHUILA</v>
      </c>
      <c r="C181" s="651" t="s">
        <v>630</v>
      </c>
      <c r="D181" s="695">
        <v>100000.01</v>
      </c>
      <c r="E181" s="652">
        <v>200000</v>
      </c>
      <c r="F181" s="702">
        <v>8.5000000000000006E-2</v>
      </c>
      <c r="G181" s="702">
        <v>0.04</v>
      </c>
      <c r="I181" s="684" t="s">
        <v>667</v>
      </c>
      <c r="J181" s="689">
        <v>7.0000000000000007E-2</v>
      </c>
      <c r="L181" s="684" t="s">
        <v>668</v>
      </c>
      <c r="M181" s="689">
        <v>3.5000000000000003E-2</v>
      </c>
    </row>
    <row r="182" spans="1:13" x14ac:dyDescent="0.2">
      <c r="A182" s="1" t="str">
        <f t="shared" si="11"/>
        <v>COAHUILARANGO 3</v>
      </c>
      <c r="B182" s="1" t="str">
        <f t="shared" si="12"/>
        <v>COAHUILA</v>
      </c>
      <c r="C182" s="651" t="s">
        <v>631</v>
      </c>
      <c r="D182" s="695">
        <v>200000.01</v>
      </c>
      <c r="E182" s="652">
        <v>300000</v>
      </c>
      <c r="F182" s="702">
        <v>8.5000000000000006E-2</v>
      </c>
      <c r="G182" s="702">
        <v>0.04</v>
      </c>
      <c r="L182" s="684" t="s">
        <v>669</v>
      </c>
      <c r="M182" s="689">
        <v>0.02</v>
      </c>
    </row>
    <row r="183" spans="1:13" x14ac:dyDescent="0.2">
      <c r="A183" s="1" t="str">
        <f t="shared" si="11"/>
        <v>COAHUILARANGO 4</v>
      </c>
      <c r="B183" s="1" t="str">
        <f t="shared" si="12"/>
        <v>COAHUILA</v>
      </c>
      <c r="C183" s="651" t="s">
        <v>632</v>
      </c>
      <c r="D183" s="652">
        <v>300000.01</v>
      </c>
      <c r="E183" s="652">
        <v>400000</v>
      </c>
      <c r="F183" s="702">
        <v>8.5000000000000006E-2</v>
      </c>
      <c r="G183" s="702">
        <v>0.04</v>
      </c>
    </row>
    <row r="184" spans="1:13" x14ac:dyDescent="0.2">
      <c r="A184" s="1" t="str">
        <f t="shared" si="11"/>
        <v>COAHUILARANGO 5</v>
      </c>
      <c r="B184" s="1" t="str">
        <f t="shared" si="12"/>
        <v>COAHUILA</v>
      </c>
      <c r="C184" s="651" t="s">
        <v>633</v>
      </c>
      <c r="D184" s="652">
        <v>400000.01</v>
      </c>
      <c r="E184" s="652">
        <v>500000</v>
      </c>
      <c r="F184" s="702">
        <v>8.5000000000000006E-2</v>
      </c>
      <c r="G184" s="702">
        <v>0.04</v>
      </c>
    </row>
    <row r="185" spans="1:13" x14ac:dyDescent="0.2">
      <c r="A185" s="1" t="str">
        <f t="shared" si="11"/>
        <v>COAHUILARANGO 6</v>
      </c>
      <c r="B185" s="1" t="str">
        <f t="shared" si="12"/>
        <v>COAHUILA</v>
      </c>
      <c r="C185" s="651" t="s">
        <v>634</v>
      </c>
      <c r="D185" s="652">
        <v>500000.01</v>
      </c>
      <c r="E185" s="652">
        <v>750000</v>
      </c>
      <c r="F185" s="702">
        <v>8.5000000000000006E-2</v>
      </c>
      <c r="G185" s="703">
        <v>3.5000000000000003E-2</v>
      </c>
    </row>
    <row r="186" spans="1:13" x14ac:dyDescent="0.2">
      <c r="A186" s="1" t="str">
        <f t="shared" si="11"/>
        <v>COAHUILARANGO 7</v>
      </c>
      <c r="B186" s="1" t="str">
        <f t="shared" si="12"/>
        <v>COAHUILA</v>
      </c>
      <c r="C186" s="651" t="s">
        <v>635</v>
      </c>
      <c r="D186" s="695">
        <v>750000.01</v>
      </c>
      <c r="E186" s="652">
        <v>1000000</v>
      </c>
      <c r="F186" s="702">
        <v>8.5000000000000006E-2</v>
      </c>
      <c r="G186" s="703">
        <v>3.5000000000000003E-2</v>
      </c>
    </row>
    <row r="187" spans="1:13" x14ac:dyDescent="0.2">
      <c r="A187" s="1" t="str">
        <f t="shared" si="11"/>
        <v>COAHUILARANGO 8</v>
      </c>
      <c r="B187" s="1" t="str">
        <f t="shared" si="12"/>
        <v>COAHUILA</v>
      </c>
      <c r="C187" s="651" t="s">
        <v>636</v>
      </c>
      <c r="D187" s="652">
        <v>1000000.01</v>
      </c>
      <c r="E187" s="652">
        <v>999999999</v>
      </c>
      <c r="F187" s="703">
        <v>7.0000000000000007E-2</v>
      </c>
      <c r="G187" s="704">
        <v>0.02</v>
      </c>
    </row>
    <row r="188" spans="1:13" x14ac:dyDescent="0.2">
      <c r="A188" s="1" t="str">
        <f t="shared" si="11"/>
        <v>COAHUILA</v>
      </c>
      <c r="B188" s="1" t="str">
        <f t="shared" si="12"/>
        <v>COAHUILA</v>
      </c>
    </row>
    <row r="189" spans="1:13" x14ac:dyDescent="0.2">
      <c r="A189" s="1" t="str">
        <f t="shared" si="11"/>
        <v>COAHUILA</v>
      </c>
      <c r="B189" s="1" t="str">
        <f t="shared" si="12"/>
        <v>COAHUILA</v>
      </c>
    </row>
    <row r="190" spans="1:13" ht="10.5" x14ac:dyDescent="0.25">
      <c r="A190" s="1" t="str">
        <f t="shared" si="11"/>
        <v>CHIHUAHUACHIHUAHUA</v>
      </c>
      <c r="B190" s="1" t="str">
        <f t="shared" si="12"/>
        <v>CHIHUAHUA</v>
      </c>
      <c r="C190" s="658" t="s">
        <v>670</v>
      </c>
    </row>
    <row r="191" spans="1:13" ht="10.5" x14ac:dyDescent="0.25">
      <c r="A191" s="1" t="str">
        <f t="shared" si="11"/>
        <v>CHIHUAHUA</v>
      </c>
      <c r="B191" s="1" t="str">
        <f t="shared" si="12"/>
        <v>CHIHUAHUA</v>
      </c>
      <c r="F191" s="648" t="s">
        <v>624</v>
      </c>
      <c r="G191" s="648" t="s">
        <v>627</v>
      </c>
      <c r="I191" s="682" t="s">
        <v>637</v>
      </c>
      <c r="J191" s="682" t="s">
        <v>638</v>
      </c>
      <c r="L191" s="682" t="s">
        <v>639</v>
      </c>
      <c r="M191" s="682" t="s">
        <v>638</v>
      </c>
    </row>
    <row r="192" spans="1:13" x14ac:dyDescent="0.2">
      <c r="A192" s="1" t="str">
        <f t="shared" si="11"/>
        <v>CHIHUAHUARANGO 1</v>
      </c>
      <c r="B192" s="1" t="str">
        <f t="shared" si="12"/>
        <v>CHIHUAHUA</v>
      </c>
      <c r="C192" s="651" t="s">
        <v>629</v>
      </c>
      <c r="D192" s="651">
        <v>0</v>
      </c>
      <c r="E192" s="652">
        <v>100000</v>
      </c>
      <c r="F192" s="702">
        <v>0.08</v>
      </c>
      <c r="G192" s="706">
        <v>0.04</v>
      </c>
      <c r="I192" s="684" t="s">
        <v>665</v>
      </c>
      <c r="J192" s="689">
        <v>0.08</v>
      </c>
      <c r="L192" s="684" t="s">
        <v>666</v>
      </c>
      <c r="M192" s="690">
        <v>0.04</v>
      </c>
    </row>
    <row r="193" spans="1:13" x14ac:dyDescent="0.2">
      <c r="A193" s="1" t="str">
        <f t="shared" si="11"/>
        <v>CHIHUAHUARANGO 2</v>
      </c>
      <c r="B193" s="1" t="str">
        <f t="shared" si="12"/>
        <v>CHIHUAHUA</v>
      </c>
      <c r="C193" s="651" t="s">
        <v>630</v>
      </c>
      <c r="D193" s="695">
        <v>100000.01</v>
      </c>
      <c r="E193" s="652">
        <v>200000</v>
      </c>
      <c r="F193" s="702">
        <v>0.08</v>
      </c>
      <c r="G193" s="706">
        <v>0.04</v>
      </c>
      <c r="I193" s="684" t="s">
        <v>667</v>
      </c>
      <c r="J193" s="689">
        <v>0.06</v>
      </c>
      <c r="L193" s="684" t="s">
        <v>668</v>
      </c>
      <c r="M193" s="689">
        <v>3.5000000000000003E-2</v>
      </c>
    </row>
    <row r="194" spans="1:13" x14ac:dyDescent="0.2">
      <c r="A194" s="1" t="str">
        <f t="shared" si="11"/>
        <v>CHIHUAHUARANGO 3</v>
      </c>
      <c r="B194" s="1" t="str">
        <f t="shared" si="12"/>
        <v>CHIHUAHUA</v>
      </c>
      <c r="C194" s="651" t="s">
        <v>631</v>
      </c>
      <c r="D194" s="695">
        <v>200000.01</v>
      </c>
      <c r="E194" s="652">
        <v>300000</v>
      </c>
      <c r="F194" s="702">
        <v>0.08</v>
      </c>
      <c r="G194" s="706">
        <v>0.04</v>
      </c>
      <c r="I194" s="684"/>
      <c r="J194" s="684"/>
      <c r="L194" s="684" t="s">
        <v>669</v>
      </c>
      <c r="M194" s="690">
        <v>0.02</v>
      </c>
    </row>
    <row r="195" spans="1:13" x14ac:dyDescent="0.2">
      <c r="A195" s="1" t="str">
        <f t="shared" si="11"/>
        <v>CHIHUAHUARANGO 4</v>
      </c>
      <c r="B195" s="1" t="str">
        <f t="shared" si="12"/>
        <v>CHIHUAHUA</v>
      </c>
      <c r="C195" s="651" t="s">
        <v>632</v>
      </c>
      <c r="D195" s="652">
        <v>300000.01</v>
      </c>
      <c r="E195" s="652">
        <v>400000</v>
      </c>
      <c r="F195" s="702">
        <v>0.08</v>
      </c>
      <c r="G195" s="706">
        <v>0.04</v>
      </c>
    </row>
    <row r="196" spans="1:13" x14ac:dyDescent="0.2">
      <c r="A196" s="1" t="str">
        <f t="shared" si="11"/>
        <v>CHIHUAHUARANGO 5</v>
      </c>
      <c r="B196" s="1" t="str">
        <f t="shared" si="12"/>
        <v>CHIHUAHUA</v>
      </c>
      <c r="C196" s="651" t="s">
        <v>633</v>
      </c>
      <c r="D196" s="652">
        <v>400000.01</v>
      </c>
      <c r="E196" s="652">
        <v>500000</v>
      </c>
      <c r="F196" s="702">
        <v>0.08</v>
      </c>
      <c r="G196" s="706">
        <v>0.04</v>
      </c>
    </row>
    <row r="197" spans="1:13" x14ac:dyDescent="0.2">
      <c r="A197" s="1" t="str">
        <f t="shared" si="11"/>
        <v>CHIHUAHUARANGO 6</v>
      </c>
      <c r="B197" s="1" t="str">
        <f t="shared" si="12"/>
        <v>CHIHUAHUA</v>
      </c>
      <c r="C197" s="651" t="s">
        <v>634</v>
      </c>
      <c r="D197" s="652">
        <v>500000.01</v>
      </c>
      <c r="E197" s="652">
        <v>750000</v>
      </c>
      <c r="F197" s="702">
        <v>0.08</v>
      </c>
      <c r="G197" s="703">
        <v>3.5000000000000003E-2</v>
      </c>
    </row>
    <row r="198" spans="1:13" x14ac:dyDescent="0.2">
      <c r="A198" s="1" t="str">
        <f t="shared" si="11"/>
        <v>CHIHUAHUARANGO 7</v>
      </c>
      <c r="B198" s="1" t="str">
        <f t="shared" si="12"/>
        <v>CHIHUAHUA</v>
      </c>
      <c r="C198" s="651" t="s">
        <v>635</v>
      </c>
      <c r="D198" s="695">
        <v>750000.01</v>
      </c>
      <c r="E198" s="652">
        <v>1000000</v>
      </c>
      <c r="F198" s="702">
        <v>0.08</v>
      </c>
      <c r="G198" s="703">
        <v>3.5000000000000003E-2</v>
      </c>
    </row>
    <row r="199" spans="1:13" x14ac:dyDescent="0.2">
      <c r="A199" s="1" t="str">
        <f t="shared" si="11"/>
        <v>CHIHUAHUARANGO 8</v>
      </c>
      <c r="B199" s="1" t="str">
        <f t="shared" si="12"/>
        <v>CHIHUAHUA</v>
      </c>
      <c r="C199" s="651" t="s">
        <v>636</v>
      </c>
      <c r="D199" s="652">
        <v>1000000.01</v>
      </c>
      <c r="E199" s="652">
        <v>999999999</v>
      </c>
      <c r="F199" s="703">
        <v>0.06</v>
      </c>
      <c r="G199" s="707">
        <v>0.02</v>
      </c>
    </row>
    <row r="200" spans="1:13" x14ac:dyDescent="0.2">
      <c r="A200" s="1" t="str">
        <f t="shared" si="11"/>
        <v>CHIHUAHUA</v>
      </c>
      <c r="B200" s="1" t="str">
        <f t="shared" si="12"/>
        <v>CHIHUAHUA</v>
      </c>
    </row>
    <row r="201" spans="1:13" x14ac:dyDescent="0.2">
      <c r="A201" s="1" t="str">
        <f t="shared" si="11"/>
        <v>CHIHUAHUA</v>
      </c>
      <c r="B201" s="1" t="str">
        <f t="shared" si="12"/>
        <v>CHIHUAHUA</v>
      </c>
    </row>
    <row r="202" spans="1:13" ht="10.5" x14ac:dyDescent="0.25">
      <c r="A202" s="1" t="str">
        <f t="shared" si="11"/>
        <v>TAMAULIPASTAMAULIPAS</v>
      </c>
      <c r="B202" s="1" t="str">
        <f t="shared" si="12"/>
        <v>TAMAULIPAS</v>
      </c>
      <c r="C202" s="658" t="s">
        <v>671</v>
      </c>
    </row>
    <row r="203" spans="1:13" ht="10.5" x14ac:dyDescent="0.25">
      <c r="A203" s="1" t="str">
        <f t="shared" si="11"/>
        <v>TAMAULIPAS</v>
      </c>
      <c r="B203" s="1" t="str">
        <f t="shared" si="12"/>
        <v>TAMAULIPAS</v>
      </c>
      <c r="F203" s="648" t="s">
        <v>624</v>
      </c>
      <c r="G203" s="648" t="s">
        <v>627</v>
      </c>
      <c r="I203" s="682" t="s">
        <v>637</v>
      </c>
      <c r="J203" s="682" t="s">
        <v>638</v>
      </c>
      <c r="L203" s="682" t="s">
        <v>639</v>
      </c>
      <c r="M203" s="682" t="s">
        <v>638</v>
      </c>
    </row>
    <row r="204" spans="1:13" x14ac:dyDescent="0.2">
      <c r="A204" s="1" t="str">
        <f t="shared" si="11"/>
        <v>TAMAULIPASRANGO 1</v>
      </c>
      <c r="B204" s="1" t="str">
        <f t="shared" si="12"/>
        <v>TAMAULIPAS</v>
      </c>
      <c r="C204" s="651" t="s">
        <v>629</v>
      </c>
      <c r="D204" s="651">
        <v>0</v>
      </c>
      <c r="E204" s="652">
        <v>100000</v>
      </c>
      <c r="F204" s="702">
        <v>6.5000000000000002E-2</v>
      </c>
      <c r="G204" s="702">
        <v>2.5000000000000001E-2</v>
      </c>
      <c r="I204" s="684" t="s">
        <v>665</v>
      </c>
      <c r="J204" s="689">
        <v>6.5000000000000002E-2</v>
      </c>
      <c r="L204" s="684" t="s">
        <v>665</v>
      </c>
      <c r="M204" s="689">
        <v>2.5000000000000001E-2</v>
      </c>
    </row>
    <row r="205" spans="1:13" x14ac:dyDescent="0.2">
      <c r="A205" s="1" t="str">
        <f t="shared" si="11"/>
        <v>TAMAULIPASRANGO 2</v>
      </c>
      <c r="B205" s="1" t="str">
        <f t="shared" si="12"/>
        <v>TAMAULIPAS</v>
      </c>
      <c r="C205" s="651" t="s">
        <v>630</v>
      </c>
      <c r="D205" s="695">
        <v>100000.01</v>
      </c>
      <c r="E205" s="652">
        <v>200000</v>
      </c>
      <c r="F205" s="702">
        <v>6.5000000000000002E-2</v>
      </c>
      <c r="G205" s="702">
        <v>2.5000000000000001E-2</v>
      </c>
      <c r="I205" s="684" t="s">
        <v>667</v>
      </c>
      <c r="J205" s="689">
        <v>0.05</v>
      </c>
      <c r="L205" s="684" t="s">
        <v>669</v>
      </c>
      <c r="M205" s="689">
        <v>0.02</v>
      </c>
    </row>
    <row r="206" spans="1:13" x14ac:dyDescent="0.2">
      <c r="A206" s="1" t="str">
        <f t="shared" si="11"/>
        <v>TAMAULIPASRANGO 3</v>
      </c>
      <c r="B206" s="1" t="str">
        <f t="shared" si="12"/>
        <v>TAMAULIPAS</v>
      </c>
      <c r="C206" s="651" t="s">
        <v>631</v>
      </c>
      <c r="D206" s="695">
        <v>200000.01</v>
      </c>
      <c r="E206" s="652">
        <v>300000</v>
      </c>
      <c r="F206" s="702">
        <v>6.5000000000000002E-2</v>
      </c>
      <c r="G206" s="702">
        <v>2.5000000000000001E-2</v>
      </c>
    </row>
    <row r="207" spans="1:13" x14ac:dyDescent="0.2">
      <c r="A207" s="1" t="str">
        <f t="shared" si="11"/>
        <v>TAMAULIPASRANGO 4</v>
      </c>
      <c r="B207" s="1" t="str">
        <f t="shared" si="12"/>
        <v>TAMAULIPAS</v>
      </c>
      <c r="C207" s="651" t="s">
        <v>632</v>
      </c>
      <c r="D207" s="652">
        <v>300000.01</v>
      </c>
      <c r="E207" s="652">
        <v>400000</v>
      </c>
      <c r="F207" s="702">
        <v>6.5000000000000002E-2</v>
      </c>
      <c r="G207" s="702">
        <v>2.5000000000000001E-2</v>
      </c>
    </row>
    <row r="208" spans="1:13" x14ac:dyDescent="0.2">
      <c r="A208" s="1" t="str">
        <f t="shared" si="11"/>
        <v>TAMAULIPASRANGO 5</v>
      </c>
      <c r="B208" s="1" t="str">
        <f t="shared" si="12"/>
        <v>TAMAULIPAS</v>
      </c>
      <c r="C208" s="651" t="s">
        <v>633</v>
      </c>
      <c r="D208" s="652">
        <v>400000.01</v>
      </c>
      <c r="E208" s="652">
        <v>500000</v>
      </c>
      <c r="F208" s="702">
        <v>6.5000000000000002E-2</v>
      </c>
      <c r="G208" s="702">
        <v>2.5000000000000001E-2</v>
      </c>
    </row>
    <row r="209" spans="1:13" x14ac:dyDescent="0.2">
      <c r="A209" s="1" t="str">
        <f t="shared" si="11"/>
        <v>TAMAULIPASRANGO 6</v>
      </c>
      <c r="B209" s="1" t="str">
        <f t="shared" si="12"/>
        <v>TAMAULIPAS</v>
      </c>
      <c r="C209" s="651" t="s">
        <v>634</v>
      </c>
      <c r="D209" s="652">
        <v>500000.01</v>
      </c>
      <c r="E209" s="652">
        <v>750000</v>
      </c>
      <c r="F209" s="702">
        <v>6.5000000000000002E-2</v>
      </c>
      <c r="G209" s="702">
        <v>2.5000000000000001E-2</v>
      </c>
    </row>
    <row r="210" spans="1:13" x14ac:dyDescent="0.2">
      <c r="A210" s="1" t="str">
        <f t="shared" si="11"/>
        <v>TAMAULIPASRANGO 7</v>
      </c>
      <c r="B210" s="1" t="str">
        <f t="shared" si="12"/>
        <v>TAMAULIPAS</v>
      </c>
      <c r="C210" s="651" t="s">
        <v>635</v>
      </c>
      <c r="D210" s="695">
        <v>750000.01</v>
      </c>
      <c r="E210" s="652">
        <v>1000000</v>
      </c>
      <c r="F210" s="702">
        <v>6.5000000000000002E-2</v>
      </c>
      <c r="G210" s="702">
        <v>2.5000000000000001E-2</v>
      </c>
    </row>
    <row r="211" spans="1:13" x14ac:dyDescent="0.2">
      <c r="A211" s="1" t="str">
        <f t="shared" si="11"/>
        <v>TAMAULIPASRANGO 8</v>
      </c>
      <c r="B211" s="1" t="str">
        <f t="shared" si="12"/>
        <v>TAMAULIPAS</v>
      </c>
      <c r="C211" s="651" t="s">
        <v>636</v>
      </c>
      <c r="D211" s="652">
        <v>1000000.01</v>
      </c>
      <c r="E211" s="652">
        <v>999999999</v>
      </c>
      <c r="F211" s="703">
        <v>0.05</v>
      </c>
      <c r="G211" s="703">
        <v>0.02</v>
      </c>
    </row>
    <row r="212" spans="1:13" x14ac:dyDescent="0.2">
      <c r="A212" s="1" t="str">
        <f t="shared" si="11"/>
        <v>TAMAULIPAS</v>
      </c>
      <c r="B212" s="1" t="str">
        <f t="shared" si="12"/>
        <v>TAMAULIPAS</v>
      </c>
    </row>
    <row r="213" spans="1:13" x14ac:dyDescent="0.2">
      <c r="A213" s="1" t="str">
        <f t="shared" si="11"/>
        <v>TAMAULIPAS</v>
      </c>
      <c r="B213" s="1" t="str">
        <f t="shared" si="12"/>
        <v>TAMAULIPAS</v>
      </c>
    </row>
    <row r="214" spans="1:13" ht="10.5" x14ac:dyDescent="0.25">
      <c r="A214" s="1" t="str">
        <f t="shared" si="11"/>
        <v>ZACATECASZACATECAS</v>
      </c>
      <c r="B214" s="1" t="str">
        <f t="shared" si="12"/>
        <v>ZACATECAS</v>
      </c>
      <c r="C214" s="658" t="s">
        <v>672</v>
      </c>
    </row>
    <row r="215" spans="1:13" ht="10.5" x14ac:dyDescent="0.25">
      <c r="A215" s="1" t="str">
        <f t="shared" ref="A215:A278" si="13">B215&amp;C215</f>
        <v>ZACATECAS</v>
      </c>
      <c r="B215" s="1" t="str">
        <f t="shared" ref="B215:B278" si="14">IF(AND(ISBLANK(C215)=FALSE,LEFT(C215,1)&lt;&gt;"R"),C215,IF(ISBLANK(C215),B214,B214))</f>
        <v>ZACATECAS</v>
      </c>
      <c r="F215" s="648" t="s">
        <v>624</v>
      </c>
      <c r="G215" s="648" t="s">
        <v>627</v>
      </c>
      <c r="I215" s="682" t="s">
        <v>637</v>
      </c>
      <c r="J215" s="682" t="s">
        <v>638</v>
      </c>
      <c r="L215" s="682" t="s">
        <v>639</v>
      </c>
      <c r="M215" s="682" t="s">
        <v>638</v>
      </c>
    </row>
    <row r="216" spans="1:13" x14ac:dyDescent="0.2">
      <c r="A216" s="1" t="str">
        <f t="shared" si="13"/>
        <v>ZACATECASRANGO 1</v>
      </c>
      <c r="B216" s="1" t="str">
        <f t="shared" si="14"/>
        <v>ZACATECAS</v>
      </c>
      <c r="C216" s="651" t="s">
        <v>629</v>
      </c>
      <c r="D216" s="651">
        <v>0</v>
      </c>
      <c r="E216" s="652">
        <v>100000</v>
      </c>
      <c r="F216" s="656">
        <v>8.5000000000000006E-2</v>
      </c>
      <c r="G216" s="656">
        <v>2.5000000000000001E-2</v>
      </c>
      <c r="I216" s="684" t="s">
        <v>665</v>
      </c>
      <c r="J216" s="689">
        <v>8.5000000000000006E-2</v>
      </c>
      <c r="L216" s="684" t="s">
        <v>665</v>
      </c>
      <c r="M216" s="689">
        <v>2.5000000000000001E-2</v>
      </c>
    </row>
    <row r="217" spans="1:13" x14ac:dyDescent="0.2">
      <c r="A217" s="1" t="str">
        <f t="shared" si="13"/>
        <v>ZACATECASRANGO 2</v>
      </c>
      <c r="B217" s="1" t="str">
        <f t="shared" si="14"/>
        <v>ZACATECAS</v>
      </c>
      <c r="C217" s="651" t="s">
        <v>630</v>
      </c>
      <c r="D217" s="695">
        <v>100000.01</v>
      </c>
      <c r="E217" s="652">
        <v>200000</v>
      </c>
      <c r="F217" s="656">
        <v>8.5000000000000006E-2</v>
      </c>
      <c r="G217" s="656">
        <v>2.5000000000000001E-2</v>
      </c>
      <c r="I217" s="684" t="s">
        <v>667</v>
      </c>
      <c r="J217" s="689">
        <v>7.4999999999999997E-2</v>
      </c>
      <c r="L217" s="684" t="s">
        <v>669</v>
      </c>
      <c r="M217" s="689">
        <v>1.4999999999999999E-2</v>
      </c>
    </row>
    <row r="218" spans="1:13" x14ac:dyDescent="0.2">
      <c r="A218" s="1" t="str">
        <f t="shared" si="13"/>
        <v>ZACATECASRANGO 3</v>
      </c>
      <c r="B218" s="1" t="str">
        <f t="shared" si="14"/>
        <v>ZACATECAS</v>
      </c>
      <c r="C218" s="651" t="s">
        <v>631</v>
      </c>
      <c r="D218" s="695">
        <v>200000.01</v>
      </c>
      <c r="E218" s="652">
        <v>300000</v>
      </c>
      <c r="F218" s="656">
        <v>8.5000000000000006E-2</v>
      </c>
      <c r="G218" s="656">
        <v>2.5000000000000001E-2</v>
      </c>
    </row>
    <row r="219" spans="1:13" x14ac:dyDescent="0.2">
      <c r="A219" s="1" t="str">
        <f t="shared" si="13"/>
        <v>ZACATECASRANGO 4</v>
      </c>
      <c r="B219" s="1" t="str">
        <f t="shared" si="14"/>
        <v>ZACATECAS</v>
      </c>
      <c r="C219" s="651" t="s">
        <v>632</v>
      </c>
      <c r="D219" s="652">
        <v>300000.01</v>
      </c>
      <c r="E219" s="652">
        <v>400000</v>
      </c>
      <c r="F219" s="656">
        <v>8.5000000000000006E-2</v>
      </c>
      <c r="G219" s="656">
        <v>2.5000000000000001E-2</v>
      </c>
    </row>
    <row r="220" spans="1:13" x14ac:dyDescent="0.2">
      <c r="A220" s="1" t="str">
        <f t="shared" si="13"/>
        <v>ZACATECASRANGO 5</v>
      </c>
      <c r="B220" s="1" t="str">
        <f t="shared" si="14"/>
        <v>ZACATECAS</v>
      </c>
      <c r="C220" s="651" t="s">
        <v>633</v>
      </c>
      <c r="D220" s="652">
        <v>400000.01</v>
      </c>
      <c r="E220" s="652">
        <v>500000</v>
      </c>
      <c r="F220" s="656">
        <v>8.5000000000000006E-2</v>
      </c>
      <c r="G220" s="656">
        <v>2.5000000000000001E-2</v>
      </c>
    </row>
    <row r="221" spans="1:13" x14ac:dyDescent="0.2">
      <c r="A221" s="1" t="str">
        <f t="shared" si="13"/>
        <v>ZACATECASRANGO 6</v>
      </c>
      <c r="B221" s="1" t="str">
        <f t="shared" si="14"/>
        <v>ZACATECAS</v>
      </c>
      <c r="C221" s="651" t="s">
        <v>634</v>
      </c>
      <c r="D221" s="652">
        <v>500000.01</v>
      </c>
      <c r="E221" s="652">
        <v>750000</v>
      </c>
      <c r="F221" s="656">
        <v>8.5000000000000006E-2</v>
      </c>
      <c r="G221" s="656">
        <v>2.5000000000000001E-2</v>
      </c>
    </row>
    <row r="222" spans="1:13" x14ac:dyDescent="0.2">
      <c r="A222" s="1" t="str">
        <f t="shared" si="13"/>
        <v>ZACATECASRANGO 7</v>
      </c>
      <c r="B222" s="1" t="str">
        <f t="shared" si="14"/>
        <v>ZACATECAS</v>
      </c>
      <c r="C222" s="651" t="s">
        <v>635</v>
      </c>
      <c r="D222" s="695">
        <v>750000.01</v>
      </c>
      <c r="E222" s="652">
        <v>1000000</v>
      </c>
      <c r="F222" s="656">
        <v>8.5000000000000006E-2</v>
      </c>
      <c r="G222" s="656">
        <v>2.5000000000000001E-2</v>
      </c>
    </row>
    <row r="223" spans="1:13" x14ac:dyDescent="0.2">
      <c r="A223" s="1" t="str">
        <f t="shared" si="13"/>
        <v>ZACATECASRANGO 8</v>
      </c>
      <c r="B223" s="1" t="str">
        <f t="shared" si="14"/>
        <v>ZACATECAS</v>
      </c>
      <c r="C223" s="651" t="s">
        <v>636</v>
      </c>
      <c r="D223" s="652">
        <v>1000000.01</v>
      </c>
      <c r="E223" s="652">
        <v>999999999</v>
      </c>
      <c r="F223" s="703">
        <v>7.4999999999999997E-2</v>
      </c>
      <c r="G223" s="703">
        <v>1.4999999999999999E-2</v>
      </c>
    </row>
    <row r="224" spans="1:13" x14ac:dyDescent="0.2">
      <c r="A224" s="1" t="str">
        <f t="shared" si="13"/>
        <v>ZACATECAS</v>
      </c>
      <c r="B224" s="1" t="str">
        <f t="shared" si="14"/>
        <v>ZACATECAS</v>
      </c>
    </row>
    <row r="225" spans="1:13" x14ac:dyDescent="0.2">
      <c r="A225" s="1" t="str">
        <f t="shared" si="13"/>
        <v>ZACATECAS</v>
      </c>
      <c r="B225" s="1" t="str">
        <f t="shared" si="14"/>
        <v>ZACATECAS</v>
      </c>
    </row>
    <row r="226" spans="1:13" ht="10.5" x14ac:dyDescent="0.2">
      <c r="A226" s="1" t="str">
        <f t="shared" si="13"/>
        <v>MICHOACÁNMICHOACÁN</v>
      </c>
      <c r="B226" s="1" t="str">
        <f t="shared" si="14"/>
        <v>MICHOACÁN</v>
      </c>
      <c r="C226" s="657" t="s">
        <v>673</v>
      </c>
    </row>
    <row r="227" spans="1:13" ht="10.5" x14ac:dyDescent="0.25">
      <c r="A227" s="1" t="str">
        <f t="shared" si="13"/>
        <v>MICHOACÁN</v>
      </c>
      <c r="B227" s="1" t="str">
        <f t="shared" si="14"/>
        <v>MICHOACÁN</v>
      </c>
      <c r="F227" s="648" t="s">
        <v>624</v>
      </c>
      <c r="G227" s="648" t="s">
        <v>627</v>
      </c>
      <c r="I227" s="682" t="s">
        <v>637</v>
      </c>
      <c r="J227" s="682" t="s">
        <v>638</v>
      </c>
      <c r="L227" s="682" t="s">
        <v>639</v>
      </c>
      <c r="M227" s="682" t="s">
        <v>638</v>
      </c>
    </row>
    <row r="228" spans="1:13" x14ac:dyDescent="0.2">
      <c r="A228" s="1" t="str">
        <f t="shared" si="13"/>
        <v>MICHOACÁNRANGO 1</v>
      </c>
      <c r="B228" s="1" t="str">
        <f t="shared" si="14"/>
        <v>MICHOACÁN</v>
      </c>
      <c r="C228" s="651" t="s">
        <v>629</v>
      </c>
      <c r="D228" s="651">
        <v>0</v>
      </c>
      <c r="E228" s="652">
        <v>999999999</v>
      </c>
      <c r="F228" s="656">
        <v>5.5E-2</v>
      </c>
      <c r="G228" s="656">
        <v>2.5000000000000001E-2</v>
      </c>
      <c r="I228" s="684" t="s">
        <v>648</v>
      </c>
      <c r="J228" s="689">
        <v>5.5E-2</v>
      </c>
      <c r="L228" s="684" t="s">
        <v>648</v>
      </c>
      <c r="M228" s="689">
        <v>2.5000000000000001E-2</v>
      </c>
    </row>
    <row r="229" spans="1:13" x14ac:dyDescent="0.2">
      <c r="A229" s="1" t="str">
        <f t="shared" si="13"/>
        <v>MICHOACÁN</v>
      </c>
      <c r="B229" s="1" t="str">
        <f t="shared" si="14"/>
        <v>MICHOACÁN</v>
      </c>
    </row>
    <row r="230" spans="1:13" x14ac:dyDescent="0.2">
      <c r="A230" s="1" t="str">
        <f t="shared" si="13"/>
        <v>MICHOACÁN</v>
      </c>
      <c r="B230" s="1" t="str">
        <f t="shared" si="14"/>
        <v>MICHOACÁN</v>
      </c>
    </row>
    <row r="231" spans="1:13" ht="10.5" x14ac:dyDescent="0.25">
      <c r="A231" s="1" t="str">
        <f t="shared" si="13"/>
        <v>BAJA CALIFORNIA NORTEBAJA CALIFORNIA NORTE</v>
      </c>
      <c r="B231" s="1" t="str">
        <f t="shared" si="14"/>
        <v>BAJA CALIFORNIA NORTE</v>
      </c>
      <c r="C231" s="658" t="s">
        <v>674</v>
      </c>
    </row>
    <row r="232" spans="1:13" ht="10.5" x14ac:dyDescent="0.25">
      <c r="A232" s="1" t="str">
        <f t="shared" si="13"/>
        <v>BAJA CALIFORNIA NORTE</v>
      </c>
      <c r="B232" s="1" t="str">
        <f t="shared" si="14"/>
        <v>BAJA CALIFORNIA NORTE</v>
      </c>
      <c r="F232" s="648" t="s">
        <v>624</v>
      </c>
      <c r="G232" s="648" t="s">
        <v>627</v>
      </c>
      <c r="I232" s="682" t="s">
        <v>637</v>
      </c>
      <c r="J232" s="682" t="s">
        <v>638</v>
      </c>
      <c r="L232" s="682" t="s">
        <v>639</v>
      </c>
      <c r="M232" s="682" t="s">
        <v>638</v>
      </c>
    </row>
    <row r="233" spans="1:13" x14ac:dyDescent="0.2">
      <c r="A233" s="1" t="str">
        <f t="shared" si="13"/>
        <v>BAJA CALIFORNIA NORTERANGO 1</v>
      </c>
      <c r="B233" s="1" t="str">
        <f t="shared" si="14"/>
        <v>BAJA CALIFORNIA NORTE</v>
      </c>
      <c r="C233" s="651" t="s">
        <v>629</v>
      </c>
      <c r="D233" s="651">
        <v>0</v>
      </c>
      <c r="E233" s="652">
        <v>150000</v>
      </c>
      <c r="F233" s="702">
        <v>6.5000000000000002E-2</v>
      </c>
      <c r="G233" s="702">
        <v>3.5000000000000003E-2</v>
      </c>
      <c r="I233" s="684" t="s">
        <v>640</v>
      </c>
      <c r="J233" s="689">
        <v>6.5000000000000002E-2</v>
      </c>
      <c r="L233" s="684" t="s">
        <v>641</v>
      </c>
      <c r="M233" s="689">
        <v>3.5000000000000003E-2</v>
      </c>
    </row>
    <row r="234" spans="1:13" x14ac:dyDescent="0.2">
      <c r="A234" s="1" t="str">
        <f t="shared" si="13"/>
        <v>BAJA CALIFORNIA NORTERANGO 2</v>
      </c>
      <c r="B234" s="1" t="str">
        <f t="shared" si="14"/>
        <v>BAJA CALIFORNIA NORTE</v>
      </c>
      <c r="C234" s="651" t="s">
        <v>630</v>
      </c>
      <c r="D234" s="652">
        <v>150000.01</v>
      </c>
      <c r="E234" s="652">
        <v>300000</v>
      </c>
      <c r="F234" s="702">
        <v>6.5000000000000002E-2</v>
      </c>
      <c r="G234" s="702">
        <v>3.5000000000000003E-2</v>
      </c>
      <c r="I234" s="684" t="s">
        <v>642</v>
      </c>
      <c r="J234" s="689">
        <v>0.06</v>
      </c>
      <c r="L234" s="684" t="s">
        <v>643</v>
      </c>
      <c r="M234" s="689">
        <v>0.03</v>
      </c>
    </row>
    <row r="235" spans="1:13" x14ac:dyDescent="0.2">
      <c r="A235" s="1" t="str">
        <f t="shared" si="13"/>
        <v>BAJA CALIFORNIA NORTERANGO 3</v>
      </c>
      <c r="B235" s="1" t="str">
        <f t="shared" si="14"/>
        <v>BAJA CALIFORNIA NORTE</v>
      </c>
      <c r="C235" s="651" t="s">
        <v>631</v>
      </c>
      <c r="D235" s="652">
        <v>300000.01</v>
      </c>
      <c r="E235" s="652">
        <v>600000</v>
      </c>
      <c r="F235" s="702">
        <v>6.5000000000000002E-2</v>
      </c>
      <c r="G235" s="702">
        <v>3.5000000000000003E-2</v>
      </c>
      <c r="I235" s="684" t="s">
        <v>675</v>
      </c>
      <c r="J235" s="689">
        <v>5.5E-2</v>
      </c>
      <c r="L235" s="684" t="s">
        <v>642</v>
      </c>
      <c r="M235" s="689">
        <v>0.02</v>
      </c>
    </row>
    <row r="236" spans="1:13" x14ac:dyDescent="0.2">
      <c r="A236" s="1" t="str">
        <f t="shared" si="13"/>
        <v>BAJA CALIFORNIA NORTERANGO 4</v>
      </c>
      <c r="B236" s="1" t="str">
        <f t="shared" si="14"/>
        <v>BAJA CALIFORNIA NORTE</v>
      </c>
      <c r="C236" s="651" t="s">
        <v>632</v>
      </c>
      <c r="D236" s="652">
        <v>600000.01</v>
      </c>
      <c r="E236" s="652">
        <v>1200000</v>
      </c>
      <c r="F236" s="702">
        <v>6.5000000000000002E-2</v>
      </c>
      <c r="G236" s="703">
        <v>0.03</v>
      </c>
      <c r="L236" s="684" t="s">
        <v>644</v>
      </c>
      <c r="M236" s="689">
        <v>1.4999999999999999E-2</v>
      </c>
    </row>
    <row r="237" spans="1:13" x14ac:dyDescent="0.2">
      <c r="A237" s="1" t="str">
        <f t="shared" si="13"/>
        <v>BAJA CALIFORNIA NORTERANGO 5</v>
      </c>
      <c r="B237" s="1" t="str">
        <f t="shared" si="14"/>
        <v>BAJA CALIFORNIA NORTE</v>
      </c>
      <c r="C237" s="651" t="s">
        <v>633</v>
      </c>
      <c r="D237" s="652">
        <v>1200000.01</v>
      </c>
      <c r="E237" s="652">
        <v>2400000</v>
      </c>
      <c r="F237" s="703">
        <v>0.06</v>
      </c>
      <c r="G237" s="704">
        <v>0.02</v>
      </c>
      <c r="L237" s="684" t="s">
        <v>646</v>
      </c>
      <c r="M237" s="689">
        <v>0.01</v>
      </c>
    </row>
    <row r="238" spans="1:13" x14ac:dyDescent="0.2">
      <c r="A238" s="1" t="str">
        <f t="shared" si="13"/>
        <v>BAJA CALIFORNIA NORTERANGO 6</v>
      </c>
      <c r="B238" s="1" t="str">
        <f t="shared" si="14"/>
        <v>BAJA CALIFORNIA NORTE</v>
      </c>
      <c r="C238" s="651" t="s">
        <v>634</v>
      </c>
      <c r="D238" s="652">
        <v>2400000.0099999998</v>
      </c>
      <c r="E238" s="652">
        <v>4800000</v>
      </c>
      <c r="F238" s="704">
        <v>5.5E-2</v>
      </c>
      <c r="G238" s="705">
        <v>1.4999999999999999E-2</v>
      </c>
    </row>
    <row r="239" spans="1:13" x14ac:dyDescent="0.2">
      <c r="A239" s="1" t="str">
        <f t="shared" si="13"/>
        <v>BAJA CALIFORNIA NORTERANGO 7</v>
      </c>
      <c r="B239" s="1" t="str">
        <f t="shared" si="14"/>
        <v>BAJA CALIFORNIA NORTE</v>
      </c>
      <c r="C239" s="651" t="s">
        <v>635</v>
      </c>
      <c r="D239" s="652">
        <v>4800000.01</v>
      </c>
      <c r="E239" s="652">
        <v>9600000</v>
      </c>
      <c r="F239" s="704">
        <v>5.5E-2</v>
      </c>
      <c r="G239" s="656">
        <v>0.01</v>
      </c>
    </row>
    <row r="240" spans="1:13" x14ac:dyDescent="0.2">
      <c r="A240" s="1" t="str">
        <f t="shared" si="13"/>
        <v>BAJA CALIFORNIA NORTERANGO 8</v>
      </c>
      <c r="B240" s="1" t="str">
        <f t="shared" si="14"/>
        <v>BAJA CALIFORNIA NORTE</v>
      </c>
      <c r="C240" s="651" t="s">
        <v>636</v>
      </c>
      <c r="D240" s="652">
        <v>9600000.0099999998</v>
      </c>
      <c r="E240" s="652">
        <v>999999999</v>
      </c>
      <c r="F240" s="704">
        <v>5.5E-2</v>
      </c>
      <c r="G240" s="656">
        <v>0.01</v>
      </c>
    </row>
    <row r="241" spans="1:13" x14ac:dyDescent="0.2">
      <c r="A241" s="1" t="str">
        <f t="shared" si="13"/>
        <v>BAJA CALIFORNIA NORTE</v>
      </c>
      <c r="B241" s="1" t="str">
        <f t="shared" si="14"/>
        <v>BAJA CALIFORNIA NORTE</v>
      </c>
    </row>
    <row r="242" spans="1:13" x14ac:dyDescent="0.2">
      <c r="A242" s="1" t="str">
        <f t="shared" si="13"/>
        <v>BAJA CALIFORNIA NORTE</v>
      </c>
      <c r="B242" s="1" t="str">
        <f t="shared" si="14"/>
        <v>BAJA CALIFORNIA NORTE</v>
      </c>
    </row>
    <row r="243" spans="1:13" ht="10.5" x14ac:dyDescent="0.25">
      <c r="A243" s="1" t="str">
        <f t="shared" si="13"/>
        <v>BAJA CALIFORNIA SURBAJA CALIFORNIA SUR</v>
      </c>
      <c r="B243" s="1" t="str">
        <f t="shared" si="14"/>
        <v>BAJA CALIFORNIA SUR</v>
      </c>
      <c r="C243" s="658" t="s">
        <v>676</v>
      </c>
    </row>
    <row r="244" spans="1:13" ht="10.5" x14ac:dyDescent="0.25">
      <c r="A244" s="1" t="str">
        <f t="shared" si="13"/>
        <v>BAJA CALIFORNIA SUR</v>
      </c>
      <c r="B244" s="1" t="str">
        <f t="shared" si="14"/>
        <v>BAJA CALIFORNIA SUR</v>
      </c>
      <c r="F244" s="648" t="s">
        <v>624</v>
      </c>
      <c r="G244" s="648" t="s">
        <v>627</v>
      </c>
      <c r="I244" s="682" t="s">
        <v>637</v>
      </c>
      <c r="J244" s="682" t="s">
        <v>638</v>
      </c>
      <c r="L244" s="682" t="s">
        <v>639</v>
      </c>
      <c r="M244" s="682" t="s">
        <v>638</v>
      </c>
    </row>
    <row r="245" spans="1:13" x14ac:dyDescent="0.2">
      <c r="A245" s="1" t="str">
        <f t="shared" si="13"/>
        <v>BAJA CALIFORNIA SURRANGO 1</v>
      </c>
      <c r="B245" s="1" t="str">
        <f t="shared" si="14"/>
        <v>BAJA CALIFORNIA SUR</v>
      </c>
      <c r="C245" s="651" t="s">
        <v>629</v>
      </c>
      <c r="D245" s="651">
        <v>0</v>
      </c>
      <c r="E245" s="652">
        <v>150000</v>
      </c>
      <c r="F245" s="656">
        <v>6.5000000000000002E-2</v>
      </c>
      <c r="G245" s="702">
        <v>4.4999999999999998E-2</v>
      </c>
      <c r="I245" s="684" t="s">
        <v>640</v>
      </c>
      <c r="J245" s="689">
        <v>6.5000000000000002E-2</v>
      </c>
      <c r="L245" s="684" t="s">
        <v>641</v>
      </c>
      <c r="M245" s="689">
        <v>4.4999999999999998E-2</v>
      </c>
    </row>
    <row r="246" spans="1:13" x14ac:dyDescent="0.2">
      <c r="A246" s="1" t="str">
        <f t="shared" si="13"/>
        <v>BAJA CALIFORNIA SURRANGO 2</v>
      </c>
      <c r="B246" s="1" t="str">
        <f t="shared" si="14"/>
        <v>BAJA CALIFORNIA SUR</v>
      </c>
      <c r="C246" s="651" t="s">
        <v>630</v>
      </c>
      <c r="D246" s="652">
        <v>150000.01</v>
      </c>
      <c r="E246" s="652">
        <v>300000</v>
      </c>
      <c r="F246" s="656">
        <v>6.5000000000000002E-2</v>
      </c>
      <c r="G246" s="702">
        <v>4.4999999999999998E-2</v>
      </c>
      <c r="I246" s="684" t="s">
        <v>659</v>
      </c>
      <c r="J246" s="689">
        <v>5.5E-2</v>
      </c>
      <c r="L246" s="684" t="s">
        <v>643</v>
      </c>
      <c r="M246" s="689">
        <v>0.03</v>
      </c>
    </row>
    <row r="247" spans="1:13" x14ac:dyDescent="0.2">
      <c r="A247" s="1" t="str">
        <f t="shared" si="13"/>
        <v>BAJA CALIFORNIA SURRANGO 3</v>
      </c>
      <c r="B247" s="1" t="str">
        <f t="shared" si="14"/>
        <v>BAJA CALIFORNIA SUR</v>
      </c>
      <c r="C247" s="651" t="s">
        <v>631</v>
      </c>
      <c r="D247" s="652">
        <v>300000.01</v>
      </c>
      <c r="E247" s="652">
        <v>600000</v>
      </c>
      <c r="F247" s="656">
        <v>6.5000000000000002E-2</v>
      </c>
      <c r="G247" s="702">
        <v>4.4999999999999998E-2</v>
      </c>
      <c r="I247" s="684" t="s">
        <v>646</v>
      </c>
      <c r="J247" s="689">
        <v>0.05</v>
      </c>
      <c r="L247" s="684" t="s">
        <v>642</v>
      </c>
      <c r="M247" s="689">
        <v>0.02</v>
      </c>
    </row>
    <row r="248" spans="1:13" x14ac:dyDescent="0.2">
      <c r="A248" s="1" t="str">
        <f t="shared" si="13"/>
        <v>BAJA CALIFORNIA SURRANGO 4</v>
      </c>
      <c r="B248" s="1" t="str">
        <f t="shared" si="14"/>
        <v>BAJA CALIFORNIA SUR</v>
      </c>
      <c r="C248" s="651" t="s">
        <v>632</v>
      </c>
      <c r="D248" s="652">
        <v>600000.01</v>
      </c>
      <c r="E248" s="652">
        <v>1200000</v>
      </c>
      <c r="F248" s="656">
        <v>6.5000000000000002E-2</v>
      </c>
      <c r="G248" s="656">
        <v>0.03</v>
      </c>
      <c r="L248" s="684" t="s">
        <v>644</v>
      </c>
      <c r="M248" s="689">
        <v>1.4999999999999999E-2</v>
      </c>
    </row>
    <row r="249" spans="1:13" x14ac:dyDescent="0.2">
      <c r="A249" s="1" t="str">
        <f t="shared" si="13"/>
        <v>BAJA CALIFORNIA SURRANGO 5</v>
      </c>
      <c r="B249" s="1" t="str">
        <f t="shared" si="14"/>
        <v>BAJA CALIFORNIA SUR</v>
      </c>
      <c r="C249" s="651" t="s">
        <v>633</v>
      </c>
      <c r="D249" s="652">
        <v>1200000.01</v>
      </c>
      <c r="E249" s="652">
        <v>2400000</v>
      </c>
      <c r="F249" s="656">
        <v>5.5E-2</v>
      </c>
      <c r="G249" s="656">
        <v>0.02</v>
      </c>
      <c r="L249" s="684" t="s">
        <v>646</v>
      </c>
      <c r="M249" s="689">
        <v>0.01</v>
      </c>
    </row>
    <row r="250" spans="1:13" x14ac:dyDescent="0.2">
      <c r="A250" s="1" t="str">
        <f t="shared" si="13"/>
        <v>BAJA CALIFORNIA SURRANGO 6</v>
      </c>
      <c r="B250" s="1" t="str">
        <f t="shared" si="14"/>
        <v>BAJA CALIFORNIA SUR</v>
      </c>
      <c r="C250" s="651" t="s">
        <v>634</v>
      </c>
      <c r="D250" s="652">
        <v>2400000.0099999998</v>
      </c>
      <c r="E250" s="652">
        <v>4800000</v>
      </c>
      <c r="F250" s="656">
        <v>5.5E-2</v>
      </c>
      <c r="G250" s="656">
        <v>1.4999999999999999E-2</v>
      </c>
    </row>
    <row r="251" spans="1:13" x14ac:dyDescent="0.2">
      <c r="A251" s="1" t="str">
        <f t="shared" si="13"/>
        <v>BAJA CALIFORNIA SURRANGO 7</v>
      </c>
      <c r="B251" s="1" t="str">
        <f t="shared" si="14"/>
        <v>BAJA CALIFORNIA SUR</v>
      </c>
      <c r="C251" s="651" t="s">
        <v>635</v>
      </c>
      <c r="D251" s="652">
        <v>4800000.01</v>
      </c>
      <c r="E251" s="652">
        <v>9600000</v>
      </c>
      <c r="F251" s="656">
        <v>0.05</v>
      </c>
      <c r="G251" s="656">
        <v>0.01</v>
      </c>
    </row>
    <row r="252" spans="1:13" x14ac:dyDescent="0.2">
      <c r="A252" s="1" t="str">
        <f t="shared" si="13"/>
        <v>BAJA CALIFORNIA SURRANGO 8</v>
      </c>
      <c r="B252" s="1" t="str">
        <f t="shared" si="14"/>
        <v>BAJA CALIFORNIA SUR</v>
      </c>
      <c r="C252" s="651" t="s">
        <v>636</v>
      </c>
      <c r="D252" s="652">
        <v>9600000.0099999998</v>
      </c>
      <c r="E252" s="652">
        <v>999999999</v>
      </c>
      <c r="F252" s="656">
        <v>0.05</v>
      </c>
      <c r="G252" s="656">
        <v>0.01</v>
      </c>
    </row>
    <row r="253" spans="1:13" x14ac:dyDescent="0.2">
      <c r="A253" s="1" t="str">
        <f t="shared" si="13"/>
        <v>BAJA CALIFORNIA SUR</v>
      </c>
      <c r="B253" s="1" t="str">
        <f t="shared" si="14"/>
        <v>BAJA CALIFORNIA SUR</v>
      </c>
    </row>
    <row r="254" spans="1:13" x14ac:dyDescent="0.2">
      <c r="A254" s="1" t="str">
        <f t="shared" si="13"/>
        <v>BAJA CALIFORNIA SUR</v>
      </c>
      <c r="B254" s="1" t="str">
        <f t="shared" si="14"/>
        <v>BAJA CALIFORNIA SUR</v>
      </c>
    </row>
    <row r="255" spans="1:13" ht="10.5" x14ac:dyDescent="0.2">
      <c r="A255" s="1" t="str">
        <f t="shared" si="13"/>
        <v>GUANAJUATOGUANAJUATO</v>
      </c>
      <c r="B255" s="1" t="str">
        <f t="shared" si="14"/>
        <v>GUANAJUATO</v>
      </c>
      <c r="C255" s="657" t="s">
        <v>677</v>
      </c>
    </row>
    <row r="256" spans="1:13" ht="10.5" x14ac:dyDescent="0.25">
      <c r="A256" s="1" t="str">
        <f t="shared" si="13"/>
        <v>GUANAJUATO</v>
      </c>
      <c r="B256" s="1" t="str">
        <f t="shared" si="14"/>
        <v>GUANAJUATO</v>
      </c>
      <c r="F256" s="648" t="s">
        <v>624</v>
      </c>
      <c r="G256" s="648" t="s">
        <v>627</v>
      </c>
      <c r="I256" s="682" t="s">
        <v>637</v>
      </c>
      <c r="J256" s="682" t="s">
        <v>638</v>
      </c>
      <c r="L256" s="682" t="s">
        <v>639</v>
      </c>
      <c r="M256" s="682" t="s">
        <v>638</v>
      </c>
    </row>
    <row r="257" spans="1:13" x14ac:dyDescent="0.2">
      <c r="A257" s="1" t="str">
        <f t="shared" si="13"/>
        <v>GUANAJUATORANGO 1</v>
      </c>
      <c r="B257" s="1" t="str">
        <f t="shared" si="14"/>
        <v>GUANAJUATO</v>
      </c>
      <c r="C257" s="651" t="s">
        <v>629</v>
      </c>
      <c r="D257" s="651">
        <v>0</v>
      </c>
      <c r="E257" s="652">
        <v>150000</v>
      </c>
      <c r="F257" s="656">
        <v>6.5000000000000002E-2</v>
      </c>
      <c r="G257" s="656">
        <v>0.03</v>
      </c>
      <c r="I257" s="684" t="s">
        <v>640</v>
      </c>
      <c r="J257" s="689">
        <v>6.5000000000000002E-2</v>
      </c>
      <c r="L257" s="684" t="s">
        <v>641</v>
      </c>
      <c r="M257" s="689">
        <v>0.03</v>
      </c>
    </row>
    <row r="258" spans="1:13" x14ac:dyDescent="0.2">
      <c r="A258" s="1" t="str">
        <f t="shared" si="13"/>
        <v>GUANAJUATORANGO 2</v>
      </c>
      <c r="B258" s="1" t="str">
        <f t="shared" si="14"/>
        <v>GUANAJUATO</v>
      </c>
      <c r="C258" s="651" t="s">
        <v>630</v>
      </c>
      <c r="D258" s="652">
        <v>150000.01</v>
      </c>
      <c r="E258" s="652">
        <v>300000</v>
      </c>
      <c r="F258" s="656">
        <v>6.5000000000000002E-2</v>
      </c>
      <c r="G258" s="656">
        <v>0.03</v>
      </c>
      <c r="I258" s="684" t="s">
        <v>642</v>
      </c>
      <c r="J258" s="689">
        <v>5.5E-2</v>
      </c>
      <c r="L258" s="684" t="s">
        <v>678</v>
      </c>
      <c r="M258" s="689">
        <v>0.02</v>
      </c>
    </row>
    <row r="259" spans="1:13" x14ac:dyDescent="0.2">
      <c r="A259" s="1" t="str">
        <f t="shared" si="13"/>
        <v>GUANAJUATORANGO 3</v>
      </c>
      <c r="B259" s="1" t="str">
        <f t="shared" si="14"/>
        <v>GUANAJUATO</v>
      </c>
      <c r="C259" s="651" t="s">
        <v>631</v>
      </c>
      <c r="D259" s="652">
        <v>300000.01</v>
      </c>
      <c r="E259" s="652">
        <v>600000</v>
      </c>
      <c r="F259" s="656">
        <v>6.5000000000000002E-2</v>
      </c>
      <c r="G259" s="656">
        <v>0.03</v>
      </c>
      <c r="I259" s="684" t="s">
        <v>644</v>
      </c>
      <c r="J259" s="689">
        <v>0.05</v>
      </c>
      <c r="L259" s="684" t="s">
        <v>650</v>
      </c>
      <c r="M259" s="689">
        <v>0.01</v>
      </c>
    </row>
    <row r="260" spans="1:13" x14ac:dyDescent="0.2">
      <c r="A260" s="1" t="str">
        <f t="shared" si="13"/>
        <v>GUANAJUATORANGO 4</v>
      </c>
      <c r="B260" s="1" t="str">
        <f t="shared" si="14"/>
        <v>GUANAJUATO</v>
      </c>
      <c r="C260" s="651" t="s">
        <v>632</v>
      </c>
      <c r="D260" s="652">
        <v>600000.01</v>
      </c>
      <c r="E260" s="652">
        <v>1200000</v>
      </c>
      <c r="F260" s="656">
        <v>6.5000000000000002E-2</v>
      </c>
      <c r="G260" s="656">
        <v>0.02</v>
      </c>
      <c r="I260" s="684" t="s">
        <v>646</v>
      </c>
      <c r="J260" s="689">
        <v>4.4999999999999998E-2</v>
      </c>
    </row>
    <row r="261" spans="1:13" x14ac:dyDescent="0.2">
      <c r="A261" s="1" t="str">
        <f t="shared" si="13"/>
        <v>GUANAJUATORANGO 5</v>
      </c>
      <c r="B261" s="1" t="str">
        <f t="shared" si="14"/>
        <v>GUANAJUATO</v>
      </c>
      <c r="C261" s="651" t="s">
        <v>633</v>
      </c>
      <c r="D261" s="652">
        <v>1200000.01</v>
      </c>
      <c r="E261" s="652">
        <v>2400000</v>
      </c>
      <c r="F261" s="656">
        <v>5.5E-2</v>
      </c>
      <c r="G261" s="656">
        <v>0.02</v>
      </c>
    </row>
    <row r="262" spans="1:13" x14ac:dyDescent="0.2">
      <c r="A262" s="1" t="str">
        <f t="shared" si="13"/>
        <v>GUANAJUATORANGO 6</v>
      </c>
      <c r="B262" s="1" t="str">
        <f t="shared" si="14"/>
        <v>GUANAJUATO</v>
      </c>
      <c r="C262" s="651" t="s">
        <v>634</v>
      </c>
      <c r="D262" s="652">
        <v>2400000.0099999998</v>
      </c>
      <c r="E262" s="652">
        <v>4800000</v>
      </c>
      <c r="F262" s="656">
        <v>0.05</v>
      </c>
      <c r="G262" s="656">
        <v>0.01</v>
      </c>
    </row>
    <row r="263" spans="1:13" x14ac:dyDescent="0.2">
      <c r="A263" s="1" t="str">
        <f t="shared" si="13"/>
        <v>GUANAJUATORANGO 7</v>
      </c>
      <c r="B263" s="1" t="str">
        <f t="shared" si="14"/>
        <v>GUANAJUATO</v>
      </c>
      <c r="C263" s="651" t="s">
        <v>635</v>
      </c>
      <c r="D263" s="652">
        <v>4800000.01</v>
      </c>
      <c r="E263" s="652">
        <v>9600000</v>
      </c>
      <c r="F263" s="656">
        <v>4.4999999999999998E-2</v>
      </c>
      <c r="G263" s="656">
        <v>0.01</v>
      </c>
    </row>
    <row r="264" spans="1:13" x14ac:dyDescent="0.2">
      <c r="A264" s="1" t="str">
        <f t="shared" si="13"/>
        <v>GUANAJUATORANGO 8</v>
      </c>
      <c r="B264" s="1" t="str">
        <f t="shared" si="14"/>
        <v>GUANAJUATO</v>
      </c>
      <c r="C264" s="651" t="s">
        <v>636</v>
      </c>
      <c r="D264" s="652">
        <v>9600000.0099999998</v>
      </c>
      <c r="E264" s="652">
        <v>999999999</v>
      </c>
      <c r="F264" s="656">
        <v>4.4999999999999998E-2</v>
      </c>
      <c r="G264" s="656">
        <v>0.01</v>
      </c>
    </row>
    <row r="265" spans="1:13" x14ac:dyDescent="0.2">
      <c r="A265" s="1" t="str">
        <f t="shared" si="13"/>
        <v>GUANAJUATO</v>
      </c>
      <c r="B265" s="1" t="str">
        <f t="shared" si="14"/>
        <v>GUANAJUATO</v>
      </c>
    </row>
    <row r="266" spans="1:13" x14ac:dyDescent="0.2">
      <c r="A266" s="1" t="str">
        <f t="shared" si="13"/>
        <v>GUANAJUATO</v>
      </c>
      <c r="B266" s="1" t="str">
        <f t="shared" si="14"/>
        <v>GUANAJUATO</v>
      </c>
    </row>
    <row r="267" spans="1:13" ht="10.5" x14ac:dyDescent="0.2">
      <c r="A267" s="1" t="str">
        <f t="shared" si="13"/>
        <v>HIDALGOHIDALGO</v>
      </c>
      <c r="B267" s="1" t="str">
        <f t="shared" si="14"/>
        <v>HIDALGO</v>
      </c>
      <c r="C267" s="657" t="s">
        <v>679</v>
      </c>
    </row>
    <row r="268" spans="1:13" ht="10.5" x14ac:dyDescent="0.25">
      <c r="A268" s="1" t="str">
        <f t="shared" si="13"/>
        <v>HIDALGO</v>
      </c>
      <c r="B268" s="1" t="str">
        <f t="shared" si="14"/>
        <v>HIDALGO</v>
      </c>
      <c r="F268" s="648" t="s">
        <v>624</v>
      </c>
      <c r="G268" s="648" t="s">
        <v>627</v>
      </c>
      <c r="I268" s="682" t="s">
        <v>637</v>
      </c>
      <c r="J268" s="682" t="s">
        <v>638</v>
      </c>
      <c r="L268" s="682" t="s">
        <v>639</v>
      </c>
      <c r="M268" s="682" t="s">
        <v>638</v>
      </c>
    </row>
    <row r="269" spans="1:13" x14ac:dyDescent="0.2">
      <c r="A269" s="1" t="str">
        <f t="shared" si="13"/>
        <v>HIDALGORANGO 1</v>
      </c>
      <c r="B269" s="1" t="str">
        <f t="shared" si="14"/>
        <v>HIDALGO</v>
      </c>
      <c r="C269" s="651" t="s">
        <v>629</v>
      </c>
      <c r="D269" s="651">
        <v>0</v>
      </c>
      <c r="E269" s="652">
        <v>150000</v>
      </c>
      <c r="F269" s="656">
        <v>7.4999999999999997E-2</v>
      </c>
      <c r="G269" s="656">
        <v>0.03</v>
      </c>
      <c r="I269" s="684" t="s">
        <v>640</v>
      </c>
      <c r="J269" s="689">
        <v>7.4999999999999997E-2</v>
      </c>
      <c r="L269" s="684" t="s">
        <v>640</v>
      </c>
      <c r="M269" s="689">
        <v>0.03</v>
      </c>
    </row>
    <row r="270" spans="1:13" x14ac:dyDescent="0.2">
      <c r="A270" s="1" t="str">
        <f t="shared" si="13"/>
        <v>HIDALGORANGO 2</v>
      </c>
      <c r="B270" s="1" t="str">
        <f t="shared" si="14"/>
        <v>HIDALGO</v>
      </c>
      <c r="C270" s="651" t="s">
        <v>630</v>
      </c>
      <c r="D270" s="652">
        <v>150000.01</v>
      </c>
      <c r="E270" s="652">
        <v>300000</v>
      </c>
      <c r="F270" s="656">
        <v>7.4999999999999997E-2</v>
      </c>
      <c r="G270" s="656">
        <v>0.03</v>
      </c>
      <c r="I270" s="684" t="s">
        <v>642</v>
      </c>
      <c r="J270" s="689">
        <v>6.5000000000000002E-2</v>
      </c>
      <c r="L270" s="684" t="s">
        <v>642</v>
      </c>
      <c r="M270" s="689">
        <v>2.5000000000000001E-2</v>
      </c>
    </row>
    <row r="271" spans="1:13" x14ac:dyDescent="0.2">
      <c r="A271" s="1" t="str">
        <f t="shared" si="13"/>
        <v>HIDALGORANGO 3</v>
      </c>
      <c r="B271" s="1" t="str">
        <f t="shared" si="14"/>
        <v>HIDALGO</v>
      </c>
      <c r="C271" s="651" t="s">
        <v>631</v>
      </c>
      <c r="D271" s="652">
        <v>300000.01</v>
      </c>
      <c r="E271" s="652">
        <v>600000</v>
      </c>
      <c r="F271" s="656">
        <v>7.4999999999999997E-2</v>
      </c>
      <c r="G271" s="656">
        <v>0.03</v>
      </c>
      <c r="I271" s="684" t="s">
        <v>644</v>
      </c>
      <c r="J271" s="689">
        <v>0.06</v>
      </c>
      <c r="L271" s="684" t="s">
        <v>644</v>
      </c>
      <c r="M271" s="689">
        <v>0.02</v>
      </c>
    </row>
    <row r="272" spans="1:13" x14ac:dyDescent="0.2">
      <c r="A272" s="1" t="str">
        <f t="shared" si="13"/>
        <v>HIDALGORANGO 4</v>
      </c>
      <c r="B272" s="1" t="str">
        <f t="shared" si="14"/>
        <v>HIDALGO</v>
      </c>
      <c r="C272" s="651" t="s">
        <v>632</v>
      </c>
      <c r="D272" s="652">
        <v>600000.01</v>
      </c>
      <c r="E272" s="652">
        <v>1200000</v>
      </c>
      <c r="F272" s="656">
        <v>7.4999999999999997E-2</v>
      </c>
      <c r="G272" s="656">
        <v>0.03</v>
      </c>
      <c r="I272" s="684" t="s">
        <v>646</v>
      </c>
      <c r="J272" s="689">
        <v>0.05</v>
      </c>
      <c r="L272" s="684" t="s">
        <v>651</v>
      </c>
      <c r="M272" s="689">
        <v>0.01</v>
      </c>
    </row>
    <row r="273" spans="1:13" x14ac:dyDescent="0.2">
      <c r="A273" s="1" t="str">
        <f t="shared" si="13"/>
        <v>HIDALGORANGO 5</v>
      </c>
      <c r="B273" s="1" t="str">
        <f t="shared" si="14"/>
        <v>HIDALGO</v>
      </c>
      <c r="C273" s="651" t="s">
        <v>633</v>
      </c>
      <c r="D273" s="652">
        <v>1200000.01</v>
      </c>
      <c r="E273" s="652">
        <v>2400000</v>
      </c>
      <c r="F273" s="656">
        <v>6.5000000000000002E-2</v>
      </c>
      <c r="G273" s="656">
        <v>2.5000000000000001E-2</v>
      </c>
    </row>
    <row r="274" spans="1:13" x14ac:dyDescent="0.2">
      <c r="A274" s="1" t="str">
        <f t="shared" si="13"/>
        <v>HIDALGORANGO 6</v>
      </c>
      <c r="B274" s="1" t="str">
        <f t="shared" si="14"/>
        <v>HIDALGO</v>
      </c>
      <c r="C274" s="651" t="s">
        <v>634</v>
      </c>
      <c r="D274" s="652">
        <v>2400000.0099999998</v>
      </c>
      <c r="E274" s="652">
        <v>4800000</v>
      </c>
      <c r="F274" s="656">
        <v>0.06</v>
      </c>
      <c r="G274" s="656">
        <v>0.02</v>
      </c>
    </row>
    <row r="275" spans="1:13" x14ac:dyDescent="0.2">
      <c r="A275" s="1" t="str">
        <f t="shared" si="13"/>
        <v>HIDALGORANGO 7</v>
      </c>
      <c r="B275" s="1" t="str">
        <f t="shared" si="14"/>
        <v>HIDALGO</v>
      </c>
      <c r="C275" s="651" t="s">
        <v>635</v>
      </c>
      <c r="D275" s="652">
        <v>4800000.01</v>
      </c>
      <c r="E275" s="652">
        <v>9600000</v>
      </c>
      <c r="F275" s="656">
        <v>0.05</v>
      </c>
      <c r="G275" s="656">
        <v>0.01</v>
      </c>
    </row>
    <row r="276" spans="1:13" x14ac:dyDescent="0.2">
      <c r="A276" s="1" t="str">
        <f t="shared" si="13"/>
        <v>HIDALGORANGO 8</v>
      </c>
      <c r="B276" s="1" t="str">
        <f t="shared" si="14"/>
        <v>HIDALGO</v>
      </c>
      <c r="C276" s="651" t="s">
        <v>636</v>
      </c>
      <c r="D276" s="652">
        <v>9600000.0099999998</v>
      </c>
      <c r="E276" s="652">
        <v>999999999</v>
      </c>
      <c r="F276" s="656">
        <v>0.05</v>
      </c>
      <c r="G276" s="656">
        <v>0.01</v>
      </c>
    </row>
    <row r="277" spans="1:13" x14ac:dyDescent="0.2">
      <c r="A277" s="1" t="str">
        <f t="shared" si="13"/>
        <v>HIDALGO</v>
      </c>
      <c r="B277" s="1" t="str">
        <f t="shared" si="14"/>
        <v>HIDALGO</v>
      </c>
    </row>
    <row r="278" spans="1:13" x14ac:dyDescent="0.2">
      <c r="A278" s="1" t="str">
        <f t="shared" si="13"/>
        <v>HIDALGO</v>
      </c>
      <c r="B278" s="1" t="str">
        <f t="shared" si="14"/>
        <v>HIDALGO</v>
      </c>
    </row>
    <row r="279" spans="1:13" ht="10.5" x14ac:dyDescent="0.25">
      <c r="A279" s="1" t="str">
        <f t="shared" ref="A279:A342" si="15">B279&amp;C279</f>
        <v>JALISCOJALISCO</v>
      </c>
      <c r="B279" s="1" t="str">
        <f t="shared" ref="B279:B342" si="16">IF(AND(ISBLANK(C279)=FALSE,LEFT(C279,1)&lt;&gt;"R"),C279,IF(ISBLANK(C279),B278,B278))</f>
        <v>JALISCO</v>
      </c>
      <c r="C279" s="658" t="s">
        <v>680</v>
      </c>
    </row>
    <row r="280" spans="1:13" ht="10.5" x14ac:dyDescent="0.25">
      <c r="A280" s="1" t="str">
        <f t="shared" si="15"/>
        <v>JALISCO</v>
      </c>
      <c r="B280" s="1" t="str">
        <f t="shared" si="16"/>
        <v>JALISCO</v>
      </c>
      <c r="F280" s="648" t="s">
        <v>624</v>
      </c>
      <c r="G280" s="648" t="s">
        <v>627</v>
      </c>
      <c r="I280" s="682" t="s">
        <v>637</v>
      </c>
      <c r="J280" s="682" t="s">
        <v>638</v>
      </c>
      <c r="L280" s="682" t="s">
        <v>639</v>
      </c>
      <c r="M280" s="682" t="s">
        <v>638</v>
      </c>
    </row>
    <row r="281" spans="1:13" x14ac:dyDescent="0.2">
      <c r="A281" s="1" t="str">
        <f t="shared" si="15"/>
        <v>JALISCORANGO 1</v>
      </c>
      <c r="B281" s="1" t="str">
        <f t="shared" si="16"/>
        <v>JALISCO</v>
      </c>
      <c r="C281" s="649" t="s">
        <v>629</v>
      </c>
      <c r="D281" s="649">
        <v>0</v>
      </c>
      <c r="E281" s="660">
        <v>150000</v>
      </c>
      <c r="F281" s="653">
        <v>6.5000000000000002E-2</v>
      </c>
      <c r="G281" s="653">
        <v>4.4999999999999998E-2</v>
      </c>
      <c r="I281" s="683" t="s">
        <v>640</v>
      </c>
      <c r="J281" s="688">
        <v>6.5000000000000002E-2</v>
      </c>
      <c r="L281" s="683" t="s">
        <v>641</v>
      </c>
      <c r="M281" s="688">
        <v>4.4999999999999998E-2</v>
      </c>
    </row>
    <row r="282" spans="1:13" x14ac:dyDescent="0.2">
      <c r="A282" s="1" t="str">
        <f t="shared" si="15"/>
        <v>JALISCORANGO 2</v>
      </c>
      <c r="B282" s="1" t="str">
        <f t="shared" si="16"/>
        <v>JALISCO</v>
      </c>
      <c r="C282" s="649" t="s">
        <v>630</v>
      </c>
      <c r="D282" s="660">
        <v>150000.01</v>
      </c>
      <c r="E282" s="660">
        <v>300000</v>
      </c>
      <c r="F282" s="653">
        <v>6.5000000000000002E-2</v>
      </c>
      <c r="G282" s="653">
        <v>4.4999999999999998E-2</v>
      </c>
      <c r="I282" s="683" t="s">
        <v>642</v>
      </c>
      <c r="J282" s="688">
        <v>5.5E-2</v>
      </c>
      <c r="L282" s="683" t="s">
        <v>643</v>
      </c>
      <c r="M282" s="688">
        <v>3.5000000000000003E-2</v>
      </c>
    </row>
    <row r="283" spans="1:13" x14ac:dyDescent="0.2">
      <c r="A283" s="1" t="str">
        <f t="shared" si="15"/>
        <v>JALISCORANGO 3</v>
      </c>
      <c r="B283" s="1" t="str">
        <f t="shared" si="16"/>
        <v>JALISCO</v>
      </c>
      <c r="C283" s="649" t="s">
        <v>631</v>
      </c>
      <c r="D283" s="660">
        <v>300000.01</v>
      </c>
      <c r="E283" s="660">
        <v>600000</v>
      </c>
      <c r="F283" s="653">
        <v>6.5000000000000002E-2</v>
      </c>
      <c r="G283" s="653">
        <v>4.4999999999999998E-2</v>
      </c>
      <c r="I283" s="683" t="s">
        <v>644</v>
      </c>
      <c r="J283" s="688">
        <v>0.05</v>
      </c>
      <c r="L283" s="683" t="s">
        <v>642</v>
      </c>
      <c r="M283" s="688">
        <v>2.5000000000000001E-2</v>
      </c>
    </row>
    <row r="284" spans="1:13" x14ac:dyDescent="0.2">
      <c r="A284" s="1" t="str">
        <f t="shared" si="15"/>
        <v>JALISCORANGO 4</v>
      </c>
      <c r="B284" s="1" t="str">
        <f t="shared" si="16"/>
        <v>JALISCO</v>
      </c>
      <c r="C284" s="649" t="s">
        <v>632</v>
      </c>
      <c r="D284" s="660">
        <v>600000.01</v>
      </c>
      <c r="E284" s="660">
        <v>1200000</v>
      </c>
      <c r="F284" s="653">
        <v>6.5000000000000002E-2</v>
      </c>
      <c r="G284" s="653">
        <v>3.5000000000000003E-2</v>
      </c>
      <c r="I284" s="683" t="s">
        <v>681</v>
      </c>
      <c r="J284" s="688">
        <v>4.4999999999999998E-2</v>
      </c>
      <c r="L284" s="683" t="s">
        <v>650</v>
      </c>
      <c r="M284" s="688">
        <v>0.02</v>
      </c>
    </row>
    <row r="285" spans="1:13" x14ac:dyDescent="0.2">
      <c r="A285" s="1" t="str">
        <f t="shared" si="15"/>
        <v>JALISCORANGO 5</v>
      </c>
      <c r="B285" s="1" t="str">
        <f t="shared" si="16"/>
        <v>JALISCO</v>
      </c>
      <c r="C285" s="649" t="s">
        <v>633</v>
      </c>
      <c r="D285" s="660">
        <v>1200000.01</v>
      </c>
      <c r="E285" s="660">
        <v>2400000</v>
      </c>
      <c r="F285" s="653">
        <v>5.5E-2</v>
      </c>
      <c r="G285" s="653">
        <v>2.5000000000000001E-2</v>
      </c>
      <c r="I285" s="683" t="s">
        <v>682</v>
      </c>
      <c r="J285" s="688">
        <v>0.04</v>
      </c>
    </row>
    <row r="286" spans="1:13" x14ac:dyDescent="0.2">
      <c r="A286" s="1" t="str">
        <f t="shared" si="15"/>
        <v>JALISCORANGO 6</v>
      </c>
      <c r="B286" s="1" t="str">
        <f t="shared" si="16"/>
        <v>JALISCO</v>
      </c>
      <c r="C286" s="649" t="s">
        <v>634</v>
      </c>
      <c r="D286" s="660">
        <v>2400000.0099999998</v>
      </c>
      <c r="E286" s="660">
        <v>4800000</v>
      </c>
      <c r="F286" s="653">
        <v>0.05</v>
      </c>
      <c r="G286" s="653">
        <v>0.02</v>
      </c>
    </row>
    <row r="287" spans="1:13" x14ac:dyDescent="0.2">
      <c r="A287" s="1" t="str">
        <f t="shared" si="15"/>
        <v>JALISCORANGO 7</v>
      </c>
      <c r="B287" s="1" t="str">
        <f t="shared" si="16"/>
        <v>JALISCO</v>
      </c>
      <c r="C287" s="649" t="s">
        <v>635</v>
      </c>
      <c r="D287" s="660">
        <v>4800000.01</v>
      </c>
      <c r="E287" s="660">
        <v>9600000</v>
      </c>
      <c r="F287" s="653">
        <v>4.4999999999999998E-2</v>
      </c>
      <c r="G287" s="653">
        <v>0.02</v>
      </c>
    </row>
    <row r="288" spans="1:13" x14ac:dyDescent="0.2">
      <c r="A288" s="1" t="str">
        <f t="shared" si="15"/>
        <v>JALISCORANGO 8</v>
      </c>
      <c r="B288" s="1" t="str">
        <f t="shared" si="16"/>
        <v>JALISCO</v>
      </c>
      <c r="C288" s="649" t="s">
        <v>636</v>
      </c>
      <c r="D288" s="660">
        <v>9600000.0099999998</v>
      </c>
      <c r="E288" s="652">
        <v>999999999</v>
      </c>
      <c r="F288" s="653">
        <v>0.04</v>
      </c>
      <c r="G288" s="653">
        <v>0.02</v>
      </c>
    </row>
    <row r="289" spans="1:13" x14ac:dyDescent="0.2">
      <c r="A289" s="1" t="str">
        <f t="shared" si="15"/>
        <v>JALISCO</v>
      </c>
      <c r="B289" s="1" t="str">
        <f t="shared" si="16"/>
        <v>JALISCO</v>
      </c>
    </row>
    <row r="290" spans="1:13" x14ac:dyDescent="0.2">
      <c r="A290" s="1" t="str">
        <f t="shared" si="15"/>
        <v>JALISCO</v>
      </c>
      <c r="B290" s="1" t="str">
        <f t="shared" si="16"/>
        <v>JALISCO</v>
      </c>
    </row>
    <row r="291" spans="1:13" ht="10.5" x14ac:dyDescent="0.2">
      <c r="A291" s="1" t="str">
        <f t="shared" si="15"/>
        <v>QUINTANA ROOQUINTANA ROO</v>
      </c>
      <c r="B291" s="1" t="str">
        <f t="shared" si="16"/>
        <v>QUINTANA ROO</v>
      </c>
      <c r="C291" s="657" t="s">
        <v>683</v>
      </c>
    </row>
    <row r="292" spans="1:13" ht="10.5" x14ac:dyDescent="0.25">
      <c r="A292" s="1" t="str">
        <f t="shared" si="15"/>
        <v>QUINTANA ROO</v>
      </c>
      <c r="B292" s="1" t="str">
        <f t="shared" si="16"/>
        <v>QUINTANA ROO</v>
      </c>
      <c r="F292" s="648" t="s">
        <v>624</v>
      </c>
      <c r="G292" s="648" t="s">
        <v>627</v>
      </c>
      <c r="I292" s="682" t="s">
        <v>637</v>
      </c>
      <c r="J292" s="682" t="s">
        <v>638</v>
      </c>
      <c r="L292" s="682" t="s">
        <v>639</v>
      </c>
      <c r="M292" s="682" t="s">
        <v>638</v>
      </c>
    </row>
    <row r="293" spans="1:13" x14ac:dyDescent="0.2">
      <c r="A293" s="1" t="str">
        <f t="shared" si="15"/>
        <v>QUINTANA ROORANGO 1</v>
      </c>
      <c r="B293" s="1" t="str">
        <f t="shared" si="16"/>
        <v>QUINTANA ROO</v>
      </c>
      <c r="C293" s="651" t="s">
        <v>629</v>
      </c>
      <c r="D293" s="651">
        <v>0</v>
      </c>
      <c r="E293" s="652">
        <v>150000</v>
      </c>
      <c r="F293" s="656">
        <v>8.5000000000000006E-2</v>
      </c>
      <c r="G293" s="656">
        <v>0.05</v>
      </c>
      <c r="I293" s="684" t="s">
        <v>640</v>
      </c>
      <c r="J293" s="689">
        <v>8.5000000000000006E-2</v>
      </c>
      <c r="L293" s="684" t="s">
        <v>640</v>
      </c>
      <c r="M293" s="689">
        <v>0.05</v>
      </c>
    </row>
    <row r="294" spans="1:13" x14ac:dyDescent="0.2">
      <c r="A294" s="1" t="str">
        <f t="shared" si="15"/>
        <v>QUINTANA ROORANGO 2</v>
      </c>
      <c r="B294" s="1" t="str">
        <f t="shared" si="16"/>
        <v>QUINTANA ROO</v>
      </c>
      <c r="C294" s="651" t="s">
        <v>630</v>
      </c>
      <c r="D294" s="652">
        <v>150000.01</v>
      </c>
      <c r="E294" s="652">
        <v>300000</v>
      </c>
      <c r="F294" s="656">
        <v>8.5000000000000006E-2</v>
      </c>
      <c r="G294" s="656">
        <v>0.05</v>
      </c>
      <c r="I294" s="684" t="s">
        <v>642</v>
      </c>
      <c r="J294" s="689">
        <v>0.08</v>
      </c>
      <c r="L294" s="684" t="s">
        <v>642</v>
      </c>
      <c r="M294" s="689">
        <v>0.03</v>
      </c>
    </row>
    <row r="295" spans="1:13" x14ac:dyDescent="0.2">
      <c r="A295" s="1" t="str">
        <f t="shared" si="15"/>
        <v>QUINTANA ROORANGO 3</v>
      </c>
      <c r="B295" s="1" t="str">
        <f t="shared" si="16"/>
        <v>QUINTANA ROO</v>
      </c>
      <c r="C295" s="651" t="s">
        <v>631</v>
      </c>
      <c r="D295" s="652">
        <v>300000.01</v>
      </c>
      <c r="E295" s="652">
        <v>600000</v>
      </c>
      <c r="F295" s="656">
        <v>8.5000000000000006E-2</v>
      </c>
      <c r="G295" s="656">
        <v>0.05</v>
      </c>
      <c r="I295" s="684" t="s">
        <v>644</v>
      </c>
      <c r="J295" s="689">
        <v>7.0000000000000007E-2</v>
      </c>
      <c r="L295" s="684" t="s">
        <v>684</v>
      </c>
      <c r="M295" s="689">
        <v>1.4999999999999999E-2</v>
      </c>
    </row>
    <row r="296" spans="1:13" x14ac:dyDescent="0.2">
      <c r="A296" s="1" t="str">
        <f t="shared" si="15"/>
        <v>QUINTANA ROORANGO 4</v>
      </c>
      <c r="B296" s="1" t="str">
        <f t="shared" si="16"/>
        <v>QUINTANA ROO</v>
      </c>
      <c r="C296" s="651" t="s">
        <v>632</v>
      </c>
      <c r="D296" s="652">
        <v>600000.01</v>
      </c>
      <c r="E296" s="652">
        <v>1200000</v>
      </c>
      <c r="F296" s="656">
        <v>8.5000000000000006E-2</v>
      </c>
      <c r="G296" s="656">
        <v>0.05</v>
      </c>
      <c r="I296" s="684" t="s">
        <v>681</v>
      </c>
      <c r="J296" s="689">
        <v>5.5E-2</v>
      </c>
      <c r="L296" s="684" t="s">
        <v>685</v>
      </c>
      <c r="M296" s="689">
        <v>0.01</v>
      </c>
    </row>
    <row r="297" spans="1:13" x14ac:dyDescent="0.2">
      <c r="A297" s="1" t="str">
        <f t="shared" si="15"/>
        <v>QUINTANA ROORANGO 5</v>
      </c>
      <c r="B297" s="1" t="str">
        <f t="shared" si="16"/>
        <v>QUINTANA ROO</v>
      </c>
      <c r="C297" s="651" t="s">
        <v>633</v>
      </c>
      <c r="D297" s="652">
        <v>1200000.01</v>
      </c>
      <c r="E297" s="652">
        <v>2400000</v>
      </c>
      <c r="F297" s="656">
        <v>0.08</v>
      </c>
      <c r="G297" s="656">
        <v>0.03</v>
      </c>
      <c r="I297" s="685">
        <v>9600000.0099999998</v>
      </c>
      <c r="J297" s="689">
        <v>0.05</v>
      </c>
    </row>
    <row r="298" spans="1:13" x14ac:dyDescent="0.2">
      <c r="A298" s="1" t="str">
        <f t="shared" si="15"/>
        <v>QUINTANA ROORANGO 6</v>
      </c>
      <c r="B298" s="1" t="str">
        <f t="shared" si="16"/>
        <v>QUINTANA ROO</v>
      </c>
      <c r="C298" s="651" t="s">
        <v>634</v>
      </c>
      <c r="D298" s="652">
        <v>2400000.0099999998</v>
      </c>
      <c r="E298" s="652">
        <v>4800000</v>
      </c>
      <c r="F298" s="656">
        <v>7.0000000000000007E-2</v>
      </c>
      <c r="G298" s="656">
        <v>1.4999999999999999E-2</v>
      </c>
    </row>
    <row r="299" spans="1:13" x14ac:dyDescent="0.2">
      <c r="A299" s="1" t="str">
        <f t="shared" si="15"/>
        <v>QUINTANA ROORANGO 7</v>
      </c>
      <c r="B299" s="1" t="str">
        <f t="shared" si="16"/>
        <v>QUINTANA ROO</v>
      </c>
      <c r="C299" s="651" t="s">
        <v>635</v>
      </c>
      <c r="D299" s="652">
        <v>4800000.01</v>
      </c>
      <c r="E299" s="652">
        <v>9600000</v>
      </c>
      <c r="F299" s="656">
        <v>5.5E-2</v>
      </c>
      <c r="G299" s="656">
        <v>1.4999999999999999E-2</v>
      </c>
    </row>
    <row r="300" spans="1:13" x14ac:dyDescent="0.2">
      <c r="A300" s="1" t="str">
        <f t="shared" si="15"/>
        <v>QUINTANA ROORANGO 8</v>
      </c>
      <c r="B300" s="1" t="str">
        <f t="shared" si="16"/>
        <v>QUINTANA ROO</v>
      </c>
      <c r="C300" s="651" t="s">
        <v>636</v>
      </c>
      <c r="D300" s="652">
        <v>9600000.0099999998</v>
      </c>
      <c r="E300" s="652">
        <v>999999999</v>
      </c>
      <c r="F300" s="656">
        <v>0.05</v>
      </c>
      <c r="G300" s="656">
        <v>0.01</v>
      </c>
    </row>
    <row r="301" spans="1:13" x14ac:dyDescent="0.2">
      <c r="A301" s="1" t="str">
        <f t="shared" si="15"/>
        <v>QUINTANA ROO</v>
      </c>
      <c r="B301" s="1" t="str">
        <f t="shared" si="16"/>
        <v>QUINTANA ROO</v>
      </c>
    </row>
    <row r="302" spans="1:13" x14ac:dyDescent="0.2">
      <c r="A302" s="1" t="str">
        <f t="shared" si="15"/>
        <v>QUINTANA ROO</v>
      </c>
      <c r="B302" s="1" t="str">
        <f t="shared" si="16"/>
        <v>QUINTANA ROO</v>
      </c>
    </row>
    <row r="303" spans="1:13" ht="10.5" x14ac:dyDescent="0.2">
      <c r="A303" s="1" t="str">
        <f t="shared" si="15"/>
        <v>SAN LUIS POTOSÍSAN LUIS POTOSÍ</v>
      </c>
      <c r="B303" s="1" t="str">
        <f t="shared" si="16"/>
        <v>SAN LUIS POTOSÍ</v>
      </c>
      <c r="C303" s="657" t="s">
        <v>686</v>
      </c>
    </row>
    <row r="304" spans="1:13" ht="10.5" x14ac:dyDescent="0.25">
      <c r="A304" s="1" t="str">
        <f t="shared" si="15"/>
        <v>SAN LUIS POTOSÍ</v>
      </c>
      <c r="B304" s="1" t="str">
        <f t="shared" si="16"/>
        <v>SAN LUIS POTOSÍ</v>
      </c>
      <c r="F304" s="648" t="s">
        <v>624</v>
      </c>
      <c r="G304" s="648" t="s">
        <v>627</v>
      </c>
      <c r="I304" s="682" t="s">
        <v>637</v>
      </c>
      <c r="J304" s="682" t="s">
        <v>638</v>
      </c>
      <c r="L304" s="682" t="s">
        <v>639</v>
      </c>
      <c r="M304" s="682" t="s">
        <v>638</v>
      </c>
    </row>
    <row r="305" spans="1:13" x14ac:dyDescent="0.2">
      <c r="A305" s="1" t="str">
        <f t="shared" si="15"/>
        <v>SAN LUIS POTOSÍRANGO 1</v>
      </c>
      <c r="B305" s="1" t="str">
        <f t="shared" si="16"/>
        <v>SAN LUIS POTOSÍ</v>
      </c>
      <c r="C305" s="649" t="s">
        <v>629</v>
      </c>
      <c r="D305" s="649">
        <v>0</v>
      </c>
      <c r="E305" s="660">
        <v>150000</v>
      </c>
      <c r="F305" s="653">
        <v>7.0000000000000007E-2</v>
      </c>
      <c r="G305" s="653">
        <v>0.04</v>
      </c>
      <c r="I305" s="683" t="s">
        <v>640</v>
      </c>
      <c r="J305" s="688">
        <v>7.0000000000000007E-2</v>
      </c>
      <c r="L305" s="683" t="s">
        <v>640</v>
      </c>
      <c r="M305" s="688">
        <v>0.04</v>
      </c>
    </row>
    <row r="306" spans="1:13" x14ac:dyDescent="0.2">
      <c r="A306" s="1" t="str">
        <f t="shared" si="15"/>
        <v>SAN LUIS POTOSÍRANGO 2</v>
      </c>
      <c r="B306" s="1" t="str">
        <f t="shared" si="16"/>
        <v>SAN LUIS POTOSÍ</v>
      </c>
      <c r="C306" s="649" t="s">
        <v>630</v>
      </c>
      <c r="D306" s="660">
        <v>150000.01</v>
      </c>
      <c r="E306" s="660">
        <v>300000</v>
      </c>
      <c r="F306" s="653">
        <v>7.0000000000000007E-2</v>
      </c>
      <c r="G306" s="653">
        <v>0.04</v>
      </c>
      <c r="I306" s="683" t="s">
        <v>659</v>
      </c>
      <c r="J306" s="688">
        <v>0.06</v>
      </c>
      <c r="L306" s="683" t="s">
        <v>642</v>
      </c>
      <c r="M306" s="688">
        <v>2.5000000000000001E-2</v>
      </c>
    </row>
    <row r="307" spans="1:13" x14ac:dyDescent="0.2">
      <c r="A307" s="1" t="str">
        <f t="shared" si="15"/>
        <v>SAN LUIS POTOSÍRANGO 3</v>
      </c>
      <c r="B307" s="1" t="str">
        <f t="shared" si="16"/>
        <v>SAN LUIS POTOSÍ</v>
      </c>
      <c r="C307" s="649" t="s">
        <v>631</v>
      </c>
      <c r="D307" s="660">
        <v>300000.01</v>
      </c>
      <c r="E307" s="660">
        <v>600000</v>
      </c>
      <c r="F307" s="653">
        <v>7.0000000000000007E-2</v>
      </c>
      <c r="G307" s="653">
        <v>0.04</v>
      </c>
      <c r="I307" s="683" t="s">
        <v>646</v>
      </c>
      <c r="J307" s="688">
        <v>5.5E-2</v>
      </c>
      <c r="L307" s="683" t="s">
        <v>644</v>
      </c>
      <c r="M307" s="688">
        <v>0.02</v>
      </c>
    </row>
    <row r="308" spans="1:13" x14ac:dyDescent="0.2">
      <c r="A308" s="1" t="str">
        <f t="shared" si="15"/>
        <v>SAN LUIS POTOSÍRANGO 4</v>
      </c>
      <c r="B308" s="1" t="str">
        <f t="shared" si="16"/>
        <v>SAN LUIS POTOSÍ</v>
      </c>
      <c r="C308" s="649" t="s">
        <v>632</v>
      </c>
      <c r="D308" s="660">
        <v>600000.01</v>
      </c>
      <c r="E308" s="660">
        <v>1200000</v>
      </c>
      <c r="F308" s="653">
        <v>7.0000000000000007E-2</v>
      </c>
      <c r="G308" s="653">
        <v>0.04</v>
      </c>
      <c r="L308" s="683" t="s">
        <v>646</v>
      </c>
      <c r="M308" s="688">
        <v>0.01</v>
      </c>
    </row>
    <row r="309" spans="1:13" x14ac:dyDescent="0.2">
      <c r="A309" s="1" t="str">
        <f t="shared" si="15"/>
        <v>SAN LUIS POTOSÍRANGO 5</v>
      </c>
      <c r="B309" s="1" t="str">
        <f t="shared" si="16"/>
        <v>SAN LUIS POTOSÍ</v>
      </c>
      <c r="C309" s="649" t="s">
        <v>633</v>
      </c>
      <c r="D309" s="660">
        <v>1200000.01</v>
      </c>
      <c r="E309" s="660">
        <v>2400000</v>
      </c>
      <c r="F309" s="653">
        <v>0.06</v>
      </c>
      <c r="G309" s="653">
        <v>2.5000000000000001E-2</v>
      </c>
    </row>
    <row r="310" spans="1:13" x14ac:dyDescent="0.2">
      <c r="A310" s="1" t="str">
        <f t="shared" si="15"/>
        <v>SAN LUIS POTOSÍRANGO 6</v>
      </c>
      <c r="B310" s="1" t="str">
        <f t="shared" si="16"/>
        <v>SAN LUIS POTOSÍ</v>
      </c>
      <c r="C310" s="649" t="s">
        <v>634</v>
      </c>
      <c r="D310" s="660">
        <v>2400000.0099999998</v>
      </c>
      <c r="E310" s="660">
        <v>4800000</v>
      </c>
      <c r="F310" s="653">
        <v>0.06</v>
      </c>
      <c r="G310" s="653">
        <v>0.02</v>
      </c>
    </row>
    <row r="311" spans="1:13" x14ac:dyDescent="0.2">
      <c r="A311" s="1" t="str">
        <f t="shared" si="15"/>
        <v>SAN LUIS POTOSÍRANGO 7</v>
      </c>
      <c r="B311" s="1" t="str">
        <f t="shared" si="16"/>
        <v>SAN LUIS POTOSÍ</v>
      </c>
      <c r="C311" s="649" t="s">
        <v>635</v>
      </c>
      <c r="D311" s="660">
        <v>4800000.01</v>
      </c>
      <c r="E311" s="660">
        <v>9600000</v>
      </c>
      <c r="F311" s="653">
        <v>5.5E-2</v>
      </c>
      <c r="G311" s="653">
        <v>0.01</v>
      </c>
    </row>
    <row r="312" spans="1:13" x14ac:dyDescent="0.2">
      <c r="A312" s="1" t="str">
        <f t="shared" si="15"/>
        <v>SAN LUIS POTOSÍRANGO 8</v>
      </c>
      <c r="B312" s="1" t="str">
        <f t="shared" si="16"/>
        <v>SAN LUIS POTOSÍ</v>
      </c>
      <c r="C312" s="649" t="s">
        <v>636</v>
      </c>
      <c r="D312" s="660">
        <v>9600000.0099999998</v>
      </c>
      <c r="E312" s="652">
        <v>999999999</v>
      </c>
      <c r="F312" s="653">
        <v>5.5E-2</v>
      </c>
      <c r="G312" s="653">
        <v>0.01</v>
      </c>
    </row>
    <row r="313" spans="1:13" x14ac:dyDescent="0.2">
      <c r="A313" s="1" t="str">
        <f t="shared" si="15"/>
        <v>SAN LUIS POTOSÍ</v>
      </c>
      <c r="B313" s="1" t="str">
        <f t="shared" si="16"/>
        <v>SAN LUIS POTOSÍ</v>
      </c>
    </row>
    <row r="314" spans="1:13" x14ac:dyDescent="0.2">
      <c r="A314" s="1" t="str">
        <f t="shared" si="15"/>
        <v>SAN LUIS POTOSÍ</v>
      </c>
      <c r="B314" s="1" t="str">
        <f t="shared" si="16"/>
        <v>SAN LUIS POTOSÍ</v>
      </c>
    </row>
    <row r="315" spans="1:13" ht="10.5" x14ac:dyDescent="0.2">
      <c r="A315" s="1" t="str">
        <f t="shared" si="15"/>
        <v>YUCATÁNYUCATÁN</v>
      </c>
      <c r="B315" s="1" t="str">
        <f t="shared" si="16"/>
        <v>YUCATÁN</v>
      </c>
      <c r="C315" s="657" t="s">
        <v>687</v>
      </c>
    </row>
    <row r="316" spans="1:13" ht="10.5" x14ac:dyDescent="0.25">
      <c r="A316" s="1" t="str">
        <f t="shared" si="15"/>
        <v>YUCATÁN</v>
      </c>
      <c r="B316" s="1" t="str">
        <f t="shared" si="16"/>
        <v>YUCATÁN</v>
      </c>
      <c r="F316" s="648" t="s">
        <v>624</v>
      </c>
      <c r="G316" s="648" t="s">
        <v>627</v>
      </c>
      <c r="I316" s="682" t="s">
        <v>637</v>
      </c>
      <c r="J316" s="682" t="s">
        <v>638</v>
      </c>
      <c r="L316" s="682" t="s">
        <v>639</v>
      </c>
      <c r="M316" s="682" t="s">
        <v>638</v>
      </c>
    </row>
    <row r="317" spans="1:13" x14ac:dyDescent="0.2">
      <c r="A317" s="1" t="str">
        <f t="shared" si="15"/>
        <v>YUCATÁNRANGO 1</v>
      </c>
      <c r="B317" s="1" t="str">
        <f t="shared" si="16"/>
        <v>YUCATÁN</v>
      </c>
      <c r="C317" s="651" t="s">
        <v>629</v>
      </c>
      <c r="D317" s="651">
        <v>0</v>
      </c>
      <c r="E317" s="652">
        <v>150000</v>
      </c>
      <c r="F317" s="656">
        <v>0.08</v>
      </c>
      <c r="G317" s="656">
        <v>0.03</v>
      </c>
      <c r="I317" s="684" t="s">
        <v>640</v>
      </c>
      <c r="J317" s="689">
        <v>0.08</v>
      </c>
      <c r="L317" s="684" t="s">
        <v>640</v>
      </c>
      <c r="M317" s="689">
        <v>0.03</v>
      </c>
    </row>
    <row r="318" spans="1:13" x14ac:dyDescent="0.2">
      <c r="A318" s="1" t="str">
        <f t="shared" si="15"/>
        <v>YUCATÁNRANGO 2</v>
      </c>
      <c r="B318" s="1" t="str">
        <f t="shared" si="16"/>
        <v>YUCATÁN</v>
      </c>
      <c r="C318" s="651" t="s">
        <v>630</v>
      </c>
      <c r="D318" s="652">
        <v>150000.01</v>
      </c>
      <c r="E318" s="652">
        <v>300000</v>
      </c>
      <c r="F318" s="656">
        <v>0.08</v>
      </c>
      <c r="G318" s="656">
        <v>0.03</v>
      </c>
      <c r="I318" s="684" t="s">
        <v>642</v>
      </c>
      <c r="J318" s="689">
        <v>6.5000000000000002E-2</v>
      </c>
      <c r="L318" s="684" t="s">
        <v>659</v>
      </c>
      <c r="M318" s="689">
        <v>0.02</v>
      </c>
    </row>
    <row r="319" spans="1:13" x14ac:dyDescent="0.2">
      <c r="A319" s="1" t="str">
        <f t="shared" si="15"/>
        <v>YUCATÁNRANGO 3</v>
      </c>
      <c r="B319" s="1" t="str">
        <f t="shared" si="16"/>
        <v>YUCATÁN</v>
      </c>
      <c r="C319" s="651" t="s">
        <v>631</v>
      </c>
      <c r="D319" s="652">
        <v>300000.01</v>
      </c>
      <c r="E319" s="652">
        <v>600000</v>
      </c>
      <c r="F319" s="656">
        <v>0.08</v>
      </c>
      <c r="G319" s="656">
        <v>0.03</v>
      </c>
      <c r="I319" s="684" t="s">
        <v>650</v>
      </c>
      <c r="J319" s="689">
        <v>0.06</v>
      </c>
      <c r="L319" s="684" t="s">
        <v>651</v>
      </c>
      <c r="M319" s="689">
        <v>0.01</v>
      </c>
    </row>
    <row r="320" spans="1:13" x14ac:dyDescent="0.2">
      <c r="A320" s="1" t="str">
        <f t="shared" si="15"/>
        <v>YUCATÁNRANGO 4</v>
      </c>
      <c r="B320" s="1" t="str">
        <f t="shared" si="16"/>
        <v>YUCATÁN</v>
      </c>
      <c r="C320" s="651" t="s">
        <v>632</v>
      </c>
      <c r="D320" s="652">
        <v>600000.01</v>
      </c>
      <c r="E320" s="652">
        <v>1200000</v>
      </c>
      <c r="F320" s="656">
        <v>0.08</v>
      </c>
      <c r="G320" s="656">
        <v>0.03</v>
      </c>
    </row>
    <row r="321" spans="1:13" x14ac:dyDescent="0.2">
      <c r="A321" s="1" t="str">
        <f t="shared" si="15"/>
        <v>YUCATÁNRANGO 5</v>
      </c>
      <c r="B321" s="1" t="str">
        <f t="shared" si="16"/>
        <v>YUCATÁN</v>
      </c>
      <c r="C321" s="651" t="s">
        <v>633</v>
      </c>
      <c r="D321" s="652">
        <v>1200000.01</v>
      </c>
      <c r="E321" s="652">
        <v>2400000</v>
      </c>
      <c r="F321" s="656">
        <v>6.5000000000000002E-2</v>
      </c>
      <c r="G321" s="656">
        <v>0.02</v>
      </c>
    </row>
    <row r="322" spans="1:13" x14ac:dyDescent="0.2">
      <c r="A322" s="1" t="str">
        <f t="shared" si="15"/>
        <v>YUCATÁNRANGO 6</v>
      </c>
      <c r="B322" s="1" t="str">
        <f t="shared" si="16"/>
        <v>YUCATÁN</v>
      </c>
      <c r="C322" s="651" t="s">
        <v>634</v>
      </c>
      <c r="D322" s="652">
        <v>2400000.0099999998</v>
      </c>
      <c r="E322" s="652">
        <v>4800000</v>
      </c>
      <c r="F322" s="656">
        <v>0.06</v>
      </c>
      <c r="G322" s="656">
        <v>0.02</v>
      </c>
    </row>
    <row r="323" spans="1:13" x14ac:dyDescent="0.2">
      <c r="A323" s="1" t="str">
        <f t="shared" si="15"/>
        <v>YUCATÁNRANGO 7</v>
      </c>
      <c r="B323" s="1" t="str">
        <f t="shared" si="16"/>
        <v>YUCATÁN</v>
      </c>
      <c r="C323" s="651" t="s">
        <v>635</v>
      </c>
      <c r="D323" s="652">
        <v>4800000.01</v>
      </c>
      <c r="E323" s="652">
        <v>9600000</v>
      </c>
      <c r="F323" s="656">
        <v>0.06</v>
      </c>
      <c r="G323" s="656">
        <v>0.01</v>
      </c>
    </row>
    <row r="324" spans="1:13" x14ac:dyDescent="0.2">
      <c r="A324" s="1" t="str">
        <f t="shared" si="15"/>
        <v>YUCATÁNRANGO 8</v>
      </c>
      <c r="B324" s="1" t="str">
        <f t="shared" si="16"/>
        <v>YUCATÁN</v>
      </c>
      <c r="C324" s="651" t="s">
        <v>636</v>
      </c>
      <c r="D324" s="652">
        <v>9600000.0099999998</v>
      </c>
      <c r="E324" s="652">
        <v>999999999</v>
      </c>
      <c r="F324" s="656">
        <v>0.06</v>
      </c>
      <c r="G324" s="656">
        <v>0.01</v>
      </c>
    </row>
    <row r="325" spans="1:13" x14ac:dyDescent="0.2">
      <c r="A325" s="1" t="str">
        <f t="shared" si="15"/>
        <v>YUCATÁN</v>
      </c>
      <c r="B325" s="1" t="str">
        <f t="shared" si="16"/>
        <v>YUCATÁN</v>
      </c>
    </row>
    <row r="326" spans="1:13" x14ac:dyDescent="0.2">
      <c r="A326" s="1" t="str">
        <f t="shared" si="15"/>
        <v>YUCATÁN</v>
      </c>
      <c r="B326" s="1" t="str">
        <f t="shared" si="16"/>
        <v>YUCATÁN</v>
      </c>
    </row>
    <row r="327" spans="1:13" ht="10.5" x14ac:dyDescent="0.2">
      <c r="A327" s="1" t="str">
        <f t="shared" si="15"/>
        <v>CIUDAD DE MÉXICOCIUDAD DE MÉXICO</v>
      </c>
      <c r="B327" s="1" t="str">
        <f t="shared" si="16"/>
        <v>CIUDAD DE MÉXICO</v>
      </c>
      <c r="C327" s="657" t="s">
        <v>688</v>
      </c>
    </row>
    <row r="328" spans="1:13" ht="10.5" x14ac:dyDescent="0.25">
      <c r="A328" s="1" t="str">
        <f t="shared" si="15"/>
        <v>CIUDAD DE MÉXICO</v>
      </c>
      <c r="B328" s="1" t="str">
        <f t="shared" si="16"/>
        <v>CIUDAD DE MÉXICO</v>
      </c>
      <c r="F328" s="648" t="s">
        <v>624</v>
      </c>
      <c r="G328" s="648" t="s">
        <v>627</v>
      </c>
      <c r="I328" s="682" t="s">
        <v>637</v>
      </c>
      <c r="J328" s="682" t="s">
        <v>638</v>
      </c>
      <c r="L328" s="682" t="s">
        <v>639</v>
      </c>
      <c r="M328" s="682" t="s">
        <v>638</v>
      </c>
    </row>
    <row r="329" spans="1:13" x14ac:dyDescent="0.2">
      <c r="A329" s="1" t="str">
        <f t="shared" si="15"/>
        <v>CIUDAD DE MÉXICORANGO 1</v>
      </c>
      <c r="B329" s="1" t="str">
        <f t="shared" si="16"/>
        <v>CIUDAD DE MÉXICO</v>
      </c>
      <c r="C329" s="651" t="s">
        <v>629</v>
      </c>
      <c r="D329" s="651">
        <v>0</v>
      </c>
      <c r="E329" s="652">
        <v>75000</v>
      </c>
      <c r="F329" s="656">
        <v>7.0000000000000007E-2</v>
      </c>
      <c r="G329" s="653">
        <v>0.05</v>
      </c>
      <c r="I329" s="684" t="s">
        <v>640</v>
      </c>
      <c r="J329" s="689">
        <v>7.0000000000000007E-2</v>
      </c>
      <c r="L329" s="683" t="s">
        <v>641</v>
      </c>
      <c r="M329" s="688">
        <v>0.05</v>
      </c>
    </row>
    <row r="330" spans="1:13" x14ac:dyDescent="0.2">
      <c r="A330" s="1" t="str">
        <f t="shared" si="15"/>
        <v>CIUDAD DE MÉXICORANGO 2</v>
      </c>
      <c r="B330" s="1" t="str">
        <f t="shared" si="16"/>
        <v>CIUDAD DE MÉXICO</v>
      </c>
      <c r="C330" s="651" t="s">
        <v>630</v>
      </c>
      <c r="D330" s="652">
        <v>75000.009999999995</v>
      </c>
      <c r="E330" s="652">
        <v>150000</v>
      </c>
      <c r="F330" s="656">
        <v>7.0000000000000007E-2</v>
      </c>
      <c r="G330" s="653">
        <v>0.05</v>
      </c>
      <c r="I330" s="684" t="s">
        <v>642</v>
      </c>
      <c r="J330" s="689">
        <v>5.5E-2</v>
      </c>
      <c r="L330" s="683" t="s">
        <v>678</v>
      </c>
      <c r="M330" s="688">
        <v>0.04</v>
      </c>
    </row>
    <row r="331" spans="1:13" x14ac:dyDescent="0.2">
      <c r="A331" s="1" t="str">
        <f t="shared" si="15"/>
        <v>CIUDAD DE MÉXICORANGO 3</v>
      </c>
      <c r="B331" s="1" t="str">
        <f t="shared" si="16"/>
        <v>CIUDAD DE MÉXICO</v>
      </c>
      <c r="C331" s="651" t="s">
        <v>631</v>
      </c>
      <c r="D331" s="652">
        <v>150000.01</v>
      </c>
      <c r="E331" s="652">
        <v>300000</v>
      </c>
      <c r="F331" s="656">
        <v>7.0000000000000007E-2</v>
      </c>
      <c r="G331" s="653">
        <v>0.05</v>
      </c>
      <c r="I331" s="684" t="s">
        <v>644</v>
      </c>
      <c r="J331" s="689">
        <v>0.05</v>
      </c>
      <c r="L331" s="683" t="s">
        <v>650</v>
      </c>
      <c r="M331" s="688">
        <v>0.02</v>
      </c>
    </row>
    <row r="332" spans="1:13" x14ac:dyDescent="0.2">
      <c r="A332" s="1" t="str">
        <f t="shared" si="15"/>
        <v>CIUDAD DE MÉXICORANGO 4</v>
      </c>
      <c r="B332" s="1" t="str">
        <f t="shared" si="16"/>
        <v>CIUDAD DE MÉXICO</v>
      </c>
      <c r="C332" s="651" t="s">
        <v>632</v>
      </c>
      <c r="D332" s="652">
        <v>300000.01</v>
      </c>
      <c r="E332" s="652">
        <v>600000</v>
      </c>
      <c r="F332" s="656">
        <v>7.0000000000000007E-2</v>
      </c>
      <c r="G332" s="653">
        <v>0.05</v>
      </c>
      <c r="I332" s="684" t="s">
        <v>646</v>
      </c>
      <c r="J332" s="689">
        <v>7.0000000000000007E-2</v>
      </c>
    </row>
    <row r="333" spans="1:13" x14ac:dyDescent="0.2">
      <c r="A333" s="1" t="str">
        <f t="shared" si="15"/>
        <v>CIUDAD DE MÉXICORANGO 5</v>
      </c>
      <c r="B333" s="1" t="str">
        <f t="shared" si="16"/>
        <v>CIUDAD DE MÉXICO</v>
      </c>
      <c r="C333" s="651" t="s">
        <v>633</v>
      </c>
      <c r="D333" s="652">
        <v>600000.01</v>
      </c>
      <c r="E333" s="652">
        <v>1200000</v>
      </c>
      <c r="F333" s="656">
        <v>7.0000000000000007E-2</v>
      </c>
      <c r="G333" s="653">
        <v>0.04</v>
      </c>
    </row>
    <row r="334" spans="1:13" x14ac:dyDescent="0.2">
      <c r="A334" s="1" t="str">
        <f t="shared" si="15"/>
        <v>CIUDAD DE MÉXICORANGO 6</v>
      </c>
      <c r="B334" s="1" t="str">
        <f t="shared" si="16"/>
        <v>CIUDAD DE MÉXICO</v>
      </c>
      <c r="C334" s="651" t="s">
        <v>634</v>
      </c>
      <c r="D334" s="652">
        <v>1200000.01</v>
      </c>
      <c r="E334" s="652">
        <v>2400000</v>
      </c>
      <c r="F334" s="656">
        <v>5.5E-2</v>
      </c>
      <c r="G334" s="653">
        <v>0.04</v>
      </c>
    </row>
    <row r="335" spans="1:13" x14ac:dyDescent="0.2">
      <c r="A335" s="1" t="str">
        <f t="shared" si="15"/>
        <v>CIUDAD DE MÉXICORANGO 7</v>
      </c>
      <c r="B335" s="1" t="str">
        <f t="shared" si="16"/>
        <v>CIUDAD DE MÉXICO</v>
      </c>
      <c r="C335" s="651" t="s">
        <v>635</v>
      </c>
      <c r="D335" s="652">
        <v>2400000.0099999998</v>
      </c>
      <c r="E335" s="652">
        <v>4800000</v>
      </c>
      <c r="F335" s="656">
        <v>0.05</v>
      </c>
      <c r="G335" s="653">
        <v>0.02</v>
      </c>
    </row>
    <row r="336" spans="1:13" x14ac:dyDescent="0.2">
      <c r="A336" s="1" t="str">
        <f t="shared" si="15"/>
        <v>CIUDAD DE MÉXICORANGO 8</v>
      </c>
      <c r="B336" s="1" t="str">
        <f t="shared" si="16"/>
        <v>CIUDAD DE MÉXICO</v>
      </c>
      <c r="C336" s="651" t="s">
        <v>636</v>
      </c>
      <c r="D336" s="652">
        <v>4800000.01</v>
      </c>
      <c r="E336" s="652">
        <v>999999999</v>
      </c>
      <c r="F336" s="656">
        <v>7.0000000000000007E-2</v>
      </c>
      <c r="G336" s="653">
        <v>0.02</v>
      </c>
    </row>
    <row r="337" spans="1:13" x14ac:dyDescent="0.2">
      <c r="A337" s="1" t="str">
        <f t="shared" si="15"/>
        <v>CIUDAD DE MÉXICO</v>
      </c>
      <c r="B337" s="1" t="str">
        <f t="shared" si="16"/>
        <v>CIUDAD DE MÉXICO</v>
      </c>
    </row>
    <row r="338" spans="1:13" x14ac:dyDescent="0.2">
      <c r="A338" s="1" t="str">
        <f t="shared" si="15"/>
        <v>CIUDAD DE MÉXICO</v>
      </c>
      <c r="B338" s="1" t="str">
        <f t="shared" si="16"/>
        <v>CIUDAD DE MÉXICO</v>
      </c>
    </row>
    <row r="339" spans="1:13" ht="10.5" x14ac:dyDescent="0.2">
      <c r="A339" s="1" t="str">
        <f t="shared" si="15"/>
        <v>ESTADO DE MÉXICOESTADO DE MÉXICO</v>
      </c>
      <c r="B339" s="1" t="str">
        <f t="shared" si="16"/>
        <v>ESTADO DE MÉXICO</v>
      </c>
      <c r="C339" s="657" t="s">
        <v>689</v>
      </c>
    </row>
    <row r="340" spans="1:13" ht="10.5" x14ac:dyDescent="0.25">
      <c r="A340" s="1" t="str">
        <f t="shared" si="15"/>
        <v>ESTADO DE MÉXICO</v>
      </c>
      <c r="B340" s="1" t="str">
        <f t="shared" si="16"/>
        <v>ESTADO DE MÉXICO</v>
      </c>
      <c r="F340" s="648" t="s">
        <v>624</v>
      </c>
      <c r="G340" s="648" t="s">
        <v>627</v>
      </c>
      <c r="I340" s="682" t="s">
        <v>637</v>
      </c>
      <c r="J340" s="682" t="s">
        <v>638</v>
      </c>
      <c r="L340" s="682" t="s">
        <v>639</v>
      </c>
      <c r="M340" s="682" t="s">
        <v>638</v>
      </c>
    </row>
    <row r="341" spans="1:13" x14ac:dyDescent="0.2">
      <c r="A341" s="1" t="str">
        <f t="shared" si="15"/>
        <v>ESTADO DE MÉXICORANGO 1</v>
      </c>
      <c r="B341" s="1" t="str">
        <f t="shared" si="16"/>
        <v>ESTADO DE MÉXICO</v>
      </c>
      <c r="C341" s="651" t="s">
        <v>629</v>
      </c>
      <c r="D341" s="651">
        <v>0</v>
      </c>
      <c r="E341" s="652">
        <v>75000</v>
      </c>
      <c r="F341" s="656">
        <v>0.08</v>
      </c>
      <c r="G341" s="653">
        <v>0.06</v>
      </c>
      <c r="I341" s="684" t="s">
        <v>640</v>
      </c>
      <c r="J341" s="689">
        <v>0.08</v>
      </c>
      <c r="L341" s="683" t="s">
        <v>640</v>
      </c>
      <c r="M341" s="688">
        <v>0.06</v>
      </c>
    </row>
    <row r="342" spans="1:13" x14ac:dyDescent="0.2">
      <c r="A342" s="1" t="str">
        <f t="shared" si="15"/>
        <v>ESTADO DE MÉXICORANGO 2</v>
      </c>
      <c r="B342" s="1" t="str">
        <f t="shared" si="16"/>
        <v>ESTADO DE MÉXICO</v>
      </c>
      <c r="C342" s="651" t="s">
        <v>630</v>
      </c>
      <c r="D342" s="652">
        <v>75000.009999999995</v>
      </c>
      <c r="E342" s="652">
        <v>150000</v>
      </c>
      <c r="F342" s="656">
        <v>0.08</v>
      </c>
      <c r="G342" s="653">
        <v>0.06</v>
      </c>
      <c r="I342" s="684" t="s">
        <v>642</v>
      </c>
      <c r="J342" s="689">
        <v>7.4999999999999997E-2</v>
      </c>
      <c r="L342" s="683" t="s">
        <v>642</v>
      </c>
      <c r="M342" s="688">
        <v>0.04</v>
      </c>
    </row>
    <row r="343" spans="1:13" x14ac:dyDescent="0.2">
      <c r="A343" s="1" t="str">
        <f t="shared" ref="A343:A396" si="17">B343&amp;C343</f>
        <v>ESTADO DE MÉXICORANGO 3</v>
      </c>
      <c r="B343" s="1" t="str">
        <f t="shared" ref="B343:B396" si="18">IF(AND(ISBLANK(C343)=FALSE,LEFT(C343,1)&lt;&gt;"R"),C343,IF(ISBLANK(C343),B342,B342))</f>
        <v>ESTADO DE MÉXICO</v>
      </c>
      <c r="C343" s="651" t="s">
        <v>631</v>
      </c>
      <c r="D343" s="652">
        <v>150000.01</v>
      </c>
      <c r="E343" s="652">
        <v>300000</v>
      </c>
      <c r="F343" s="656">
        <v>0.08</v>
      </c>
      <c r="G343" s="653">
        <v>0.06</v>
      </c>
      <c r="I343" s="684" t="s">
        <v>644</v>
      </c>
      <c r="J343" s="689">
        <v>6.5000000000000002E-2</v>
      </c>
      <c r="L343" s="683" t="s">
        <v>650</v>
      </c>
      <c r="M343" s="688">
        <v>0.03</v>
      </c>
    </row>
    <row r="344" spans="1:13" x14ac:dyDescent="0.2">
      <c r="A344" s="1" t="str">
        <f t="shared" si="17"/>
        <v>ESTADO DE MÉXICORANGO 4</v>
      </c>
      <c r="B344" s="1" t="str">
        <f t="shared" si="18"/>
        <v>ESTADO DE MÉXICO</v>
      </c>
      <c r="C344" s="651" t="s">
        <v>632</v>
      </c>
      <c r="D344" s="652">
        <v>300000.01</v>
      </c>
      <c r="E344" s="652">
        <v>600000</v>
      </c>
      <c r="F344" s="656">
        <v>0.08</v>
      </c>
      <c r="G344" s="653">
        <v>0.06</v>
      </c>
      <c r="I344" s="684" t="s">
        <v>646</v>
      </c>
      <c r="J344" s="689">
        <v>5.5E-2</v>
      </c>
    </row>
    <row r="345" spans="1:13" x14ac:dyDescent="0.2">
      <c r="A345" s="1" t="str">
        <f t="shared" si="17"/>
        <v>ESTADO DE MÉXICORANGO 5</v>
      </c>
      <c r="B345" s="1" t="str">
        <f t="shared" si="18"/>
        <v>ESTADO DE MÉXICO</v>
      </c>
      <c r="C345" s="651" t="s">
        <v>633</v>
      </c>
      <c r="D345" s="652">
        <v>600000.01</v>
      </c>
      <c r="E345" s="652">
        <v>1200000</v>
      </c>
      <c r="F345" s="656">
        <v>0.08</v>
      </c>
      <c r="G345" s="653">
        <v>0.06</v>
      </c>
    </row>
    <row r="346" spans="1:13" x14ac:dyDescent="0.2">
      <c r="A346" s="1" t="str">
        <f t="shared" si="17"/>
        <v>ESTADO DE MÉXICORANGO 6</v>
      </c>
      <c r="B346" s="1" t="str">
        <f t="shared" si="18"/>
        <v>ESTADO DE MÉXICO</v>
      </c>
      <c r="C346" s="651" t="s">
        <v>634</v>
      </c>
      <c r="D346" s="652">
        <v>1200000.01</v>
      </c>
      <c r="E346" s="652">
        <v>2400000</v>
      </c>
      <c r="F346" s="656">
        <v>7.4999999999999997E-2</v>
      </c>
      <c r="G346" s="653">
        <v>0.04</v>
      </c>
    </row>
    <row r="347" spans="1:13" x14ac:dyDescent="0.2">
      <c r="A347" s="1" t="str">
        <f t="shared" si="17"/>
        <v>ESTADO DE MÉXICORANGO 7</v>
      </c>
      <c r="B347" s="1" t="str">
        <f t="shared" si="18"/>
        <v>ESTADO DE MÉXICO</v>
      </c>
      <c r="C347" s="651" t="s">
        <v>635</v>
      </c>
      <c r="D347" s="652">
        <v>2400000.0099999998</v>
      </c>
      <c r="E347" s="652">
        <v>4800000</v>
      </c>
      <c r="F347" s="656">
        <v>6.5000000000000002E-2</v>
      </c>
      <c r="G347" s="653">
        <v>0.03</v>
      </c>
    </row>
    <row r="348" spans="1:13" x14ac:dyDescent="0.2">
      <c r="A348" s="1" t="str">
        <f t="shared" si="17"/>
        <v>ESTADO DE MÉXICORANGO 8</v>
      </c>
      <c r="B348" s="1" t="str">
        <f t="shared" si="18"/>
        <v>ESTADO DE MÉXICO</v>
      </c>
      <c r="C348" s="651" t="s">
        <v>636</v>
      </c>
      <c r="D348" s="652">
        <v>4800000.01</v>
      </c>
      <c r="E348" s="652">
        <v>999999999</v>
      </c>
      <c r="F348" s="656">
        <v>5.5E-2</v>
      </c>
      <c r="G348" s="653">
        <v>0.03</v>
      </c>
    </row>
    <row r="349" spans="1:13" x14ac:dyDescent="0.2">
      <c r="A349" s="1" t="str">
        <f t="shared" si="17"/>
        <v>ESTADO DE MÉXICO</v>
      </c>
      <c r="B349" s="1" t="str">
        <f t="shared" si="18"/>
        <v>ESTADO DE MÉXICO</v>
      </c>
    </row>
    <row r="350" spans="1:13" x14ac:dyDescent="0.2">
      <c r="A350" s="1" t="str">
        <f t="shared" si="17"/>
        <v>ESTADO DE MÉXICO</v>
      </c>
      <c r="B350" s="1" t="str">
        <f t="shared" si="18"/>
        <v>ESTADO DE MÉXICO</v>
      </c>
    </row>
    <row r="351" spans="1:13" ht="10.5" x14ac:dyDescent="0.2">
      <c r="A351" s="1" t="str">
        <f t="shared" si="17"/>
        <v>DURANGODURANGO</v>
      </c>
      <c r="B351" s="1" t="str">
        <f t="shared" si="18"/>
        <v>DURANGO</v>
      </c>
      <c r="C351" s="657" t="s">
        <v>690</v>
      </c>
    </row>
    <row r="352" spans="1:13" ht="10.5" x14ac:dyDescent="0.25">
      <c r="A352" s="1" t="str">
        <f t="shared" si="17"/>
        <v>DURANGO</v>
      </c>
      <c r="B352" s="1" t="str">
        <f t="shared" si="18"/>
        <v>DURANGO</v>
      </c>
      <c r="F352" s="648" t="s">
        <v>624</v>
      </c>
      <c r="G352" s="648" t="s">
        <v>627</v>
      </c>
      <c r="I352" s="682" t="s">
        <v>637</v>
      </c>
      <c r="J352" s="682" t="s">
        <v>638</v>
      </c>
      <c r="L352" s="682" t="s">
        <v>639</v>
      </c>
      <c r="M352" s="682" t="s">
        <v>638</v>
      </c>
    </row>
    <row r="353" spans="1:13" x14ac:dyDescent="0.2">
      <c r="A353" s="1" t="str">
        <f t="shared" si="17"/>
        <v>DURANGORANGO 1</v>
      </c>
      <c r="B353" s="1" t="str">
        <f t="shared" si="18"/>
        <v>DURANGO</v>
      </c>
      <c r="C353" s="651" t="s">
        <v>629</v>
      </c>
      <c r="D353" s="651">
        <v>0</v>
      </c>
      <c r="E353" s="652">
        <v>100000</v>
      </c>
      <c r="F353" s="656">
        <v>7.4999999999999997E-2</v>
      </c>
      <c r="G353" s="656">
        <v>0.02</v>
      </c>
      <c r="I353" s="684" t="s">
        <v>691</v>
      </c>
      <c r="J353" s="689">
        <v>7.4999999999999997E-2</v>
      </c>
      <c r="L353" s="684" t="s">
        <v>692</v>
      </c>
      <c r="M353" s="689">
        <v>0.02</v>
      </c>
    </row>
    <row r="354" spans="1:13" x14ac:dyDescent="0.2">
      <c r="A354" s="1" t="str">
        <f t="shared" si="17"/>
        <v>DURANGORANGO 2</v>
      </c>
      <c r="B354" s="1" t="str">
        <f t="shared" si="18"/>
        <v>DURANGO</v>
      </c>
      <c r="C354" s="651" t="s">
        <v>630</v>
      </c>
      <c r="D354" s="695">
        <v>100000.01</v>
      </c>
      <c r="E354" s="652">
        <v>200000</v>
      </c>
      <c r="F354" s="656">
        <v>7.4999999999999997E-2</v>
      </c>
      <c r="G354" s="656">
        <v>0.02</v>
      </c>
      <c r="I354" s="684" t="s">
        <v>693</v>
      </c>
      <c r="J354" s="689">
        <v>7.0000000000000007E-2</v>
      </c>
    </row>
    <row r="355" spans="1:13" x14ac:dyDescent="0.2">
      <c r="A355" s="1" t="str">
        <f t="shared" si="17"/>
        <v>DURANGORANGO 3</v>
      </c>
      <c r="B355" s="1" t="str">
        <f t="shared" si="18"/>
        <v>DURANGO</v>
      </c>
      <c r="C355" s="651" t="s">
        <v>631</v>
      </c>
      <c r="D355" s="695">
        <v>200000.01</v>
      </c>
      <c r="E355" s="652">
        <v>300000</v>
      </c>
      <c r="F355" s="656">
        <v>7.4999999999999997E-2</v>
      </c>
      <c r="G355" s="656">
        <v>0.02</v>
      </c>
    </row>
    <row r="356" spans="1:13" x14ac:dyDescent="0.2">
      <c r="A356" s="1" t="str">
        <f t="shared" si="17"/>
        <v>DURANGORANGO 4</v>
      </c>
      <c r="B356" s="1" t="str">
        <f t="shared" si="18"/>
        <v>DURANGO</v>
      </c>
      <c r="C356" s="651" t="s">
        <v>632</v>
      </c>
      <c r="D356" s="652">
        <v>300000.01</v>
      </c>
      <c r="E356" s="652">
        <v>400000</v>
      </c>
      <c r="F356" s="656">
        <v>7.4999999999999997E-2</v>
      </c>
      <c r="G356" s="656">
        <v>0.02</v>
      </c>
    </row>
    <row r="357" spans="1:13" x14ac:dyDescent="0.2">
      <c r="A357" s="1" t="str">
        <f t="shared" si="17"/>
        <v>DURANGORANGO 5</v>
      </c>
      <c r="B357" s="1" t="str">
        <f t="shared" si="18"/>
        <v>DURANGO</v>
      </c>
      <c r="C357" s="651" t="s">
        <v>633</v>
      </c>
      <c r="D357" s="652">
        <v>400000.01</v>
      </c>
      <c r="E357" s="652">
        <v>500000</v>
      </c>
      <c r="F357" s="656">
        <v>7.4999999999999997E-2</v>
      </c>
      <c r="G357" s="656">
        <v>0.02</v>
      </c>
    </row>
    <row r="358" spans="1:13" x14ac:dyDescent="0.2">
      <c r="A358" s="1" t="str">
        <f t="shared" si="17"/>
        <v>DURANGORANGO 6</v>
      </c>
      <c r="B358" s="1" t="str">
        <f t="shared" si="18"/>
        <v>DURANGO</v>
      </c>
      <c r="C358" s="651" t="s">
        <v>634</v>
      </c>
      <c r="D358" s="695">
        <v>500000.01</v>
      </c>
      <c r="E358" s="652">
        <v>750000</v>
      </c>
      <c r="F358" s="656">
        <v>7.4999999999999997E-2</v>
      </c>
      <c r="G358" s="656">
        <v>0.02</v>
      </c>
    </row>
    <row r="359" spans="1:13" x14ac:dyDescent="0.2">
      <c r="A359" s="1" t="str">
        <f t="shared" si="17"/>
        <v>DURANGORANGO 7</v>
      </c>
      <c r="B359" s="1" t="str">
        <f t="shared" si="18"/>
        <v>DURANGO</v>
      </c>
      <c r="C359" s="651" t="s">
        <v>635</v>
      </c>
      <c r="D359" s="695">
        <v>750000.01</v>
      </c>
      <c r="E359" s="652">
        <v>1000000</v>
      </c>
      <c r="F359" s="656">
        <v>7.4999999999999997E-2</v>
      </c>
      <c r="G359" s="656">
        <v>0.02</v>
      </c>
    </row>
    <row r="360" spans="1:13" x14ac:dyDescent="0.2">
      <c r="A360" s="1" t="str">
        <f t="shared" si="17"/>
        <v>DURANGORANGO 8</v>
      </c>
      <c r="B360" s="1" t="str">
        <f t="shared" si="18"/>
        <v>DURANGO</v>
      </c>
      <c r="C360" s="651" t="s">
        <v>636</v>
      </c>
      <c r="D360" s="652">
        <v>1000000.01</v>
      </c>
      <c r="E360" s="652">
        <v>999999999</v>
      </c>
      <c r="F360" s="656">
        <v>7.0000000000000007E-2</v>
      </c>
      <c r="G360" s="656">
        <v>0.02</v>
      </c>
    </row>
    <row r="361" spans="1:13" x14ac:dyDescent="0.2">
      <c r="A361" s="1" t="str">
        <f t="shared" si="17"/>
        <v>DURANGO</v>
      </c>
      <c r="B361" s="1" t="str">
        <f t="shared" si="18"/>
        <v>DURANGO</v>
      </c>
    </row>
    <row r="362" spans="1:13" x14ac:dyDescent="0.2">
      <c r="A362" s="1" t="str">
        <f t="shared" si="17"/>
        <v>DURANGO</v>
      </c>
      <c r="B362" s="1" t="str">
        <f t="shared" si="18"/>
        <v>DURANGO</v>
      </c>
    </row>
    <row r="363" spans="1:13" ht="10.5" x14ac:dyDescent="0.2">
      <c r="A363" s="1" t="str">
        <f t="shared" si="17"/>
        <v>PUEBLAPUEBLA</v>
      </c>
      <c r="B363" s="1" t="str">
        <f t="shared" si="18"/>
        <v>PUEBLA</v>
      </c>
      <c r="C363" s="657" t="s">
        <v>694</v>
      </c>
    </row>
    <row r="364" spans="1:13" ht="10.5" x14ac:dyDescent="0.25">
      <c r="A364" s="1" t="str">
        <f t="shared" si="17"/>
        <v>PUEBLA</v>
      </c>
      <c r="B364" s="1" t="str">
        <f t="shared" si="18"/>
        <v>PUEBLA</v>
      </c>
      <c r="F364" s="648" t="s">
        <v>624</v>
      </c>
      <c r="G364" s="648" t="s">
        <v>627</v>
      </c>
      <c r="I364" s="682" t="s">
        <v>637</v>
      </c>
      <c r="J364" s="682" t="s">
        <v>638</v>
      </c>
      <c r="L364" s="682" t="s">
        <v>639</v>
      </c>
      <c r="M364" s="682" t="s">
        <v>638</v>
      </c>
    </row>
    <row r="365" spans="1:13" x14ac:dyDescent="0.2">
      <c r="A365" s="1" t="str">
        <f t="shared" si="17"/>
        <v>PUEBLARANGO 1</v>
      </c>
      <c r="B365" s="1" t="str">
        <f t="shared" si="18"/>
        <v>PUEBLA</v>
      </c>
      <c r="C365" s="649" t="s">
        <v>629</v>
      </c>
      <c r="D365" s="651">
        <v>0</v>
      </c>
      <c r="E365" s="652">
        <v>75000</v>
      </c>
      <c r="F365" s="659">
        <v>7.0000000000000007E-2</v>
      </c>
      <c r="G365" s="656">
        <v>4.4999999999999998E-2</v>
      </c>
      <c r="I365" s="684" t="s">
        <v>695</v>
      </c>
      <c r="J365" s="690">
        <v>7.0000000000000007E-2</v>
      </c>
      <c r="L365" s="684" t="s">
        <v>695</v>
      </c>
      <c r="M365" s="689">
        <v>4.4999999999999998E-2</v>
      </c>
    </row>
    <row r="366" spans="1:13" x14ac:dyDescent="0.2">
      <c r="A366" s="1" t="str">
        <f t="shared" si="17"/>
        <v>PUEBLARANGO 2</v>
      </c>
      <c r="B366" s="1" t="str">
        <f t="shared" si="18"/>
        <v>PUEBLA</v>
      </c>
      <c r="C366" s="649" t="s">
        <v>630</v>
      </c>
      <c r="D366" s="652">
        <v>75000.009999999995</v>
      </c>
      <c r="E366" s="652">
        <v>150000</v>
      </c>
      <c r="F366" s="659">
        <v>7.0000000000000007E-2</v>
      </c>
      <c r="G366" s="656">
        <v>4.4999999999999998E-2</v>
      </c>
      <c r="I366" s="684" t="s">
        <v>643</v>
      </c>
      <c r="J366" s="689">
        <v>6.5000000000000002E-2</v>
      </c>
      <c r="L366" s="684" t="s">
        <v>643</v>
      </c>
      <c r="M366" s="690">
        <v>0.03</v>
      </c>
    </row>
    <row r="367" spans="1:13" x14ac:dyDescent="0.2">
      <c r="A367" s="1" t="str">
        <f t="shared" si="17"/>
        <v>PUEBLARANGO 3</v>
      </c>
      <c r="B367" s="1" t="str">
        <f t="shared" si="18"/>
        <v>PUEBLA</v>
      </c>
      <c r="C367" s="649" t="s">
        <v>631</v>
      </c>
      <c r="D367" s="652">
        <v>150000.01</v>
      </c>
      <c r="E367" s="652">
        <v>300000</v>
      </c>
      <c r="F367" s="659">
        <v>7.0000000000000007E-2</v>
      </c>
      <c r="G367" s="656">
        <v>4.4999999999999998E-2</v>
      </c>
      <c r="I367" s="684" t="s">
        <v>642</v>
      </c>
      <c r="J367" s="689">
        <v>5.5E-2</v>
      </c>
      <c r="L367" s="684" t="s">
        <v>642</v>
      </c>
      <c r="M367" s="689">
        <v>2.5000000000000001E-2</v>
      </c>
    </row>
    <row r="368" spans="1:13" x14ac:dyDescent="0.2">
      <c r="A368" s="1" t="str">
        <f t="shared" si="17"/>
        <v>PUEBLARANGO 4</v>
      </c>
      <c r="B368" s="1" t="str">
        <f t="shared" si="18"/>
        <v>PUEBLA</v>
      </c>
      <c r="C368" s="649" t="s">
        <v>632</v>
      </c>
      <c r="D368" s="652">
        <v>300000.01</v>
      </c>
      <c r="E368" s="652">
        <v>600000</v>
      </c>
      <c r="F368" s="659">
        <v>7.0000000000000007E-2</v>
      </c>
      <c r="G368" s="656">
        <v>4.4999999999999998E-2</v>
      </c>
      <c r="I368" s="684" t="s">
        <v>644</v>
      </c>
      <c r="J368" s="689">
        <v>0.05</v>
      </c>
      <c r="L368" s="684" t="s">
        <v>644</v>
      </c>
      <c r="M368" s="690">
        <v>0.02</v>
      </c>
    </row>
    <row r="369" spans="1:13" x14ac:dyDescent="0.2">
      <c r="A369" s="1" t="str">
        <f t="shared" si="17"/>
        <v>PUEBLARANGO 5</v>
      </c>
      <c r="B369" s="1" t="str">
        <f t="shared" si="18"/>
        <v>PUEBLA</v>
      </c>
      <c r="C369" s="649" t="s">
        <v>633</v>
      </c>
      <c r="D369" s="652">
        <v>600000.01</v>
      </c>
      <c r="E369" s="652">
        <v>1200000</v>
      </c>
      <c r="F369" s="656">
        <v>6.5000000000000002E-2</v>
      </c>
      <c r="G369" s="659">
        <v>0.03</v>
      </c>
      <c r="I369" s="684" t="s">
        <v>646</v>
      </c>
      <c r="J369" s="689">
        <v>4.4999999999999998E-2</v>
      </c>
      <c r="L369" s="684" t="s">
        <v>646</v>
      </c>
      <c r="M369" s="689">
        <v>1.4999999999999999E-2</v>
      </c>
    </row>
    <row r="370" spans="1:13" x14ac:dyDescent="0.2">
      <c r="A370" s="1" t="str">
        <f t="shared" si="17"/>
        <v>PUEBLARANGO 6</v>
      </c>
      <c r="B370" s="1" t="str">
        <f t="shared" si="18"/>
        <v>PUEBLA</v>
      </c>
      <c r="C370" s="649" t="s">
        <v>634</v>
      </c>
      <c r="D370" s="652">
        <v>1200000.01</v>
      </c>
      <c r="E370" s="652">
        <v>2400000</v>
      </c>
      <c r="F370" s="656">
        <v>5.5E-2</v>
      </c>
      <c r="G370" s="656">
        <v>2.5000000000000001E-2</v>
      </c>
    </row>
    <row r="371" spans="1:13" x14ac:dyDescent="0.2">
      <c r="A371" s="1" t="str">
        <f t="shared" si="17"/>
        <v>PUEBLARANGO 7</v>
      </c>
      <c r="B371" s="1" t="str">
        <f t="shared" si="18"/>
        <v>PUEBLA</v>
      </c>
      <c r="C371" s="649" t="s">
        <v>635</v>
      </c>
      <c r="D371" s="652">
        <v>2400000.0099999998</v>
      </c>
      <c r="E371" s="652">
        <v>4800000</v>
      </c>
      <c r="F371" s="656">
        <v>0.05</v>
      </c>
      <c r="G371" s="659">
        <v>0.02</v>
      </c>
    </row>
    <row r="372" spans="1:13" x14ac:dyDescent="0.2">
      <c r="A372" s="1" t="str">
        <f t="shared" si="17"/>
        <v>PUEBLARANGO 8</v>
      </c>
      <c r="B372" s="1" t="str">
        <f t="shared" si="18"/>
        <v>PUEBLA</v>
      </c>
      <c r="C372" s="649" t="s">
        <v>636</v>
      </c>
      <c r="D372" s="652">
        <v>4800000.01</v>
      </c>
      <c r="E372" s="652">
        <v>999999999</v>
      </c>
      <c r="F372" s="656">
        <v>4.4999999999999998E-2</v>
      </c>
      <c r="G372" s="656">
        <v>1.4999999999999999E-2</v>
      </c>
    </row>
    <row r="373" spans="1:13" x14ac:dyDescent="0.2">
      <c r="A373" s="1" t="str">
        <f t="shared" si="17"/>
        <v>PUEBLA</v>
      </c>
      <c r="B373" s="1" t="str">
        <f t="shared" si="18"/>
        <v>PUEBLA</v>
      </c>
      <c r="C373" s="649"/>
      <c r="D373" s="652"/>
      <c r="E373" s="651"/>
    </row>
    <row r="374" spans="1:13" x14ac:dyDescent="0.2">
      <c r="A374" s="1" t="str">
        <f t="shared" si="17"/>
        <v>PUEBLA</v>
      </c>
      <c r="B374" s="1" t="str">
        <f t="shared" si="18"/>
        <v>PUEBLA</v>
      </c>
      <c r="C374" s="649"/>
      <c r="D374" s="652"/>
      <c r="E374" s="651"/>
    </row>
    <row r="375" spans="1:13" ht="10.5" x14ac:dyDescent="0.2">
      <c r="A375" s="1" t="str">
        <f t="shared" si="17"/>
        <v>QUERÉTAROQUERÉTARO</v>
      </c>
      <c r="B375" s="1" t="str">
        <f t="shared" si="18"/>
        <v>QUERÉTARO</v>
      </c>
      <c r="C375" s="657" t="s">
        <v>696</v>
      </c>
    </row>
    <row r="376" spans="1:13" ht="10.5" x14ac:dyDescent="0.25">
      <c r="A376" s="1" t="str">
        <f t="shared" si="17"/>
        <v>QUERÉTARO</v>
      </c>
      <c r="B376" s="1" t="str">
        <f t="shared" si="18"/>
        <v>QUERÉTARO</v>
      </c>
      <c r="C376" s="657"/>
      <c r="F376" s="648" t="s">
        <v>624</v>
      </c>
      <c r="G376" s="648" t="s">
        <v>627</v>
      </c>
      <c r="I376" s="682" t="s">
        <v>637</v>
      </c>
      <c r="J376" s="682" t="s">
        <v>638</v>
      </c>
      <c r="L376" s="682" t="s">
        <v>639</v>
      </c>
      <c r="M376" s="682" t="s">
        <v>638</v>
      </c>
    </row>
    <row r="377" spans="1:13" x14ac:dyDescent="0.2">
      <c r="A377" s="1" t="str">
        <f t="shared" si="17"/>
        <v>QUERÉTARORANGO 1</v>
      </c>
      <c r="B377" s="1" t="str">
        <f t="shared" si="18"/>
        <v>QUERÉTARO</v>
      </c>
      <c r="C377" s="649" t="s">
        <v>629</v>
      </c>
      <c r="D377" s="649">
        <v>0</v>
      </c>
      <c r="E377" s="660">
        <v>150000</v>
      </c>
      <c r="F377" s="653">
        <v>9.5000000000000001E-2</v>
      </c>
      <c r="G377" s="661">
        <v>0.03</v>
      </c>
      <c r="I377" s="683" t="s">
        <v>653</v>
      </c>
      <c r="J377" s="688">
        <v>9.5000000000000001E-2</v>
      </c>
      <c r="L377" s="683" t="s">
        <v>697</v>
      </c>
      <c r="M377" s="692">
        <v>0.03</v>
      </c>
    </row>
    <row r="378" spans="1:13" x14ac:dyDescent="0.2">
      <c r="A378" s="1" t="str">
        <f t="shared" si="17"/>
        <v>QUERÉTARORANGO 2</v>
      </c>
      <c r="B378" s="1" t="str">
        <f t="shared" si="18"/>
        <v>QUERÉTARO</v>
      </c>
      <c r="C378" s="649" t="s">
        <v>630</v>
      </c>
      <c r="D378" s="660">
        <v>150000.01</v>
      </c>
      <c r="E378" s="660">
        <v>300000</v>
      </c>
      <c r="F378" s="653">
        <v>9.5000000000000001E-2</v>
      </c>
      <c r="G378" s="661">
        <v>0.03</v>
      </c>
      <c r="I378" s="683" t="s">
        <v>698</v>
      </c>
      <c r="J378" s="688">
        <v>0.09</v>
      </c>
      <c r="L378" s="683" t="s">
        <v>659</v>
      </c>
      <c r="M378" s="692">
        <v>0.02</v>
      </c>
    </row>
    <row r="379" spans="1:13" x14ac:dyDescent="0.2">
      <c r="A379" s="1" t="str">
        <f t="shared" si="17"/>
        <v>QUERÉTARORANGO 3</v>
      </c>
      <c r="B379" s="1" t="str">
        <f t="shared" si="18"/>
        <v>QUERÉTARO</v>
      </c>
      <c r="C379" s="649" t="s">
        <v>631</v>
      </c>
      <c r="D379" s="660">
        <v>300000.01</v>
      </c>
      <c r="E379" s="660">
        <v>600000</v>
      </c>
      <c r="F379" s="653">
        <v>9.5000000000000001E-2</v>
      </c>
      <c r="G379" s="661">
        <v>0.03</v>
      </c>
      <c r="I379" s="683" t="s">
        <v>682</v>
      </c>
      <c r="J379" s="688">
        <v>8.6999999999999994E-2</v>
      </c>
      <c r="L379" s="683" t="s">
        <v>651</v>
      </c>
      <c r="M379" s="692">
        <v>0.01</v>
      </c>
    </row>
    <row r="380" spans="1:13" x14ac:dyDescent="0.2">
      <c r="A380" s="1" t="str">
        <f t="shared" si="17"/>
        <v>QUERÉTARORANGO 4</v>
      </c>
      <c r="B380" s="1" t="str">
        <f t="shared" si="18"/>
        <v>QUERÉTARO</v>
      </c>
      <c r="C380" s="649" t="s">
        <v>632</v>
      </c>
      <c r="D380" s="660">
        <v>600000.01</v>
      </c>
      <c r="E380" s="660">
        <v>1200000</v>
      </c>
      <c r="F380" s="653">
        <v>9.5000000000000001E-2</v>
      </c>
      <c r="G380" s="661">
        <v>0.03</v>
      </c>
    </row>
    <row r="381" spans="1:13" x14ac:dyDescent="0.2">
      <c r="A381" s="1" t="str">
        <f t="shared" si="17"/>
        <v>QUERÉTARORANGO 5</v>
      </c>
      <c r="B381" s="1" t="str">
        <f t="shared" si="18"/>
        <v>QUERÉTARO</v>
      </c>
      <c r="C381" s="649" t="s">
        <v>633</v>
      </c>
      <c r="D381" s="660">
        <v>1200000.01</v>
      </c>
      <c r="E381" s="660">
        <v>2400000</v>
      </c>
      <c r="F381" s="653">
        <v>9.5000000000000001E-2</v>
      </c>
      <c r="G381" s="661">
        <v>0.02</v>
      </c>
    </row>
    <row r="382" spans="1:13" x14ac:dyDescent="0.2">
      <c r="A382" s="1" t="str">
        <f t="shared" si="17"/>
        <v>QUERÉTARORANGO 6</v>
      </c>
      <c r="B382" s="1" t="str">
        <f t="shared" si="18"/>
        <v>QUERÉTARO</v>
      </c>
      <c r="C382" s="649" t="s">
        <v>634</v>
      </c>
      <c r="D382" s="660">
        <v>2400000.0099999998</v>
      </c>
      <c r="E382" s="660">
        <v>4800000</v>
      </c>
      <c r="F382" s="653">
        <v>9.5000000000000001E-2</v>
      </c>
      <c r="G382" s="661">
        <v>0.02</v>
      </c>
    </row>
    <row r="383" spans="1:13" x14ac:dyDescent="0.2">
      <c r="A383" s="1" t="str">
        <f t="shared" si="17"/>
        <v>QUERÉTARORANGO 7</v>
      </c>
      <c r="B383" s="1" t="str">
        <f t="shared" si="18"/>
        <v>QUERÉTARO</v>
      </c>
      <c r="C383" s="649" t="s">
        <v>635</v>
      </c>
      <c r="D383" s="660">
        <v>4800000.01</v>
      </c>
      <c r="E383" s="660">
        <v>9600000</v>
      </c>
      <c r="F383" s="653">
        <v>0.09</v>
      </c>
      <c r="G383" s="661">
        <v>0.01</v>
      </c>
    </row>
    <row r="384" spans="1:13" x14ac:dyDescent="0.2">
      <c r="A384" s="1" t="str">
        <f t="shared" si="17"/>
        <v>QUERÉTARORANGO 8</v>
      </c>
      <c r="B384" s="1" t="str">
        <f t="shared" si="18"/>
        <v>QUERÉTARO</v>
      </c>
      <c r="C384" s="649" t="s">
        <v>636</v>
      </c>
      <c r="D384" s="660">
        <v>9600000.0099999998</v>
      </c>
      <c r="E384" s="652">
        <v>999999999</v>
      </c>
      <c r="F384" s="653">
        <v>8.6999999999999994E-2</v>
      </c>
      <c r="G384" s="661">
        <v>0.01</v>
      </c>
    </row>
    <row r="385" spans="1:13" x14ac:dyDescent="0.2">
      <c r="A385" s="1" t="str">
        <f t="shared" si="17"/>
        <v>QUERÉTARO</v>
      </c>
      <c r="B385" s="1" t="str">
        <f t="shared" si="18"/>
        <v>QUERÉTARO</v>
      </c>
    </row>
    <row r="386" spans="1:13" x14ac:dyDescent="0.2">
      <c r="A386" s="1" t="str">
        <f t="shared" si="17"/>
        <v>QUERÉTARO</v>
      </c>
      <c r="B386" s="1" t="str">
        <f t="shared" si="18"/>
        <v>QUERÉTARO</v>
      </c>
    </row>
    <row r="387" spans="1:13" ht="10.5" x14ac:dyDescent="0.2">
      <c r="A387" s="1" t="str">
        <f t="shared" si="17"/>
        <v>NUEVO LEÓNNUEVO LEÓN</v>
      </c>
      <c r="B387" s="1" t="str">
        <f t="shared" si="18"/>
        <v>NUEVO LEÓN</v>
      </c>
      <c r="C387" s="657" t="s">
        <v>699</v>
      </c>
    </row>
    <row r="388" spans="1:13" ht="10.5" x14ac:dyDescent="0.25">
      <c r="A388" s="1" t="str">
        <f t="shared" si="17"/>
        <v>NUEVO LEÓN</v>
      </c>
      <c r="B388" s="1" t="str">
        <f t="shared" si="18"/>
        <v>NUEVO LEÓN</v>
      </c>
      <c r="F388" s="648" t="s">
        <v>624</v>
      </c>
      <c r="G388" s="648" t="s">
        <v>627</v>
      </c>
      <c r="I388" s="682" t="s">
        <v>637</v>
      </c>
      <c r="J388" s="682" t="s">
        <v>638</v>
      </c>
      <c r="L388" s="682" t="s">
        <v>639</v>
      </c>
      <c r="M388" s="682" t="s">
        <v>638</v>
      </c>
    </row>
    <row r="389" spans="1:13" x14ac:dyDescent="0.2">
      <c r="A389" s="1" t="str">
        <f t="shared" si="17"/>
        <v>NUEVO LEÓNRANGO 1</v>
      </c>
      <c r="B389" s="1" t="str">
        <f t="shared" si="18"/>
        <v>NUEVO LEÓN</v>
      </c>
      <c r="C389" s="649" t="s">
        <v>629</v>
      </c>
      <c r="D389" s="662">
        <v>0</v>
      </c>
      <c r="E389" s="663">
        <v>100000</v>
      </c>
      <c r="F389" s="697">
        <v>6.5000000000000002E-2</v>
      </c>
      <c r="G389" s="697">
        <v>0.04</v>
      </c>
      <c r="I389" s="686" t="s">
        <v>700</v>
      </c>
      <c r="J389" s="691">
        <v>6.5000000000000002E-2</v>
      </c>
      <c r="L389" s="686" t="s">
        <v>702</v>
      </c>
      <c r="M389" s="691">
        <v>0.04</v>
      </c>
    </row>
    <row r="390" spans="1:13" x14ac:dyDescent="0.2">
      <c r="A390" s="1" t="str">
        <f t="shared" si="17"/>
        <v>NUEVO LEÓNRANGO 2</v>
      </c>
      <c r="B390" s="1" t="str">
        <f t="shared" si="18"/>
        <v>NUEVO LEÓN</v>
      </c>
      <c r="C390" s="649" t="s">
        <v>630</v>
      </c>
      <c r="D390" s="696">
        <v>100000.01</v>
      </c>
      <c r="E390" s="663">
        <v>200000</v>
      </c>
      <c r="F390" s="697">
        <v>6.5000000000000002E-2</v>
      </c>
      <c r="G390" s="697">
        <v>0.04</v>
      </c>
      <c r="I390" s="686" t="s">
        <v>701</v>
      </c>
      <c r="J390" s="691">
        <v>0.06</v>
      </c>
      <c r="L390" s="686" t="s">
        <v>703</v>
      </c>
      <c r="M390" s="691">
        <v>0.03</v>
      </c>
    </row>
    <row r="391" spans="1:13" x14ac:dyDescent="0.2">
      <c r="A391" s="1" t="str">
        <f t="shared" si="17"/>
        <v>NUEVO LEÓNRANGO 3</v>
      </c>
      <c r="B391" s="1" t="str">
        <f t="shared" si="18"/>
        <v>NUEVO LEÓN</v>
      </c>
      <c r="C391" s="649" t="s">
        <v>631</v>
      </c>
      <c r="D391" s="696">
        <v>200000.01</v>
      </c>
      <c r="E391" s="663">
        <v>300000</v>
      </c>
      <c r="F391" s="697">
        <v>6.5000000000000002E-2</v>
      </c>
      <c r="G391" s="697">
        <v>0.04</v>
      </c>
      <c r="L391" s="686" t="s">
        <v>704</v>
      </c>
      <c r="M391" s="691">
        <v>0.02</v>
      </c>
    </row>
    <row r="392" spans="1:13" x14ac:dyDescent="0.2">
      <c r="A392" s="1" t="str">
        <f t="shared" si="17"/>
        <v>NUEVO LEÓNRANGO 4</v>
      </c>
      <c r="B392" s="1" t="str">
        <f t="shared" si="18"/>
        <v>NUEVO LEÓN</v>
      </c>
      <c r="C392" s="649" t="s">
        <v>632</v>
      </c>
      <c r="D392" s="663">
        <v>300000.01</v>
      </c>
      <c r="E392" s="663">
        <v>400000</v>
      </c>
      <c r="F392" s="697">
        <v>6.5000000000000002E-2</v>
      </c>
      <c r="G392" s="697">
        <v>0.04</v>
      </c>
    </row>
    <row r="393" spans="1:13" x14ac:dyDescent="0.2">
      <c r="A393" s="1" t="str">
        <f t="shared" si="17"/>
        <v>NUEVO LEÓNRANGO 5</v>
      </c>
      <c r="B393" s="1" t="str">
        <f t="shared" si="18"/>
        <v>NUEVO LEÓN</v>
      </c>
      <c r="C393" s="649" t="s">
        <v>633</v>
      </c>
      <c r="D393" s="663">
        <v>400000.01</v>
      </c>
      <c r="E393" s="663">
        <v>500000</v>
      </c>
      <c r="F393" s="697">
        <v>6.5000000000000002E-2</v>
      </c>
      <c r="G393" s="697">
        <v>0.04</v>
      </c>
    </row>
    <row r="394" spans="1:13" x14ac:dyDescent="0.2">
      <c r="A394" s="1" t="str">
        <f t="shared" si="17"/>
        <v>NUEVO LEÓNRANGO 6</v>
      </c>
      <c r="B394" s="1" t="str">
        <f t="shared" si="18"/>
        <v>NUEVO LEÓN</v>
      </c>
      <c r="C394" s="649" t="s">
        <v>634</v>
      </c>
      <c r="D394" s="696">
        <v>500000.01</v>
      </c>
      <c r="E394" s="663">
        <v>750000</v>
      </c>
      <c r="F394" s="697">
        <v>6.5000000000000002E-2</v>
      </c>
      <c r="G394" s="697">
        <v>0.03</v>
      </c>
    </row>
    <row r="395" spans="1:13" x14ac:dyDescent="0.2">
      <c r="A395" s="1" t="str">
        <f t="shared" si="17"/>
        <v>NUEVO LEÓNRANGO 7</v>
      </c>
      <c r="B395" s="1" t="str">
        <f t="shared" si="18"/>
        <v>NUEVO LEÓN</v>
      </c>
      <c r="C395" s="649" t="s">
        <v>635</v>
      </c>
      <c r="D395" s="696">
        <v>750000.01</v>
      </c>
      <c r="E395" s="663">
        <v>1000000</v>
      </c>
      <c r="F395" s="697">
        <v>0.06</v>
      </c>
      <c r="G395" s="697">
        <v>0.02</v>
      </c>
    </row>
    <row r="396" spans="1:13" x14ac:dyDescent="0.2">
      <c r="A396" s="1" t="str">
        <f t="shared" si="17"/>
        <v>NUEVO LEÓNRANGO 8</v>
      </c>
      <c r="B396" s="1" t="str">
        <f t="shared" si="18"/>
        <v>NUEVO LEÓN</v>
      </c>
      <c r="C396" s="649" t="s">
        <v>636</v>
      </c>
      <c r="D396" s="663">
        <v>1000000.01</v>
      </c>
      <c r="E396" s="652">
        <v>999999999</v>
      </c>
      <c r="F396" s="697">
        <v>0.06</v>
      </c>
      <c r="G396" s="697">
        <v>0.02</v>
      </c>
    </row>
    <row r="397" spans="1:13" x14ac:dyDescent="0.2">
      <c r="C397" s="662"/>
      <c r="D397" s="663"/>
      <c r="E397" s="662"/>
    </row>
  </sheetData>
  <sheetProtection algorithmName="SHA-512" hashValue="T0EISQytZ2Pxbb2rGJ13V46MwDW221c6BAd4iEh9nARLHMlywi5W+ouguRguNDXoizgUlqrvMmoX+1SKnxEVIg==" saltValue="sp6/38Q94jKAiMsPKCZIrg==" spinCount="100000" sheet="1" objects="1" scenarios="1"/>
  <autoFilter ref="D22:E397" xr:uid="{F772A417-9024-4CA9-B5E2-E9131CDEB386}"/>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AD50"/>
  <sheetViews>
    <sheetView topLeftCell="V1" workbookViewId="0">
      <selection activeCell="AB4" sqref="AB4"/>
    </sheetView>
  </sheetViews>
  <sheetFormatPr baseColWidth="10" defaultColWidth="9.1796875" defaultRowHeight="14.5" x14ac:dyDescent="0.35"/>
  <cols>
    <col min="2" max="2" width="39.26953125" bestFit="1" customWidth="1"/>
    <col min="3" max="3" width="6.1796875" bestFit="1" customWidth="1"/>
    <col min="5" max="5" width="39.26953125" bestFit="1" customWidth="1"/>
    <col min="6" max="6" width="2" bestFit="1" customWidth="1"/>
    <col min="8" max="8" width="25.453125" bestFit="1" customWidth="1"/>
    <col min="9" max="9" width="6.54296875" bestFit="1" customWidth="1"/>
    <col min="10" max="10" width="14.1796875" bestFit="1" customWidth="1"/>
    <col min="23" max="23" width="42.26953125" bestFit="1" customWidth="1"/>
    <col min="24" max="24" width="9.1796875" style="127"/>
    <col min="26" max="26" width="9.1796875" style="127"/>
    <col min="27" max="27" width="10.453125" bestFit="1" customWidth="1"/>
    <col min="28" max="28" width="10" customWidth="1"/>
    <col min="29" max="29" width="10.453125" bestFit="1" customWidth="1"/>
  </cols>
  <sheetData>
    <row r="1" spans="2:30" x14ac:dyDescent="0.35">
      <c r="D1">
        <f>VLOOKUP(Simulador!F9,Sheet1!B2:D10,3,0)</f>
        <v>1</v>
      </c>
      <c r="I1">
        <f>VLOOKUP(Simulador!N7,Sheet1!H2:I7,2,0)</f>
        <v>1</v>
      </c>
      <c r="P1" s="127" t="s">
        <v>544</v>
      </c>
      <c r="Q1" s="127" t="s">
        <v>545</v>
      </c>
      <c r="R1" s="127" t="s">
        <v>546</v>
      </c>
      <c r="S1" s="127" t="s">
        <v>552</v>
      </c>
      <c r="T1" s="127" t="s">
        <v>553</v>
      </c>
      <c r="X1" s="127">
        <f>VLOOKUP(Simulador!$F$11,Sheet1!$W$2:$X$9,2,0)</f>
        <v>1</v>
      </c>
      <c r="Y1" s="127">
        <f>VLOOKUP(Simulador!$F$11,Sheet1!$W$2:$Y$9,3,0)</f>
        <v>2</v>
      </c>
      <c r="Z1" s="127">
        <f>VLOOKUP(Simulador!$F$11,Sheet1!$W$2:$Z$9,4,0)</f>
        <v>1</v>
      </c>
      <c r="AA1" s="127">
        <f>VLOOKUP(Simulador!$F$11,Sheet1!$W$2:$AA$9,5,0)</f>
        <v>2</v>
      </c>
      <c r="AB1" s="627">
        <f>VLOOKUP(Simulador!$F$11,Sheet1!$W$2:$AB$9,6,0)</f>
        <v>0.11</v>
      </c>
      <c r="AC1" t="str">
        <f>IF(AA1=4,#REF!,VLOOKUP(AB1,AB2:AC9,2,0))</f>
        <v>Hipoteca Fuerte Cero</v>
      </c>
    </row>
    <row r="2" spans="2:30" x14ac:dyDescent="0.35">
      <c r="B2" t="s">
        <v>15</v>
      </c>
      <c r="C2">
        <v>1</v>
      </c>
      <c r="D2">
        <v>1</v>
      </c>
      <c r="E2" t="str">
        <f>B29</f>
        <v>Hipoteca Fuerte Cero</v>
      </c>
      <c r="F2">
        <v>1</v>
      </c>
      <c r="H2" t="s">
        <v>382</v>
      </c>
      <c r="I2">
        <v>1</v>
      </c>
      <c r="J2">
        <v>1</v>
      </c>
      <c r="M2">
        <v>0</v>
      </c>
      <c r="P2" s="127">
        <v>60</v>
      </c>
      <c r="Q2" s="127">
        <v>60</v>
      </c>
      <c r="R2" s="127">
        <v>60</v>
      </c>
      <c r="S2" s="127">
        <v>180</v>
      </c>
      <c r="T2" s="127">
        <v>60</v>
      </c>
      <c r="W2" s="127" t="s">
        <v>115</v>
      </c>
      <c r="X2" s="127">
        <v>1</v>
      </c>
      <c r="Y2" s="127">
        <v>1</v>
      </c>
      <c r="Z2" s="127">
        <v>4</v>
      </c>
      <c r="AA2" s="127">
        <v>1</v>
      </c>
      <c r="AB2" s="120">
        <f>'Tabla Parámetros'!D4</f>
        <v>9.849999999999999E-2</v>
      </c>
      <c r="AC2" t="s">
        <v>210</v>
      </c>
    </row>
    <row r="3" spans="2:30" x14ac:dyDescent="0.35">
      <c r="B3" t="s">
        <v>11</v>
      </c>
      <c r="C3">
        <v>1</v>
      </c>
      <c r="D3">
        <v>2</v>
      </c>
      <c r="E3" t="s">
        <v>134</v>
      </c>
      <c r="F3">
        <v>2</v>
      </c>
      <c r="H3" t="s">
        <v>7</v>
      </c>
      <c r="I3">
        <v>2</v>
      </c>
      <c r="J3">
        <v>1</v>
      </c>
      <c r="M3">
        <v>3</v>
      </c>
      <c r="P3" s="127">
        <v>72</v>
      </c>
      <c r="Q3" s="127">
        <v>72</v>
      </c>
      <c r="R3" s="127">
        <v>120</v>
      </c>
      <c r="S3" s="127">
        <v>240</v>
      </c>
      <c r="T3" s="127">
        <v>72</v>
      </c>
      <c r="W3" s="127" t="s">
        <v>554</v>
      </c>
      <c r="X3" s="127">
        <v>1</v>
      </c>
      <c r="Y3" s="127">
        <v>2</v>
      </c>
      <c r="Z3" s="127">
        <v>1</v>
      </c>
      <c r="AA3" s="127">
        <v>2</v>
      </c>
      <c r="AB3" s="120">
        <f>IF($Z$1=1,AB24,'Tabla Parámetros'!D6)</f>
        <v>0.11</v>
      </c>
      <c r="AC3" t="str">
        <f>IF(W3=Simulador!$F$11,Sheet1!W3,"Media")</f>
        <v>Hipoteca Fuerte Cero</v>
      </c>
    </row>
    <row r="4" spans="2:30" x14ac:dyDescent="0.35">
      <c r="B4" t="s">
        <v>440</v>
      </c>
      <c r="C4">
        <v>1</v>
      </c>
      <c r="D4">
        <v>2</v>
      </c>
      <c r="E4" t="s">
        <v>14</v>
      </c>
      <c r="F4">
        <v>2</v>
      </c>
      <c r="H4" t="s">
        <v>8</v>
      </c>
      <c r="I4">
        <v>3</v>
      </c>
      <c r="P4" s="127">
        <v>84</v>
      </c>
      <c r="Q4" s="127">
        <v>84</v>
      </c>
      <c r="R4" s="127">
        <v>180</v>
      </c>
      <c r="S4" s="127">
        <v>300</v>
      </c>
      <c r="T4" s="127">
        <v>84</v>
      </c>
      <c r="W4" s="127" t="s">
        <v>609</v>
      </c>
      <c r="X4" s="127">
        <v>1</v>
      </c>
      <c r="Y4" s="127">
        <v>2</v>
      </c>
      <c r="Z4" s="127">
        <v>1</v>
      </c>
      <c r="AA4" s="127">
        <v>2</v>
      </c>
      <c r="AB4" s="120">
        <v>0.1108</v>
      </c>
      <c r="AC4" s="127" t="s">
        <v>609</v>
      </c>
    </row>
    <row r="5" spans="2:30" x14ac:dyDescent="0.35">
      <c r="B5" t="s">
        <v>13</v>
      </c>
      <c r="C5">
        <v>1</v>
      </c>
      <c r="D5">
        <v>1</v>
      </c>
      <c r="E5" t="s">
        <v>80</v>
      </c>
      <c r="F5">
        <v>2</v>
      </c>
      <c r="H5" t="s">
        <v>522</v>
      </c>
      <c r="I5">
        <v>4</v>
      </c>
      <c r="P5" s="127">
        <v>96</v>
      </c>
      <c r="Q5" s="127">
        <v>96</v>
      </c>
      <c r="R5" s="127">
        <v>240</v>
      </c>
      <c r="T5" s="127">
        <v>96</v>
      </c>
      <c r="W5" s="127" t="s">
        <v>555</v>
      </c>
      <c r="X5" s="127">
        <v>1</v>
      </c>
      <c r="Y5" s="127">
        <v>2</v>
      </c>
      <c r="Z5" s="127">
        <v>3</v>
      </c>
      <c r="AA5" s="127">
        <v>2</v>
      </c>
      <c r="AB5" s="120">
        <f>IF($Z$1=3,10.68%,10.98%)</f>
        <v>0.10980000000000001</v>
      </c>
      <c r="AC5" t="str">
        <f>IF(W5=Simulador!$F$11,Sheet1!W5,"Media")</f>
        <v>Media</v>
      </c>
    </row>
    <row r="6" spans="2:30" x14ac:dyDescent="0.35">
      <c r="B6" t="s">
        <v>12</v>
      </c>
      <c r="C6">
        <v>2</v>
      </c>
      <c r="D6">
        <v>1</v>
      </c>
      <c r="H6" t="s">
        <v>483</v>
      </c>
      <c r="I6">
        <v>5</v>
      </c>
      <c r="P6" s="127">
        <v>108</v>
      </c>
      <c r="Q6" s="127">
        <v>108</v>
      </c>
      <c r="R6" s="127">
        <v>300</v>
      </c>
      <c r="T6" s="127">
        <v>108</v>
      </c>
      <c r="W6" s="127" t="s">
        <v>556</v>
      </c>
      <c r="X6" s="127">
        <v>2</v>
      </c>
      <c r="Y6" s="127">
        <v>2</v>
      </c>
      <c r="Z6" s="127">
        <v>2</v>
      </c>
      <c r="AA6" s="127">
        <v>3</v>
      </c>
      <c r="AB6" s="120">
        <v>0.11</v>
      </c>
      <c r="AC6" t="s">
        <v>558</v>
      </c>
    </row>
    <row r="7" spans="2:30" x14ac:dyDescent="0.35">
      <c r="B7" t="s">
        <v>327</v>
      </c>
      <c r="C7">
        <v>2</v>
      </c>
      <c r="D7">
        <v>1</v>
      </c>
      <c r="H7" t="s">
        <v>587</v>
      </c>
      <c r="I7">
        <v>6</v>
      </c>
      <c r="P7" s="127">
        <v>120</v>
      </c>
      <c r="Q7" s="127">
        <v>120</v>
      </c>
      <c r="T7" s="127">
        <v>120</v>
      </c>
      <c r="W7" s="127" t="s">
        <v>621</v>
      </c>
      <c r="X7" s="127">
        <v>1</v>
      </c>
      <c r="Y7" s="127">
        <v>4</v>
      </c>
      <c r="Z7" s="127">
        <v>8</v>
      </c>
      <c r="AA7" s="127">
        <v>2</v>
      </c>
      <c r="AB7" s="120">
        <v>9.5000000000000001E-2</v>
      </c>
      <c r="AC7" t="str">
        <f>W7</f>
        <v>Hipoteca Simple Banorte</v>
      </c>
    </row>
    <row r="8" spans="2:30" x14ac:dyDescent="0.35">
      <c r="B8" t="s">
        <v>328</v>
      </c>
      <c r="C8">
        <v>2</v>
      </c>
      <c r="D8">
        <v>1</v>
      </c>
      <c r="P8" s="127">
        <v>132</v>
      </c>
      <c r="Q8" s="127">
        <v>132</v>
      </c>
      <c r="T8" s="127">
        <v>132</v>
      </c>
      <c r="W8" s="127" t="s">
        <v>14</v>
      </c>
      <c r="X8" s="127">
        <v>4</v>
      </c>
      <c r="Y8" s="127">
        <v>3</v>
      </c>
      <c r="Z8" s="127">
        <v>6</v>
      </c>
      <c r="AA8" s="127">
        <v>5</v>
      </c>
      <c r="AB8" s="120">
        <f>'Tabla Parámetros'!C14</f>
        <v>0.12989999999999999</v>
      </c>
      <c r="AC8" t="str">
        <f>W8</f>
        <v>Liquidez</v>
      </c>
    </row>
    <row r="9" spans="2:30" x14ac:dyDescent="0.35">
      <c r="B9" t="s">
        <v>14</v>
      </c>
      <c r="C9">
        <v>1</v>
      </c>
      <c r="D9">
        <v>1</v>
      </c>
      <c r="P9" s="127">
        <v>144</v>
      </c>
      <c r="Q9" s="127">
        <v>144</v>
      </c>
      <c r="T9" s="127">
        <v>144</v>
      </c>
      <c r="W9" s="127" t="s">
        <v>80</v>
      </c>
      <c r="X9" s="127">
        <v>4</v>
      </c>
      <c r="Y9" s="127">
        <v>3</v>
      </c>
      <c r="Z9" s="127">
        <v>7</v>
      </c>
      <c r="AA9" s="127">
        <v>6</v>
      </c>
      <c r="AB9" s="120">
        <f>'Tabla Parámetros'!C15</f>
        <v>0.10679999999999999</v>
      </c>
      <c r="AC9" t="str">
        <f>W9</f>
        <v>Terreno Urbanizado</v>
      </c>
    </row>
    <row r="10" spans="2:30" x14ac:dyDescent="0.35">
      <c r="B10" t="s">
        <v>431</v>
      </c>
      <c r="C10">
        <v>1</v>
      </c>
      <c r="D10">
        <v>1</v>
      </c>
      <c r="I10">
        <f>VLOOKUP(Simulador!N7,Sheet1!H11:I16,2,0)</f>
        <v>1</v>
      </c>
      <c r="J10">
        <f>+VLOOKUP(Simulador!N7,Sheet1!H11:J16,3,0)</f>
        <v>1</v>
      </c>
      <c r="P10" s="127">
        <v>156</v>
      </c>
      <c r="Q10" s="127">
        <v>156</v>
      </c>
      <c r="T10" s="127">
        <v>156</v>
      </c>
    </row>
    <row r="11" spans="2:30" x14ac:dyDescent="0.35">
      <c r="H11" t="s">
        <v>382</v>
      </c>
      <c r="I11">
        <v>1</v>
      </c>
      <c r="J11">
        <v>1</v>
      </c>
      <c r="P11" s="127">
        <v>168</v>
      </c>
      <c r="Q11" s="127">
        <v>168</v>
      </c>
      <c r="T11" s="127">
        <v>168</v>
      </c>
    </row>
    <row r="12" spans="2:30" x14ac:dyDescent="0.35">
      <c r="H12" t="s">
        <v>7</v>
      </c>
      <c r="I12">
        <v>2</v>
      </c>
      <c r="J12">
        <v>1</v>
      </c>
      <c r="P12" s="127">
        <v>180</v>
      </c>
      <c r="Q12" s="127">
        <v>180</v>
      </c>
      <c r="T12" s="127">
        <v>180</v>
      </c>
      <c r="AB12" s="761" t="s">
        <v>584</v>
      </c>
      <c r="AC12" s="761"/>
    </row>
    <row r="13" spans="2:30" x14ac:dyDescent="0.35">
      <c r="H13" t="s">
        <v>8</v>
      </c>
      <c r="I13">
        <v>3</v>
      </c>
      <c r="J13">
        <v>1</v>
      </c>
      <c r="P13" s="127">
        <v>192</v>
      </c>
      <c r="T13" s="127">
        <v>192</v>
      </c>
      <c r="Y13" s="127">
        <f>VLOOKUP(Simulador!H49,Sheet1!X14:Y34,2,0)</f>
        <v>4</v>
      </c>
      <c r="AB13" s="614">
        <f>Simulador!$F$62</f>
        <v>0.11</v>
      </c>
      <c r="AC13" s="127">
        <f>VLOOKUP($AB$13,AB14:AD28,2,0)</f>
        <v>1</v>
      </c>
      <c r="AD13" s="346">
        <f>VLOOKUP($AB$13,AB14:AD28,3,0)</f>
        <v>0</v>
      </c>
    </row>
    <row r="14" spans="2:30" x14ac:dyDescent="0.35">
      <c r="B14" s="127">
        <f>+VLOOKUP(Simulador!$F$9,Sheet1!B15:C23,2,0)</f>
        <v>1</v>
      </c>
      <c r="D14">
        <f>VLOOKUP(Simulador!$F$9,Sheet1!$B$15:$D$23,3,0)</f>
        <v>1</v>
      </c>
      <c r="E14" s="127">
        <f>VLOOKUP(Simulador!$F$9,Sheet1!$B$15:$E$23,4,0)</f>
        <v>1</v>
      </c>
      <c r="H14" t="s">
        <v>483</v>
      </c>
      <c r="I14">
        <v>4</v>
      </c>
      <c r="J14">
        <v>1</v>
      </c>
      <c r="P14" s="127">
        <v>204</v>
      </c>
      <c r="T14" s="127">
        <v>204</v>
      </c>
      <c r="X14" s="127">
        <v>60</v>
      </c>
      <c r="Y14" s="127">
        <v>1</v>
      </c>
      <c r="AA14" t="s">
        <v>540</v>
      </c>
      <c r="AB14" s="120">
        <f>'Tabla Parámetros'!D3</f>
        <v>9.1499999999999998E-2</v>
      </c>
      <c r="AC14" s="127">
        <v>1</v>
      </c>
      <c r="AD14" s="120">
        <v>0</v>
      </c>
    </row>
    <row r="15" spans="2:30" x14ac:dyDescent="0.35">
      <c r="B15" t="s">
        <v>15</v>
      </c>
      <c r="C15">
        <v>1</v>
      </c>
      <c r="D15">
        <v>1</v>
      </c>
      <c r="E15" s="127">
        <v>1</v>
      </c>
      <c r="H15" t="s">
        <v>522</v>
      </c>
      <c r="I15">
        <v>5</v>
      </c>
      <c r="J15">
        <v>2</v>
      </c>
      <c r="L15">
        <f>VLOOKUP(Simulador!F62,Sheet1!L16:M22,2,0)</f>
        <v>2</v>
      </c>
      <c r="P15" s="127">
        <v>216</v>
      </c>
      <c r="T15" s="127">
        <v>216</v>
      </c>
      <c r="X15" s="127">
        <v>72</v>
      </c>
      <c r="Y15" s="127">
        <v>2</v>
      </c>
      <c r="AA15" t="s">
        <v>210</v>
      </c>
      <c r="AB15" s="120">
        <f>'Tabla Parámetros'!D4</f>
        <v>9.849999999999999E-2</v>
      </c>
      <c r="AC15" s="127">
        <v>1</v>
      </c>
      <c r="AD15" s="120">
        <v>0</v>
      </c>
    </row>
    <row r="16" spans="2:30" x14ac:dyDescent="0.35">
      <c r="B16" t="s">
        <v>11</v>
      </c>
      <c r="C16">
        <v>1</v>
      </c>
      <c r="D16">
        <v>2</v>
      </c>
      <c r="E16" s="127">
        <v>2</v>
      </c>
      <c r="H16" t="s">
        <v>587</v>
      </c>
      <c r="I16">
        <v>6</v>
      </c>
      <c r="J16">
        <v>2</v>
      </c>
      <c r="L16" s="120">
        <v>9.4799999999999995E-2</v>
      </c>
      <c r="M16">
        <v>1</v>
      </c>
      <c r="P16" s="127">
        <v>228</v>
      </c>
      <c r="T16" s="127">
        <v>228</v>
      </c>
      <c r="X16" s="127">
        <v>84</v>
      </c>
      <c r="Y16" s="127">
        <v>2</v>
      </c>
      <c r="AA16" t="s">
        <v>541</v>
      </c>
      <c r="AB16" s="120">
        <f>'Tabla Parámetros'!D5</f>
        <v>0.10150000000000001</v>
      </c>
      <c r="AC16" s="127">
        <v>2</v>
      </c>
      <c r="AD16" s="121">
        <v>0</v>
      </c>
    </row>
    <row r="17" spans="2:30" x14ac:dyDescent="0.35">
      <c r="B17" t="s">
        <v>440</v>
      </c>
      <c r="C17">
        <v>2</v>
      </c>
      <c r="D17">
        <v>2</v>
      </c>
      <c r="E17" s="127">
        <v>3</v>
      </c>
      <c r="L17" s="466">
        <v>0.09</v>
      </c>
      <c r="M17">
        <v>1</v>
      </c>
      <c r="P17" s="127">
        <v>240</v>
      </c>
      <c r="T17" s="127">
        <v>240</v>
      </c>
      <c r="X17" s="127">
        <v>96</v>
      </c>
      <c r="Y17" s="127">
        <v>2</v>
      </c>
      <c r="AA17" t="s">
        <v>542</v>
      </c>
      <c r="AB17" s="120">
        <f>'Tabla Parámetros'!D6</f>
        <v>0.1055</v>
      </c>
      <c r="AC17" s="127">
        <v>2</v>
      </c>
      <c r="AD17" s="121">
        <v>0</v>
      </c>
    </row>
    <row r="18" spans="2:30" x14ac:dyDescent="0.35">
      <c r="B18" t="s">
        <v>13</v>
      </c>
      <c r="C18">
        <v>2</v>
      </c>
      <c r="D18">
        <v>3</v>
      </c>
      <c r="E18" s="127">
        <v>3</v>
      </c>
      <c r="L18" s="466">
        <v>0.1</v>
      </c>
      <c r="M18">
        <v>2</v>
      </c>
      <c r="T18" s="127">
        <v>252</v>
      </c>
      <c r="X18" s="127">
        <v>108</v>
      </c>
      <c r="Y18" s="127">
        <v>2</v>
      </c>
      <c r="AA18" t="s">
        <v>543</v>
      </c>
      <c r="AB18" s="120">
        <f>'Tabla Parámetros'!D7</f>
        <v>0.1115</v>
      </c>
      <c r="AC18" s="127">
        <v>2</v>
      </c>
      <c r="AD18" s="121">
        <v>0</v>
      </c>
    </row>
    <row r="19" spans="2:30" x14ac:dyDescent="0.35">
      <c r="B19" t="s">
        <v>12</v>
      </c>
      <c r="C19">
        <v>2</v>
      </c>
      <c r="D19">
        <v>3</v>
      </c>
      <c r="E19" s="127">
        <v>3</v>
      </c>
      <c r="L19" s="466">
        <v>0.11</v>
      </c>
      <c r="M19">
        <v>2</v>
      </c>
      <c r="T19" s="127">
        <v>264</v>
      </c>
      <c r="X19" s="127">
        <v>120</v>
      </c>
      <c r="Y19" s="127">
        <v>2</v>
      </c>
      <c r="AA19" t="s">
        <v>14</v>
      </c>
      <c r="AB19" s="120">
        <f>'Tabla Parámetros'!C14</f>
        <v>0.12989999999999999</v>
      </c>
      <c r="AC19" s="127">
        <v>2</v>
      </c>
      <c r="AD19" s="121">
        <v>0</v>
      </c>
    </row>
    <row r="20" spans="2:30" x14ac:dyDescent="0.35">
      <c r="B20" t="s">
        <v>327</v>
      </c>
      <c r="C20">
        <v>2</v>
      </c>
      <c r="D20">
        <v>1</v>
      </c>
      <c r="E20" s="127">
        <v>3</v>
      </c>
      <c r="L20" s="466">
        <v>0.125</v>
      </c>
      <c r="M20">
        <v>2</v>
      </c>
      <c r="T20" s="127">
        <v>276</v>
      </c>
      <c r="X20" s="127">
        <v>132</v>
      </c>
      <c r="Y20" s="127">
        <v>3</v>
      </c>
      <c r="AA20" t="s">
        <v>585</v>
      </c>
      <c r="AB20" s="120">
        <f>'Tabla Parámetros'!C15</f>
        <v>0.10679999999999999</v>
      </c>
      <c r="AC20" s="127">
        <v>2</v>
      </c>
      <c r="AD20" s="121">
        <v>0</v>
      </c>
    </row>
    <row r="21" spans="2:30" x14ac:dyDescent="0.35">
      <c r="B21" t="s">
        <v>328</v>
      </c>
      <c r="C21">
        <v>2</v>
      </c>
      <c r="D21">
        <v>1</v>
      </c>
      <c r="E21" s="127">
        <v>3</v>
      </c>
      <c r="L21" s="466">
        <v>0.13</v>
      </c>
      <c r="M21">
        <v>2</v>
      </c>
      <c r="T21" s="127">
        <v>288</v>
      </c>
      <c r="X21" s="127">
        <v>144</v>
      </c>
      <c r="Y21" s="127">
        <v>3</v>
      </c>
      <c r="AA21" t="s">
        <v>546</v>
      </c>
      <c r="AB21" s="120">
        <f>'Tabla Parámetros'!D19</f>
        <v>9.5000000000000001E-2</v>
      </c>
      <c r="AC21" s="127">
        <v>2</v>
      </c>
      <c r="AD21" s="121">
        <v>0</v>
      </c>
    </row>
    <row r="22" spans="2:30" x14ac:dyDescent="0.35">
      <c r="B22" t="s">
        <v>14</v>
      </c>
      <c r="C22">
        <v>2</v>
      </c>
      <c r="D22">
        <v>3</v>
      </c>
      <c r="E22" s="127">
        <v>4</v>
      </c>
      <c r="L22" s="466">
        <v>0.157</v>
      </c>
      <c r="M22">
        <v>2</v>
      </c>
      <c r="T22" s="127">
        <v>300</v>
      </c>
      <c r="X22" s="127">
        <v>156</v>
      </c>
      <c r="Y22" s="127">
        <v>3</v>
      </c>
      <c r="AA22" t="s">
        <v>586</v>
      </c>
      <c r="AB22" s="120">
        <f>'Tabla Parámetros'!D19</f>
        <v>9.5000000000000001E-2</v>
      </c>
      <c r="AC22" s="127">
        <v>2</v>
      </c>
      <c r="AD22" s="121">
        <v>0</v>
      </c>
    </row>
    <row r="23" spans="2:30" x14ac:dyDescent="0.35">
      <c r="B23" t="s">
        <v>431</v>
      </c>
      <c r="C23">
        <v>2</v>
      </c>
      <c r="D23">
        <v>1</v>
      </c>
      <c r="E23" s="127">
        <v>5</v>
      </c>
      <c r="X23" s="127">
        <v>168</v>
      </c>
      <c r="Y23" s="127">
        <v>3</v>
      </c>
      <c r="AA23" t="s">
        <v>558</v>
      </c>
      <c r="AB23" s="120">
        <f>AB6</f>
        <v>0.11</v>
      </c>
      <c r="AC23" s="127">
        <v>1</v>
      </c>
      <c r="AD23" s="120">
        <v>0</v>
      </c>
    </row>
    <row r="24" spans="2:30" x14ac:dyDescent="0.35">
      <c r="J24" t="s">
        <v>115</v>
      </c>
      <c r="K24" t="s">
        <v>554</v>
      </c>
      <c r="L24" t="s">
        <v>555</v>
      </c>
      <c r="M24" t="s">
        <v>556</v>
      </c>
      <c r="N24" t="s">
        <v>557</v>
      </c>
      <c r="O24" t="s">
        <v>14</v>
      </c>
      <c r="P24" t="s">
        <v>80</v>
      </c>
      <c r="X24" s="127">
        <v>180</v>
      </c>
      <c r="Y24" s="127">
        <v>3</v>
      </c>
      <c r="AA24" t="s">
        <v>588</v>
      </c>
      <c r="AB24" s="708">
        <v>0.11</v>
      </c>
      <c r="AC24" s="127">
        <v>2</v>
      </c>
      <c r="AD24" s="121">
        <v>0</v>
      </c>
    </row>
    <row r="25" spans="2:30" x14ac:dyDescent="0.35">
      <c r="J25" s="120">
        <v>9.8799999999999999E-2</v>
      </c>
      <c r="X25" s="127">
        <v>192</v>
      </c>
      <c r="Y25" s="127">
        <v>4</v>
      </c>
      <c r="AA25" t="s">
        <v>610</v>
      </c>
      <c r="AB25" s="120">
        <v>0.1108</v>
      </c>
      <c r="AC25" s="127">
        <v>2</v>
      </c>
      <c r="AD25" s="121">
        <v>0</v>
      </c>
    </row>
    <row r="26" spans="2:30" x14ac:dyDescent="0.35">
      <c r="X26" s="127">
        <v>204</v>
      </c>
      <c r="Y26" s="127">
        <v>4</v>
      </c>
      <c r="AA26" t="s">
        <v>589</v>
      </c>
      <c r="AB26" s="120">
        <v>0.10680000000000001</v>
      </c>
      <c r="AC26" s="127">
        <v>2</v>
      </c>
      <c r="AD26" s="121">
        <v>0</v>
      </c>
    </row>
    <row r="27" spans="2:30" x14ac:dyDescent="0.35">
      <c r="X27" s="127">
        <v>216</v>
      </c>
      <c r="Y27" s="127">
        <v>4</v>
      </c>
      <c r="AA27" t="s">
        <v>590</v>
      </c>
      <c r="AB27" s="120">
        <v>0.1108</v>
      </c>
      <c r="AC27" s="127">
        <v>2</v>
      </c>
      <c r="AD27" s="121">
        <v>0</v>
      </c>
    </row>
    <row r="28" spans="2:30" x14ac:dyDescent="0.35">
      <c r="X28" s="127">
        <v>228</v>
      </c>
      <c r="Y28" s="127">
        <v>4</v>
      </c>
      <c r="AA28" t="s">
        <v>622</v>
      </c>
      <c r="AB28" s="120">
        <v>9.5000000000000001E-2</v>
      </c>
      <c r="AC28" s="127">
        <v>2</v>
      </c>
      <c r="AD28" s="120">
        <v>0</v>
      </c>
    </row>
    <row r="29" spans="2:30" x14ac:dyDescent="0.35">
      <c r="B29" s="127" t="str">
        <f>VLOOKUP('Tabla Parámetros'!$W$1,Sheet1!B30:B37,1,0)</f>
        <v>Hipoteca Fuerte Cero</v>
      </c>
      <c r="C29">
        <f>VLOOKUP('Tabla Parámetros'!$W$1,Sheet1!B30:C37,2,0)</f>
        <v>0</v>
      </c>
      <c r="I29" s="621">
        <f>J29/J30</f>
        <v>0.28587764436821039</v>
      </c>
      <c r="J29" s="620">
        <f>Simulador!F15+Simulador!J21</f>
        <v>1000000</v>
      </c>
      <c r="X29" s="127">
        <v>240</v>
      </c>
      <c r="Y29" s="127">
        <v>4</v>
      </c>
    </row>
    <row r="30" spans="2:30" x14ac:dyDescent="0.35">
      <c r="B30" s="127" t="s">
        <v>115</v>
      </c>
      <c r="C30">
        <f>'Tabla Parámetros'!W28</f>
        <v>299</v>
      </c>
      <c r="J30" s="109">
        <f>Simulador!N11</f>
        <v>3498000</v>
      </c>
      <c r="X30" s="127">
        <v>252</v>
      </c>
      <c r="Y30" s="127">
        <v>5</v>
      </c>
    </row>
    <row r="31" spans="2:30" x14ac:dyDescent="0.35">
      <c r="B31" s="127" t="s">
        <v>554</v>
      </c>
      <c r="C31">
        <v>0</v>
      </c>
      <c r="X31" s="127">
        <v>264</v>
      </c>
      <c r="Y31" s="127">
        <v>5</v>
      </c>
    </row>
    <row r="32" spans="2:30" x14ac:dyDescent="0.35">
      <c r="B32" s="127" t="s">
        <v>609</v>
      </c>
      <c r="C32">
        <v>0</v>
      </c>
      <c r="X32" s="127">
        <v>276</v>
      </c>
      <c r="Y32" s="127">
        <v>5</v>
      </c>
    </row>
    <row r="33" spans="2:25" x14ac:dyDescent="0.35">
      <c r="B33" s="127" t="s">
        <v>555</v>
      </c>
      <c r="C33">
        <v>299</v>
      </c>
      <c r="X33" s="127">
        <v>288</v>
      </c>
      <c r="Y33" s="127">
        <v>5</v>
      </c>
    </row>
    <row r="34" spans="2:25" x14ac:dyDescent="0.35">
      <c r="B34" s="127" t="s">
        <v>556</v>
      </c>
      <c r="C34">
        <v>0</v>
      </c>
      <c r="X34" s="127">
        <v>300</v>
      </c>
      <c r="Y34" s="127">
        <v>5</v>
      </c>
    </row>
    <row r="35" spans="2:25" x14ac:dyDescent="0.35">
      <c r="B35" s="127" t="s">
        <v>621</v>
      </c>
      <c r="C35">
        <v>299</v>
      </c>
    </row>
    <row r="36" spans="2:25" x14ac:dyDescent="0.35">
      <c r="B36" s="127" t="s">
        <v>14</v>
      </c>
      <c r="C36">
        <v>360</v>
      </c>
    </row>
    <row r="37" spans="2:25" x14ac:dyDescent="0.35">
      <c r="B37" s="127" t="s">
        <v>80</v>
      </c>
      <c r="C37">
        <v>250</v>
      </c>
    </row>
    <row r="39" spans="2:25" x14ac:dyDescent="0.35">
      <c r="B39" s="8"/>
      <c r="C39" s="121"/>
    </row>
    <row r="40" spans="2:25" x14ac:dyDescent="0.35">
      <c r="B40" s="8"/>
      <c r="C40" s="121"/>
    </row>
    <row r="41" spans="2:25" x14ac:dyDescent="0.35">
      <c r="B41" s="8"/>
      <c r="C41" s="121"/>
    </row>
    <row r="42" spans="2:25" x14ac:dyDescent="0.35">
      <c r="B42" s="8"/>
      <c r="C42" s="121"/>
    </row>
    <row r="43" spans="2:25" x14ac:dyDescent="0.35">
      <c r="B43" s="8"/>
      <c r="C43" s="121"/>
    </row>
    <row r="44" spans="2:25" x14ac:dyDescent="0.35">
      <c r="B44" s="8"/>
      <c r="C44" s="121"/>
    </row>
    <row r="45" spans="2:25" x14ac:dyDescent="0.35">
      <c r="B45" s="8"/>
      <c r="C45" s="121"/>
    </row>
    <row r="46" spans="2:25" x14ac:dyDescent="0.35">
      <c r="B46" s="8"/>
      <c r="C46" s="121"/>
    </row>
    <row r="47" spans="2:25" x14ac:dyDescent="0.35">
      <c r="B47" s="8"/>
      <c r="C47" s="121"/>
    </row>
    <row r="48" spans="2:25" x14ac:dyDescent="0.35">
      <c r="B48" s="8"/>
      <c r="C48" s="121"/>
    </row>
    <row r="49" spans="2:3" x14ac:dyDescent="0.35">
      <c r="B49" s="8"/>
      <c r="C49" s="121"/>
    </row>
    <row r="50" spans="2:3" x14ac:dyDescent="0.35">
      <c r="B50" s="8"/>
      <c r="C50" s="121"/>
    </row>
  </sheetData>
  <mergeCells count="1">
    <mergeCell ref="AB12:AC1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AN104"/>
  <sheetViews>
    <sheetView showGridLines="0" zoomScaleNormal="100" workbookViewId="0">
      <selection activeCell="D5" sqref="D5"/>
    </sheetView>
  </sheetViews>
  <sheetFormatPr baseColWidth="10" defaultColWidth="11.453125" defaultRowHeight="10.5" x14ac:dyDescent="0.25"/>
  <cols>
    <col min="1" max="1" width="4.26953125" style="6" bestFit="1" customWidth="1"/>
    <col min="2" max="2" width="14.26953125" style="6" bestFit="1" customWidth="1"/>
    <col min="3" max="3" width="22.81640625" style="6" customWidth="1"/>
    <col min="4" max="4" width="10" style="6" customWidth="1"/>
    <col min="5" max="5" width="7.453125" style="6" bestFit="1" customWidth="1"/>
    <col min="6" max="6" width="26.1796875" style="6" bestFit="1" customWidth="1"/>
    <col min="7" max="7" width="28.54296875" style="6" customWidth="1"/>
    <col min="8" max="8" width="37" style="6" bestFit="1" customWidth="1"/>
    <col min="9" max="9" width="4" style="6" customWidth="1"/>
    <col min="10" max="10" width="10" style="6" bestFit="1" customWidth="1"/>
    <col min="11" max="11" width="10.7265625" style="6" bestFit="1" customWidth="1"/>
    <col min="12" max="12" width="19.7265625" style="6" customWidth="1"/>
    <col min="13" max="13" width="12.453125" style="6" customWidth="1"/>
    <col min="14" max="14" width="14.453125" style="6" bestFit="1" customWidth="1"/>
    <col min="15" max="15" width="11.81640625" style="6" bestFit="1" customWidth="1"/>
    <col min="16" max="16" width="16.54296875" style="6" bestFit="1" customWidth="1"/>
    <col min="17" max="17" width="14.7265625" style="6" bestFit="1" customWidth="1"/>
    <col min="18" max="18" width="16.54296875" style="6" bestFit="1" customWidth="1"/>
    <col min="19" max="19" width="14.453125" style="6" bestFit="1" customWidth="1"/>
    <col min="20" max="20" width="23.1796875" style="6" customWidth="1"/>
    <col min="21" max="21" width="13.453125" style="6" bestFit="1" customWidth="1"/>
    <col min="22" max="22" width="18.7265625" style="6" customWidth="1"/>
    <col min="23" max="23" width="16.26953125" style="6" bestFit="1" customWidth="1"/>
    <col min="24" max="24" width="7.1796875" style="6" bestFit="1" customWidth="1"/>
    <col min="25" max="25" width="16.26953125" style="6" bestFit="1" customWidth="1"/>
    <col min="26" max="26" width="18.1796875" style="6" bestFit="1" customWidth="1"/>
    <col min="27" max="27" width="14.26953125" style="6" bestFit="1" customWidth="1"/>
    <col min="28" max="28" width="11.453125" style="6"/>
    <col min="29" max="29" width="14.453125" style="6" bestFit="1" customWidth="1"/>
    <col min="30" max="32" width="11.453125" style="6"/>
    <col min="33" max="35" width="15.1796875" style="6" bestFit="1" customWidth="1"/>
    <col min="36" max="36" width="11.81640625" style="6" bestFit="1" customWidth="1"/>
    <col min="37" max="37" width="11.453125" style="6"/>
    <col min="38" max="38" width="32.54296875" style="6" bestFit="1" customWidth="1"/>
    <col min="39" max="16384" width="11.453125" style="6"/>
  </cols>
  <sheetData>
    <row r="1" spans="2:40" x14ac:dyDescent="0.25">
      <c r="R1" s="902" t="s">
        <v>112</v>
      </c>
      <c r="S1" s="902"/>
      <c r="W1" s="478" t="str">
        <f>G45</f>
        <v>Hipoteca Fuerte Cero</v>
      </c>
      <c r="Y1" s="485" t="s">
        <v>134</v>
      </c>
      <c r="AF1" s="6">
        <v>0</v>
      </c>
    </row>
    <row r="2" spans="2:40" x14ac:dyDescent="0.25">
      <c r="B2" s="7" t="s">
        <v>72</v>
      </c>
      <c r="C2" s="7" t="s">
        <v>81</v>
      </c>
      <c r="D2" s="7" t="s">
        <v>73</v>
      </c>
      <c r="F2" s="7" t="s">
        <v>24</v>
      </c>
      <c r="G2" s="7" t="s">
        <v>23</v>
      </c>
      <c r="H2" s="25"/>
      <c r="J2" s="26" t="s">
        <v>104</v>
      </c>
      <c r="K2" s="16"/>
      <c r="L2" s="26" t="s">
        <v>109</v>
      </c>
      <c r="N2" s="25" t="s">
        <v>110</v>
      </c>
      <c r="P2" s="25" t="s">
        <v>196</v>
      </c>
      <c r="R2" s="25" t="s">
        <v>130</v>
      </c>
      <c r="S2" s="25" t="s">
        <v>131</v>
      </c>
      <c r="U2" s="25" t="s">
        <v>4</v>
      </c>
      <c r="W2" s="479" t="s">
        <v>26</v>
      </c>
      <c r="X2" s="30"/>
      <c r="Y2" s="486" t="s">
        <v>26</v>
      </c>
      <c r="AA2" s="6" t="s">
        <v>115</v>
      </c>
      <c r="AC2" s="6" t="s">
        <v>308</v>
      </c>
      <c r="AF2" s="6">
        <v>1</v>
      </c>
      <c r="AG2" s="6">
        <f>IF(Simulador!$F$11='Tabla Parámetros'!$AA$2,'Tabla Parámetros'!AG9,IF(Simulador!$F$11='Tabla Parámetros'!$AA$4,'Tabla Parámetros'!AH9,IF(Simulador!$F$11='Tabla Parámetros'!$AA$5,'Tabla Parámetros'!AI9,IF(Simulador!$F$11='Tabla Parámetros'!$AA$3,'Tabla Parámetros'!AJ9,))))</f>
        <v>0</v>
      </c>
    </row>
    <row r="3" spans="2:40" x14ac:dyDescent="0.25">
      <c r="B3" s="39" t="s">
        <v>540</v>
      </c>
      <c r="C3" s="10">
        <f>IF(Simulador!$F$11=Sheet1!$E$2,8.88%,9.15%)</f>
        <v>8.8800000000000004E-2</v>
      </c>
      <c r="D3" s="10">
        <f>IF(Sheet1!$D$1=2,'Tabla Parámetros'!$C$3,9.15%)</f>
        <v>9.1499999999999998E-2</v>
      </c>
      <c r="F3" s="8">
        <v>1</v>
      </c>
      <c r="G3" s="10">
        <v>0.113</v>
      </c>
      <c r="H3" s="117"/>
      <c r="I3" s="6">
        <v>1</v>
      </c>
      <c r="J3" s="23" t="s">
        <v>15</v>
      </c>
      <c r="K3" s="8"/>
      <c r="L3" s="27" t="s">
        <v>105</v>
      </c>
      <c r="M3" s="6">
        <v>1</v>
      </c>
      <c r="N3" s="6" t="s">
        <v>111</v>
      </c>
      <c r="O3" s="6" t="s">
        <v>115</v>
      </c>
      <c r="P3" s="6" t="s">
        <v>128</v>
      </c>
      <c r="R3" s="26">
        <v>7.2</v>
      </c>
      <c r="S3" s="26">
        <f>IF(Sheet1!$I$10=5,0,3.36)</f>
        <v>3.36</v>
      </c>
      <c r="T3" s="6">
        <f>T4*1000</f>
        <v>3.36</v>
      </c>
      <c r="U3" s="31">
        <v>0.01</v>
      </c>
      <c r="W3" s="480">
        <f>IF(Sheet1!$J$10=2,60,X3)</f>
        <v>60</v>
      </c>
      <c r="X3" s="28">
        <f>IF(Sheet1!$X$1=1,Sheet1!P2,IF(Sheet1!$X$1=2,Sheet1!S2,IF(Sheet1!$X$1=3,Sheet1!T2,IF(Sheet1!$X$1=4,Sheet1!Q2,""))))</f>
        <v>60</v>
      </c>
      <c r="Y3" s="487">
        <v>180</v>
      </c>
      <c r="AA3" s="6" t="s">
        <v>134</v>
      </c>
      <c r="AC3" s="6" t="s">
        <v>309</v>
      </c>
      <c r="AF3" s="6">
        <v>2</v>
      </c>
      <c r="AG3" s="6">
        <f>IF(Simulador!$F$11='Tabla Parámetros'!$AA$2,'Tabla Parámetros'!AG10,IF(Simulador!$F$11='Tabla Parámetros'!$AA$4,'Tabla Parámetros'!AH10,IF(Simulador!$F$11='Tabla Parámetros'!$AA$5,'Tabla Parámetros'!AI10,IF(Simulador!$F$11='Tabla Parámetros'!$AA$3," ",))))</f>
        <v>0</v>
      </c>
    </row>
    <row r="4" spans="2:40" x14ac:dyDescent="0.25">
      <c r="B4" s="6" t="s">
        <v>210</v>
      </c>
      <c r="C4" s="10">
        <f>IF(Simulador!$F$11=Sheet1!$E$2,8.88%,9.85%)</f>
        <v>8.8800000000000004E-2</v>
      </c>
      <c r="D4" s="10">
        <f>IF(Sheet1!$D$1=2,'Tabla Parámetros'!$C$3,9.85%)</f>
        <v>9.849999999999999E-2</v>
      </c>
      <c r="F4" s="8">
        <v>38</v>
      </c>
      <c r="G4" s="10">
        <v>0.11550000000000001</v>
      </c>
      <c r="H4" s="117"/>
      <c r="I4" s="6">
        <v>2</v>
      </c>
      <c r="J4" s="23" t="s">
        <v>11</v>
      </c>
      <c r="K4" s="8"/>
      <c r="L4" s="27" t="s">
        <v>106</v>
      </c>
      <c r="M4" s="6">
        <v>2</v>
      </c>
      <c r="N4" s="6" t="s">
        <v>112</v>
      </c>
      <c r="O4" s="6" t="s">
        <v>134</v>
      </c>
      <c r="P4" s="6" t="s">
        <v>129</v>
      </c>
      <c r="R4" s="8">
        <f>R3/1000</f>
        <v>7.1999999999999998E-3</v>
      </c>
      <c r="S4" s="8">
        <f>S3/1000</f>
        <v>3.3599999999999997E-3</v>
      </c>
      <c r="T4" s="6">
        <f>T6*12</f>
        <v>3.3599999999999997E-3</v>
      </c>
      <c r="U4" s="6" t="s">
        <v>195</v>
      </c>
      <c r="W4" s="480">
        <f>IF(Sheet1!$J$10=2,120,X4)</f>
        <v>72</v>
      </c>
      <c r="X4" s="28">
        <f>IF(Sheet1!$X$1=1,Sheet1!P3,IF(Sheet1!$X$1=2,Sheet1!S3,IF(Sheet1!$X$1=3,Sheet1!T3,IF(Sheet1!$X$1=4,Sheet1!Q3,""))))</f>
        <v>72</v>
      </c>
      <c r="Y4" s="487">
        <v>240</v>
      </c>
      <c r="AA4" s="6" t="s">
        <v>14</v>
      </c>
      <c r="AC4" s="6" t="s">
        <v>28</v>
      </c>
      <c r="AF4" s="6">
        <v>3</v>
      </c>
      <c r="AG4" s="6">
        <f>IF(Simulador!$F$11='Tabla Parámetros'!$AA$2,'Tabla Parámetros'!AG11,IF(Simulador!$F$11='Tabla Parámetros'!$AA$4,'Tabla Parámetros'!AH11,IF(Simulador!$F$11='Tabla Parámetros'!$AA$5,'Tabla Parámetros'!AI11,IF(Simulador!$F$11='Tabla Parámetros'!$AA$3,"",))))</f>
        <v>0</v>
      </c>
    </row>
    <row r="5" spans="2:40" x14ac:dyDescent="0.25">
      <c r="B5" s="6" t="s">
        <v>541</v>
      </c>
      <c r="C5" s="10">
        <v>0.10150000000000001</v>
      </c>
      <c r="D5" s="10">
        <v>0.10150000000000001</v>
      </c>
      <c r="F5" s="8">
        <v>74</v>
      </c>
      <c r="G5" s="10">
        <v>0.11799999999999999</v>
      </c>
      <c r="H5" s="117"/>
      <c r="I5" s="6">
        <v>2</v>
      </c>
      <c r="J5" s="24" t="s">
        <v>440</v>
      </c>
      <c r="L5" s="23" t="s">
        <v>107</v>
      </c>
      <c r="O5" s="6" t="s">
        <v>14</v>
      </c>
      <c r="R5" s="104">
        <f>IF(OR(Sheet1!$Z$1=1,Sheet1!$Z$1=2),0,0.0006)</f>
        <v>0</v>
      </c>
      <c r="S5" s="635">
        <f>IF(OR(Sheet1!$Z$1=1,Sheet1!$Z$1=2),0,IF(Simulador!F9=J11,0,$S$6))</f>
        <v>0</v>
      </c>
      <c r="U5" s="21">
        <v>0</v>
      </c>
      <c r="W5" s="480">
        <f>IF(Sheet1!$J$10=2,180,IF(X5=0,"",X5))</f>
        <v>84</v>
      </c>
      <c r="X5" s="28">
        <f>IF(Sheet1!$X$1=1,Sheet1!P4,IF(Sheet1!$X$1=2,Sheet1!S4,IF(Sheet1!$X$1=3,Sheet1!T4,IF(Sheet1!$X$1=4,Sheet1!Q4,""))))</f>
        <v>84</v>
      </c>
      <c r="Y5" s="485"/>
      <c r="AA5" s="6" t="s">
        <v>431</v>
      </c>
    </row>
    <row r="6" spans="2:40" x14ac:dyDescent="0.25">
      <c r="B6" s="6" t="s">
        <v>542</v>
      </c>
      <c r="C6" s="10">
        <v>0.1055</v>
      </c>
      <c r="D6" s="10">
        <v>0.1055</v>
      </c>
      <c r="H6" s="117"/>
      <c r="I6" s="6">
        <v>1</v>
      </c>
      <c r="J6" s="24" t="s">
        <v>13</v>
      </c>
      <c r="L6" s="23" t="s">
        <v>108</v>
      </c>
      <c r="N6" s="6" t="s">
        <v>213</v>
      </c>
      <c r="O6" s="6" t="s">
        <v>431</v>
      </c>
      <c r="R6" s="435">
        <f>R3/360</f>
        <v>0.02</v>
      </c>
      <c r="S6" s="6">
        <f>S4/12</f>
        <v>2.7999999999999998E-4</v>
      </c>
      <c r="T6" s="6">
        <v>2.7999999999999998E-4</v>
      </c>
      <c r="U6" s="25" t="s">
        <v>198</v>
      </c>
      <c r="W6" s="480">
        <f>IF(Sheet1!$J$10=2,240,IF(X6=0,"",X6))</f>
        <v>96</v>
      </c>
      <c r="X6" s="28">
        <f>IF(Sheet1!$X$1=1,Sheet1!P5,IF(Sheet1!$X$1=2,Sheet1!S5,IF(Sheet1!$X$1=3,Sheet1!T5,IF(Sheet1!$X$1=4,Sheet1!Q5,""))))</f>
        <v>96</v>
      </c>
      <c r="Y6" s="485"/>
    </row>
    <row r="7" spans="2:40" x14ac:dyDescent="0.25">
      <c r="B7" s="6" t="s">
        <v>543</v>
      </c>
      <c r="C7" s="10">
        <v>0.1115</v>
      </c>
      <c r="D7" s="10">
        <v>0.1115</v>
      </c>
      <c r="H7" s="117"/>
      <c r="I7" s="6">
        <v>1</v>
      </c>
      <c r="J7" s="24" t="s">
        <v>12</v>
      </c>
      <c r="N7" s="6" t="s">
        <v>214</v>
      </c>
      <c r="R7" s="902" t="s">
        <v>111</v>
      </c>
      <c r="S7" s="902"/>
      <c r="U7" s="8" t="s">
        <v>199</v>
      </c>
      <c r="W7" s="480">
        <f>IF(Sheet1!$J$10=2,300,IF(X7=0,"",X7))</f>
        <v>108</v>
      </c>
      <c r="X7" s="28">
        <f>IF(Sheet1!$X$1=1,Sheet1!P6,IF(Sheet1!$X$1=2,Sheet1!S6,IF(Sheet1!$X$1=3,Sheet1!T6,IF(Sheet1!$X$1=4,Sheet1!Q6,""))))</f>
        <v>108</v>
      </c>
      <c r="Y7" s="485"/>
      <c r="AM7" s="6">
        <f>VLOOKUP(Simulador!$F$11,'Tabla Parámetros'!AL8:AM16,2,0)</f>
        <v>1</v>
      </c>
    </row>
    <row r="8" spans="2:40" x14ac:dyDescent="0.25">
      <c r="C8" s="10"/>
      <c r="D8" s="10"/>
      <c r="H8" s="117"/>
      <c r="I8" s="6">
        <v>1</v>
      </c>
      <c r="J8" s="23" t="s">
        <v>329</v>
      </c>
      <c r="R8" s="25" t="s">
        <v>130</v>
      </c>
      <c r="S8" s="25" t="s">
        <v>131</v>
      </c>
      <c r="U8" s="8" t="s">
        <v>200</v>
      </c>
      <c r="W8" s="480">
        <f>IF(Sheet1!$J$10=2,"",IF(X8=0,"",X8))</f>
        <v>120</v>
      </c>
      <c r="X8" s="28">
        <f>IF(Sheet1!$X$1=1,Sheet1!P7,IF(Sheet1!$X$1=2,Sheet1!S7,IF(Sheet1!$X$1=3,Sheet1!T7,IF(Sheet1!$X$1=4,Sheet1!Q7,""))))</f>
        <v>120</v>
      </c>
      <c r="Y8" s="486" t="s">
        <v>132</v>
      </c>
      <c r="AG8" s="261" t="s">
        <v>115</v>
      </c>
      <c r="AH8" s="261" t="s">
        <v>14</v>
      </c>
      <c r="AI8" s="261" t="s">
        <v>80</v>
      </c>
      <c r="AJ8" s="500" t="s">
        <v>134</v>
      </c>
      <c r="AL8" s="49" t="s">
        <v>115</v>
      </c>
      <c r="AM8" s="6">
        <v>1</v>
      </c>
      <c r="AN8" s="6" t="str">
        <f>IF($AM$7=2,"",AG9)</f>
        <v>Reduce Pago</v>
      </c>
    </row>
    <row r="9" spans="2:40" x14ac:dyDescent="0.25">
      <c r="H9" s="117"/>
      <c r="I9" s="6">
        <v>1</v>
      </c>
      <c r="J9" s="23" t="s">
        <v>330</v>
      </c>
      <c r="K9" s="18"/>
      <c r="L9" s="18"/>
      <c r="N9" s="25" t="s">
        <v>220</v>
      </c>
      <c r="R9" s="8">
        <v>10.2996</v>
      </c>
      <c r="S9" s="356">
        <f>S3</f>
        <v>3.36</v>
      </c>
      <c r="U9" s="25" t="s">
        <v>324</v>
      </c>
      <c r="W9" s="480">
        <f>IF(Sheet1!$J$10=2,"",IF(X9=0,"",X9))</f>
        <v>132</v>
      </c>
      <c r="X9" s="28">
        <f>IF(Sheet1!$X$1=1,Sheet1!P8,IF(Sheet1!$X$1=2,Sheet1!S8,IF(Sheet1!$X$1=3,Sheet1!T8,IF(Sheet1!$X$1=4,Sheet1!Q8,""))))</f>
        <v>132</v>
      </c>
      <c r="Y9" s="488">
        <v>500</v>
      </c>
      <c r="AG9" s="8" t="str">
        <f>IF(OR(Sheet1!$I$10=5),"","Reduce Pago")</f>
        <v>Reduce Pago</v>
      </c>
      <c r="AH9" s="8" t="s">
        <v>308</v>
      </c>
      <c r="AI9" s="8" t="s">
        <v>308</v>
      </c>
      <c r="AJ9" s="487" t="s">
        <v>309</v>
      </c>
      <c r="AL9" s="49" t="s">
        <v>554</v>
      </c>
      <c r="AM9" s="6">
        <v>1</v>
      </c>
      <c r="AN9" s="6" t="str">
        <f>IF($AM$7=2,"Reduce Plazo",AG10)</f>
        <v>Reduce Plazo</v>
      </c>
    </row>
    <row r="10" spans="2:40" x14ac:dyDescent="0.25">
      <c r="B10" s="11" t="s">
        <v>76</v>
      </c>
      <c r="C10" s="11"/>
      <c r="D10" s="11"/>
      <c r="F10" s="11" t="s">
        <v>76</v>
      </c>
      <c r="G10" s="12"/>
      <c r="H10" s="117"/>
      <c r="I10" s="6">
        <v>3</v>
      </c>
      <c r="J10" s="23" t="s">
        <v>14</v>
      </c>
      <c r="N10" s="8" t="s">
        <v>213</v>
      </c>
      <c r="R10" s="104">
        <v>8.5829999999999999E-4</v>
      </c>
      <c r="S10" s="637">
        <f>S6</f>
        <v>2.7999999999999998E-4</v>
      </c>
      <c r="T10" s="636">
        <f>IF(Simulador!F9=J11,0,0.00028)</f>
        <v>2.7999999999999998E-4</v>
      </c>
      <c r="U10" s="21">
        <v>0</v>
      </c>
      <c r="W10" s="480">
        <f>IF(Sheet1!$J$10=2,"",IF(X10=0,"",X10))</f>
        <v>144</v>
      </c>
      <c r="X10" s="28">
        <f>IF(Sheet1!$X$1=1,Sheet1!P9,IF(Sheet1!$X$1=2,Sheet1!S9,IF(Sheet1!$X$1=3,Sheet1!T9,IF(Sheet1!$X$1=4,Sheet1!Q9,""))))</f>
        <v>144</v>
      </c>
      <c r="Y10" s="485"/>
      <c r="AG10" s="8" t="s">
        <v>309</v>
      </c>
      <c r="AH10" s="8" t="s">
        <v>309</v>
      </c>
      <c r="AI10" s="8" t="s">
        <v>309</v>
      </c>
      <c r="AJ10" s="487"/>
      <c r="AL10" s="49" t="s">
        <v>609</v>
      </c>
      <c r="AM10" s="6">
        <v>1</v>
      </c>
      <c r="AN10" s="6" t="str">
        <f t="shared" ref="AN10" si="0">IF($AM$7=2,"",AG11)</f>
        <v>Reduce Plazo y Pago</v>
      </c>
    </row>
    <row r="11" spans="2:40" x14ac:dyDescent="0.25">
      <c r="E11" s="17"/>
      <c r="H11" s="118"/>
      <c r="I11" s="19">
        <v>3</v>
      </c>
      <c r="J11" s="23" t="s">
        <v>431</v>
      </c>
      <c r="K11" s="19"/>
      <c r="L11" s="19"/>
      <c r="N11" s="8" t="s">
        <v>214</v>
      </c>
      <c r="R11" s="8"/>
      <c r="S11" s="8"/>
      <c r="U11" s="30" t="s">
        <v>0</v>
      </c>
      <c r="W11" s="480">
        <f>IF(Sheet1!$J$10=2,"",IF(X11=0,"",X11))</f>
        <v>156</v>
      </c>
      <c r="X11" s="28">
        <f>IF(Sheet1!$X$1=1,Sheet1!P10,IF(Sheet1!$X$1=2,Sheet1!S10,IF(Sheet1!$X$1=3,Sheet1!T10,IF(Sheet1!$X$1=4,Sheet1!Q10,""))))</f>
        <v>156</v>
      </c>
      <c r="Y11" s="486" t="s">
        <v>33</v>
      </c>
      <c r="AG11" s="8" t="str">
        <f>IF(OR(Sheet1!$I$10=5),"","Reduce Plazo y Pago")</f>
        <v>Reduce Plazo y Pago</v>
      </c>
      <c r="AH11" s="8" t="s">
        <v>28</v>
      </c>
      <c r="AI11" s="8" t="s">
        <v>28</v>
      </c>
      <c r="AJ11" s="487"/>
      <c r="AL11" s="49" t="s">
        <v>555</v>
      </c>
      <c r="AM11" s="6">
        <v>2</v>
      </c>
    </row>
    <row r="12" spans="2:40" ht="11" thickBot="1" x14ac:dyDescent="0.3">
      <c r="B12" s="906" t="s">
        <v>133</v>
      </c>
      <c r="C12" s="906"/>
      <c r="D12" s="906"/>
      <c r="F12" s="906" t="s">
        <v>141</v>
      </c>
      <c r="G12" s="906"/>
      <c r="O12" s="6">
        <f>O13*1000</f>
        <v>3.36</v>
      </c>
      <c r="U12" s="8"/>
      <c r="W12" s="480">
        <f>IF(Sheet1!$J$10=2,"",IF(X12=0,"",X12))</f>
        <v>168</v>
      </c>
      <c r="X12" s="28">
        <f>IF(Sheet1!$X$1=1,Sheet1!P11,IF(Sheet1!$X$1=2,Sheet1!S11,IF(Sheet1!$X$1=3,Sheet1!T11,IF(Sheet1!$X$1=4,Sheet1!Q11,""))))</f>
        <v>168</v>
      </c>
      <c r="Y12" s="488">
        <v>299</v>
      </c>
      <c r="AL12" s="49" t="s">
        <v>556</v>
      </c>
      <c r="AM12" s="6">
        <v>2</v>
      </c>
    </row>
    <row r="13" spans="2:40" ht="11" thickBot="1" x14ac:dyDescent="0.3">
      <c r="C13" s="6" t="e">
        <f>VLOOKUP(Simulador!F9,'Tabla Parámetros'!B14:C15,2,0)</f>
        <v>#N/A</v>
      </c>
      <c r="N13" s="8" t="s">
        <v>713</v>
      </c>
      <c r="O13" s="6">
        <f>O14*12</f>
        <v>3.3599999999999997E-3</v>
      </c>
      <c r="R13" s="469" t="s">
        <v>326</v>
      </c>
      <c r="S13" s="470">
        <f>0.00028/1.16</f>
        <v>2.4137931034482759E-4</v>
      </c>
      <c r="T13" s="471" t="s">
        <v>12</v>
      </c>
      <c r="U13" s="472">
        <v>4</v>
      </c>
      <c r="W13" s="480">
        <f>IF(Sheet1!$J$10=2,"",IF(X13=0,"",X13))</f>
        <v>180</v>
      </c>
      <c r="X13" s="28">
        <f>IF(Sheet1!$X$1=1,Sheet1!P12,IF(Sheet1!$X$1=2,Sheet1!S12,IF(Sheet1!$X$1=3,Sheet1!T12,IF(Sheet1!$X$1=4,Sheet1!Q12,""))))</f>
        <v>180</v>
      </c>
      <c r="AL13" s="49" t="s">
        <v>557</v>
      </c>
      <c r="AM13" s="6">
        <v>1</v>
      </c>
    </row>
    <row r="14" spans="2:40" ht="11" thickBot="1" x14ac:dyDescent="0.3">
      <c r="B14" s="6" t="s">
        <v>14</v>
      </c>
      <c r="C14" s="14">
        <v>0.12989999999999999</v>
      </c>
      <c r="D14" s="6">
        <v>360</v>
      </c>
      <c r="N14" s="8" t="s">
        <v>712</v>
      </c>
      <c r="O14" s="6">
        <f>0.00028</f>
        <v>2.7999999999999998E-4</v>
      </c>
      <c r="R14" s="473"/>
      <c r="T14" s="23" t="s">
        <v>329</v>
      </c>
      <c r="U14" s="474">
        <v>4</v>
      </c>
      <c r="W14" s="480">
        <f>IF(Sheet1!$J$10=2,"",IF(X14=0,"",X14))</f>
        <v>192</v>
      </c>
      <c r="X14" s="28">
        <f>IF(Sheet1!$X$1=1,Sheet1!P13,IF(Sheet1!$X$1=2,Sheet1!S13,IF(Sheet1!$X$1=3,Sheet1!T13,IF(Sheet1!$X$1=4,Sheet1!Q13,""))))</f>
        <v>192</v>
      </c>
      <c r="Y14" s="469" t="s">
        <v>14</v>
      </c>
      <c r="Z14" s="489"/>
      <c r="AG14" s="8" t="s">
        <v>15</v>
      </c>
      <c r="AL14" s="49" t="s">
        <v>621</v>
      </c>
      <c r="AM14" s="6">
        <v>1</v>
      </c>
    </row>
    <row r="15" spans="2:40" x14ac:dyDescent="0.25">
      <c r="B15" s="6" t="s">
        <v>431</v>
      </c>
      <c r="C15" s="14">
        <f>IF(Simulador!F19&lt;=120,10.18%,10.68%)</f>
        <v>0.10679999999999999</v>
      </c>
      <c r="D15" s="6">
        <v>250</v>
      </c>
      <c r="R15" s="473"/>
      <c r="S15" s="468">
        <f>S13</f>
        <v>2.4137931034482759E-4</v>
      </c>
      <c r="T15" s="23" t="s">
        <v>330</v>
      </c>
      <c r="U15" s="474">
        <v>12</v>
      </c>
      <c r="W15" s="480">
        <f>IF(Sheet1!$J$10=2,"",IF(X15=0,"",X15))</f>
        <v>204</v>
      </c>
      <c r="X15" s="28">
        <f>IF(Sheet1!$X$1=1,Sheet1!P14,IF(Sheet1!$X$1=2,Sheet1!S14,IF(Sheet1!$X$1=3,Sheet1!T14,IF(Sheet1!$X$1=4,Sheet1!Q14,""))))</f>
        <v>204</v>
      </c>
      <c r="Y15" s="496" t="s">
        <v>132</v>
      </c>
      <c r="Z15" s="497" t="s">
        <v>4</v>
      </c>
      <c r="AA15" s="6">
        <f>IF(W1=Y14,Y16,IF(W1=Y21,Y23,750))</f>
        <v>750</v>
      </c>
      <c r="AG15" s="117">
        <v>0.1</v>
      </c>
      <c r="AL15" s="49" t="s">
        <v>14</v>
      </c>
      <c r="AM15" s="6">
        <v>1</v>
      </c>
    </row>
    <row r="16" spans="2:40" ht="11" thickBot="1" x14ac:dyDescent="0.3">
      <c r="R16" s="475"/>
      <c r="S16" s="579">
        <f>S15</f>
        <v>2.4137931034482759E-4</v>
      </c>
      <c r="T16" s="476"/>
      <c r="U16" s="477"/>
      <c r="W16" s="480">
        <f>IF(Sheet1!$J$10=2,"",IF(X16=0,"",X16))</f>
        <v>216</v>
      </c>
      <c r="X16" s="28">
        <f>IF(Sheet1!$X$1=1,Sheet1!P15,IF(Sheet1!$X$1=2,Sheet1!S15,IF(Sheet1!$X$1=3,Sheet1!T15,IF(Sheet1!$X$1=4,Sheet1!Q15,""))))</f>
        <v>216</v>
      </c>
      <c r="Y16" s="498">
        <v>500</v>
      </c>
      <c r="Z16" s="499">
        <v>1.4999999999999999E-2</v>
      </c>
      <c r="AG16" s="21">
        <v>0.15</v>
      </c>
      <c r="AL16" s="49" t="s">
        <v>80</v>
      </c>
      <c r="AM16" s="6">
        <v>1</v>
      </c>
    </row>
    <row r="17" spans="1:33" x14ac:dyDescent="0.25">
      <c r="S17" s="259" t="s">
        <v>518</v>
      </c>
      <c r="W17" s="480">
        <f>IF(Sheet1!$J$10=2,"",IF(X17=0,"",X17))</f>
        <v>228</v>
      </c>
      <c r="X17" s="28">
        <f>IF(Sheet1!$X$1=1,Sheet1!P16,IF(Sheet1!$X$1=2,Sheet1!S16,IF(Sheet1!$X$1=3,Sheet1!T16,IF(Sheet1!$X$1=4,Sheet1!Q16,""))))</f>
        <v>228</v>
      </c>
      <c r="Y17" s="473"/>
      <c r="Z17" s="494"/>
      <c r="AG17" s="21">
        <v>0.2</v>
      </c>
    </row>
    <row r="18" spans="1:33" x14ac:dyDescent="0.25">
      <c r="A18" s="8"/>
      <c r="B18" s="907" t="s">
        <v>522</v>
      </c>
      <c r="C18" s="907"/>
      <c r="D18" s="907"/>
      <c r="F18" s="20" t="s">
        <v>482</v>
      </c>
      <c r="G18" s="20"/>
      <c r="H18" s="20"/>
      <c r="I18" s="16"/>
      <c r="J18" s="7" t="s">
        <v>194</v>
      </c>
      <c r="K18" s="7" t="s">
        <v>74</v>
      </c>
      <c r="L18" s="7" t="s">
        <v>75</v>
      </c>
      <c r="N18" s="907" t="s">
        <v>85</v>
      </c>
      <c r="O18" s="907"/>
      <c r="P18" s="20" t="s">
        <v>80</v>
      </c>
      <c r="S18" s="8"/>
      <c r="T18" s="8"/>
      <c r="U18" s="8"/>
      <c r="V18" s="8"/>
      <c r="W18" s="480">
        <f>IF(Sheet1!$J$10=2,"",IF(X18=0,"",X18))</f>
        <v>240</v>
      </c>
      <c r="X18" s="28">
        <f>IF(Sheet1!$X$1=1,Sheet1!P17,IF(Sheet1!$X$1=2,Sheet1!S17,IF(Sheet1!$X$1=3,Sheet1!T17,IF(Sheet1!$X$1=4,Sheet1!Q17,""))))</f>
        <v>240</v>
      </c>
      <c r="Y18" s="490" t="s">
        <v>33</v>
      </c>
      <c r="Z18" s="494"/>
      <c r="AG18" s="117">
        <v>0.25</v>
      </c>
    </row>
    <row r="19" spans="1:33" ht="11" thickBot="1" x14ac:dyDescent="0.3">
      <c r="B19" s="8"/>
      <c r="C19" s="10"/>
      <c r="D19" s="553">
        <v>9.5000000000000001E-2</v>
      </c>
      <c r="F19" s="433">
        <f>+Simulador!$N$11-Simulador!$F$15</f>
        <v>2498000</v>
      </c>
      <c r="G19" s="10"/>
      <c r="H19" s="10"/>
      <c r="I19" s="10"/>
      <c r="J19" s="8">
        <v>180</v>
      </c>
      <c r="K19" s="8">
        <v>10.62</v>
      </c>
      <c r="L19" s="10">
        <v>2.12E-2</v>
      </c>
      <c r="N19" s="8">
        <v>5</v>
      </c>
      <c r="O19" s="8">
        <v>24.27</v>
      </c>
      <c r="P19" s="8">
        <v>24.16</v>
      </c>
      <c r="S19" s="42"/>
      <c r="T19" s="42"/>
      <c r="U19" s="42"/>
      <c r="V19" s="42"/>
      <c r="W19" s="480" t="str">
        <f>IF(Sheet1!$J$10=2,"",IF(X19=0,"",X19))</f>
        <v/>
      </c>
      <c r="X19" s="28">
        <f>IF(Sheet1!$X$1=1,Sheet1!P18,IF(Sheet1!$X$1=2,Sheet1!S18,IF(Sheet1!$X$1=3,Sheet1!T18,IF(Sheet1!$X$1=4,Sheet1!Q18,""))))</f>
        <v>0</v>
      </c>
      <c r="Y19" s="495">
        <v>360</v>
      </c>
      <c r="Z19" s="477"/>
      <c r="AG19" s="21">
        <v>0.3</v>
      </c>
    </row>
    <row r="20" spans="1:33" ht="11" thickBot="1" x14ac:dyDescent="0.3">
      <c r="A20" s="8"/>
      <c r="B20" s="15"/>
      <c r="C20" s="15"/>
      <c r="D20" s="15"/>
      <c r="F20" s="577">
        <f>+IF(Simulador!F9='Tabla Parámetros'!J3,'Tabla Parámetros'!F19,IF(Simulador!F9='Tabla Parámetros'!J9,'Tabla Parámetros'!F19,IF(Simulador!F9='Tabla Parámetros'!J11,'Tabla Parámetros'!F19,0)))</f>
        <v>2498000</v>
      </c>
      <c r="G20" s="8"/>
      <c r="H20" s="8"/>
      <c r="I20" s="8"/>
      <c r="J20" s="8">
        <v>240</v>
      </c>
      <c r="K20" s="8">
        <v>9.57</v>
      </c>
      <c r="L20" s="10">
        <v>2.01E-2</v>
      </c>
      <c r="N20" s="8">
        <v>10</v>
      </c>
      <c r="O20" s="8">
        <v>16.690000000000001</v>
      </c>
      <c r="P20" s="8">
        <v>16.57</v>
      </c>
      <c r="S20" s="43"/>
      <c r="T20" s="29"/>
      <c r="U20" s="29"/>
      <c r="V20" s="29"/>
      <c r="W20" s="480" t="str">
        <f>IF(Sheet1!$J$10=2,"",IF(X20=0,"",X20))</f>
        <v/>
      </c>
      <c r="X20" s="28">
        <f>IF(Sheet1!$X$1=1,Sheet1!P19,IF(Sheet1!$X$1=2,Sheet1!S19,IF(Sheet1!$X$1=3,Sheet1!T19,IF(Sheet1!$X$1=4,Sheet1!Q19,""))))</f>
        <v>0</v>
      </c>
      <c r="AG20" s="21">
        <v>0.35</v>
      </c>
    </row>
    <row r="21" spans="1:33" x14ac:dyDescent="0.25">
      <c r="A21" s="8"/>
      <c r="B21" s="15"/>
      <c r="C21" s="15"/>
      <c r="D21" s="15"/>
      <c r="F21" s="8"/>
      <c r="G21" s="8"/>
      <c r="H21" s="8"/>
      <c r="I21" s="8"/>
      <c r="N21" s="8">
        <v>15</v>
      </c>
      <c r="O21" s="8">
        <v>14.62</v>
      </c>
      <c r="P21" s="8">
        <v>14.48</v>
      </c>
      <c r="W21" s="480" t="str">
        <f>IF(Sheet1!$J$10=2,"",IF(X21=0,"",X21))</f>
        <v/>
      </c>
      <c r="X21" s="28">
        <f>IF(Sheet1!$X$1=1,Sheet1!P20,IF(Sheet1!$X$1=2,Sheet1!S20,IF(Sheet1!$X$1=3,Sheet1!T20,IF(Sheet1!$X$1=4,Sheet1!Q20,""))))</f>
        <v>0</v>
      </c>
      <c r="Y21" s="469" t="s">
        <v>80</v>
      </c>
      <c r="Z21" s="489"/>
      <c r="AG21" s="117">
        <v>0.4</v>
      </c>
    </row>
    <row r="22" spans="1:33" x14ac:dyDescent="0.25">
      <c r="A22" s="8"/>
      <c r="B22" s="15"/>
      <c r="C22" s="15"/>
      <c r="D22" s="15"/>
      <c r="F22" s="8"/>
      <c r="G22" s="8"/>
      <c r="H22" s="8"/>
      <c r="I22" s="8"/>
      <c r="J22" s="7" t="s">
        <v>209</v>
      </c>
      <c r="W22" s="480" t="str">
        <f>IF(Sheet1!$J$10=2,"",IF(X22=0,"",X22))</f>
        <v/>
      </c>
      <c r="X22" s="28">
        <f>IF(Sheet1!$X$1=1,Sheet1!P21,IF(Sheet1!$X$1=2,Sheet1!S21,IF(Sheet1!$X$1=3,Sheet1!T21,IF(Sheet1!$X$1=4,Sheet1!Q21,""))))</f>
        <v>0</v>
      </c>
      <c r="Y22" s="490" t="s">
        <v>132</v>
      </c>
      <c r="Z22" s="491" t="s">
        <v>4</v>
      </c>
      <c r="AG22" s="21">
        <v>0.45</v>
      </c>
    </row>
    <row r="23" spans="1:33" x14ac:dyDescent="0.25">
      <c r="A23" s="8"/>
      <c r="B23" s="15"/>
      <c r="C23" s="15"/>
      <c r="D23" s="15"/>
      <c r="F23" s="15"/>
      <c r="G23" s="8"/>
      <c r="H23" s="8"/>
      <c r="I23" s="8"/>
      <c r="J23" s="8">
        <v>30</v>
      </c>
      <c r="K23" s="8">
        <v>1</v>
      </c>
      <c r="W23" s="480" t="str">
        <f>IF(Sheet1!$J$10=2,"",IF(X23=0,"",X23))</f>
        <v/>
      </c>
      <c r="X23" s="28">
        <f>IF(Sheet1!$X$1=1,Sheet1!P22,IF(Sheet1!$X$1=2,Sheet1!S22,IF(Sheet1!$X$1=3,Sheet1!T22,IF(Sheet1!$X$1=4,Sheet1!Q22,""))))</f>
        <v>0</v>
      </c>
      <c r="Y23" s="492">
        <v>500</v>
      </c>
      <c r="Z23" s="493">
        <v>1.4999999999999999E-2</v>
      </c>
      <c r="AG23" s="21">
        <v>0.5</v>
      </c>
    </row>
    <row r="24" spans="1:33" x14ac:dyDescent="0.25">
      <c r="E24" s="41"/>
      <c r="G24" s="8"/>
      <c r="H24" s="8"/>
      <c r="I24" s="8"/>
      <c r="P24" s="23" t="s">
        <v>11</v>
      </c>
      <c r="R24" s="34">
        <f>Simulador!$L$46+Simulador!$L$47+Simulador!$L$48+Simulador!$L$49</f>
        <v>174900</v>
      </c>
      <c r="W24" s="479" t="s">
        <v>132</v>
      </c>
      <c r="Y24" s="473"/>
      <c r="Z24" s="494"/>
      <c r="AG24" s="117">
        <v>0.55000000000000004</v>
      </c>
    </row>
    <row r="25" spans="1:33" x14ac:dyDescent="0.25">
      <c r="B25" s="13" t="s">
        <v>78</v>
      </c>
      <c r="C25" s="11"/>
      <c r="D25" s="11"/>
      <c r="F25" s="11"/>
      <c r="G25" s="11"/>
      <c r="H25" s="11"/>
      <c r="I25" s="17"/>
      <c r="J25" s="903" t="s">
        <v>79</v>
      </c>
      <c r="K25" s="903"/>
      <c r="L25" s="903"/>
      <c r="M25" s="19"/>
      <c r="N25" s="19"/>
      <c r="P25" s="24" t="s">
        <v>221</v>
      </c>
      <c r="W25" s="482">
        <f>IF(OR(Sheet1!$I$10=5,Sheet1!$I$10=6,Sheet1!$Z$1=1,Sheet1!$Z$1=2,Sheet1!$Z$1=4,Sheet1!$Z$1=5),0,AA15)</f>
        <v>0</v>
      </c>
      <c r="Y25" s="490" t="s">
        <v>33</v>
      </c>
      <c r="Z25" s="494"/>
      <c r="AG25" s="21">
        <v>0.6</v>
      </c>
    </row>
    <row r="26" spans="1:33" ht="11" thickBot="1" x14ac:dyDescent="0.3">
      <c r="P26" s="24" t="s">
        <v>13</v>
      </c>
      <c r="W26" s="481"/>
      <c r="Y26" s="495">
        <v>250</v>
      </c>
      <c r="Z26" s="477"/>
      <c r="AG26" s="21">
        <v>0.65</v>
      </c>
    </row>
    <row r="27" spans="1:33" x14ac:dyDescent="0.25">
      <c r="P27" s="24" t="s">
        <v>12</v>
      </c>
      <c r="W27" s="483" t="s">
        <v>33</v>
      </c>
      <c r="AG27" s="117">
        <v>0.7</v>
      </c>
    </row>
    <row r="28" spans="1:33" ht="11" thickBot="1" x14ac:dyDescent="0.3">
      <c r="B28" s="902" t="s">
        <v>115</v>
      </c>
      <c r="C28" s="902"/>
      <c r="D28" s="902"/>
      <c r="E28" s="40"/>
      <c r="P28" s="23" t="s">
        <v>330</v>
      </c>
      <c r="W28" s="484">
        <f>IF(OR(Sheet1!$I$10=5,Sheet1!$I$10=6,Sheet1!$Z$1=2),0,299)</f>
        <v>299</v>
      </c>
      <c r="Y28" s="26" t="s">
        <v>519</v>
      </c>
      <c r="Z28" s="26" t="s">
        <v>520</v>
      </c>
      <c r="AG28" s="21">
        <v>0.75</v>
      </c>
    </row>
    <row r="29" spans="1:33" x14ac:dyDescent="0.25">
      <c r="B29" s="7" t="s">
        <v>2</v>
      </c>
      <c r="C29" s="7" t="s">
        <v>83</v>
      </c>
      <c r="D29" s="7" t="s">
        <v>216</v>
      </c>
      <c r="F29" s="80" t="s">
        <v>82</v>
      </c>
      <c r="G29" s="40"/>
      <c r="H29" s="26" t="s">
        <v>521</v>
      </c>
      <c r="I29" s="6" t="s">
        <v>195</v>
      </c>
      <c r="L29" s="7" t="s">
        <v>27</v>
      </c>
      <c r="M29" s="7" t="s">
        <v>82</v>
      </c>
      <c r="N29" s="7" t="s">
        <v>84</v>
      </c>
      <c r="P29" s="23" t="s">
        <v>14</v>
      </c>
      <c r="R29" s="112"/>
      <c r="Y29" s="28">
        <v>60</v>
      </c>
      <c r="Z29" s="28">
        <v>60</v>
      </c>
      <c r="AG29" s="21">
        <v>0.8</v>
      </c>
    </row>
    <row r="30" spans="1:33" x14ac:dyDescent="0.25">
      <c r="B30" s="23" t="s">
        <v>15</v>
      </c>
      <c r="C30" s="1" t="s">
        <v>382</v>
      </c>
      <c r="D30" s="21">
        <v>0.9</v>
      </c>
      <c r="E30" s="6">
        <v>1</v>
      </c>
      <c r="F30" s="21">
        <v>0.1</v>
      </c>
      <c r="G30" s="23" t="s">
        <v>15</v>
      </c>
      <c r="H30" s="117">
        <f>IF(OR(Sheet1!$I$10=5,Sheet1!$I$10=6),0%,J30)</f>
        <v>0</v>
      </c>
      <c r="I30" s="114">
        <v>0</v>
      </c>
      <c r="J30" s="117">
        <f>IF(OR(Sheet1!$Z$1=4,Sheet1!$Z$1=3,Sheet1!$Z$1=8),1%,0%)</f>
        <v>0</v>
      </c>
      <c r="L30" s="5" t="s">
        <v>8</v>
      </c>
      <c r="M30" s="21">
        <v>0.93</v>
      </c>
      <c r="N30" s="22">
        <v>7000001</v>
      </c>
      <c r="O30" s="6" t="str">
        <f>Simulador!N7&amp;Simulador!N17</f>
        <v>TradicionalNO</v>
      </c>
      <c r="P30" s="905" t="s">
        <v>412</v>
      </c>
      <c r="Q30" s="905"/>
      <c r="R30" s="905"/>
      <c r="S30" s="905"/>
      <c r="T30" s="6" t="s">
        <v>418</v>
      </c>
      <c r="V30" s="6" t="s">
        <v>458</v>
      </c>
      <c r="Y30" s="28">
        <f t="shared" ref="Y30:Z33" si="1">Y29+12</f>
        <v>72</v>
      </c>
      <c r="Z30" s="28">
        <f t="shared" si="1"/>
        <v>72</v>
      </c>
      <c r="AG30" s="117">
        <v>0.85</v>
      </c>
    </row>
    <row r="31" spans="1:33" x14ac:dyDescent="0.25">
      <c r="B31" s="23" t="s">
        <v>15</v>
      </c>
      <c r="C31" s="1" t="s">
        <v>7</v>
      </c>
      <c r="D31" s="21">
        <v>0.95</v>
      </c>
      <c r="E31" s="6">
        <v>2</v>
      </c>
      <c r="F31" s="21">
        <v>0.2</v>
      </c>
      <c r="G31" s="23" t="s">
        <v>11</v>
      </c>
      <c r="H31" s="117">
        <v>0</v>
      </c>
      <c r="I31" s="114">
        <v>0</v>
      </c>
      <c r="P31" s="6" t="str">
        <f>R31&amp;S31</f>
        <v>TradicionalSI</v>
      </c>
      <c r="Q31" s="34">
        <f>Simulador!$F$17+Simulador!$L$47+Simulador!$L$48+Simulador!$L$49</f>
        <v>2672900</v>
      </c>
      <c r="R31" s="258" t="s">
        <v>382</v>
      </c>
      <c r="S31" s="6" t="s">
        <v>213</v>
      </c>
      <c r="T31" s="117">
        <f>Simulador!N31/Simulador!N11</f>
        <v>1</v>
      </c>
      <c r="U31" s="6" t="s">
        <v>459</v>
      </c>
      <c r="V31" s="34">
        <f>Simulador!$N$25</f>
        <v>0</v>
      </c>
      <c r="Y31" s="28">
        <f t="shared" si="1"/>
        <v>84</v>
      </c>
      <c r="Z31" s="28">
        <f t="shared" si="1"/>
        <v>84</v>
      </c>
      <c r="AG31" s="21">
        <v>0.9</v>
      </c>
    </row>
    <row r="32" spans="1:33" x14ac:dyDescent="0.25">
      <c r="B32" s="23" t="s">
        <v>15</v>
      </c>
      <c r="C32" s="1" t="s">
        <v>8</v>
      </c>
      <c r="D32" s="21">
        <v>0.95</v>
      </c>
      <c r="E32" s="6">
        <v>3</v>
      </c>
      <c r="F32" s="21">
        <v>0.3</v>
      </c>
      <c r="G32" s="24" t="s">
        <v>440</v>
      </c>
      <c r="H32" s="117">
        <v>0</v>
      </c>
      <c r="I32" s="114">
        <v>0</v>
      </c>
      <c r="P32" s="6" t="str">
        <f>R32&amp;S32</f>
        <v>TradicionalNO</v>
      </c>
      <c r="Q32" s="34">
        <f>Simulador!$F$17+Simulador!$L$46+Simulador!$L$47+Simulador!$L$48+Simulador!$L$49</f>
        <v>2672900</v>
      </c>
      <c r="R32" s="258" t="s">
        <v>382</v>
      </c>
      <c r="S32" s="6" t="s">
        <v>214</v>
      </c>
      <c r="T32" s="34">
        <f>Simulador!N31-Simulador!N11</f>
        <v>0</v>
      </c>
      <c r="U32" s="6" t="s">
        <v>460</v>
      </c>
      <c r="V32" s="34">
        <f>Simulador!$N$26</f>
        <v>0</v>
      </c>
      <c r="Y32" s="28">
        <f t="shared" si="1"/>
        <v>96</v>
      </c>
      <c r="Z32" s="28">
        <f t="shared" si="1"/>
        <v>96</v>
      </c>
    </row>
    <row r="33" spans="2:26" x14ac:dyDescent="0.25">
      <c r="B33" s="23" t="s">
        <v>15</v>
      </c>
      <c r="C33" s="1" t="str">
        <f>IF(OR(Sheet1!$Y$1=1,Sheet1!$Y$1=4),"Cuenta INFONAVIT + BANORTE","")</f>
        <v/>
      </c>
      <c r="D33" s="21">
        <v>0.95</v>
      </c>
      <c r="E33" s="6">
        <v>4</v>
      </c>
      <c r="F33" s="21">
        <v>0.4</v>
      </c>
      <c r="G33" s="24" t="s">
        <v>13</v>
      </c>
      <c r="H33" s="117">
        <v>0.01</v>
      </c>
      <c r="I33" s="114">
        <v>0</v>
      </c>
      <c r="P33" s="6" t="str">
        <f t="shared" ref="P33:P38" si="2">R33&amp;S33</f>
        <v>Apoyo INFONAVITSI</v>
      </c>
      <c r="Q33" s="34">
        <f>Simulador!$F$17+Simulador!$L$47+Simulador!$L$48+Simulador!$L$49</f>
        <v>2672900</v>
      </c>
      <c r="R33" s="6" t="s">
        <v>7</v>
      </c>
      <c r="S33" s="6" t="s">
        <v>213</v>
      </c>
      <c r="U33" s="6" t="s">
        <v>461</v>
      </c>
      <c r="V33" s="34">
        <f>Simulador!$N$27</f>
        <v>1000000</v>
      </c>
      <c r="Y33" s="28">
        <f t="shared" si="1"/>
        <v>108</v>
      </c>
      <c r="Z33" s="28">
        <f t="shared" si="1"/>
        <v>108</v>
      </c>
    </row>
    <row r="34" spans="2:26" x14ac:dyDescent="0.25">
      <c r="B34" s="522" t="s">
        <v>15</v>
      </c>
      <c r="C34" s="523" t="str">
        <f>IF(Sheet1!$Y$1=1,"FOVISSSTE para todos","")</f>
        <v/>
      </c>
      <c r="D34" s="501">
        <v>0.95</v>
      </c>
      <c r="E34" s="6">
        <v>5</v>
      </c>
      <c r="F34" s="21">
        <v>0.5</v>
      </c>
      <c r="G34" s="24" t="s">
        <v>12</v>
      </c>
      <c r="H34" s="117">
        <v>0.01</v>
      </c>
      <c r="I34" s="114">
        <v>0</v>
      </c>
      <c r="P34" s="6" t="str">
        <f t="shared" si="2"/>
        <v>Apoyo INFONAVITNO</v>
      </c>
      <c r="Q34" s="34">
        <f>Simulador!$F$17+Simulador!$L$46+Simulador!$L$47+Simulador!$L$48+Simulador!$L$49</f>
        <v>2672900</v>
      </c>
      <c r="R34" s="6" t="s">
        <v>7</v>
      </c>
      <c r="S34" s="6" t="s">
        <v>214</v>
      </c>
      <c r="U34" s="6" t="s">
        <v>462</v>
      </c>
      <c r="V34" s="34">
        <f>Simulador!$N$28</f>
        <v>2498000</v>
      </c>
      <c r="Y34" s="8">
        <v>120</v>
      </c>
      <c r="Z34" s="8">
        <v>120</v>
      </c>
    </row>
    <row r="35" spans="2:26" x14ac:dyDescent="0.25">
      <c r="B35" s="522" t="s">
        <v>15</v>
      </c>
      <c r="C35" s="523" t="str">
        <f>IF(Sheet1!$Y$1=1,"Ingresos Adicionales FPT","")</f>
        <v/>
      </c>
      <c r="D35" s="501">
        <v>0.95</v>
      </c>
      <c r="F35" s="21">
        <v>0.6</v>
      </c>
      <c r="G35" s="23" t="s">
        <v>327</v>
      </c>
      <c r="H35" s="117">
        <v>0.01</v>
      </c>
      <c r="I35" s="114">
        <v>0</v>
      </c>
      <c r="L35" s="6" t="s">
        <v>411</v>
      </c>
      <c r="P35" s="6" t="str">
        <f t="shared" si="2"/>
        <v>CofinavitSI</v>
      </c>
      <c r="Q35" s="424">
        <f>V47</f>
        <v>2672900</v>
      </c>
      <c r="R35" s="6" t="s">
        <v>8</v>
      </c>
      <c r="S35" s="6" t="s">
        <v>213</v>
      </c>
      <c r="U35" s="6" t="s">
        <v>463</v>
      </c>
      <c r="V35" s="34">
        <f>Simulador!$N$29</f>
        <v>0</v>
      </c>
      <c r="Y35" s="28">
        <f t="shared" ref="Y35:Z38" si="3">Y34+12</f>
        <v>132</v>
      </c>
      <c r="Z35" s="28">
        <f t="shared" si="3"/>
        <v>132</v>
      </c>
    </row>
    <row r="36" spans="2:26" x14ac:dyDescent="0.25">
      <c r="B36" s="23" t="s">
        <v>11</v>
      </c>
      <c r="C36" s="1" t="s">
        <v>382</v>
      </c>
      <c r="D36" s="21">
        <v>0.85</v>
      </c>
      <c r="E36" s="6">
        <v>6</v>
      </c>
      <c r="F36" s="21">
        <v>0.65</v>
      </c>
      <c r="G36" s="23" t="s">
        <v>328</v>
      </c>
      <c r="H36" s="117">
        <v>0.01</v>
      </c>
      <c r="I36" s="114">
        <v>0</v>
      </c>
      <c r="P36" s="6" t="str">
        <f t="shared" si="2"/>
        <v>CofinavitNO</v>
      </c>
      <c r="Q36" s="424">
        <f>V47</f>
        <v>2672900</v>
      </c>
      <c r="R36" s="6" t="s">
        <v>8</v>
      </c>
      <c r="S36" s="6" t="s">
        <v>214</v>
      </c>
      <c r="T36" s="29"/>
      <c r="U36" s="34" t="s">
        <v>456</v>
      </c>
      <c r="V36" s="34">
        <f>SUM(V31:V35)</f>
        <v>3498000</v>
      </c>
      <c r="Y36" s="28">
        <f t="shared" si="3"/>
        <v>144</v>
      </c>
      <c r="Z36" s="28">
        <f t="shared" si="3"/>
        <v>144</v>
      </c>
    </row>
    <row r="37" spans="2:26" x14ac:dyDescent="0.25">
      <c r="B37" s="23" t="s">
        <v>11</v>
      </c>
      <c r="C37" s="1" t="s">
        <v>7</v>
      </c>
      <c r="D37" s="21">
        <v>0.95</v>
      </c>
      <c r="E37" s="6">
        <v>7</v>
      </c>
      <c r="F37" s="21">
        <v>0.7</v>
      </c>
      <c r="G37" s="23" t="s">
        <v>14</v>
      </c>
      <c r="H37" s="118">
        <v>1.4999999999999999E-2</v>
      </c>
      <c r="I37" s="118">
        <v>1.4999999999999999E-2</v>
      </c>
      <c r="P37" s="6" t="str">
        <f t="shared" si="2"/>
        <v>Alia2+SI</v>
      </c>
      <c r="Q37" s="34" t="e">
        <f>+Simulador!$G$38+Simulador!$G$39+Simulador!$L$47+Simulador!$L$48+Simulador!$L$49</f>
        <v>#VALUE!</v>
      </c>
      <c r="R37" s="6" t="s">
        <v>9</v>
      </c>
      <c r="S37" s="6" t="s">
        <v>213</v>
      </c>
      <c r="T37" s="8"/>
      <c r="U37" s="6" t="s">
        <v>464</v>
      </c>
      <c r="V37" s="34">
        <f>Simulador!$N$30</f>
        <v>0</v>
      </c>
      <c r="Y37" s="28">
        <f t="shared" si="3"/>
        <v>156</v>
      </c>
      <c r="Z37" s="28">
        <f t="shared" si="3"/>
        <v>156</v>
      </c>
    </row>
    <row r="38" spans="2:26" x14ac:dyDescent="0.25">
      <c r="B38" s="23"/>
      <c r="F38" s="21">
        <v>0.75</v>
      </c>
      <c r="G38" s="23" t="s">
        <v>431</v>
      </c>
      <c r="H38" s="118">
        <v>0</v>
      </c>
      <c r="I38" s="118">
        <v>1.4999999999999999E-2</v>
      </c>
      <c r="P38" s="6" t="str">
        <f t="shared" si="2"/>
        <v>Alia2+NO</v>
      </c>
      <c r="Q38" s="34" t="e">
        <f>Simulador!$G$38+Simulador!$G$39+Simulador!$L$46+Simulador!$L$47+Simulador!$L$48+Simulador!$L$49</f>
        <v>#VALUE!</v>
      </c>
      <c r="R38" s="6" t="s">
        <v>9</v>
      </c>
      <c r="S38" s="6" t="s">
        <v>214</v>
      </c>
      <c r="Y38" s="28">
        <f t="shared" si="3"/>
        <v>168</v>
      </c>
      <c r="Z38" s="28">
        <f t="shared" si="3"/>
        <v>168</v>
      </c>
    </row>
    <row r="39" spans="2:26" x14ac:dyDescent="0.25">
      <c r="B39" s="24" t="s">
        <v>440</v>
      </c>
      <c r="C39" s="1" t="s">
        <v>382</v>
      </c>
      <c r="D39" s="21">
        <v>0.7</v>
      </c>
      <c r="E39" s="6">
        <v>8</v>
      </c>
      <c r="F39" s="21">
        <v>0.8</v>
      </c>
      <c r="P39" s="6" t="str">
        <f t="shared" ref="P39:P40" si="4">R39&amp;S39</f>
        <v>Respalda2SI</v>
      </c>
      <c r="Q39" s="34" t="e">
        <f>+Simulador!$G$38+Simulador!$G$39+Simulador!$L$47+Simulador!$L$48+Simulador!$L$49</f>
        <v>#VALUE!</v>
      </c>
      <c r="R39" s="6" t="s">
        <v>10</v>
      </c>
      <c r="S39" s="6" t="s">
        <v>213</v>
      </c>
      <c r="V39" s="6" t="s">
        <v>465</v>
      </c>
      <c r="Y39" s="8">
        <v>180</v>
      </c>
      <c r="Z39" s="8">
        <v>180</v>
      </c>
    </row>
    <row r="40" spans="2:26" x14ac:dyDescent="0.25">
      <c r="B40" s="23"/>
      <c r="F40" s="21">
        <v>0.85</v>
      </c>
      <c r="P40" s="6" t="str">
        <f t="shared" si="4"/>
        <v>Respalda2NO</v>
      </c>
      <c r="Q40" s="34" t="e">
        <f>Simulador!$G$38+Simulador!$G$39+Simulador!$L$46+Simulador!$L$47+Simulador!$L$48+Simulador!$L$49</f>
        <v>#VALUE!</v>
      </c>
      <c r="R40" s="6" t="s">
        <v>10</v>
      </c>
      <c r="S40" s="6" t="s">
        <v>214</v>
      </c>
      <c r="U40" s="6" t="s">
        <v>466</v>
      </c>
      <c r="V40" s="34">
        <f>Simulador!$I$30</f>
        <v>0</v>
      </c>
    </row>
    <row r="41" spans="2:26" x14ac:dyDescent="0.25">
      <c r="B41" s="24" t="s">
        <v>13</v>
      </c>
      <c r="C41" s="1" t="s">
        <v>382</v>
      </c>
      <c r="D41" s="21">
        <v>0.4</v>
      </c>
      <c r="E41" s="6">
        <v>9</v>
      </c>
      <c r="F41" s="21">
        <v>0.9</v>
      </c>
      <c r="U41" s="6" t="s">
        <v>467</v>
      </c>
      <c r="V41" s="34">
        <f>Simulador!$L$48</f>
        <v>174900</v>
      </c>
    </row>
    <row r="42" spans="2:26" x14ac:dyDescent="0.25">
      <c r="B42" s="23"/>
      <c r="F42" s="21">
        <v>0.95</v>
      </c>
      <c r="L42" s="903" t="s">
        <v>79</v>
      </c>
      <c r="M42" s="903"/>
      <c r="N42" s="903"/>
      <c r="U42" s="6" t="s">
        <v>468</v>
      </c>
      <c r="V42" s="34">
        <f>IF(Simulador!N17="SI",0,Simulador!$L$46)</f>
        <v>0</v>
      </c>
    </row>
    <row r="43" spans="2:26" x14ac:dyDescent="0.25">
      <c r="B43" s="24" t="s">
        <v>12</v>
      </c>
      <c r="C43" s="1" t="s">
        <v>382</v>
      </c>
      <c r="D43" s="21">
        <v>0.7</v>
      </c>
      <c r="E43" s="6">
        <v>10</v>
      </c>
      <c r="L43" s="4" t="s">
        <v>12</v>
      </c>
      <c r="M43" s="1" t="s">
        <v>382</v>
      </c>
      <c r="N43" s="21">
        <v>0.5</v>
      </c>
      <c r="U43" s="6" t="s">
        <v>456</v>
      </c>
      <c r="V43" s="34">
        <f>SUM(V40:V42)</f>
        <v>174900</v>
      </c>
    </row>
    <row r="44" spans="2:26" ht="11" thickBot="1" x14ac:dyDescent="0.3">
      <c r="B44" s="24" t="s">
        <v>12</v>
      </c>
      <c r="C44" s="1" t="s">
        <v>7</v>
      </c>
      <c r="D44" s="21">
        <v>0.8</v>
      </c>
      <c r="E44" s="6">
        <v>11</v>
      </c>
      <c r="I44" s="6" t="s">
        <v>533</v>
      </c>
      <c r="L44" s="4" t="s">
        <v>12</v>
      </c>
      <c r="M44" s="1" t="s">
        <v>7</v>
      </c>
      <c r="N44" s="21">
        <v>0.6</v>
      </c>
      <c r="U44" s="6" t="s">
        <v>464</v>
      </c>
      <c r="V44" s="34">
        <f>V37</f>
        <v>0</v>
      </c>
    </row>
    <row r="45" spans="2:26" x14ac:dyDescent="0.25">
      <c r="B45" s="23"/>
      <c r="G45" s="506" t="str">
        <f>Simulador!F11</f>
        <v>Hipoteca Fuerte Cero</v>
      </c>
      <c r="H45" s="507"/>
      <c r="I45" s="507"/>
      <c r="J45" s="508"/>
      <c r="K45" s="508"/>
      <c r="L45" s="489"/>
      <c r="U45" s="6" t="s">
        <v>469</v>
      </c>
      <c r="V45" s="34">
        <f>IF(T32&gt;0,V43-T32,V43-V44)</f>
        <v>174900</v>
      </c>
    </row>
    <row r="46" spans="2:26" ht="11" thickBot="1" x14ac:dyDescent="0.3">
      <c r="B46" s="23" t="s">
        <v>327</v>
      </c>
      <c r="C46" s="1" t="s">
        <v>382</v>
      </c>
      <c r="D46" s="21">
        <v>0.85</v>
      </c>
      <c r="E46" s="6">
        <v>12</v>
      </c>
      <c r="G46" s="509" t="s">
        <v>222</v>
      </c>
      <c r="I46" s="114">
        <f>VLOOKUP(G47,H47:I65,2,0)</f>
        <v>0.9</v>
      </c>
      <c r="J46" s="8" t="s">
        <v>139</v>
      </c>
      <c r="K46" s="6" t="s">
        <v>207</v>
      </c>
      <c r="L46" s="494" t="s">
        <v>208</v>
      </c>
    </row>
    <row r="47" spans="2:26" x14ac:dyDescent="0.25">
      <c r="B47" s="23" t="s">
        <v>327</v>
      </c>
      <c r="C47" s="1" t="s">
        <v>7</v>
      </c>
      <c r="D47" s="21">
        <v>0.95</v>
      </c>
      <c r="E47" s="6">
        <v>13</v>
      </c>
      <c r="G47" s="510" t="str">
        <f>Simulador!$F$9&amp;Simulador!$N$7</f>
        <v>AdquisiciónTradicional</v>
      </c>
      <c r="H47" s="6" t="str">
        <f>B30&amp;C30</f>
        <v>AdquisiciónTradicional</v>
      </c>
      <c r="I47" s="525">
        <f>IF(OR(Sheet1!$Z$1=4,Sheet1!$Z$1=5),85%,IF(Sheet1!$Z$1=8,70%,90%))</f>
        <v>0.9</v>
      </c>
      <c r="J47" s="511">
        <f>IF(Sheet1!Z1=4,'Tabla de Pagos Crecientes'!AD8,'Tabla Fijos CAT'!$AB$14)</f>
        <v>0.11734144041403516</v>
      </c>
      <c r="K47" s="512">
        <f>'Tabla Fijos'!$K$8</f>
        <v>0</v>
      </c>
      <c r="L47" s="513">
        <f>'Tabla Fijos'!$L$8</f>
        <v>0</v>
      </c>
      <c r="U47" s="6" t="s">
        <v>470</v>
      </c>
      <c r="V47" s="424">
        <f>+Simulador!$L$47+Simulador!$L$49+'Tabla Parámetros'!$V$34+V35+'Tabla Parámetros'!$V$45</f>
        <v>2672900</v>
      </c>
    </row>
    <row r="48" spans="2:26" x14ac:dyDescent="0.25">
      <c r="B48" s="23"/>
      <c r="G48" s="473"/>
      <c r="H48" s="6" t="str">
        <f t="shared" ref="H48:H49" si="5">B31&amp;C31</f>
        <v>AdquisiciónApoyo INFONAVIT</v>
      </c>
      <c r="I48" s="526">
        <f>I47+5%</f>
        <v>0.95000000000000007</v>
      </c>
      <c r="J48" s="511">
        <f>'Tabla Fijos CAT'!$AB$14</f>
        <v>0.11734144041403516</v>
      </c>
      <c r="K48" s="512">
        <f>'Tabla Fijos'!$K$8</f>
        <v>0</v>
      </c>
      <c r="L48" s="513">
        <f>'Tabla Fijos'!$L$8</f>
        <v>0</v>
      </c>
    </row>
    <row r="49" spans="2:22" x14ac:dyDescent="0.25">
      <c r="B49" s="23" t="s">
        <v>328</v>
      </c>
      <c r="C49" s="1" t="s">
        <v>382</v>
      </c>
      <c r="D49" s="21">
        <v>0.85</v>
      </c>
      <c r="E49" s="6">
        <v>14</v>
      </c>
      <c r="G49" s="514">
        <f>MIN(VLOOKUP(G47,H47:I65,2,0),Simulador!$F$15/Simulador!$N$11)</f>
        <v>0.28587764436821039</v>
      </c>
      <c r="H49" s="6" t="str">
        <f t="shared" si="5"/>
        <v>AdquisiciónCofinavit</v>
      </c>
      <c r="I49" s="526">
        <f>I48</f>
        <v>0.95000000000000007</v>
      </c>
      <c r="J49" s="511">
        <f>'Tabla Fijos CAT'!$AB$14</f>
        <v>0.11734144041403516</v>
      </c>
      <c r="K49" s="512">
        <f>'Tabla Fijos'!$K$8</f>
        <v>0</v>
      </c>
      <c r="L49" s="513">
        <f>'Tabla Fijos'!$L$8</f>
        <v>0</v>
      </c>
      <c r="V49" s="6" t="str">
        <f>IF(V47&lt;0,"Saldo a Favor del Cliente","")</f>
        <v/>
      </c>
    </row>
    <row r="50" spans="2:22" x14ac:dyDescent="0.25">
      <c r="B50" s="23" t="s">
        <v>328</v>
      </c>
      <c r="C50" s="1" t="s">
        <v>7</v>
      </c>
      <c r="D50" s="21">
        <v>0.95</v>
      </c>
      <c r="E50" s="6">
        <v>15</v>
      </c>
      <c r="G50" s="515">
        <f>VLOOKUP(G47,H47:J65,3,0)</f>
        <v>0.11734144041403516</v>
      </c>
      <c r="H50" s="6" t="str">
        <f>B33&amp;C33</f>
        <v>Adquisición</v>
      </c>
      <c r="I50" s="526">
        <f>I49</f>
        <v>0.95000000000000007</v>
      </c>
      <c r="J50" s="511">
        <f>'Tabla Fijos CAT'!$AB$14</f>
        <v>0.11734144041403516</v>
      </c>
      <c r="K50" s="512">
        <f>'Tabla Fijos'!$K$8</f>
        <v>0</v>
      </c>
      <c r="L50" s="513">
        <f>'Tabla Fijos'!$L$8</f>
        <v>0</v>
      </c>
    </row>
    <row r="51" spans="2:22" x14ac:dyDescent="0.25">
      <c r="B51" s="23"/>
      <c r="G51" s="473"/>
      <c r="H51" s="6" t="str">
        <f>B34&amp;C34</f>
        <v>Adquisición</v>
      </c>
      <c r="I51" s="526">
        <v>0.95</v>
      </c>
      <c r="J51" s="511">
        <f>'Tabla Fijos CAT'!$AB$14</f>
        <v>0.11734144041403516</v>
      </c>
      <c r="K51" s="512">
        <f>'Tabla Fijos'!$K$8</f>
        <v>0</v>
      </c>
      <c r="L51" s="513">
        <f>'Tabla Fijos'!$L$8</f>
        <v>0</v>
      </c>
    </row>
    <row r="52" spans="2:22" x14ac:dyDescent="0.25">
      <c r="B52" s="23" t="s">
        <v>14</v>
      </c>
      <c r="C52" s="1" t="s">
        <v>382</v>
      </c>
      <c r="D52" s="21">
        <v>0.7</v>
      </c>
      <c r="E52" s="6">
        <v>16</v>
      </c>
      <c r="G52" s="473"/>
      <c r="H52" s="6" t="str">
        <f>B35&amp;C35</f>
        <v>Adquisición</v>
      </c>
      <c r="I52" s="527">
        <v>0.95</v>
      </c>
      <c r="J52" s="511">
        <f>'Tabla Fijos CAT'!$AB$14</f>
        <v>0.11734144041403516</v>
      </c>
      <c r="K52" s="512">
        <f>'Tabla Fijos'!$K$8</f>
        <v>0</v>
      </c>
      <c r="L52" s="513">
        <f>'Tabla Fijos'!$L$8</f>
        <v>0</v>
      </c>
      <c r="M52" s="6" t="s">
        <v>424</v>
      </c>
      <c r="O52" s="6" t="s">
        <v>425</v>
      </c>
    </row>
    <row r="53" spans="2:22" x14ac:dyDescent="0.25">
      <c r="B53" s="23" t="s">
        <v>431</v>
      </c>
      <c r="C53" s="1" t="s">
        <v>382</v>
      </c>
      <c r="D53" s="21">
        <v>0.7</v>
      </c>
      <c r="E53" s="6">
        <v>17</v>
      </c>
      <c r="G53" s="473"/>
      <c r="H53" s="6" t="str">
        <f>B36&amp;C36</f>
        <v>MejoraTradicional</v>
      </c>
      <c r="I53" s="527">
        <v>0.9</v>
      </c>
      <c r="J53" s="511">
        <f>'Tabla Fijos CAT'!$AB$14</f>
        <v>0.11734144041403516</v>
      </c>
      <c r="K53" s="512">
        <f>'Tabla Fijos'!$K$8</f>
        <v>0</v>
      </c>
      <c r="L53" s="513">
        <f>'Tabla Fijos'!$L$8</f>
        <v>0</v>
      </c>
      <c r="M53" s="116" t="str">
        <f>IF(OR((Simulador!N7="Cofinavit"),(Simulador!N7="Cuenta INFONAVIT + BANORTE")),"",N53)</f>
        <v>Monto supera Aforo Máximo</v>
      </c>
      <c r="N53" s="622" t="str">
        <f>"Monto supera Aforo Máximo"</f>
        <v>Monto supera Aforo Máximo</v>
      </c>
    </row>
    <row r="54" spans="2:22" x14ac:dyDescent="0.25">
      <c r="B54" s="23"/>
      <c r="C54" s="1" t="s">
        <v>8</v>
      </c>
      <c r="D54" s="21">
        <v>0.85</v>
      </c>
      <c r="E54" s="6">
        <v>18</v>
      </c>
      <c r="G54" s="473"/>
      <c r="H54" s="6" t="str">
        <f>B37&amp;C37</f>
        <v>MejoraApoyo INFONAVIT</v>
      </c>
      <c r="I54" s="526">
        <v>0.95</v>
      </c>
      <c r="J54" s="511">
        <f>'Tabla Fijos CAT'!$AB$14</f>
        <v>0.11734144041403516</v>
      </c>
      <c r="K54" s="512">
        <f>'Tabla Fijos'!$K$8</f>
        <v>0</v>
      </c>
      <c r="L54" s="513">
        <f>'Tabla Fijos'!$L$8</f>
        <v>0</v>
      </c>
      <c r="M54" s="116" t="s">
        <v>417</v>
      </c>
    </row>
    <row r="55" spans="2:22" x14ac:dyDescent="0.25">
      <c r="B55" s="909" t="s">
        <v>134</v>
      </c>
      <c r="C55" s="909"/>
      <c r="D55" s="909"/>
      <c r="E55" s="485"/>
      <c r="G55" s="473"/>
      <c r="H55" s="6" t="str">
        <f>B39&amp;Mejora_más_Remodelación</f>
        <v>Mejora_más_RemodelaciónTradicional</v>
      </c>
      <c r="I55" s="527">
        <v>0.85</v>
      </c>
      <c r="J55" s="511">
        <f>'Tabla Fijos CAT'!$AB$14</f>
        <v>0.11734144041403516</v>
      </c>
      <c r="K55" s="512">
        <f>'Tabla Fijos'!$K$8</f>
        <v>0</v>
      </c>
      <c r="L55" s="513">
        <f>'Tabla Fijos'!$L$8</f>
        <v>0</v>
      </c>
      <c r="M55" s="116" t="s">
        <v>471</v>
      </c>
    </row>
    <row r="56" spans="2:22" x14ac:dyDescent="0.25">
      <c r="B56" s="500" t="s">
        <v>2</v>
      </c>
      <c r="C56" s="500" t="s">
        <v>83</v>
      </c>
      <c r="D56" s="500" t="s">
        <v>216</v>
      </c>
      <c r="E56" s="485"/>
      <c r="G56" s="473"/>
      <c r="H56" s="6" t="str">
        <f>B41&amp;Remodelación</f>
        <v>RemodelaciónTradicional</v>
      </c>
      <c r="I56" s="528">
        <v>0.45</v>
      </c>
      <c r="J56" s="511">
        <f>'Tabla Fijos CAT'!$AB$14</f>
        <v>0.11734144041403516</v>
      </c>
      <c r="K56" s="512">
        <f>'Tabla Fijos'!$K$8</f>
        <v>0</v>
      </c>
      <c r="L56" s="513">
        <f>'Tabla Fijos'!$L$8</f>
        <v>0</v>
      </c>
    </row>
    <row r="57" spans="2:22" x14ac:dyDescent="0.25">
      <c r="B57" s="522" t="s">
        <v>15</v>
      </c>
      <c r="C57" s="523" t="s">
        <v>382</v>
      </c>
      <c r="D57" s="501">
        <v>0.9</v>
      </c>
      <c r="E57" s="485">
        <v>18</v>
      </c>
      <c r="G57" s="473"/>
      <c r="H57" s="6" t="str">
        <f>B43&amp;C43</f>
        <v>ConstrucciónTradicional</v>
      </c>
      <c r="I57" s="526">
        <v>0.7</v>
      </c>
      <c r="J57" s="511" t="e">
        <f>'Tabla Construcción Fijos CAT'!$V$6</f>
        <v>#NUM!</v>
      </c>
      <c r="K57" s="512">
        <f>'Tabla Construcción Fijos'!$K$3</f>
        <v>0</v>
      </c>
      <c r="L57" s="513">
        <f>'Tabla Construcción Fijos'!$L$3</f>
        <v>0</v>
      </c>
    </row>
    <row r="58" spans="2:22" x14ac:dyDescent="0.25">
      <c r="B58" s="522" t="s">
        <v>15</v>
      </c>
      <c r="C58" s="523" t="s">
        <v>7</v>
      </c>
      <c r="D58" s="501">
        <v>0.95</v>
      </c>
      <c r="E58" s="485">
        <v>19</v>
      </c>
      <c r="G58" s="473"/>
      <c r="H58" s="6" t="str">
        <f>B44&amp;C44</f>
        <v>ConstrucciónApoyo INFONAVIT</v>
      </c>
      <c r="I58" s="526">
        <v>0.8</v>
      </c>
      <c r="J58" s="511" t="e">
        <f>'Tabla Construcción Fijos CAT'!$V$6</f>
        <v>#NUM!</v>
      </c>
      <c r="K58" s="512">
        <f>'Tabla Construcción Fijos'!$K$3</f>
        <v>0</v>
      </c>
      <c r="L58" s="513">
        <f>'Tabla Construcción Fijos'!$L$3</f>
        <v>0</v>
      </c>
    </row>
    <row r="59" spans="2:22" x14ac:dyDescent="0.25">
      <c r="B59" s="522" t="s">
        <v>15</v>
      </c>
      <c r="C59" s="523" t="s">
        <v>8</v>
      </c>
      <c r="D59" s="501">
        <v>0.95</v>
      </c>
      <c r="E59" s="485">
        <v>20</v>
      </c>
      <c r="G59" s="473"/>
      <c r="H59" s="6" t="str">
        <f>B46&amp;C46</f>
        <v>Terreno_más_ConstrucciónTradicional</v>
      </c>
      <c r="I59" s="527">
        <v>0.85</v>
      </c>
      <c r="J59" s="511" t="e">
        <f>'Tabla Construcción Fijos CAT'!$V$6</f>
        <v>#NUM!</v>
      </c>
      <c r="K59" s="512">
        <f>'Tabla Construcción Fijos'!$K$3</f>
        <v>0</v>
      </c>
      <c r="L59" s="513">
        <f>'Tabla Construcción Fijos'!$L$3</f>
        <v>0</v>
      </c>
    </row>
    <row r="60" spans="2:22" x14ac:dyDescent="0.25">
      <c r="B60" s="522" t="s">
        <v>15</v>
      </c>
      <c r="C60" s="523" t="s">
        <v>9</v>
      </c>
      <c r="D60" s="501">
        <v>0.95</v>
      </c>
      <c r="E60" s="485">
        <v>21</v>
      </c>
      <c r="G60" s="473"/>
      <c r="H60" s="6" t="str">
        <f>B47&amp;C47</f>
        <v>Terreno_más_ConstrucciónApoyo INFONAVIT</v>
      </c>
      <c r="I60" s="527">
        <v>0.95</v>
      </c>
      <c r="J60" s="511" t="e">
        <f>'Tabla Construcción Fijos CAT'!$V$6</f>
        <v>#NUM!</v>
      </c>
      <c r="K60" s="512">
        <f>'Tabla Construcción Fijos'!$K$3</f>
        <v>0</v>
      </c>
      <c r="L60" s="513">
        <f>'Tabla Construcción Fijos'!$L$3</f>
        <v>0</v>
      </c>
    </row>
    <row r="61" spans="2:22" x14ac:dyDescent="0.25">
      <c r="B61" s="522" t="s">
        <v>15</v>
      </c>
      <c r="C61" s="523" t="s">
        <v>10</v>
      </c>
      <c r="D61" s="501">
        <v>0.95</v>
      </c>
      <c r="E61" s="485">
        <v>22</v>
      </c>
      <c r="G61" s="473"/>
      <c r="H61" s="6" t="str">
        <f>B49&amp;C49</f>
        <v>Compra_Venta_Termino_ObraTradicional</v>
      </c>
      <c r="I61" s="526">
        <v>0.9</v>
      </c>
      <c r="J61" s="511" t="e">
        <f>'Tabla Construcción Fijos CAT'!$V$6</f>
        <v>#NUM!</v>
      </c>
      <c r="K61" s="512">
        <f>'Tabla Construcción Fijos'!$K$3</f>
        <v>0</v>
      </c>
      <c r="L61" s="513">
        <f>'Tabla Construcción Fijos'!$L$3</f>
        <v>0</v>
      </c>
    </row>
    <row r="62" spans="2:22" x14ac:dyDescent="0.25">
      <c r="B62" s="522"/>
      <c r="C62" s="485"/>
      <c r="D62" s="485"/>
      <c r="E62" s="485"/>
      <c r="G62" s="515">
        <f>VLOOKUP(G47,H47:J65,3,0)</f>
        <v>0.11734144041403516</v>
      </c>
      <c r="H62" s="6" t="str">
        <f>B50&amp;C50</f>
        <v>Compra_Venta_Termino_ObraApoyo INFONAVIT</v>
      </c>
      <c r="I62" s="526">
        <v>0.95</v>
      </c>
      <c r="J62" s="511" t="e">
        <f>'Tabla Construcción Fijos CAT'!$V$6</f>
        <v>#NUM!</v>
      </c>
      <c r="K62" s="512">
        <f>'Tabla Construcción Fijos'!$K$3</f>
        <v>0</v>
      </c>
      <c r="L62" s="513">
        <f>'Tabla Construcción Fijos'!$L$3</f>
        <v>0</v>
      </c>
    </row>
    <row r="63" spans="2:22" x14ac:dyDescent="0.25">
      <c r="B63" s="522" t="s">
        <v>11</v>
      </c>
      <c r="C63" s="523" t="s">
        <v>382</v>
      </c>
      <c r="D63" s="501">
        <v>0.85</v>
      </c>
      <c r="E63" s="485">
        <v>23</v>
      </c>
      <c r="G63" s="516" t="e">
        <f>MIN(VLOOKUP(G47,H63:J65,2,0),Simulador!$F$15/Simulador!$N$11)</f>
        <v>#N/A</v>
      </c>
      <c r="H63" s="30" t="str">
        <f>B52&amp;Liquidez</f>
        <v>LiquidezTradicional</v>
      </c>
      <c r="I63" s="527">
        <v>0.7</v>
      </c>
      <c r="J63" s="511">
        <f>'Tabla Fijos CAT'!$AB$14</f>
        <v>0.11734144041403516</v>
      </c>
      <c r="K63" s="512">
        <f>'Tabla Fijos'!$K$8</f>
        <v>0</v>
      </c>
      <c r="L63" s="513">
        <f>'Tabla Fijos'!$L$8</f>
        <v>0</v>
      </c>
    </row>
    <row r="64" spans="2:22" x14ac:dyDescent="0.25">
      <c r="B64" s="522" t="s">
        <v>11</v>
      </c>
      <c r="C64" s="523" t="s">
        <v>7</v>
      </c>
      <c r="D64" s="501">
        <v>0.95</v>
      </c>
      <c r="E64" s="485">
        <v>24</v>
      </c>
      <c r="G64" s="516"/>
      <c r="H64" s="30" t="str" cm="1">
        <f t="array" ref="H64:H65">B53&amp;Terreno_Urbanizado</f>
        <v>Terreno_UrbanizadoTradicional</v>
      </c>
      <c r="I64" s="527">
        <v>0.7</v>
      </c>
      <c r="J64" s="511">
        <f>'Tabla Fijos CAT'!$AB$14</f>
        <v>0.11734144041403516</v>
      </c>
      <c r="K64" s="512">
        <f>'Tabla Fijos'!$K$8</f>
        <v>0</v>
      </c>
      <c r="L64" s="513">
        <f>'Tabla Fijos'!$L$8</f>
        <v>0</v>
      </c>
    </row>
    <row r="65" spans="2:12" ht="11" thickBot="1" x14ac:dyDescent="0.3">
      <c r="B65" s="522"/>
      <c r="C65" s="485"/>
      <c r="D65" s="485"/>
      <c r="E65" s="485"/>
      <c r="G65" s="517" t="e">
        <f>MIN(VLOOKUP(G47,H63:J65,2,0),Simulador!$F$15/Simulador!$N$11)</f>
        <v>#N/A</v>
      </c>
      <c r="H65" s="518" t="str">
        <v>Terreno_UrbanizadoCofinavit</v>
      </c>
      <c r="I65" s="529">
        <v>0.85</v>
      </c>
      <c r="J65" s="519">
        <f>'Tabla Fijos CAT'!$AB$14</f>
        <v>0.11734144041403516</v>
      </c>
      <c r="K65" s="520">
        <f>'Tabla Fijos'!$K$8</f>
        <v>0</v>
      </c>
      <c r="L65" s="521">
        <f>'Tabla Fijos'!$L$8</f>
        <v>0</v>
      </c>
    </row>
    <row r="66" spans="2:12" x14ac:dyDescent="0.25">
      <c r="B66" s="524" t="s">
        <v>440</v>
      </c>
      <c r="C66" s="523" t="s">
        <v>382</v>
      </c>
      <c r="D66" s="501">
        <v>0.7</v>
      </c>
      <c r="E66" s="485">
        <v>25</v>
      </c>
    </row>
    <row r="67" spans="2:12" x14ac:dyDescent="0.25">
      <c r="B67" s="522"/>
      <c r="C67" s="485"/>
      <c r="D67" s="485"/>
      <c r="E67" s="485"/>
      <c r="G67" s="485" t="s">
        <v>134</v>
      </c>
      <c r="H67" s="485"/>
      <c r="I67" s="485"/>
      <c r="J67" s="485"/>
      <c r="K67" s="485"/>
      <c r="L67" s="485"/>
    </row>
    <row r="68" spans="2:12" x14ac:dyDescent="0.25">
      <c r="B68" s="524" t="s">
        <v>13</v>
      </c>
      <c r="C68" s="523" t="s">
        <v>382</v>
      </c>
      <c r="D68" s="501">
        <v>0.4</v>
      </c>
      <c r="E68" s="485">
        <v>26</v>
      </c>
      <c r="G68" s="500" t="s">
        <v>222</v>
      </c>
      <c r="H68" s="485"/>
      <c r="I68" s="485"/>
      <c r="J68" s="485"/>
      <c r="K68" s="485" t="s">
        <v>207</v>
      </c>
      <c r="L68" s="485" t="s">
        <v>208</v>
      </c>
    </row>
    <row r="69" spans="2:12" x14ac:dyDescent="0.25">
      <c r="B69" s="522"/>
      <c r="C69" s="485"/>
      <c r="D69" s="485"/>
      <c r="E69" s="485"/>
      <c r="G69" s="485" t="str">
        <f>Simulador!$F$9&amp;Simulador!$N$7</f>
        <v>AdquisiciónTradicional</v>
      </c>
      <c r="H69" s="485" t="str">
        <f>B57&amp;C57</f>
        <v>AdquisiciónTradicional</v>
      </c>
      <c r="I69" s="501">
        <v>0.9</v>
      </c>
      <c r="J69" s="502" t="e">
        <f>#REF!</f>
        <v>#REF!</v>
      </c>
      <c r="K69" s="503" t="e">
        <f>#REF!</f>
        <v>#REF!</v>
      </c>
      <c r="L69" s="503" t="e">
        <f>#REF!</f>
        <v>#REF!</v>
      </c>
    </row>
    <row r="70" spans="2:12" x14ac:dyDescent="0.25">
      <c r="B70" s="524" t="s">
        <v>12</v>
      </c>
      <c r="C70" s="523" t="s">
        <v>382</v>
      </c>
      <c r="D70" s="501">
        <v>0.5</v>
      </c>
      <c r="E70" s="485">
        <v>27</v>
      </c>
      <c r="G70" s="504">
        <f>MIN(VLOOKUP(G69,H68:I83,2,0),Simulador!$F$15/Simulador!$N$11)</f>
        <v>0.28587764436821039</v>
      </c>
      <c r="H70" s="485" t="str">
        <f t="shared" ref="H70:H73" si="6">B58&amp;C58</f>
        <v>AdquisiciónApoyo INFONAVIT</v>
      </c>
      <c r="I70" s="501">
        <v>0.95</v>
      </c>
      <c r="J70" s="502" t="e">
        <f>#REF!</f>
        <v>#REF!</v>
      </c>
      <c r="K70" s="503" t="e">
        <f>#REF!</f>
        <v>#REF!</v>
      </c>
      <c r="L70" s="503" t="e">
        <f>#REF!</f>
        <v>#REF!</v>
      </c>
    </row>
    <row r="71" spans="2:12" x14ac:dyDescent="0.25">
      <c r="B71" s="524" t="s">
        <v>12</v>
      </c>
      <c r="C71" s="523" t="s">
        <v>7</v>
      </c>
      <c r="D71" s="501">
        <v>0.6</v>
      </c>
      <c r="E71" s="485">
        <v>28</v>
      </c>
      <c r="G71" s="485"/>
      <c r="H71" s="485" t="str">
        <f t="shared" si="6"/>
        <v>AdquisiciónCofinavit</v>
      </c>
      <c r="I71" s="501">
        <v>0.95</v>
      </c>
      <c r="J71" s="502" t="e">
        <f>#REF!</f>
        <v>#REF!</v>
      </c>
      <c r="K71" s="503" t="e">
        <f>#REF!</f>
        <v>#REF!</v>
      </c>
      <c r="L71" s="503" t="e">
        <f>#REF!</f>
        <v>#REF!</v>
      </c>
    </row>
    <row r="72" spans="2:12" x14ac:dyDescent="0.25">
      <c r="B72" s="522"/>
      <c r="C72" s="485"/>
      <c r="D72" s="485"/>
      <c r="E72" s="485"/>
      <c r="G72" s="502" t="e">
        <f>IF(Simulador!$F$62="","",VLOOKUP(G69,H69:J83,3,0))</f>
        <v>#REF!</v>
      </c>
      <c r="H72" s="485" t="str">
        <f t="shared" si="6"/>
        <v>AdquisiciónAlia2+</v>
      </c>
      <c r="I72" s="501"/>
      <c r="J72" s="502" t="e">
        <f>#REF!</f>
        <v>#REF!</v>
      </c>
      <c r="K72" s="503" t="e">
        <f>#REF!</f>
        <v>#REF!</v>
      </c>
      <c r="L72" s="503" t="e">
        <f>#REF!</f>
        <v>#REF!</v>
      </c>
    </row>
    <row r="73" spans="2:12" x14ac:dyDescent="0.25">
      <c r="B73" s="522" t="s">
        <v>327</v>
      </c>
      <c r="C73" s="523" t="s">
        <v>382</v>
      </c>
      <c r="D73" s="501">
        <v>0.85</v>
      </c>
      <c r="E73" s="485">
        <v>29</v>
      </c>
      <c r="G73" s="485"/>
      <c r="H73" s="485" t="str">
        <f t="shared" si="6"/>
        <v>AdquisiciónRespalda2</v>
      </c>
      <c r="I73" s="501"/>
      <c r="J73" s="502" t="e">
        <f>#REF!</f>
        <v>#REF!</v>
      </c>
      <c r="K73" s="503" t="e">
        <f>#REF!</f>
        <v>#REF!</v>
      </c>
      <c r="L73" s="503" t="e">
        <f>#REF!</f>
        <v>#REF!</v>
      </c>
    </row>
    <row r="74" spans="2:12" x14ac:dyDescent="0.25">
      <c r="B74" s="522" t="s">
        <v>327</v>
      </c>
      <c r="C74" s="523" t="s">
        <v>7</v>
      </c>
      <c r="D74" s="501">
        <v>0.95</v>
      </c>
      <c r="E74" s="485">
        <v>30</v>
      </c>
      <c r="G74" s="485"/>
      <c r="H74" s="485" t="str">
        <f>B63&amp;C63</f>
        <v>MejoraTradicional</v>
      </c>
      <c r="I74" s="501">
        <v>0.88</v>
      </c>
      <c r="J74" s="502" t="e">
        <f>#REF!</f>
        <v>#REF!</v>
      </c>
      <c r="K74" s="503" t="e">
        <f>#REF!</f>
        <v>#REF!</v>
      </c>
      <c r="L74" s="503" t="e">
        <f>#REF!</f>
        <v>#REF!</v>
      </c>
    </row>
    <row r="75" spans="2:12" x14ac:dyDescent="0.25">
      <c r="B75" s="522"/>
      <c r="C75" s="485"/>
      <c r="D75" s="485"/>
      <c r="E75" s="485"/>
      <c r="G75" s="485"/>
      <c r="H75" s="485" t="str">
        <f>B64&amp;C64</f>
        <v>MejoraApoyo INFONAVIT</v>
      </c>
      <c r="I75" s="501">
        <v>0.95</v>
      </c>
      <c r="J75" s="502" t="e">
        <f>#REF!</f>
        <v>#REF!</v>
      </c>
      <c r="K75" s="503" t="e">
        <f>#REF!</f>
        <v>#REF!</v>
      </c>
      <c r="L75" s="503" t="e">
        <f>#REF!</f>
        <v>#REF!</v>
      </c>
    </row>
    <row r="76" spans="2:12" x14ac:dyDescent="0.25">
      <c r="B76" s="522" t="s">
        <v>328</v>
      </c>
      <c r="C76" s="523" t="s">
        <v>382</v>
      </c>
      <c r="D76" s="501">
        <v>0.85</v>
      </c>
      <c r="E76" s="485">
        <v>31</v>
      </c>
      <c r="G76" s="485"/>
      <c r="H76" s="485" t="str">
        <f>B66&amp;C66</f>
        <v>Mejora_más_RemodelaciónTradicional</v>
      </c>
      <c r="I76" s="501">
        <v>0.7</v>
      </c>
      <c r="J76" s="502" t="e">
        <f>#REF!</f>
        <v>#REF!</v>
      </c>
      <c r="K76" s="503" t="e">
        <f>#REF!</f>
        <v>#REF!</v>
      </c>
      <c r="L76" s="503" t="e">
        <f>#REF!</f>
        <v>#REF!</v>
      </c>
    </row>
    <row r="77" spans="2:12" x14ac:dyDescent="0.25">
      <c r="B77" s="522" t="s">
        <v>328</v>
      </c>
      <c r="C77" s="523" t="s">
        <v>7</v>
      </c>
      <c r="D77" s="501">
        <v>0.95</v>
      </c>
      <c r="E77" s="485">
        <v>32</v>
      </c>
      <c r="G77" s="485"/>
      <c r="H77" s="485" t="str">
        <f>B68&amp;C68</f>
        <v>RemodelaciónTradicional</v>
      </c>
      <c r="I77" s="501">
        <v>0.3</v>
      </c>
      <c r="J77" s="502" t="e">
        <f>#REF!</f>
        <v>#REF!</v>
      </c>
      <c r="K77" s="503" t="e">
        <f>#REF!</f>
        <v>#REF!</v>
      </c>
      <c r="L77" s="503" t="e">
        <f>#REF!</f>
        <v>#REF!</v>
      </c>
    </row>
    <row r="78" spans="2:12" x14ac:dyDescent="0.25">
      <c r="B78" s="522"/>
      <c r="C78" s="485"/>
      <c r="D78" s="485"/>
      <c r="E78" s="485"/>
      <c r="G78" s="485"/>
      <c r="H78" s="485" t="str">
        <f>B70&amp;C70</f>
        <v>ConstrucciónTradicional</v>
      </c>
      <c r="I78" s="501">
        <v>0.5</v>
      </c>
      <c r="J78" s="505" t="e">
        <f>'Tabla Construcción CAT crecient'!$U$6</f>
        <v>#NUM!</v>
      </c>
      <c r="K78" s="503">
        <f>'Tabla Construcción Crecientes'!$K$3</f>
        <v>0</v>
      </c>
      <c r="L78" s="503">
        <f>'Tabla Construcción Crecientes'!$L$3</f>
        <v>0</v>
      </c>
    </row>
    <row r="79" spans="2:12" x14ac:dyDescent="0.25">
      <c r="B79" s="522" t="s">
        <v>14</v>
      </c>
      <c r="C79" s="523" t="s">
        <v>382</v>
      </c>
      <c r="D79" s="501">
        <v>0.7</v>
      </c>
      <c r="E79" s="485"/>
      <c r="G79" s="485"/>
      <c r="H79" s="485" t="str">
        <f>B71&amp;C71</f>
        <v>ConstrucciónApoyo INFONAVIT</v>
      </c>
      <c r="I79" s="501">
        <v>0.6</v>
      </c>
      <c r="J79" s="505" t="e">
        <f>'Tabla Construcción CAT crecient'!$U$6</f>
        <v>#NUM!</v>
      </c>
      <c r="K79" s="503">
        <f>'Tabla Construcción Crecientes'!$K$3</f>
        <v>0</v>
      </c>
      <c r="L79" s="503">
        <f>'Tabla Construcción Crecientes'!$L$3</f>
        <v>0</v>
      </c>
    </row>
    <row r="80" spans="2:12" x14ac:dyDescent="0.25">
      <c r="B80" s="522" t="s">
        <v>431</v>
      </c>
      <c r="C80" s="523" t="s">
        <v>382</v>
      </c>
      <c r="D80" s="501">
        <v>0.7</v>
      </c>
      <c r="E80" s="485"/>
      <c r="G80" s="485"/>
      <c r="H80" s="485" t="str">
        <f>B73&amp;C73</f>
        <v>Terreno_más_ConstrucciónTradicional</v>
      </c>
      <c r="I80" s="501">
        <v>0.8</v>
      </c>
      <c r="J80" s="505" t="e">
        <f>'Tabla Construcción CAT crecient'!$U$6</f>
        <v>#NUM!</v>
      </c>
      <c r="K80" s="503">
        <f>'Tabla Construcción Crecientes'!$K$3</f>
        <v>0</v>
      </c>
      <c r="L80" s="503">
        <f>'Tabla Construcción Crecientes'!$L$3</f>
        <v>0</v>
      </c>
    </row>
    <row r="81" spans="2:18" x14ac:dyDescent="0.25">
      <c r="B81" s="23"/>
      <c r="G81" s="485"/>
      <c r="H81" s="485" t="str">
        <f>B74&amp;C74</f>
        <v>Terreno_más_ConstrucciónApoyo INFONAVIT</v>
      </c>
      <c r="I81" s="501">
        <v>0.95</v>
      </c>
      <c r="J81" s="505" t="e">
        <f>'Tabla Construcción CAT crecient'!$U$6</f>
        <v>#NUM!</v>
      </c>
      <c r="K81" s="503">
        <f>'Tabla Construcción Crecientes'!$K$3</f>
        <v>0</v>
      </c>
      <c r="L81" s="503">
        <f>'Tabla Construcción Crecientes'!$L$3</f>
        <v>0</v>
      </c>
    </row>
    <row r="82" spans="2:18" x14ac:dyDescent="0.25">
      <c r="G82" s="485"/>
      <c r="H82" s="485" t="str">
        <f>B76&amp;C76</f>
        <v>Compra_Venta_Termino_ObraTradicional</v>
      </c>
      <c r="I82" s="501">
        <v>0.9</v>
      </c>
      <c r="J82" s="505" t="e">
        <f>'Tabla Construcción CAT crecient'!$U$6</f>
        <v>#NUM!</v>
      </c>
      <c r="K82" s="503">
        <f>'Tabla Construcción Crecientes'!$K$3</f>
        <v>0</v>
      </c>
      <c r="L82" s="503">
        <f>'Tabla Construcción Crecientes'!$L$3</f>
        <v>0</v>
      </c>
    </row>
    <row r="83" spans="2:18" x14ac:dyDescent="0.25">
      <c r="G83" s="485"/>
      <c r="H83" s="485" t="str">
        <f>B77&amp;C77</f>
        <v>Compra_Venta_Termino_ObraApoyo INFONAVIT</v>
      </c>
      <c r="I83" s="501">
        <v>0.95</v>
      </c>
      <c r="J83" s="505" t="e">
        <f>'Tabla Construcción CAT crecient'!$U$6</f>
        <v>#NUM!</v>
      </c>
      <c r="K83" s="503">
        <f>'Tabla Construcción Crecientes'!$K$3</f>
        <v>0</v>
      </c>
      <c r="L83" s="503">
        <f>'Tabla Construcción Crecientes'!$L$3</f>
        <v>0</v>
      </c>
    </row>
    <row r="84" spans="2:18" ht="11" thickBot="1" x14ac:dyDescent="0.3">
      <c r="G84" s="115"/>
      <c r="H84" s="30"/>
      <c r="I84" s="21"/>
    </row>
    <row r="85" spans="2:18" x14ac:dyDescent="0.25">
      <c r="B85" s="500" t="s">
        <v>86</v>
      </c>
      <c r="C85" s="500"/>
      <c r="D85" s="500"/>
      <c r="E85" s="500"/>
      <c r="F85" s="485"/>
      <c r="L85" s="615" t="s">
        <v>96</v>
      </c>
      <c r="M85" s="616"/>
      <c r="N85" s="508"/>
      <c r="O85" s="508"/>
      <c r="P85" s="508"/>
      <c r="Q85" s="508"/>
      <c r="R85" s="489"/>
    </row>
    <row r="86" spans="2:18" x14ac:dyDescent="0.25">
      <c r="B86" s="485" t="s">
        <v>87</v>
      </c>
      <c r="C86" s="501">
        <v>0.01</v>
      </c>
      <c r="D86" s="485" t="s">
        <v>88</v>
      </c>
      <c r="E86" s="501">
        <v>0</v>
      </c>
      <c r="F86" s="485"/>
      <c r="G86" s="908" t="s">
        <v>79</v>
      </c>
      <c r="H86" s="908"/>
      <c r="I86" s="908"/>
      <c r="L86" s="473"/>
      <c r="P86" s="534"/>
      <c r="Q86" s="534"/>
      <c r="R86" s="535"/>
    </row>
    <row r="87" spans="2:18" x14ac:dyDescent="0.25">
      <c r="B87" s="485" t="s">
        <v>89</v>
      </c>
      <c r="C87" s="530">
        <v>349</v>
      </c>
      <c r="D87" s="485"/>
      <c r="E87" s="485"/>
      <c r="F87" s="485"/>
      <c r="G87" s="485"/>
      <c r="H87" s="485"/>
      <c r="I87" s="485"/>
      <c r="L87" s="536" t="s">
        <v>97</v>
      </c>
      <c r="M87" s="534"/>
      <c r="N87" s="534"/>
      <c r="O87" s="534"/>
      <c r="P87" s="534"/>
      <c r="Q87" s="534"/>
      <c r="R87" s="535"/>
    </row>
    <row r="88" spans="2:18" x14ac:dyDescent="0.25">
      <c r="B88" s="485" t="s">
        <v>21</v>
      </c>
      <c r="C88" s="487" t="s">
        <v>90</v>
      </c>
      <c r="D88" s="485"/>
      <c r="E88" s="485"/>
      <c r="F88" s="485"/>
      <c r="G88" s="904">
        <v>299</v>
      </c>
      <c r="H88" s="904"/>
      <c r="I88" s="904"/>
      <c r="L88" s="537"/>
      <c r="M88" s="534"/>
      <c r="N88" s="534"/>
      <c r="O88" s="534"/>
      <c r="P88" s="534"/>
      <c r="Q88" s="538" t="s">
        <v>100</v>
      </c>
      <c r="R88" s="539"/>
    </row>
    <row r="89" spans="2:18" x14ac:dyDescent="0.25">
      <c r="B89" s="485" t="s">
        <v>91</v>
      </c>
      <c r="C89" s="531">
        <v>750</v>
      </c>
      <c r="D89" s="485"/>
      <c r="E89" s="485"/>
      <c r="F89" s="485"/>
      <c r="G89" s="485"/>
      <c r="H89" s="485"/>
      <c r="I89" s="485"/>
      <c r="L89" s="540" t="s">
        <v>98</v>
      </c>
      <c r="M89" s="541"/>
      <c r="N89" s="541"/>
      <c r="O89" s="534"/>
      <c r="P89" s="534"/>
      <c r="Q89" s="534" t="s">
        <v>618</v>
      </c>
      <c r="R89" s="641">
        <f>VLOOKUP($M$90,L96:N104,3,TRUE)</f>
        <v>8000</v>
      </c>
    </row>
    <row r="90" spans="2:18" x14ac:dyDescent="0.25">
      <c r="B90" s="485"/>
      <c r="C90" s="485"/>
      <c r="D90" s="485"/>
      <c r="E90" s="485"/>
      <c r="F90" s="485"/>
      <c r="G90" s="485"/>
      <c r="H90" s="485"/>
      <c r="I90" s="485"/>
      <c r="L90" s="537" t="s">
        <v>101</v>
      </c>
      <c r="M90" s="542">
        <f>Simulador!N11</f>
        <v>3498000</v>
      </c>
      <c r="N90" s="534"/>
      <c r="O90" s="534"/>
      <c r="P90" s="534"/>
      <c r="Q90" s="534" t="s">
        <v>103</v>
      </c>
      <c r="R90" s="642">
        <f>IF(OR(Sheet1!Z1=2,Sheet1!Z1=1,Sheet1!Z1=5,Sheet1!I10=6),0,R89)</f>
        <v>0</v>
      </c>
    </row>
    <row r="91" spans="2:18" x14ac:dyDescent="0.25">
      <c r="B91" s="485" t="s">
        <v>92</v>
      </c>
      <c r="C91" s="531">
        <v>350000</v>
      </c>
      <c r="D91" s="485" t="s">
        <v>12</v>
      </c>
      <c r="E91" s="532">
        <v>500000</v>
      </c>
      <c r="F91" s="485" t="s">
        <v>93</v>
      </c>
      <c r="G91" s="485"/>
      <c r="H91" s="485"/>
      <c r="I91" s="485"/>
      <c r="L91" s="537"/>
      <c r="M91" s="534"/>
      <c r="N91" s="534"/>
      <c r="O91" s="534"/>
      <c r="P91" s="534"/>
      <c r="Q91" s="534" t="s">
        <v>616</v>
      </c>
      <c r="R91" s="642">
        <f>IF(M90&lt;=10000000,0,R90*0.5)</f>
        <v>0</v>
      </c>
    </row>
    <row r="92" spans="2:18" x14ac:dyDescent="0.25">
      <c r="B92" s="485" t="s">
        <v>94</v>
      </c>
      <c r="C92" s="531">
        <v>75000</v>
      </c>
      <c r="D92" s="485" t="s">
        <v>13</v>
      </c>
      <c r="E92" s="532">
        <v>150000</v>
      </c>
      <c r="F92" s="485" t="s">
        <v>95</v>
      </c>
      <c r="G92" s="532">
        <v>800000</v>
      </c>
      <c r="H92" s="485"/>
      <c r="I92" s="485"/>
      <c r="L92" s="544"/>
      <c r="M92" s="545"/>
      <c r="N92" s="545"/>
      <c r="O92" s="534"/>
      <c r="P92" s="534"/>
      <c r="Q92" s="534" t="s">
        <v>617</v>
      </c>
      <c r="R92" s="642">
        <f>+IF(Simulador!F9="Liquidez",'Tabla Parámetros'!R90,IF(Simulador!F9="Terreno_Urbanizado",'Tabla Parámetros'!R90,'Tabla Parámetros'!R91))</f>
        <v>0</v>
      </c>
    </row>
    <row r="93" spans="2:18" x14ac:dyDescent="0.25">
      <c r="B93" s="485"/>
      <c r="C93" s="485"/>
      <c r="D93" s="485"/>
      <c r="E93" s="485"/>
      <c r="G93" s="532">
        <v>200000</v>
      </c>
      <c r="H93" s="485"/>
      <c r="I93" s="485"/>
      <c r="L93" s="537"/>
      <c r="M93" s="543"/>
      <c r="N93" s="534"/>
      <c r="O93" s="534"/>
      <c r="P93" s="534"/>
      <c r="Q93" s="534"/>
      <c r="R93" s="535"/>
    </row>
    <row r="94" spans="2:18" x14ac:dyDescent="0.25">
      <c r="B94" s="485"/>
      <c r="C94" s="485"/>
      <c r="D94" s="485"/>
      <c r="E94" s="485"/>
      <c r="L94" s="537"/>
      <c r="M94" s="534"/>
      <c r="N94" s="534"/>
      <c r="O94" s="534"/>
      <c r="P94" s="534"/>
      <c r="Q94" s="534"/>
      <c r="R94" s="535"/>
    </row>
    <row r="95" spans="2:18" x14ac:dyDescent="0.25">
      <c r="B95" s="486" t="s">
        <v>14</v>
      </c>
      <c r="C95" s="486"/>
      <c r="D95" s="486" t="s">
        <v>80</v>
      </c>
      <c r="E95" s="486"/>
      <c r="L95" s="546" t="s">
        <v>102</v>
      </c>
      <c r="M95" s="547" t="s">
        <v>614</v>
      </c>
      <c r="N95" s="547" t="s">
        <v>615</v>
      </c>
      <c r="O95" s="534"/>
      <c r="P95" s="534"/>
      <c r="Q95" s="534"/>
      <c r="R95" s="535"/>
    </row>
    <row r="96" spans="2:18" x14ac:dyDescent="0.25">
      <c r="B96" s="485"/>
      <c r="C96" s="485"/>
      <c r="D96" s="485"/>
      <c r="E96" s="485"/>
      <c r="L96" s="638">
        <v>0</v>
      </c>
      <c r="M96" s="640">
        <v>1000000</v>
      </c>
      <c r="N96" s="549">
        <v>3000</v>
      </c>
      <c r="O96" s="534"/>
      <c r="P96" s="534"/>
      <c r="Q96" s="534"/>
      <c r="R96" s="535"/>
    </row>
    <row r="97" spans="2:18" x14ac:dyDescent="0.25">
      <c r="B97" s="485" t="s">
        <v>87</v>
      </c>
      <c r="C97" s="501">
        <v>0.03</v>
      </c>
      <c r="D97" s="533">
        <v>1.4999999999999999E-2</v>
      </c>
      <c r="E97" s="485"/>
      <c r="L97" s="638">
        <v>1000001</v>
      </c>
      <c r="M97" s="640">
        <v>3000000</v>
      </c>
      <c r="N97" s="549">
        <v>5000</v>
      </c>
      <c r="O97" s="534"/>
      <c r="P97" s="534"/>
      <c r="Q97" s="534"/>
      <c r="R97" s="535"/>
    </row>
    <row r="98" spans="2:18" x14ac:dyDescent="0.25">
      <c r="B98" s="485" t="s">
        <v>89</v>
      </c>
      <c r="C98" s="531">
        <v>360</v>
      </c>
      <c r="D98" s="531">
        <v>250</v>
      </c>
      <c r="E98" s="485"/>
      <c r="L98" s="638">
        <v>3000001</v>
      </c>
      <c r="M98" s="640">
        <v>5000000</v>
      </c>
      <c r="N98" s="549">
        <v>8000</v>
      </c>
      <c r="O98" s="534"/>
      <c r="P98" s="534"/>
      <c r="Q98" s="534"/>
      <c r="R98" s="535"/>
    </row>
    <row r="99" spans="2:18" x14ac:dyDescent="0.25">
      <c r="B99" s="485" t="s">
        <v>21</v>
      </c>
      <c r="C99" s="487" t="s">
        <v>90</v>
      </c>
      <c r="D99" s="487"/>
      <c r="E99" s="487"/>
      <c r="L99" s="638">
        <v>5000001</v>
      </c>
      <c r="M99" s="640">
        <v>7000000</v>
      </c>
      <c r="N99" s="549">
        <v>15000</v>
      </c>
      <c r="O99" s="534"/>
      <c r="P99" s="534"/>
      <c r="Q99" s="534"/>
      <c r="R99" s="535"/>
    </row>
    <row r="100" spans="2:18" x14ac:dyDescent="0.25">
      <c r="B100" s="485" t="s">
        <v>91</v>
      </c>
      <c r="C100" s="531">
        <v>500</v>
      </c>
      <c r="D100" s="487"/>
      <c r="E100" s="487"/>
      <c r="L100" s="638">
        <v>7000001</v>
      </c>
      <c r="M100" s="640">
        <v>10000000</v>
      </c>
      <c r="N100" s="549">
        <v>17000</v>
      </c>
      <c r="O100" s="534"/>
      <c r="P100" s="534"/>
      <c r="Q100" s="534"/>
      <c r="R100" s="535"/>
    </row>
    <row r="101" spans="2:18" x14ac:dyDescent="0.25">
      <c r="B101" s="485"/>
      <c r="C101" s="487"/>
      <c r="D101" s="487"/>
      <c r="E101" s="485"/>
      <c r="L101" s="638">
        <v>10000001</v>
      </c>
      <c r="M101" s="640">
        <v>20000000</v>
      </c>
      <c r="N101" s="549">
        <v>25000</v>
      </c>
      <c r="O101" s="534"/>
      <c r="P101" s="534"/>
      <c r="Q101" s="534"/>
      <c r="R101" s="535"/>
    </row>
    <row r="102" spans="2:18" x14ac:dyDescent="0.25">
      <c r="B102" s="485" t="s">
        <v>92</v>
      </c>
      <c r="C102" s="531">
        <v>500000</v>
      </c>
      <c r="D102" s="487"/>
      <c r="E102" s="487"/>
      <c r="L102" s="638">
        <v>20000001</v>
      </c>
      <c r="M102" s="640">
        <v>30000000</v>
      </c>
      <c r="N102" s="549">
        <v>30000</v>
      </c>
      <c r="O102" s="534"/>
      <c r="P102" s="534"/>
      <c r="Q102" s="534"/>
      <c r="R102" s="535"/>
    </row>
    <row r="103" spans="2:18" x14ac:dyDescent="0.25">
      <c r="B103" s="485" t="s">
        <v>94</v>
      </c>
      <c r="C103" s="531">
        <v>200000</v>
      </c>
      <c r="D103" s="487"/>
      <c r="E103" s="487"/>
      <c r="L103" s="638">
        <v>30000001</v>
      </c>
      <c r="M103" s="640">
        <v>100000000</v>
      </c>
      <c r="N103" s="549">
        <f>$M$90*0.001</f>
        <v>3498</v>
      </c>
      <c r="O103" s="534"/>
      <c r="P103" s="534"/>
      <c r="Q103" s="534"/>
      <c r="R103" s="535"/>
    </row>
    <row r="104" spans="2:18" ht="11" thickBot="1" x14ac:dyDescent="0.3">
      <c r="L104" s="639">
        <v>100000001</v>
      </c>
      <c r="M104" s="639">
        <v>999999999</v>
      </c>
      <c r="N104" s="550">
        <f>$M$90*0.001</f>
        <v>3498</v>
      </c>
      <c r="O104" s="548"/>
      <c r="P104" s="476"/>
      <c r="Q104" s="476"/>
      <c r="R104" s="477"/>
    </row>
  </sheetData>
  <mergeCells count="13">
    <mergeCell ref="B12:D12"/>
    <mergeCell ref="J25:L25"/>
    <mergeCell ref="F12:G12"/>
    <mergeCell ref="N18:O18"/>
    <mergeCell ref="G86:I86"/>
    <mergeCell ref="B18:D18"/>
    <mergeCell ref="B55:D55"/>
    <mergeCell ref="B28:D28"/>
    <mergeCell ref="R1:S1"/>
    <mergeCell ref="R7:S7"/>
    <mergeCell ref="L42:N42"/>
    <mergeCell ref="G88:I88"/>
    <mergeCell ref="P30:S30"/>
  </mergeCells>
  <pageMargins left="0.7" right="0.7" top="0.75" bottom="0.75" header="0.3" footer="0.3"/>
  <pageSetup orientation="portrait" r:id="rId1"/>
  <ignoredErrors>
    <ignoredError sqref="Q32:Q33 Q38"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tabColor rgb="FFFF0000"/>
  </sheetPr>
  <dimension ref="D1:N34"/>
  <sheetViews>
    <sheetView showGridLines="0" workbookViewId="0">
      <selection activeCell="K2" sqref="K2"/>
    </sheetView>
  </sheetViews>
  <sheetFormatPr baseColWidth="10" defaultColWidth="11.453125" defaultRowHeight="10.5" x14ac:dyDescent="0.25"/>
  <cols>
    <col min="1" max="1" width="5.1796875" style="6" bestFit="1" customWidth="1"/>
    <col min="2" max="2" width="15" style="6" bestFit="1" customWidth="1"/>
    <col min="3" max="3" width="6.26953125" style="6" customWidth="1"/>
    <col min="4" max="4" width="25" style="6" customWidth="1"/>
    <col min="5" max="5" width="22.54296875" style="6" customWidth="1"/>
    <col min="6" max="6" width="17.54296875" style="6" customWidth="1"/>
    <col min="7" max="7" width="30.7265625" style="6" customWidth="1"/>
    <col min="8" max="8" width="6.1796875" style="6" bestFit="1" customWidth="1"/>
    <col min="9" max="9" width="6.26953125" style="6" customWidth="1"/>
    <col min="10" max="10" width="15" style="6" bestFit="1" customWidth="1"/>
    <col min="11" max="11" width="17.1796875" style="6" customWidth="1"/>
    <col min="12" max="12" width="14.81640625" style="6" customWidth="1"/>
    <col min="13" max="13" width="22.1796875" style="6" customWidth="1"/>
    <col min="14" max="14" width="21.26953125" style="6" customWidth="1"/>
    <col min="15" max="15" width="6.81640625" style="6" bestFit="1" customWidth="1"/>
    <col min="16" max="16" width="10" style="6" bestFit="1" customWidth="1"/>
    <col min="17" max="17" width="9.54296875" style="6" bestFit="1" customWidth="1"/>
    <col min="18" max="18" width="11.453125" style="6"/>
    <col min="19" max="19" width="19.1796875" style="6" bestFit="1" customWidth="1"/>
    <col min="20" max="16384" width="11.453125" style="6"/>
  </cols>
  <sheetData>
    <row r="1" spans="4:14" ht="11" thickBot="1" x14ac:dyDescent="0.3">
      <c r="F1" s="36">
        <f>VLOOKUP(Simulador!$F$21,'Estados y Datos Notariales'!$D$3:$G$34,3,0)</f>
        <v>2.1999999999999999E-2</v>
      </c>
      <c r="G1" s="36">
        <f>VLOOKUP(Simulador!$F$21,'Estados y Datos Notariales'!$D$3:$G$34,4,0)</f>
        <v>8.2000000000000003E-2</v>
      </c>
      <c r="H1" s="36">
        <f>VLOOKUP(Simulador!$F$21,'Estados y Datos Notariales'!$D$3:$H$34,5,0)</f>
        <v>7.2000000000000008E-2</v>
      </c>
      <c r="I1" s="6">
        <f>VLOOKUP(Simulador!$F$21,'Estados y Datos Notariales'!$D$3:$I$34,6,0)</f>
        <v>7</v>
      </c>
    </row>
    <row r="2" spans="4:14" ht="15" thickBot="1" x14ac:dyDescent="0.3">
      <c r="D2" s="564" t="s">
        <v>547</v>
      </c>
      <c r="E2" s="565" t="s">
        <v>548</v>
      </c>
      <c r="F2" s="565" t="s">
        <v>549</v>
      </c>
      <c r="G2" s="565" t="s">
        <v>550</v>
      </c>
      <c r="H2" s="573"/>
      <c r="K2" s="14">
        <f>IF(Sheet1!$D$14=3,'Estados y Datos Notariales'!$F$1,'Estados y Datos Notariales'!$G$1)</f>
        <v>8.2000000000000003E-2</v>
      </c>
    </row>
    <row r="3" spans="4:14" ht="15" thickBot="1" x14ac:dyDescent="0.3">
      <c r="D3" s="566" t="s">
        <v>38</v>
      </c>
      <c r="E3" s="567">
        <v>2.3E-2</v>
      </c>
      <c r="F3" s="568">
        <v>1.6E-2</v>
      </c>
      <c r="G3" s="568">
        <v>3.9E-2</v>
      </c>
      <c r="H3" s="574">
        <f>+G3-1%</f>
        <v>2.8999999999999998E-2</v>
      </c>
      <c r="I3" s="6">
        <v>1</v>
      </c>
      <c r="K3" s="14">
        <f>K2-1%</f>
        <v>7.2000000000000008E-2</v>
      </c>
    </row>
    <row r="4" spans="4:14" ht="15" thickBot="1" x14ac:dyDescent="0.3">
      <c r="D4" s="569" t="s">
        <v>39</v>
      </c>
      <c r="E4" s="570">
        <v>0.05</v>
      </c>
      <c r="F4" s="570">
        <v>0.01</v>
      </c>
      <c r="G4" s="570">
        <v>0.06</v>
      </c>
      <c r="H4" s="574">
        <f t="shared" ref="H4:H34" si="0">+G4-1%</f>
        <v>4.9999999999999996E-2</v>
      </c>
      <c r="I4" s="6">
        <v>2</v>
      </c>
    </row>
    <row r="5" spans="4:14" ht="15" thickBot="1" x14ac:dyDescent="0.3">
      <c r="D5" s="569" t="s">
        <v>40</v>
      </c>
      <c r="E5" s="570">
        <v>3.5999999999999997E-2</v>
      </c>
      <c r="F5" s="570">
        <v>8.0000000000000002E-3</v>
      </c>
      <c r="G5" s="570">
        <v>4.3999999999999997E-2</v>
      </c>
      <c r="H5" s="574">
        <f t="shared" si="0"/>
        <v>3.3999999999999996E-2</v>
      </c>
      <c r="I5" s="6">
        <v>3</v>
      </c>
    </row>
    <row r="6" spans="4:14" ht="15" thickBot="1" x14ac:dyDescent="0.3">
      <c r="D6" s="569" t="s">
        <v>41</v>
      </c>
      <c r="E6" s="570">
        <v>1.8700000000000001E-2</v>
      </c>
      <c r="F6" s="570">
        <v>1.2E-2</v>
      </c>
      <c r="G6" s="570">
        <v>3.0700000000000002E-2</v>
      </c>
      <c r="H6" s="574">
        <f t="shared" si="0"/>
        <v>2.0700000000000003E-2</v>
      </c>
      <c r="I6" s="6">
        <v>4</v>
      </c>
      <c r="K6" s="6" t="str">
        <f>Simulador!$H$21</f>
        <v>NO</v>
      </c>
      <c r="L6" s="6" t="s">
        <v>213</v>
      </c>
    </row>
    <row r="7" spans="4:14" ht="15" thickBot="1" x14ac:dyDescent="0.3">
      <c r="D7" s="569" t="s">
        <v>44</v>
      </c>
      <c r="E7" s="570">
        <v>3.6499999999999998E-2</v>
      </c>
      <c r="F7" s="570">
        <v>6.7999999999999996E-3</v>
      </c>
      <c r="G7" s="570">
        <v>4.3299999999999998E-2</v>
      </c>
      <c r="H7" s="574">
        <f t="shared" si="0"/>
        <v>3.3299999999999996E-2</v>
      </c>
      <c r="I7" s="6">
        <v>5</v>
      </c>
      <c r="L7" s="6" t="s">
        <v>214</v>
      </c>
    </row>
    <row r="8" spans="4:14" ht="15" thickBot="1" x14ac:dyDescent="0.3">
      <c r="D8" s="569" t="s">
        <v>45</v>
      </c>
      <c r="E8" s="570">
        <v>5.3999999999999999E-2</v>
      </c>
      <c r="F8" s="570">
        <v>1.6E-2</v>
      </c>
      <c r="G8" s="570">
        <v>7.0000000000000007E-2</v>
      </c>
      <c r="H8" s="574">
        <f t="shared" si="0"/>
        <v>6.0000000000000005E-2</v>
      </c>
      <c r="I8" s="6">
        <v>6</v>
      </c>
    </row>
    <row r="9" spans="4:14" ht="15" thickBot="1" x14ac:dyDescent="0.3">
      <c r="D9" s="566" t="s">
        <v>46</v>
      </c>
      <c r="E9" s="567">
        <v>0.06</v>
      </c>
      <c r="F9" s="567">
        <v>2.1999999999999999E-2</v>
      </c>
      <c r="G9" s="567">
        <v>8.2000000000000003E-2</v>
      </c>
      <c r="H9" s="574">
        <f t="shared" si="0"/>
        <v>7.2000000000000008E-2</v>
      </c>
      <c r="I9" s="6">
        <v>7</v>
      </c>
    </row>
    <row r="10" spans="4:14" ht="15" thickBot="1" x14ac:dyDescent="0.3">
      <c r="D10" s="569" t="s">
        <v>42</v>
      </c>
      <c r="E10" s="570">
        <v>5.1900000000000002E-2</v>
      </c>
      <c r="F10" s="570">
        <v>2.1000000000000001E-2</v>
      </c>
      <c r="G10" s="570">
        <v>7.2900000000000006E-2</v>
      </c>
      <c r="H10" s="574">
        <f t="shared" si="0"/>
        <v>6.2900000000000011E-2</v>
      </c>
      <c r="I10" s="6">
        <v>8</v>
      </c>
    </row>
    <row r="11" spans="4:14" ht="15" thickBot="1" x14ac:dyDescent="0.3">
      <c r="D11" s="566" t="s">
        <v>43</v>
      </c>
      <c r="E11" s="567">
        <v>2.86E-2</v>
      </c>
      <c r="F11" s="567">
        <v>1.21E-2</v>
      </c>
      <c r="G11" s="567">
        <v>4.07E-2</v>
      </c>
      <c r="H11" s="574">
        <f t="shared" si="0"/>
        <v>3.0699999999999998E-2</v>
      </c>
      <c r="I11" s="6">
        <v>9</v>
      </c>
    </row>
    <row r="12" spans="4:14" ht="15" thickBot="1" x14ac:dyDescent="0.3">
      <c r="D12" s="569" t="s">
        <v>47</v>
      </c>
      <c r="E12" s="570">
        <v>0.05</v>
      </c>
      <c r="F12" s="570">
        <v>1.4E-2</v>
      </c>
      <c r="G12" s="570">
        <v>6.4000000000000001E-2</v>
      </c>
      <c r="H12" s="574">
        <f t="shared" si="0"/>
        <v>5.3999999999999999E-2</v>
      </c>
      <c r="I12" s="6">
        <v>10</v>
      </c>
    </row>
    <row r="13" spans="4:14" ht="29.5" thickBot="1" x14ac:dyDescent="0.3">
      <c r="D13" s="566" t="s">
        <v>48</v>
      </c>
      <c r="E13" s="567">
        <v>6.5000000000000002E-2</v>
      </c>
      <c r="F13" s="567">
        <v>2.1999999999999999E-2</v>
      </c>
      <c r="G13" s="567">
        <v>8.6999999999999994E-2</v>
      </c>
      <c r="H13" s="574">
        <f t="shared" si="0"/>
        <v>7.6999999999999999E-2</v>
      </c>
      <c r="I13" s="6">
        <v>11</v>
      </c>
      <c r="K13" s="565" t="s">
        <v>548</v>
      </c>
      <c r="L13" s="565" t="s">
        <v>549</v>
      </c>
      <c r="M13" s="565" t="s">
        <v>550</v>
      </c>
    </row>
    <row r="14" spans="4:14" ht="15" thickBot="1" x14ac:dyDescent="0.3">
      <c r="D14" s="566" t="s">
        <v>49</v>
      </c>
      <c r="E14" s="567">
        <v>0.02</v>
      </c>
      <c r="F14" s="567">
        <v>1.0999999999999999E-2</v>
      </c>
      <c r="G14" s="567">
        <f>IF(K6="SI",M14,3.1%)</f>
        <v>3.1E-2</v>
      </c>
      <c r="H14" s="574">
        <f t="shared" si="0"/>
        <v>2.0999999999999998E-2</v>
      </c>
      <c r="I14" s="6">
        <v>12</v>
      </c>
      <c r="J14" s="6" t="s">
        <v>551</v>
      </c>
      <c r="K14" s="14">
        <v>1.9E-2</v>
      </c>
      <c r="L14" s="14">
        <v>0.01</v>
      </c>
      <c r="M14" s="14">
        <v>2.9000000000000001E-2</v>
      </c>
      <c r="N14" s="575">
        <f>+M14-1%</f>
        <v>1.9000000000000003E-2</v>
      </c>
    </row>
    <row r="15" spans="4:14" ht="15" thickBot="1" x14ac:dyDescent="0.3">
      <c r="D15" s="569" t="s">
        <v>50</v>
      </c>
      <c r="E15" s="570">
        <v>0.05</v>
      </c>
      <c r="F15" s="570">
        <v>1.4999999999999999E-2</v>
      </c>
      <c r="G15" s="570">
        <v>6.5000000000000002E-2</v>
      </c>
      <c r="H15" s="574">
        <f t="shared" si="0"/>
        <v>5.5E-2</v>
      </c>
      <c r="I15" s="6">
        <v>13</v>
      </c>
    </row>
    <row r="16" spans="4:14" ht="15" thickBot="1" x14ac:dyDescent="0.3">
      <c r="D16" s="569" t="s">
        <v>51</v>
      </c>
      <c r="E16" s="570">
        <v>0.05</v>
      </c>
      <c r="F16" s="570">
        <v>0.02</v>
      </c>
      <c r="G16" s="570">
        <v>7.0000000000000007E-2</v>
      </c>
      <c r="H16" s="574">
        <f t="shared" si="0"/>
        <v>6.0000000000000005E-2</v>
      </c>
      <c r="I16" s="6">
        <v>14</v>
      </c>
    </row>
    <row r="17" spans="4:9" ht="15" thickBot="1" x14ac:dyDescent="0.3">
      <c r="D17" s="569" t="s">
        <v>52</v>
      </c>
      <c r="E17" s="570">
        <v>4.4999999999999998E-2</v>
      </c>
      <c r="F17" s="570">
        <v>1.7999999999999999E-2</v>
      </c>
      <c r="G17" s="570">
        <v>6.3E-2</v>
      </c>
      <c r="H17" s="574">
        <f t="shared" si="0"/>
        <v>5.2999999999999999E-2</v>
      </c>
      <c r="I17" s="6">
        <v>15</v>
      </c>
    </row>
    <row r="18" spans="4:9" ht="15" thickBot="1" x14ac:dyDescent="0.3">
      <c r="D18" s="566" t="s">
        <v>53</v>
      </c>
      <c r="E18" s="567">
        <v>2.5999999999999999E-2</v>
      </c>
      <c r="F18" s="567">
        <v>1.4E-2</v>
      </c>
      <c r="G18" s="567">
        <v>0.04</v>
      </c>
      <c r="H18" s="574">
        <f t="shared" si="0"/>
        <v>0.03</v>
      </c>
      <c r="I18" s="6">
        <v>16</v>
      </c>
    </row>
    <row r="19" spans="4:9" ht="15" thickBot="1" x14ac:dyDescent="0.3">
      <c r="D19" s="566" t="s">
        <v>54</v>
      </c>
      <c r="E19" s="567">
        <v>4.4999999999999998E-2</v>
      </c>
      <c r="F19" s="567">
        <v>1.2E-2</v>
      </c>
      <c r="G19" s="567">
        <v>5.7000000000000002E-2</v>
      </c>
      <c r="H19" s="574">
        <f t="shared" si="0"/>
        <v>4.7E-2</v>
      </c>
      <c r="I19" s="6">
        <v>17</v>
      </c>
    </row>
    <row r="20" spans="4:9" ht="15" thickBot="1" x14ac:dyDescent="0.3">
      <c r="D20" s="566" t="s">
        <v>55</v>
      </c>
      <c r="E20" s="567">
        <v>3.6999999999999998E-2</v>
      </c>
      <c r="F20" s="567">
        <v>1.0999999999999999E-2</v>
      </c>
      <c r="G20" s="567">
        <v>4.8000000000000001E-2</v>
      </c>
      <c r="H20" s="574">
        <f t="shared" si="0"/>
        <v>3.7999999999999999E-2</v>
      </c>
      <c r="I20" s="6">
        <v>18</v>
      </c>
    </row>
    <row r="21" spans="4:9" ht="15" thickBot="1" x14ac:dyDescent="0.3">
      <c r="D21" s="569" t="s">
        <v>711</v>
      </c>
      <c r="E21" s="570">
        <v>4.4499999999999998E-2</v>
      </c>
      <c r="F21" s="570">
        <v>1.55E-2</v>
      </c>
      <c r="G21" s="570">
        <v>0.06</v>
      </c>
      <c r="H21" s="574">
        <f t="shared" si="0"/>
        <v>4.9999999999999996E-2</v>
      </c>
      <c r="I21" s="6">
        <v>19</v>
      </c>
    </row>
    <row r="22" spans="4:9" ht="15" thickBot="1" x14ac:dyDescent="0.3">
      <c r="D22" s="569" t="s">
        <v>56</v>
      </c>
      <c r="E22" s="570">
        <v>3.4700000000000002E-2</v>
      </c>
      <c r="F22" s="570">
        <v>7.6E-3</v>
      </c>
      <c r="G22" s="570">
        <v>4.2200000000000001E-2</v>
      </c>
      <c r="H22" s="574">
        <f t="shared" si="0"/>
        <v>3.2199999999999999E-2</v>
      </c>
      <c r="I22" s="6">
        <v>20</v>
      </c>
    </row>
    <row r="23" spans="4:9" ht="15" thickBot="1" x14ac:dyDescent="0.3">
      <c r="D23" s="569" t="s">
        <v>57</v>
      </c>
      <c r="E23" s="570">
        <f>VLOOKUP(Simulador!$N$11,'Rangos Puebla'!B3:D7,3,TRUE)</f>
        <v>0.05</v>
      </c>
      <c r="F23" s="571">
        <f>VLOOKUP(Simulador!H48,'Rangos Puebla'!B11:D15,3,TRUE)</f>
        <v>0.03</v>
      </c>
      <c r="G23" s="571">
        <f>VLOOKUP(Simulador!$N$11,'Rangos Puebla'!B3:D7,3,TRUE)</f>
        <v>0.05</v>
      </c>
      <c r="H23" s="574">
        <f t="shared" si="0"/>
        <v>0.04</v>
      </c>
      <c r="I23" s="6">
        <v>21</v>
      </c>
    </row>
    <row r="24" spans="4:9" ht="15" thickBot="1" x14ac:dyDescent="0.3">
      <c r="D24" s="566" t="s">
        <v>58</v>
      </c>
      <c r="E24" s="567">
        <v>7.4999999999999997E-2</v>
      </c>
      <c r="F24" s="567">
        <v>1.2E-2</v>
      </c>
      <c r="G24" s="567">
        <v>8.6999999999999994E-2</v>
      </c>
      <c r="H24" s="574">
        <f t="shared" si="0"/>
        <v>7.6999999999999999E-2</v>
      </c>
      <c r="I24" s="6">
        <v>22</v>
      </c>
    </row>
    <row r="25" spans="4:9" ht="15" thickBot="1" x14ac:dyDescent="0.3">
      <c r="D25" s="569" t="s">
        <v>59</v>
      </c>
      <c r="E25" s="570">
        <v>0.05</v>
      </c>
      <c r="F25" s="570">
        <v>0.02</v>
      </c>
      <c r="G25" s="570">
        <v>7.0000000000000007E-2</v>
      </c>
      <c r="H25" s="574">
        <f t="shared" si="0"/>
        <v>6.0000000000000005E-2</v>
      </c>
      <c r="I25" s="6">
        <v>23</v>
      </c>
    </row>
    <row r="26" spans="4:9" ht="15" thickBot="1" x14ac:dyDescent="0.3">
      <c r="D26" s="569" t="s">
        <v>60</v>
      </c>
      <c r="E26" s="570">
        <v>5.0999999999999997E-2</v>
      </c>
      <c r="F26" s="570">
        <v>1.4E-2</v>
      </c>
      <c r="G26" s="570">
        <v>6.5000000000000002E-2</v>
      </c>
      <c r="H26" s="574">
        <f t="shared" si="0"/>
        <v>5.5E-2</v>
      </c>
      <c r="I26" s="6">
        <v>24</v>
      </c>
    </row>
    <row r="27" spans="4:9" ht="15" thickBot="1" x14ac:dyDescent="0.3">
      <c r="D27" s="569" t="s">
        <v>61</v>
      </c>
      <c r="E27" s="570">
        <v>0.04</v>
      </c>
      <c r="F27" s="570">
        <v>1.0999999999999999E-2</v>
      </c>
      <c r="G27" s="570">
        <v>5.0999999999999997E-2</v>
      </c>
      <c r="H27" s="574">
        <f t="shared" si="0"/>
        <v>4.0999999999999995E-2</v>
      </c>
      <c r="I27" s="6">
        <v>25</v>
      </c>
    </row>
    <row r="28" spans="4:9" ht="15" thickBot="1" x14ac:dyDescent="0.3">
      <c r="D28" s="569" t="s">
        <v>62</v>
      </c>
      <c r="E28" s="570">
        <v>3.2000000000000001E-2</v>
      </c>
      <c r="F28" s="570">
        <v>1.2E-2</v>
      </c>
      <c r="G28" s="570">
        <v>4.3999999999999997E-2</v>
      </c>
      <c r="H28" s="574">
        <f t="shared" si="0"/>
        <v>3.3999999999999996E-2</v>
      </c>
      <c r="I28" s="6">
        <v>26</v>
      </c>
    </row>
    <row r="29" spans="4:9" ht="15" thickBot="1" x14ac:dyDescent="0.3">
      <c r="D29" s="569" t="s">
        <v>63</v>
      </c>
      <c r="E29" s="570">
        <v>5.2600000000000001E-2</v>
      </c>
      <c r="F29" s="570">
        <v>7.4000000000000003E-3</v>
      </c>
      <c r="G29" s="570">
        <v>0.06</v>
      </c>
      <c r="H29" s="574">
        <f t="shared" si="0"/>
        <v>4.9999999999999996E-2</v>
      </c>
      <c r="I29" s="6">
        <v>27</v>
      </c>
    </row>
    <row r="30" spans="4:9" ht="15" thickBot="1" x14ac:dyDescent="0.3">
      <c r="D30" s="569" t="s">
        <v>64</v>
      </c>
      <c r="E30" s="570">
        <v>0.04</v>
      </c>
      <c r="F30" s="571">
        <v>0.02</v>
      </c>
      <c r="G30" s="571">
        <f>E30+F30</f>
        <v>0.06</v>
      </c>
      <c r="H30" s="574">
        <f t="shared" si="0"/>
        <v>4.9999999999999996E-2</v>
      </c>
      <c r="I30" s="6">
        <v>28</v>
      </c>
    </row>
    <row r="31" spans="4:9" ht="15" thickBot="1" x14ac:dyDescent="0.3">
      <c r="D31" s="569" t="s">
        <v>65</v>
      </c>
      <c r="E31" s="570">
        <v>3.0499999999999999E-2</v>
      </c>
      <c r="F31" s="570">
        <v>1.01E-2</v>
      </c>
      <c r="G31" s="570">
        <v>4.0599999999999997E-2</v>
      </c>
      <c r="H31" s="574">
        <f t="shared" si="0"/>
        <v>3.0599999999999995E-2</v>
      </c>
      <c r="I31" s="6">
        <v>29</v>
      </c>
    </row>
    <row r="32" spans="4:9" ht="15" thickBot="1" x14ac:dyDescent="0.3">
      <c r="D32" s="569" t="s">
        <v>66</v>
      </c>
      <c r="E32" s="570">
        <v>2.4500000000000001E-2</v>
      </c>
      <c r="F32" s="570">
        <v>2.1000000000000001E-2</v>
      </c>
      <c r="G32" s="570">
        <v>4.5499999999999999E-2</v>
      </c>
      <c r="H32" s="574">
        <f t="shared" si="0"/>
        <v>3.5499999999999997E-2</v>
      </c>
      <c r="I32" s="6">
        <v>30</v>
      </c>
    </row>
    <row r="33" spans="4:9" ht="15" thickBot="1" x14ac:dyDescent="0.3">
      <c r="D33" s="569" t="s">
        <v>67</v>
      </c>
      <c r="E33" s="570">
        <v>3.9600000000000003E-2</v>
      </c>
      <c r="F33" s="570">
        <v>8.0999999999999996E-3</v>
      </c>
      <c r="G33" s="570">
        <v>4.7699999999999999E-2</v>
      </c>
      <c r="H33" s="574">
        <f t="shared" si="0"/>
        <v>3.7699999999999997E-2</v>
      </c>
      <c r="I33" s="6">
        <v>31</v>
      </c>
    </row>
    <row r="34" spans="4:9" ht="15" thickBot="1" x14ac:dyDescent="0.3">
      <c r="D34" s="569" t="s">
        <v>68</v>
      </c>
      <c r="E34" s="570">
        <v>3.5000000000000003E-2</v>
      </c>
      <c r="F34" s="570">
        <v>1.4999999999999999E-2</v>
      </c>
      <c r="G34" s="570">
        <v>0.05</v>
      </c>
      <c r="H34" s="574">
        <f t="shared" si="0"/>
        <v>0.04</v>
      </c>
      <c r="I34" s="6">
        <v>32</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21F85-36D9-4040-BC63-A524678DD560}">
  <sheetPr>
    <tabColor rgb="FFFF0000"/>
  </sheetPr>
  <dimension ref="B2:D15"/>
  <sheetViews>
    <sheetView showGridLines="0" workbookViewId="0">
      <selection activeCell="K2" sqref="K2"/>
    </sheetView>
  </sheetViews>
  <sheetFormatPr baseColWidth="10" defaultRowHeight="14.5" x14ac:dyDescent="0.35"/>
  <cols>
    <col min="2" max="2" width="19.81640625" bestFit="1" customWidth="1"/>
    <col min="3" max="3" width="18.1796875" customWidth="1"/>
    <col min="4" max="4" width="15.7265625" customWidth="1"/>
  </cols>
  <sheetData>
    <row r="2" spans="2:4" x14ac:dyDescent="0.35">
      <c r="B2" s="910" t="s">
        <v>619</v>
      </c>
      <c r="C2" s="910"/>
      <c r="D2" s="910"/>
    </row>
    <row r="3" spans="2:4" x14ac:dyDescent="0.35">
      <c r="B3" s="644">
        <v>300001</v>
      </c>
      <c r="C3" s="644">
        <v>600000</v>
      </c>
      <c r="D3" s="645">
        <v>7.0000000000000007E-2</v>
      </c>
    </row>
    <row r="4" spans="2:4" x14ac:dyDescent="0.35">
      <c r="B4" s="644">
        <v>600001</v>
      </c>
      <c r="C4" s="644">
        <v>1200000</v>
      </c>
      <c r="D4" s="645">
        <v>6.5000000000000002E-2</v>
      </c>
    </row>
    <row r="5" spans="2:4" x14ac:dyDescent="0.35">
      <c r="B5" s="644">
        <v>1200001</v>
      </c>
      <c r="C5" s="644">
        <v>2400000</v>
      </c>
      <c r="D5" s="645">
        <v>5.5E-2</v>
      </c>
    </row>
    <row r="6" spans="2:4" x14ac:dyDescent="0.35">
      <c r="B6" s="644">
        <v>2400001</v>
      </c>
      <c r="C6" s="644">
        <v>4800000</v>
      </c>
      <c r="D6" s="645">
        <v>0.05</v>
      </c>
    </row>
    <row r="7" spans="2:4" x14ac:dyDescent="0.35">
      <c r="B7" s="644">
        <v>4800001</v>
      </c>
      <c r="C7" s="644">
        <v>999999999</v>
      </c>
      <c r="D7" s="645">
        <v>4.4999999999999998E-2</v>
      </c>
    </row>
    <row r="8" spans="2:4" x14ac:dyDescent="0.35">
      <c r="B8" s="643"/>
      <c r="C8" s="643"/>
    </row>
    <row r="10" spans="2:4" x14ac:dyDescent="0.35">
      <c r="B10" s="910" t="s">
        <v>620</v>
      </c>
      <c r="C10" s="910"/>
      <c r="D10" s="910"/>
    </row>
    <row r="11" spans="2:4" x14ac:dyDescent="0.35">
      <c r="B11" s="644">
        <v>300001</v>
      </c>
      <c r="C11" s="644">
        <v>600000</v>
      </c>
      <c r="D11" s="645">
        <v>4.4999999999999998E-2</v>
      </c>
    </row>
    <row r="12" spans="2:4" x14ac:dyDescent="0.35">
      <c r="B12" s="644">
        <v>600001</v>
      </c>
      <c r="C12" s="644">
        <v>1200000</v>
      </c>
      <c r="D12" s="645">
        <v>0.03</v>
      </c>
    </row>
    <row r="13" spans="2:4" x14ac:dyDescent="0.35">
      <c r="B13" s="644">
        <v>1200001</v>
      </c>
      <c r="C13" s="644">
        <v>2400000</v>
      </c>
      <c r="D13" s="645">
        <v>2.5000000000000001E-2</v>
      </c>
    </row>
    <row r="14" spans="2:4" x14ac:dyDescent="0.35">
      <c r="B14" s="644">
        <v>2400001</v>
      </c>
      <c r="C14" s="644">
        <v>4800000</v>
      </c>
      <c r="D14" s="645">
        <v>0.02</v>
      </c>
    </row>
    <row r="15" spans="2:4" x14ac:dyDescent="0.35">
      <c r="B15" s="644">
        <v>4800001</v>
      </c>
      <c r="C15" s="644">
        <v>999999999</v>
      </c>
      <c r="D15" s="645">
        <v>1.4999999999999999E-2</v>
      </c>
    </row>
  </sheetData>
  <mergeCells count="2">
    <mergeCell ref="B2:D2"/>
    <mergeCell ref="B10:D10"/>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dimension ref="B1:AC313"/>
  <sheetViews>
    <sheetView showGridLines="0" topLeftCell="D1" zoomScaleNormal="100" workbookViewId="0">
      <selection activeCell="F4" sqref="F4"/>
    </sheetView>
  </sheetViews>
  <sheetFormatPr baseColWidth="10" defaultColWidth="11.453125" defaultRowHeight="12" x14ac:dyDescent="0.3"/>
  <cols>
    <col min="1" max="1" width="2.26953125" style="82" customWidth="1"/>
    <col min="2" max="2" width="15.1796875" style="82" bestFit="1" customWidth="1"/>
    <col min="3" max="3" width="13" style="82" bestFit="1" customWidth="1"/>
    <col min="4" max="7" width="11.453125" style="82"/>
    <col min="8" max="9" width="12.54296875" style="82" customWidth="1"/>
    <col min="10" max="10" width="11.453125" style="82"/>
    <col min="11" max="11" width="12.81640625" style="82" bestFit="1" customWidth="1"/>
    <col min="12" max="12" width="16.81640625" style="82" bestFit="1" customWidth="1"/>
    <col min="13" max="20" width="11.453125" style="82"/>
    <col min="21" max="23" width="9.54296875" style="82" customWidth="1"/>
    <col min="24" max="29" width="11.453125" style="82" customWidth="1"/>
    <col min="30" max="16384" width="11.453125" style="82"/>
  </cols>
  <sheetData>
    <row r="1" spans="2:29" ht="14.5" x14ac:dyDescent="0.35">
      <c r="O1" s="102" t="s">
        <v>199</v>
      </c>
      <c r="P1" s="102"/>
      <c r="Q1" s="102"/>
      <c r="T1" s="103" t="s">
        <v>194</v>
      </c>
      <c r="V1" s="109"/>
      <c r="W1" s="197"/>
      <c r="X1" s="198"/>
      <c r="Y1"/>
    </row>
    <row r="2" spans="2:29" ht="14.5" x14ac:dyDescent="0.35">
      <c r="B2" s="98" t="s">
        <v>84</v>
      </c>
      <c r="C2" s="96">
        <f>Simulador!N11</f>
        <v>3498000</v>
      </c>
      <c r="E2" s="98" t="s">
        <v>23</v>
      </c>
      <c r="F2" s="99">
        <f>Simulador!F62</f>
        <v>0.11</v>
      </c>
      <c r="H2" s="98" t="s">
        <v>2</v>
      </c>
      <c r="I2" s="98"/>
      <c r="J2" s="107" t="str">
        <f>Simulador!F9</f>
        <v>Adquisición</v>
      </c>
      <c r="L2" s="98" t="s">
        <v>206</v>
      </c>
      <c r="M2" s="113" t="str">
        <f>Simulador!$N$17</f>
        <v>NO</v>
      </c>
      <c r="N2" s="113"/>
      <c r="O2" s="102" t="s">
        <v>200</v>
      </c>
      <c r="P2" s="102"/>
      <c r="Q2" s="102"/>
      <c r="T2" s="103" t="s">
        <v>202</v>
      </c>
      <c r="V2"/>
      <c r="W2"/>
      <c r="X2"/>
      <c r="Y2"/>
    </row>
    <row r="3" spans="2:29" ht="14.5" x14ac:dyDescent="0.35">
      <c r="B3" s="98" t="s">
        <v>197</v>
      </c>
      <c r="C3" s="96">
        <f>IF($M$2="SI",Simulador!$H$48+Simulador!$L$46,IF('Tabla Fijos'!$M$2="NO",Simulador!$H$48,))</f>
        <v>1000000</v>
      </c>
      <c r="E3" s="98" t="s">
        <v>204</v>
      </c>
      <c r="F3" s="101" t="str">
        <f>'Tabla Fijos CAT'!F3</f>
        <v>Básico</v>
      </c>
      <c r="H3" s="98" t="s">
        <v>27</v>
      </c>
      <c r="I3" s="98"/>
      <c r="J3" s="101" t="str">
        <f>Simulador!N7</f>
        <v>Tradicional</v>
      </c>
      <c r="L3" s="98" t="s">
        <v>205</v>
      </c>
      <c r="M3" s="111">
        <f>Simulador!N15</f>
        <v>0</v>
      </c>
      <c r="N3" s="111"/>
      <c r="T3" s="81" t="s">
        <v>203</v>
      </c>
      <c r="V3"/>
      <c r="W3"/>
      <c r="X3"/>
      <c r="Y3"/>
    </row>
    <row r="4" spans="2:29" ht="14.5" x14ac:dyDescent="0.35">
      <c r="B4" s="98" t="s">
        <v>194</v>
      </c>
      <c r="C4" s="100">
        <f>Simulador!F19</f>
        <v>240</v>
      </c>
      <c r="E4" s="98" t="s">
        <v>207</v>
      </c>
      <c r="F4" s="423">
        <f>IF(F3="","",IF(F3='Tabla Parámetros'!N4,'Tabla Parámetros'!R5,IF('Tabla Fijos CAT'!F3='Tabla Parámetros'!N3,'Tabla Parámetros'!R10)))</f>
        <v>0</v>
      </c>
      <c r="H4" s="82" t="s">
        <v>33</v>
      </c>
      <c r="J4" s="82">
        <f>Sheet1!C29</f>
        <v>0</v>
      </c>
      <c r="V4"/>
      <c r="W4" s="109"/>
      <c r="X4"/>
      <c r="Y4"/>
    </row>
    <row r="5" spans="2:29" ht="14.5" x14ac:dyDescent="0.35">
      <c r="B5" s="98" t="s">
        <v>215</v>
      </c>
      <c r="C5" s="96">
        <f>IF(Simulador!$K$13="No",Simulador!$N$13,IF(Simulador!$K$13="Si",Simulador!$O$13,))</f>
        <v>2448600</v>
      </c>
      <c r="E5" s="98" t="s">
        <v>208</v>
      </c>
      <c r="F5" s="423">
        <f>IF(F3="","",IF(F3='Tabla Parámetros'!N4,'Tabla Parámetros'!S5,IF(F3='Tabla Parámetros'!N3,'Tabla Parámetros'!S10)))</f>
        <v>0</v>
      </c>
      <c r="V5"/>
      <c r="W5"/>
      <c r="X5"/>
      <c r="Y5"/>
    </row>
    <row r="6" spans="2:29" ht="14.5" x14ac:dyDescent="0.35">
      <c r="K6" s="96"/>
      <c r="V6"/>
      <c r="W6"/>
      <c r="X6" s="199"/>
      <c r="Y6"/>
    </row>
    <row r="7" spans="2:29" ht="14.5" x14ac:dyDescent="0.35">
      <c r="K7" s="96"/>
      <c r="R7" s="98" t="s">
        <v>201</v>
      </c>
      <c r="S7" s="82" t="str">
        <f>Simulador!N62</f>
        <v>Reduce Pago</v>
      </c>
      <c r="V7"/>
      <c r="W7" s="200"/>
      <c r="X7" s="200"/>
      <c r="Y7"/>
    </row>
    <row r="8" spans="2:29" x14ac:dyDescent="0.3">
      <c r="G8" s="196">
        <f>PPMT((F2/360*30.4),B12,C4,-F12)</f>
        <v>1132.9953218287653</v>
      </c>
      <c r="J8" s="149">
        <f>PMT((F2/360)*14,C4,-C3)</f>
        <v>6673.4354828133119</v>
      </c>
      <c r="K8" s="96">
        <f>$C$3*$F$4</f>
        <v>0</v>
      </c>
      <c r="L8" s="96">
        <f>$C$5*$F$5</f>
        <v>0</v>
      </c>
    </row>
    <row r="9" spans="2:29" x14ac:dyDescent="0.3">
      <c r="K9" s="149"/>
      <c r="M9" s="106"/>
      <c r="N9" s="106"/>
      <c r="P9" s="149">
        <f>PMT(F2/360*30.4,C4,-C3)</f>
        <v>10421.884210717653</v>
      </c>
      <c r="Q9" s="149"/>
    </row>
    <row r="10" spans="2:29" ht="36" x14ac:dyDescent="0.3">
      <c r="B10" s="83" t="s">
        <v>16</v>
      </c>
      <c r="C10" s="83" t="s">
        <v>19</v>
      </c>
      <c r="D10" s="83" t="s">
        <v>29</v>
      </c>
      <c r="E10" s="83" t="s">
        <v>23</v>
      </c>
      <c r="F10" s="83" t="s">
        <v>30</v>
      </c>
      <c r="G10" s="83" t="s">
        <v>31</v>
      </c>
      <c r="H10" s="83" t="s">
        <v>37</v>
      </c>
      <c r="I10" s="83" t="s">
        <v>426</v>
      </c>
      <c r="J10" s="83" t="s">
        <v>202</v>
      </c>
      <c r="K10" s="83" t="s">
        <v>20</v>
      </c>
      <c r="L10" s="83" t="s">
        <v>32</v>
      </c>
      <c r="M10" s="83" t="s">
        <v>33</v>
      </c>
      <c r="N10" s="83" t="s">
        <v>6</v>
      </c>
      <c r="O10" s="83" t="s">
        <v>34</v>
      </c>
      <c r="P10" s="83" t="s">
        <v>559</v>
      </c>
      <c r="Q10" s="83" t="s">
        <v>597</v>
      </c>
      <c r="R10" s="83" t="s">
        <v>35</v>
      </c>
      <c r="S10" s="83" t="s">
        <v>36</v>
      </c>
      <c r="U10" s="911" t="s">
        <v>28</v>
      </c>
      <c r="V10" s="911"/>
      <c r="W10" s="911"/>
      <c r="X10" s="911" t="s">
        <v>309</v>
      </c>
      <c r="Y10" s="911"/>
      <c r="Z10" s="911"/>
      <c r="AA10" s="911" t="s">
        <v>308</v>
      </c>
      <c r="AB10" s="911"/>
      <c r="AC10" s="911"/>
    </row>
    <row r="11" spans="2:29" ht="2.25" customHeight="1" x14ac:dyDescent="0.3">
      <c r="B11" s="84">
        <v>0</v>
      </c>
      <c r="C11" s="85"/>
      <c r="D11" s="86"/>
      <c r="E11" s="87"/>
      <c r="F11" s="86"/>
      <c r="G11" s="86"/>
      <c r="H11" s="86"/>
      <c r="I11" s="86"/>
      <c r="J11" s="86"/>
      <c r="K11" s="86"/>
      <c r="L11" s="86"/>
      <c r="M11" s="86"/>
      <c r="N11" s="86"/>
      <c r="O11" s="86"/>
      <c r="P11" s="86"/>
      <c r="Q11" s="86"/>
      <c r="R11" s="86"/>
      <c r="S11" s="86">
        <f>$C$3</f>
        <v>1000000</v>
      </c>
      <c r="U11" s="101" t="s">
        <v>31</v>
      </c>
      <c r="V11" s="101" t="s">
        <v>37</v>
      </c>
      <c r="W11" s="101" t="s">
        <v>202</v>
      </c>
      <c r="X11" s="101" t="s">
        <v>31</v>
      </c>
      <c r="Y11" s="101" t="s">
        <v>37</v>
      </c>
      <c r="Z11" s="101" t="s">
        <v>202</v>
      </c>
      <c r="AA11" s="101" t="s">
        <v>31</v>
      </c>
      <c r="AB11" s="101" t="s">
        <v>37</v>
      </c>
      <c r="AC11" s="101" t="s">
        <v>202</v>
      </c>
    </row>
    <row r="12" spans="2:29" x14ac:dyDescent="0.3">
      <c r="B12" s="84">
        <v>1</v>
      </c>
      <c r="C12" s="85">
        <f ca="1">IF($B12="","",'Fecha Pago'!K4)</f>
        <v>46176</v>
      </c>
      <c r="D12" s="86">
        <f ca="1">IF($B$12="","",'Fecha Pago'!L4)</f>
        <v>9</v>
      </c>
      <c r="E12" s="87">
        <f>IF(B12="","",$F$2)</f>
        <v>0.11</v>
      </c>
      <c r="F12" s="86">
        <f>S11</f>
        <v>1000000</v>
      </c>
      <c r="G12" s="86">
        <f t="shared" ref="G12:G68" ca="1" si="0">IF(B12="","",IF((J12-H12)&gt;F12,F12,IF($S$7=$U$10,U12,IF($S$7=$X$10,X12,IF($S$7=$AA$10,AA12,)))))</f>
        <v>1132.9953218287653</v>
      </c>
      <c r="H12" s="86">
        <f ca="1">IF(C12="","",IF($S$7=$U$10,V12,IF($S$7=$X$10,Y12,IF($S$7=$AA$10,AB12,))))</f>
        <v>2750</v>
      </c>
      <c r="I12" s="86">
        <f>IF(B12="","",IF(Simulador!$F$9="Liquidez",'Tabla Fijos'!H12*0.16,IF(Simulador!$J$9="SI",H12*0.16,0)))</f>
        <v>0</v>
      </c>
      <c r="J12" s="86">
        <f ca="1">IF(D12="","",IF($S$7=$U$10,W12,IF($S$7=$X$10,Z12,IF($S$7=$AA$10,AC12,))))</f>
        <v>3882.9953218287656</v>
      </c>
      <c r="K12" s="86">
        <f ca="1">IF(B12="","",IF($F$3="",0,($F$4/30*D12)*F12))</f>
        <v>0</v>
      </c>
      <c r="L12" s="86">
        <f ca="1">IF(B12="","",IF(F12=0,0,IF(Sheet1!$I$10=6,($F$5/30*D12)*$C$3,($F$5/30*D12)*$C$5)))</f>
        <v>0</v>
      </c>
      <c r="M12" s="86">
        <f>IF(B12="","",IF(F12=0,0,$J$4))</f>
        <v>0</v>
      </c>
      <c r="N12" s="86">
        <f>IF(B12="","",IF(F12=0,0,IF(Simulador!$N$7='Tabla Parámetros'!$C$31,AportPat!L4,IF(Simulador!$N$7='Tabla Parámetros'!$C$34,AportPatFov!G2,0))))</f>
        <v>0</v>
      </c>
      <c r="O12" s="86">
        <f>Simulador!N67</f>
        <v>0</v>
      </c>
      <c r="P12" s="86"/>
      <c r="Q12" s="86">
        <f>IF(O12&gt;0,(O12-(O12/(1+Sheet1!$AD$13))),0)</f>
        <v>0</v>
      </c>
      <c r="R12" s="86">
        <f ca="1">IF(B12="","",G12+H12+K12+L12+M12)-N12</f>
        <v>3882.9953218287656</v>
      </c>
      <c r="S12" s="86">
        <f ca="1">IF(B12="","",F12-G12)</f>
        <v>998867.00467817124</v>
      </c>
      <c r="U12" s="201">
        <f>IF(F12=0,0,PPMT(E12/360*30.4,B12,$C$4,-$S$11)+N12+(O12-Q12)+P12)</f>
        <v>1132.9953218287653</v>
      </c>
      <c r="V12" s="201">
        <f ca="1">(E12/360*D12)*F12</f>
        <v>2750</v>
      </c>
      <c r="W12" s="202">
        <f ca="1">U12+V12</f>
        <v>3882.9953218287656</v>
      </c>
      <c r="X12" s="201">
        <f>PPMT(E12/360*30.4,B12,$C$4,-$S$11)+N12+(O12-Q12)+P12</f>
        <v>1132.9953218287653</v>
      </c>
      <c r="Y12" s="201">
        <f ca="1">(E12/360*D12)*F12</f>
        <v>2750</v>
      </c>
      <c r="Z12" s="202">
        <f ca="1">X12+Y12</f>
        <v>3882.9953218287656</v>
      </c>
      <c r="AA12" s="201">
        <f>PPMT(E12/360*30.4,B12,$C$4,-$S$11)+N12+(O12-Q12)+P12</f>
        <v>1132.9953218287653</v>
      </c>
      <c r="AB12" s="201">
        <f ca="1">(E12/360*D12)*F12</f>
        <v>2750</v>
      </c>
      <c r="AC12" s="201">
        <f ca="1">AA12+AB12</f>
        <v>3882.9953218287656</v>
      </c>
    </row>
    <row r="13" spans="2:29" x14ac:dyDescent="0.3">
      <c r="B13" s="84">
        <f>IF(B12="","",IF(B12=$C$4,"",B12+1))</f>
        <v>2</v>
      </c>
      <c r="C13" s="85">
        <f ca="1">IF($B13="","",'Fecha Pago'!K5)</f>
        <v>46206</v>
      </c>
      <c r="D13" s="86">
        <f>IF($B$12="","",'Fecha Pago'!L5)</f>
        <v>30.4</v>
      </c>
      <c r="E13" s="87">
        <f t="shared" ref="E13:E76" si="1">IF(B13="","",$F$2)</f>
        <v>0.11</v>
      </c>
      <c r="F13" s="86">
        <f t="shared" ref="F13:F25" ca="1" si="2">IF(B13="","",F12-G12)</f>
        <v>998867.00467817124</v>
      </c>
      <c r="G13" s="86">
        <f t="shared" ca="1" si="0"/>
        <v>1143.5195894848639</v>
      </c>
      <c r="H13" s="86">
        <f t="shared" ref="H13:H76" ca="1" si="3">IF(C13="","",IF($S$7=$U$10,V13,IF($S$7=$X$10,Y13,IF($S$7=$AA$10,AB13,))))</f>
        <v>9278.3646212327894</v>
      </c>
      <c r="I13" s="86">
        <f>IF(B13="","",IF(Simulador!$F$9="Liquidez",'Tabla Fijos'!H13*0.16,IF(Simulador!$J$9="SI",H13*0.16,0)))</f>
        <v>0</v>
      </c>
      <c r="J13" s="86">
        <f t="shared" ref="J13:J76" ca="1" si="4">IF(D13="","",IF($S$7=$U$10,W13,IF($S$7=$X$10,Z13,IF($S$7=$AA$10,AC13,))))</f>
        <v>10421.884210717653</v>
      </c>
      <c r="K13" s="86">
        <f ca="1">IF(B13="","",IF($F$3="",0,($F$4*F13)))</f>
        <v>0</v>
      </c>
      <c r="L13" s="86">
        <f ca="1">IF(B13="","",IF(F13=0,0,IF(Sheet1!$I$10=6,'Tabla Fijos'!$C$3*'Tabla Fijos'!$F$5,$F$5*$C$5)))</f>
        <v>0</v>
      </c>
      <c r="M13" s="86">
        <f t="shared" ref="M13:M76" ca="1" si="5">IF(B13="","",IF(F13=0,0,$J$4))</f>
        <v>0</v>
      </c>
      <c r="N13" s="86">
        <f ca="1">IF(B13="","",IF(F13=0,0,IF(Simulador!$N$7='Tabla Parámetros'!$C$31,AportPat!L5,IF(Simulador!$N$7='Tabla Parámetros'!$C$34,AportPatFov!G3,0))))</f>
        <v>0</v>
      </c>
      <c r="O13" s="86">
        <f>Simulador!N68</f>
        <v>0</v>
      </c>
      <c r="P13" s="86"/>
      <c r="Q13" s="86">
        <f>IF(O13&gt;0,(O13-(O13/(1+Sheet1!$AD$13))),0)</f>
        <v>0</v>
      </c>
      <c r="R13" s="86">
        <f ca="1">IF(B13="","",G13+H13+K13+L13+M13)-N13</f>
        <v>10421.884210717653</v>
      </c>
      <c r="S13" s="86">
        <f t="shared" ref="S13:S76" ca="1" si="6">IF(B13="","",F13-G13)</f>
        <v>997723.48508868634</v>
      </c>
      <c r="U13" s="201">
        <f ca="1">IF(F13=0,0,PPMT(E13/360*30.4,B13,$C$4,-$S$11)+N13+(O13-Q13)+P13)</f>
        <v>1143.5195894848641</v>
      </c>
      <c r="V13" s="201">
        <f t="shared" ref="V13:V76" ca="1" si="7">(E13/360*D13)*F13</f>
        <v>9278.3646212327894</v>
      </c>
      <c r="W13" s="202">
        <f t="shared" ref="W13:W76" ca="1" si="8">U13+V13</f>
        <v>10421.884210717653</v>
      </c>
      <c r="X13" s="201">
        <f t="shared" ref="X13:X76" ca="1" si="9">Z13-Y13</f>
        <v>1143.5195894848639</v>
      </c>
      <c r="Y13" s="201">
        <f t="shared" ref="Y13:Y76" ca="1" si="10">(E13/360*D13)*F13</f>
        <v>9278.3646212327894</v>
      </c>
      <c r="Z13" s="201">
        <f ca="1">IF(F13=0,0,PMT($F$2/360*30.4,$C$4,-$C$3)+N13+(O13-Q13)+P13)</f>
        <v>10421.884210717653</v>
      </c>
      <c r="AA13" s="201">
        <f t="shared" ref="AA13:AA76" ca="1" si="11">AC13-AB13</f>
        <v>1143.5195894848639</v>
      </c>
      <c r="AB13" s="201">
        <f t="shared" ref="AB13:AB76" ca="1" si="12">(E13/360*D13)*F13</f>
        <v>9278.3646212327894</v>
      </c>
      <c r="AC13" s="201">
        <f ca="1">PMT($F$2/360*30.4,$C$4-B12,-S12)+N13+(O13-Q13)+P13</f>
        <v>10421.884210717653</v>
      </c>
    </row>
    <row r="14" spans="2:29" x14ac:dyDescent="0.3">
      <c r="B14" s="84">
        <f t="shared" ref="B14:B77" si="13">IF(B13="","",IF(B13=$C$4,"",B13+1))</f>
        <v>3</v>
      </c>
      <c r="C14" s="85">
        <f ca="1">IF($B14="","",'Fecha Pago'!K6)</f>
        <v>46237</v>
      </c>
      <c r="D14" s="86">
        <f>IF($B$12="","",'Fecha Pago'!L6)</f>
        <v>30.4</v>
      </c>
      <c r="E14" s="87">
        <f t="shared" si="1"/>
        <v>0.11</v>
      </c>
      <c r="F14" s="86">
        <f t="shared" ca="1" si="2"/>
        <v>997723.48508868634</v>
      </c>
      <c r="G14" s="86">
        <f t="shared" ca="1" si="0"/>
        <v>1154.1416158938555</v>
      </c>
      <c r="H14" s="86">
        <f t="shared" ca="1" si="3"/>
        <v>9267.742594823796</v>
      </c>
      <c r="I14" s="86">
        <f>IF(B14="","",IF(Simulador!$F$9="Liquidez",'Tabla Fijos'!H14*0.16,IF(Simulador!$J$9="SI",H14*0.16,0)))</f>
        <v>0</v>
      </c>
      <c r="J14" s="86">
        <f t="shared" ca="1" si="4"/>
        <v>10421.884210717652</v>
      </c>
      <c r="K14" s="86">
        <f t="shared" ref="K14:K77" ca="1" si="14">IF(B14="","",IF($F$3="",0,($F$4*F14)))</f>
        <v>0</v>
      </c>
      <c r="L14" s="86">
        <f ca="1">IF(B14="","",IF(F14=0,0,IF(Sheet1!$I$10=6,'Tabla Fijos'!$C$3*'Tabla Fijos'!$F$5,$F$5*$C$5)))</f>
        <v>0</v>
      </c>
      <c r="M14" s="86">
        <f t="shared" ca="1" si="5"/>
        <v>0</v>
      </c>
      <c r="N14" s="86">
        <f ca="1">IF(B14="","",IF(F14=0,0,IF(Simulador!$N$7='Tabla Parámetros'!$C$31,AportPat!L6,IF(Simulador!$N$7='Tabla Parámetros'!$C$34,AportPatFov!G4,0))))</f>
        <v>0</v>
      </c>
      <c r="O14" s="86">
        <f>Simulador!N69</f>
        <v>0</v>
      </c>
      <c r="P14" s="86"/>
      <c r="Q14" s="86">
        <f>IF(O14&gt;0,(O14-(O14/(1+Sheet1!$AD$13))),0)</f>
        <v>0</v>
      </c>
      <c r="R14" s="86">
        <f t="shared" ref="R14:R76" ca="1" si="15">IF(B14="","",G14+H14+K14+L14+M14)-N14</f>
        <v>10421.884210717652</v>
      </c>
      <c r="S14" s="86">
        <f t="shared" ca="1" si="6"/>
        <v>996569.34347279253</v>
      </c>
      <c r="U14" s="201">
        <f t="shared" ref="U14:U47" ca="1" si="16">IF(F14=0,0,PPMT(E14/360*30.4,B14,$C$4,-$S$11)+N14+(O14-Q14)+P14)</f>
        <v>1154.1416158938564</v>
      </c>
      <c r="V14" s="201">
        <f t="shared" ca="1" si="7"/>
        <v>9267.742594823796</v>
      </c>
      <c r="W14" s="202">
        <f t="shared" ca="1" si="8"/>
        <v>10421.884210717653</v>
      </c>
      <c r="X14" s="201">
        <f t="shared" ca="1" si="9"/>
        <v>1154.1416158938573</v>
      </c>
      <c r="Y14" s="201">
        <f t="shared" ca="1" si="10"/>
        <v>9267.742594823796</v>
      </c>
      <c r="Z14" s="201">
        <f t="shared" ref="Z14:Z47" ca="1" si="17">IF(F14=0,0,PMT($F$2/360*30.4,$C$4,-$C$3)+N14+(O14-Q14)+P14)</f>
        <v>10421.884210717653</v>
      </c>
      <c r="AA14" s="201">
        <f t="shared" ca="1" si="11"/>
        <v>1154.1416158938555</v>
      </c>
      <c r="AB14" s="201">
        <f t="shared" ca="1" si="12"/>
        <v>9267.742594823796</v>
      </c>
      <c r="AC14" s="201">
        <f t="shared" ref="AC14:AC47" ca="1" si="18">PMT($F$2/360*30.4,$C$4-B13,-S13)+N14+(O14-Q14)+P14</f>
        <v>10421.884210717652</v>
      </c>
    </row>
    <row r="15" spans="2:29" x14ac:dyDescent="0.3">
      <c r="B15" s="84">
        <f t="shared" si="13"/>
        <v>4</v>
      </c>
      <c r="C15" s="85">
        <f ca="1">IF($B15="","",'Fecha Pago'!K7)</f>
        <v>46268</v>
      </c>
      <c r="D15" s="86">
        <f>IF($B$12="","",'Fecha Pago'!L7)</f>
        <v>30.4</v>
      </c>
      <c r="E15" s="87">
        <f t="shared" si="1"/>
        <v>0.11</v>
      </c>
      <c r="F15" s="86">
        <f t="shared" ca="1" si="2"/>
        <v>996569.34347279253</v>
      </c>
      <c r="G15" s="86">
        <f t="shared" ca="1" si="0"/>
        <v>1164.862309125936</v>
      </c>
      <c r="H15" s="86">
        <f t="shared" ca="1" si="3"/>
        <v>9257.0219015917173</v>
      </c>
      <c r="I15" s="86">
        <f>IF(B15="","",IF(Simulador!$F$9="Liquidez",'Tabla Fijos'!H15*0.16,IF(Simulador!$J$9="SI",H15*0.16,0)))</f>
        <v>0</v>
      </c>
      <c r="J15" s="86">
        <f t="shared" ca="1" si="4"/>
        <v>10421.884210717653</v>
      </c>
      <c r="K15" s="86">
        <f t="shared" ca="1" si="14"/>
        <v>0</v>
      </c>
      <c r="L15" s="86">
        <f ca="1">IF(B15="","",IF(F15=0,0,IF(Sheet1!$I$10=6,'Tabla Fijos'!$C$3*'Tabla Fijos'!$F$5,$F$5*$C$5)))</f>
        <v>0</v>
      </c>
      <c r="M15" s="86">
        <f t="shared" ca="1" si="5"/>
        <v>0</v>
      </c>
      <c r="N15" s="86">
        <f ca="1">IF(B15="","",IF(F15=0,0,IF(Simulador!$N$7='Tabla Parámetros'!$C$31,AportPat!L7,IF(Simulador!$N$7='Tabla Parámetros'!$C$34,AportPatFov!G5,0))))</f>
        <v>0</v>
      </c>
      <c r="O15" s="86">
        <f>Simulador!N70</f>
        <v>0</v>
      </c>
      <c r="P15" s="86"/>
      <c r="Q15" s="86">
        <f>IF(O15&gt;0,(O15-(O15/(1+Sheet1!$AD$13))),0)</f>
        <v>0</v>
      </c>
      <c r="R15" s="86">
        <f t="shared" ca="1" si="15"/>
        <v>10421.884210717653</v>
      </c>
      <c r="S15" s="86">
        <f t="shared" ca="1" si="6"/>
        <v>995404.48116366658</v>
      </c>
      <c r="U15" s="201">
        <f t="shared" ca="1" si="16"/>
        <v>1164.8623091259374</v>
      </c>
      <c r="V15" s="201">
        <f t="shared" ca="1" si="7"/>
        <v>9257.0219015917173</v>
      </c>
      <c r="W15" s="202">
        <f t="shared" ca="1" si="8"/>
        <v>10421.884210717655</v>
      </c>
      <c r="X15" s="201">
        <f t="shared" ca="1" si="9"/>
        <v>1164.862309125936</v>
      </c>
      <c r="Y15" s="201">
        <f t="shared" ca="1" si="10"/>
        <v>9257.0219015917173</v>
      </c>
      <c r="Z15" s="201">
        <f t="shared" ca="1" si="17"/>
        <v>10421.884210717653</v>
      </c>
      <c r="AA15" s="201">
        <f t="shared" ca="1" si="11"/>
        <v>1164.862309125936</v>
      </c>
      <c r="AB15" s="201">
        <f t="shared" ca="1" si="12"/>
        <v>9257.0219015917173</v>
      </c>
      <c r="AC15" s="201">
        <f t="shared" ca="1" si="18"/>
        <v>10421.884210717653</v>
      </c>
    </row>
    <row r="16" spans="2:29" x14ac:dyDescent="0.3">
      <c r="B16" s="84">
        <f t="shared" si="13"/>
        <v>5</v>
      </c>
      <c r="C16" s="85">
        <f ca="1">IF($B16="","",'Fecha Pago'!K8)</f>
        <v>46298</v>
      </c>
      <c r="D16" s="86">
        <f>IF($B$12="","",'Fecha Pago'!L8)</f>
        <v>30.4</v>
      </c>
      <c r="E16" s="87">
        <f t="shared" si="1"/>
        <v>0.11</v>
      </c>
      <c r="F16" s="86">
        <f t="shared" ca="1" si="2"/>
        <v>995404.48116366658</v>
      </c>
      <c r="G16" s="86">
        <f ca="1">IF(B16="","",IF((J16-H16)&gt;F16,F16,IF($S$7=$U$10,U16,IF($S$7=$X$10,X16,IF($S$7=$AA$10,AA16,)))))</f>
        <v>1175.6825856862615</v>
      </c>
      <c r="H16" s="86">
        <f t="shared" ca="1" si="3"/>
        <v>9246.2016250313918</v>
      </c>
      <c r="I16" s="86">
        <f>IF(B16="","",IF(Simulador!$F$9="Liquidez",'Tabla Fijos'!H16*0.16,IF(Simulador!$J$9="SI",H16*0.16,0)))</f>
        <v>0</v>
      </c>
      <c r="J16" s="86">
        <f t="shared" ca="1" si="4"/>
        <v>10421.884210717653</v>
      </c>
      <c r="K16" s="86">
        <f t="shared" ca="1" si="14"/>
        <v>0</v>
      </c>
      <c r="L16" s="86">
        <f ca="1">IF(B16="","",IF(F16=0,0,IF(Sheet1!$I$10=6,'Tabla Fijos'!$C$3*'Tabla Fijos'!$F$5,$F$5*$C$5)))</f>
        <v>0</v>
      </c>
      <c r="M16" s="86">
        <f t="shared" ca="1" si="5"/>
        <v>0</v>
      </c>
      <c r="N16" s="86">
        <f ca="1">IF(B16="","",IF(F16=0,0,IF(Simulador!$N$7='Tabla Parámetros'!$C$31,AportPat!L8,IF(Simulador!$N$7='Tabla Parámetros'!$C$34,AportPatFov!G6,0))))</f>
        <v>0</v>
      </c>
      <c r="O16" s="86">
        <f>Simulador!N71</f>
        <v>0</v>
      </c>
      <c r="P16" s="86"/>
      <c r="Q16" s="86">
        <f>IF(O16&gt;0,(O16-(O16/(1+Sheet1!$AD$13))),0)</f>
        <v>0</v>
      </c>
      <c r="R16" s="86">
        <f t="shared" ca="1" si="15"/>
        <v>10421.884210717653</v>
      </c>
      <c r="S16" s="86">
        <f t="shared" ca="1" si="6"/>
        <v>994228.79857798037</v>
      </c>
      <c r="U16" s="201">
        <f t="shared" ca="1" si="16"/>
        <v>1175.6825856862624</v>
      </c>
      <c r="V16" s="201">
        <f t="shared" ca="1" si="7"/>
        <v>9246.2016250313918</v>
      </c>
      <c r="W16" s="202">
        <f t="shared" ca="1" si="8"/>
        <v>10421.884210717653</v>
      </c>
      <c r="X16" s="201">
        <f t="shared" ca="1" si="9"/>
        <v>1175.6825856862615</v>
      </c>
      <c r="Y16" s="201">
        <f t="shared" ca="1" si="10"/>
        <v>9246.2016250313918</v>
      </c>
      <c r="Z16" s="201">
        <f t="shared" ca="1" si="17"/>
        <v>10421.884210717653</v>
      </c>
      <c r="AA16" s="201">
        <f t="shared" ca="1" si="11"/>
        <v>1175.6825856862615</v>
      </c>
      <c r="AB16" s="201">
        <f t="shared" ca="1" si="12"/>
        <v>9246.2016250313918</v>
      </c>
      <c r="AC16" s="201">
        <f t="shared" ca="1" si="18"/>
        <v>10421.884210717653</v>
      </c>
    </row>
    <row r="17" spans="2:29" x14ac:dyDescent="0.3">
      <c r="B17" s="84">
        <f t="shared" si="13"/>
        <v>6</v>
      </c>
      <c r="C17" s="85">
        <f ca="1">IF($B17="","",'Fecha Pago'!K9)</f>
        <v>46329</v>
      </c>
      <c r="D17" s="86">
        <f>IF($B$12="","",'Fecha Pago'!L9)</f>
        <v>30.4</v>
      </c>
      <c r="E17" s="87">
        <f t="shared" si="1"/>
        <v>0.11</v>
      </c>
      <c r="F17" s="86">
        <f t="shared" ca="1" si="2"/>
        <v>994228.79857798037</v>
      </c>
      <c r="G17" s="86">
        <f t="shared" ca="1" si="0"/>
        <v>1186.6033705933023</v>
      </c>
      <c r="H17" s="86">
        <f t="shared" ca="1" si="3"/>
        <v>9235.280840124351</v>
      </c>
      <c r="I17" s="86">
        <f>IF(B17="","",IF(Simulador!$F$9="Liquidez",'Tabla Fijos'!H17*0.16,IF(Simulador!$J$9="SI",H17*0.16,0)))</f>
        <v>0</v>
      </c>
      <c r="J17" s="86">
        <f t="shared" ca="1" si="4"/>
        <v>10421.884210717653</v>
      </c>
      <c r="K17" s="86">
        <f t="shared" ca="1" si="14"/>
        <v>0</v>
      </c>
      <c r="L17" s="86">
        <f ca="1">IF(B17="","",IF(F17=0,0,IF(Sheet1!$I$10=6,'Tabla Fijos'!$C$3*'Tabla Fijos'!$F$5,$F$5*$C$5)))</f>
        <v>0</v>
      </c>
      <c r="M17" s="86">
        <f t="shared" ca="1" si="5"/>
        <v>0</v>
      </c>
      <c r="N17" s="86">
        <f ca="1">IF(B17="","",IF(F17=0,0,IF(Simulador!$N$7='Tabla Parámetros'!$C$31,AportPat!L9,IF(Simulador!$N$7='Tabla Parámetros'!$C$34,AportPatFov!G7,0))))</f>
        <v>0</v>
      </c>
      <c r="O17" s="86">
        <f>Simulador!N72</f>
        <v>0</v>
      </c>
      <c r="P17" s="86"/>
      <c r="Q17" s="86">
        <f>IF(O17&gt;0,(O17-(O17/(1+Sheet1!$AD$13))),0)</f>
        <v>0</v>
      </c>
      <c r="R17" s="86">
        <f t="shared" ca="1" si="15"/>
        <v>10421.884210717653</v>
      </c>
      <c r="S17" s="86">
        <f t="shared" ca="1" si="6"/>
        <v>993042.19520738709</v>
      </c>
      <c r="U17" s="201">
        <f t="shared" ca="1" si="16"/>
        <v>1186.6033705933039</v>
      </c>
      <c r="V17" s="201">
        <f t="shared" ca="1" si="7"/>
        <v>9235.280840124351</v>
      </c>
      <c r="W17" s="202">
        <f t="shared" ca="1" si="8"/>
        <v>10421.884210717655</v>
      </c>
      <c r="X17" s="201">
        <f t="shared" ca="1" si="9"/>
        <v>1186.6033705933023</v>
      </c>
      <c r="Y17" s="201">
        <f t="shared" ca="1" si="10"/>
        <v>9235.280840124351</v>
      </c>
      <c r="Z17" s="201">
        <f t="shared" ca="1" si="17"/>
        <v>10421.884210717653</v>
      </c>
      <c r="AA17" s="201">
        <f t="shared" ca="1" si="11"/>
        <v>1186.6033705933023</v>
      </c>
      <c r="AB17" s="201">
        <f t="shared" ca="1" si="12"/>
        <v>9235.280840124351</v>
      </c>
      <c r="AC17" s="201">
        <f t="shared" ca="1" si="18"/>
        <v>10421.884210717653</v>
      </c>
    </row>
    <row r="18" spans="2:29" x14ac:dyDescent="0.3">
      <c r="B18" s="84">
        <f t="shared" si="13"/>
        <v>7</v>
      </c>
      <c r="C18" s="85">
        <f ca="1">IF($B18="","",'Fecha Pago'!K10)</f>
        <v>46359</v>
      </c>
      <c r="D18" s="86">
        <f>IF($B$12="","",'Fecha Pago'!L10)</f>
        <v>30.4</v>
      </c>
      <c r="E18" s="87">
        <f t="shared" si="1"/>
        <v>0.11</v>
      </c>
      <c r="F18" s="86">
        <f t="shared" ca="1" si="2"/>
        <v>993042.19520738709</v>
      </c>
      <c r="G18" s="86">
        <f t="shared" ca="1" si="0"/>
        <v>1197.6255974579253</v>
      </c>
      <c r="H18" s="86">
        <f t="shared" ca="1" si="3"/>
        <v>9224.258613259728</v>
      </c>
      <c r="I18" s="86">
        <f>IF(B18="","",IF(Simulador!$F$9="Liquidez",'Tabla Fijos'!H18*0.16,IF(Simulador!$J$9="SI",H18*0.16,0)))</f>
        <v>0</v>
      </c>
      <c r="J18" s="86">
        <f t="shared" ca="1" si="4"/>
        <v>10421.884210717653</v>
      </c>
      <c r="K18" s="86">
        <f t="shared" ca="1" si="14"/>
        <v>0</v>
      </c>
      <c r="L18" s="86">
        <f ca="1">IF(B18="","",IF(F18=0,0,IF(Sheet1!$I$10=6,'Tabla Fijos'!$C$3*'Tabla Fijos'!$F$5,$F$5*$C$5)))</f>
        <v>0</v>
      </c>
      <c r="M18" s="86">
        <f t="shared" ca="1" si="5"/>
        <v>0</v>
      </c>
      <c r="N18" s="86">
        <f ca="1">IF(B18="","",IF(F18=0,0,IF(Simulador!$N$7='Tabla Parámetros'!$C$31,AportPat!L10,IF(Simulador!$N$7='Tabla Parámetros'!$C$34,AportPatFov!G8,0))))</f>
        <v>0</v>
      </c>
      <c r="O18" s="86">
        <f>Simulador!N73</f>
        <v>0</v>
      </c>
      <c r="P18" s="86"/>
      <c r="Q18" s="86">
        <f>IF(O18&gt;0,(O18-(O18/(1+Sheet1!$AD$13))),0)</f>
        <v>0</v>
      </c>
      <c r="R18" s="86">
        <f t="shared" ca="1" si="15"/>
        <v>10421.884210717653</v>
      </c>
      <c r="S18" s="86">
        <f t="shared" ca="1" si="6"/>
        <v>991844.56960992911</v>
      </c>
      <c r="U18" s="201">
        <f t="shared" ca="1" si="16"/>
        <v>1197.625597457926</v>
      </c>
      <c r="V18" s="201">
        <f t="shared" ca="1" si="7"/>
        <v>9224.258613259728</v>
      </c>
      <c r="W18" s="202">
        <f t="shared" ca="1" si="8"/>
        <v>10421.884210717653</v>
      </c>
      <c r="X18" s="201">
        <f t="shared" ca="1" si="9"/>
        <v>1197.6255974579253</v>
      </c>
      <c r="Y18" s="201">
        <f t="shared" ca="1" si="10"/>
        <v>9224.258613259728</v>
      </c>
      <c r="Z18" s="201">
        <f t="shared" ca="1" si="17"/>
        <v>10421.884210717653</v>
      </c>
      <c r="AA18" s="201">
        <f t="shared" ca="1" si="11"/>
        <v>1197.6255974579253</v>
      </c>
      <c r="AB18" s="201">
        <f t="shared" ca="1" si="12"/>
        <v>9224.258613259728</v>
      </c>
      <c r="AC18" s="201">
        <f t="shared" ca="1" si="18"/>
        <v>10421.884210717653</v>
      </c>
    </row>
    <row r="19" spans="2:29" x14ac:dyDescent="0.3">
      <c r="B19" s="84">
        <f t="shared" si="13"/>
        <v>8</v>
      </c>
      <c r="C19" s="85">
        <f ca="1">IF($B19="","",'Fecha Pago'!K11)</f>
        <v>46390</v>
      </c>
      <c r="D19" s="86">
        <f>IF($B$12="","",'Fecha Pago'!L11)</f>
        <v>30.4</v>
      </c>
      <c r="E19" s="87">
        <f t="shared" si="1"/>
        <v>0.11</v>
      </c>
      <c r="F19" s="86">
        <f t="shared" ca="1" si="2"/>
        <v>991844.56960992911</v>
      </c>
      <c r="G19" s="86">
        <f t="shared" ca="1" si="0"/>
        <v>1208.7502085632022</v>
      </c>
      <c r="H19" s="86">
        <f t="shared" ca="1" si="3"/>
        <v>9213.1340021544511</v>
      </c>
      <c r="I19" s="86">
        <f>IF(B19="","",IF(Simulador!$F$9="Liquidez",'Tabla Fijos'!H19*0.16,IF(Simulador!$J$9="SI",H19*0.16,0)))</f>
        <v>0</v>
      </c>
      <c r="J19" s="86">
        <f t="shared" ca="1" si="4"/>
        <v>10421.884210717653</v>
      </c>
      <c r="K19" s="86">
        <f t="shared" ca="1" si="14"/>
        <v>0</v>
      </c>
      <c r="L19" s="86">
        <f ca="1">IF(B19="","",IF(F19=0,0,IF(Sheet1!$I$10=6,'Tabla Fijos'!$C$3*'Tabla Fijos'!$F$5,$F$5*$C$5)))</f>
        <v>0</v>
      </c>
      <c r="M19" s="86">
        <f t="shared" ca="1" si="5"/>
        <v>0</v>
      </c>
      <c r="N19" s="86">
        <f ca="1">IF(B19="","",IF(F19=0,0,IF(Simulador!$N$7='Tabla Parámetros'!$C$31,AportPat!L11,IF(Simulador!$N$7='Tabla Parámetros'!$C$34,AportPatFov!G9,0))))</f>
        <v>0</v>
      </c>
      <c r="O19" s="86">
        <f>Simulador!N74</f>
        <v>0</v>
      </c>
      <c r="P19" s="86"/>
      <c r="Q19" s="86">
        <f>IF(O19&gt;0,(O19-(O19/(1+Sheet1!$AD$13))),0)</f>
        <v>0</v>
      </c>
      <c r="R19" s="86">
        <f t="shared" ca="1" si="15"/>
        <v>10421.884210717653</v>
      </c>
      <c r="S19" s="86">
        <f t="shared" ca="1" si="6"/>
        <v>990635.81940136594</v>
      </c>
      <c r="U19" s="201">
        <f t="shared" ca="1" si="16"/>
        <v>1208.750208563202</v>
      </c>
      <c r="V19" s="201">
        <f t="shared" ca="1" si="7"/>
        <v>9213.1340021544511</v>
      </c>
      <c r="W19" s="202">
        <f t="shared" ca="1" si="8"/>
        <v>10421.884210717653</v>
      </c>
      <c r="X19" s="201">
        <f t="shared" ca="1" si="9"/>
        <v>1208.7502085632022</v>
      </c>
      <c r="Y19" s="201">
        <f t="shared" ca="1" si="10"/>
        <v>9213.1340021544511</v>
      </c>
      <c r="Z19" s="201">
        <f t="shared" ca="1" si="17"/>
        <v>10421.884210717653</v>
      </c>
      <c r="AA19" s="201">
        <f t="shared" ca="1" si="11"/>
        <v>1208.7502085632022</v>
      </c>
      <c r="AB19" s="201">
        <f t="shared" ca="1" si="12"/>
        <v>9213.1340021544511</v>
      </c>
      <c r="AC19" s="201">
        <f t="shared" ca="1" si="18"/>
        <v>10421.884210717653</v>
      </c>
    </row>
    <row r="20" spans="2:29" x14ac:dyDescent="0.3">
      <c r="B20" s="84">
        <f t="shared" si="13"/>
        <v>9</v>
      </c>
      <c r="C20" s="85">
        <f ca="1">IF($B20="","",'Fecha Pago'!K12)</f>
        <v>46421</v>
      </c>
      <c r="D20" s="86">
        <f>IF($B$12="","",'Fecha Pago'!L12)</f>
        <v>30.4</v>
      </c>
      <c r="E20" s="87">
        <f t="shared" si="1"/>
        <v>0.11</v>
      </c>
      <c r="F20" s="86">
        <f t="shared" ca="1" si="2"/>
        <v>990635.81940136594</v>
      </c>
      <c r="G20" s="86">
        <f t="shared" ca="1" si="0"/>
        <v>1219.9781549449654</v>
      </c>
      <c r="H20" s="86">
        <f t="shared" ca="1" si="3"/>
        <v>9201.906055772688</v>
      </c>
      <c r="I20" s="86">
        <f>IF(B20="","",IF(Simulador!$F$9="Liquidez",'Tabla Fijos'!H20*0.16,IF(Simulador!$J$9="SI",H20*0.16,0)))</f>
        <v>0</v>
      </c>
      <c r="J20" s="86">
        <f t="shared" ca="1" si="4"/>
        <v>10421.884210717653</v>
      </c>
      <c r="K20" s="86">
        <f t="shared" ca="1" si="14"/>
        <v>0</v>
      </c>
      <c r="L20" s="86">
        <f ca="1">IF(B20="","",IF(F20=0,0,IF(Sheet1!$I$10=6,'Tabla Fijos'!$C$3*'Tabla Fijos'!$F$5,$F$5*$C$5)))</f>
        <v>0</v>
      </c>
      <c r="M20" s="86">
        <f t="shared" ca="1" si="5"/>
        <v>0</v>
      </c>
      <c r="N20" s="86">
        <f ca="1">IF(B20="","",IF(F20=0,0,IF(Simulador!$N$7='Tabla Parámetros'!$C$31,AportPat!L12,IF(Simulador!$N$7='Tabla Parámetros'!$C$34,AportPatFov!G10,0))))</f>
        <v>0</v>
      </c>
      <c r="O20" s="86">
        <f>Simulador!N75</f>
        <v>0</v>
      </c>
      <c r="P20" s="86"/>
      <c r="Q20" s="86">
        <f>IF(O20&gt;0,(O20-(O20/(1+Sheet1!$AD$13))),0)</f>
        <v>0</v>
      </c>
      <c r="R20" s="86">
        <f t="shared" ca="1" si="15"/>
        <v>10421.884210717653</v>
      </c>
      <c r="S20" s="86">
        <f t="shared" ca="1" si="6"/>
        <v>989415.84124642098</v>
      </c>
      <c r="U20" s="201">
        <f t="shared" ca="1" si="16"/>
        <v>1219.9781549449669</v>
      </c>
      <c r="V20" s="201">
        <f t="shared" ca="1" si="7"/>
        <v>9201.906055772688</v>
      </c>
      <c r="W20" s="202">
        <f t="shared" ca="1" si="8"/>
        <v>10421.884210717655</v>
      </c>
      <c r="X20" s="201">
        <f t="shared" ca="1" si="9"/>
        <v>1219.9781549449654</v>
      </c>
      <c r="Y20" s="201">
        <f t="shared" ca="1" si="10"/>
        <v>9201.906055772688</v>
      </c>
      <c r="Z20" s="201">
        <f t="shared" ca="1" si="17"/>
        <v>10421.884210717653</v>
      </c>
      <c r="AA20" s="201">
        <f t="shared" ca="1" si="11"/>
        <v>1219.9781549449654</v>
      </c>
      <c r="AB20" s="201">
        <f t="shared" ca="1" si="12"/>
        <v>9201.906055772688</v>
      </c>
      <c r="AC20" s="201">
        <f t="shared" ca="1" si="18"/>
        <v>10421.884210717653</v>
      </c>
    </row>
    <row r="21" spans="2:29" x14ac:dyDescent="0.3">
      <c r="B21" s="84">
        <f t="shared" si="13"/>
        <v>10</v>
      </c>
      <c r="C21" s="85">
        <f ca="1">IF($B21="","",'Fecha Pago'!K13)</f>
        <v>46449</v>
      </c>
      <c r="D21" s="86">
        <f>IF($B$12="","",'Fecha Pago'!L13)</f>
        <v>30.4</v>
      </c>
      <c r="E21" s="87">
        <f t="shared" si="1"/>
        <v>0.11</v>
      </c>
      <c r="F21" s="86">
        <f t="shared" ca="1" si="2"/>
        <v>989415.84124642098</v>
      </c>
      <c r="G21" s="86">
        <f t="shared" ca="1" si="0"/>
        <v>1231.3103964731217</v>
      </c>
      <c r="H21" s="86">
        <f t="shared" ca="1" si="3"/>
        <v>9190.5738142445316</v>
      </c>
      <c r="I21" s="86">
        <f>IF(B21="","",IF(Simulador!$F$9="Liquidez",'Tabla Fijos'!H21*0.16,IF(Simulador!$J$9="SI",H21*0.16,0)))</f>
        <v>0</v>
      </c>
      <c r="J21" s="86">
        <f t="shared" ca="1" si="4"/>
        <v>10421.884210717653</v>
      </c>
      <c r="K21" s="86">
        <f t="shared" ca="1" si="14"/>
        <v>0</v>
      </c>
      <c r="L21" s="86">
        <f ca="1">IF(B21="","",IF(F21=0,0,IF(Sheet1!$I$10=6,'Tabla Fijos'!$C$3*'Tabla Fijos'!$F$5,$F$5*$C$5)))</f>
        <v>0</v>
      </c>
      <c r="M21" s="86">
        <f t="shared" ca="1" si="5"/>
        <v>0</v>
      </c>
      <c r="N21" s="86">
        <f ca="1">IF(B21="","",IF(F21=0,0,IF(Simulador!$N$7='Tabla Parámetros'!$C$31,AportPat!L13,IF(Simulador!$N$7='Tabla Parámetros'!$C$34,AportPatFov!G11,0))))</f>
        <v>0</v>
      </c>
      <c r="O21" s="86">
        <f>Simulador!N76</f>
        <v>0</v>
      </c>
      <c r="P21" s="86"/>
      <c r="Q21" s="86">
        <f>IF(O21&gt;0,(O21-(O21/(1+Sheet1!$AD$13))),0)</f>
        <v>0</v>
      </c>
      <c r="R21" s="86">
        <f t="shared" ca="1" si="15"/>
        <v>10421.884210717653</v>
      </c>
      <c r="S21" s="86">
        <f t="shared" ca="1" si="6"/>
        <v>988184.53084994783</v>
      </c>
      <c r="U21" s="201">
        <f t="shared" ca="1" si="16"/>
        <v>1231.3103964731222</v>
      </c>
      <c r="V21" s="201">
        <f t="shared" ca="1" si="7"/>
        <v>9190.5738142445316</v>
      </c>
      <c r="W21" s="202">
        <f t="shared" ca="1" si="8"/>
        <v>10421.884210717653</v>
      </c>
      <c r="X21" s="201">
        <f t="shared" ca="1" si="9"/>
        <v>1231.3103964731217</v>
      </c>
      <c r="Y21" s="201">
        <f t="shared" ca="1" si="10"/>
        <v>9190.5738142445316</v>
      </c>
      <c r="Z21" s="201">
        <f t="shared" ca="1" si="17"/>
        <v>10421.884210717653</v>
      </c>
      <c r="AA21" s="201">
        <f t="shared" ca="1" si="11"/>
        <v>1231.3103964731217</v>
      </c>
      <c r="AB21" s="201">
        <f t="shared" ca="1" si="12"/>
        <v>9190.5738142445316</v>
      </c>
      <c r="AC21" s="201">
        <f t="shared" ca="1" si="18"/>
        <v>10421.884210717653</v>
      </c>
    </row>
    <row r="22" spans="2:29" x14ac:dyDescent="0.3">
      <c r="B22" s="84">
        <f t="shared" si="13"/>
        <v>11</v>
      </c>
      <c r="C22" s="85">
        <f ca="1">IF($B22="","",'Fecha Pago'!K14)</f>
        <v>46480</v>
      </c>
      <c r="D22" s="86">
        <f>IF($B$12="","",'Fecha Pago'!L14)</f>
        <v>30.4</v>
      </c>
      <c r="E22" s="87">
        <f t="shared" si="1"/>
        <v>0.11</v>
      </c>
      <c r="F22" s="86">
        <f t="shared" ca="1" si="2"/>
        <v>988184.53084994783</v>
      </c>
      <c r="G22" s="86">
        <f t="shared" ca="1" si="0"/>
        <v>1242.7479019336934</v>
      </c>
      <c r="H22" s="86">
        <f t="shared" ca="1" si="3"/>
        <v>9179.13630878396</v>
      </c>
      <c r="I22" s="86">
        <f>IF(B22="","",IF(Simulador!$F$9="Liquidez",'Tabla Fijos'!H22*0.16,IF(Simulador!$J$9="SI",H22*0.16,0)))</f>
        <v>0</v>
      </c>
      <c r="J22" s="86">
        <f t="shared" ca="1" si="4"/>
        <v>10421.884210717653</v>
      </c>
      <c r="K22" s="86">
        <f t="shared" ca="1" si="14"/>
        <v>0</v>
      </c>
      <c r="L22" s="86">
        <f ca="1">IF(B22="","",IF(F22=0,0,IF(Sheet1!$I$10=6,'Tabla Fijos'!$C$3*'Tabla Fijos'!$F$5,$F$5*$C$5)))</f>
        <v>0</v>
      </c>
      <c r="M22" s="86">
        <f t="shared" ca="1" si="5"/>
        <v>0</v>
      </c>
      <c r="N22" s="86">
        <f ca="1">IF(B22="","",IF(F22=0,0,IF(Simulador!$N$7='Tabla Parámetros'!$C$31,AportPat!L14,IF(Simulador!$N$7='Tabla Parámetros'!$C$34,AportPatFov!G12,0))))</f>
        <v>0</v>
      </c>
      <c r="O22" s="86">
        <f>Simulador!N77</f>
        <v>0</v>
      </c>
      <c r="P22" s="86"/>
      <c r="Q22" s="86">
        <f>IF(O22&gt;0,(O22-(O22/(1+Sheet1!$AD$13))),0)</f>
        <v>0</v>
      </c>
      <c r="R22" s="86">
        <f t="shared" ca="1" si="15"/>
        <v>10421.884210717653</v>
      </c>
      <c r="S22" s="86">
        <f t="shared" ca="1" si="6"/>
        <v>986941.78294801409</v>
      </c>
      <c r="U22" s="201">
        <f t="shared" ca="1" si="16"/>
        <v>1242.7479019336949</v>
      </c>
      <c r="V22" s="201">
        <f t="shared" ca="1" si="7"/>
        <v>9179.13630878396</v>
      </c>
      <c r="W22" s="202">
        <f t="shared" ca="1" si="8"/>
        <v>10421.884210717655</v>
      </c>
      <c r="X22" s="201">
        <f t="shared" ca="1" si="9"/>
        <v>1242.7479019336934</v>
      </c>
      <c r="Y22" s="201">
        <f t="shared" ca="1" si="10"/>
        <v>9179.13630878396</v>
      </c>
      <c r="Z22" s="201">
        <f t="shared" ca="1" si="17"/>
        <v>10421.884210717653</v>
      </c>
      <c r="AA22" s="201">
        <f t="shared" ca="1" si="11"/>
        <v>1242.7479019336934</v>
      </c>
      <c r="AB22" s="201">
        <f t="shared" ca="1" si="12"/>
        <v>9179.13630878396</v>
      </c>
      <c r="AC22" s="201">
        <f t="shared" ca="1" si="18"/>
        <v>10421.884210717653</v>
      </c>
    </row>
    <row r="23" spans="2:29" x14ac:dyDescent="0.3">
      <c r="B23" s="84">
        <f t="shared" si="13"/>
        <v>12</v>
      </c>
      <c r="C23" s="85">
        <f ca="1">IF($B23="","",'Fecha Pago'!K15)</f>
        <v>46510</v>
      </c>
      <c r="D23" s="86">
        <f>IF($B$12="","",'Fecha Pago'!L15)</f>
        <v>30.4</v>
      </c>
      <c r="E23" s="87">
        <f t="shared" si="1"/>
        <v>0.11</v>
      </c>
      <c r="F23" s="86">
        <f t="shared" ca="1" si="2"/>
        <v>986941.78294801409</v>
      </c>
      <c r="G23" s="86">
        <f t="shared" ca="1" si="0"/>
        <v>1254.2916491116539</v>
      </c>
      <c r="H23" s="86">
        <f t="shared" ca="1" si="3"/>
        <v>9167.5925616059976</v>
      </c>
      <c r="I23" s="86">
        <f>IF(B23="","",IF(Simulador!$F$9="Liquidez",'Tabla Fijos'!H23*0.16,IF(Simulador!$J$9="SI",H23*0.16,0)))</f>
        <v>0</v>
      </c>
      <c r="J23" s="86">
        <f t="shared" ca="1" si="4"/>
        <v>10421.884210717652</v>
      </c>
      <c r="K23" s="86">
        <f t="shared" ca="1" si="14"/>
        <v>0</v>
      </c>
      <c r="L23" s="86">
        <f ca="1">IF(B23="","",IF(F23=0,0,IF(Sheet1!$I$10=6,'Tabla Fijos'!$C$3*'Tabla Fijos'!$F$5,$F$5*$C$5)))</f>
        <v>0</v>
      </c>
      <c r="M23" s="86">
        <f t="shared" ca="1" si="5"/>
        <v>0</v>
      </c>
      <c r="N23" s="86">
        <f ca="1">IF(B23="","",IF(F23=0,0,IF(Simulador!$N$7='Tabla Parámetros'!$C$31,AportPat!L15,IF(Simulador!$N$7='Tabla Parámetros'!$C$34,AportPatFov!G13,0))))</f>
        <v>0</v>
      </c>
      <c r="O23" s="86">
        <f>Simulador!N78</f>
        <v>0</v>
      </c>
      <c r="P23" s="86"/>
      <c r="Q23" s="86">
        <f>IF(O23&gt;0,(O23-(O23/(1+Sheet1!$AD$13))),0)</f>
        <v>0</v>
      </c>
      <c r="R23" s="86">
        <f t="shared" ca="1" si="15"/>
        <v>10421.884210717652</v>
      </c>
      <c r="S23" s="86">
        <f t="shared" ca="1" si="6"/>
        <v>985687.49129890243</v>
      </c>
      <c r="U23" s="201">
        <f t="shared" ca="1" si="16"/>
        <v>1254.2916491116566</v>
      </c>
      <c r="V23" s="201">
        <f t="shared" ca="1" si="7"/>
        <v>9167.5925616059976</v>
      </c>
      <c r="W23" s="202">
        <f t="shared" ca="1" si="8"/>
        <v>10421.884210717653</v>
      </c>
      <c r="X23" s="201">
        <f t="shared" ca="1" si="9"/>
        <v>1254.2916491116557</v>
      </c>
      <c r="Y23" s="201">
        <f t="shared" ca="1" si="10"/>
        <v>9167.5925616059976</v>
      </c>
      <c r="Z23" s="201">
        <f t="shared" ca="1" si="17"/>
        <v>10421.884210717653</v>
      </c>
      <c r="AA23" s="201">
        <f t="shared" ca="1" si="11"/>
        <v>1254.2916491116539</v>
      </c>
      <c r="AB23" s="201">
        <f t="shared" ca="1" si="12"/>
        <v>9167.5925616059976</v>
      </c>
      <c r="AC23" s="201">
        <f t="shared" ca="1" si="18"/>
        <v>10421.884210717652</v>
      </c>
    </row>
    <row r="24" spans="2:29" x14ac:dyDescent="0.3">
      <c r="B24" s="84">
        <f t="shared" si="13"/>
        <v>13</v>
      </c>
      <c r="C24" s="85">
        <f ca="1">IF($B24="","",'Fecha Pago'!K16)</f>
        <v>46541</v>
      </c>
      <c r="D24" s="86">
        <f>IF($B$12="","",'Fecha Pago'!L16)</f>
        <v>30.4</v>
      </c>
      <c r="E24" s="87">
        <f t="shared" si="1"/>
        <v>0.11</v>
      </c>
      <c r="F24" s="86">
        <f t="shared" ca="1" si="2"/>
        <v>985687.49129890243</v>
      </c>
      <c r="G24" s="86">
        <f t="shared" ca="1" si="0"/>
        <v>1265.9426248745167</v>
      </c>
      <c r="H24" s="86">
        <f t="shared" ca="1" si="3"/>
        <v>9155.9415858431366</v>
      </c>
      <c r="I24" s="86">
        <f>IF(B24="","",IF(Simulador!$F$9="Liquidez",'Tabla Fijos'!H24*0.16,IF(Simulador!$J$9="SI",H24*0.16,0)))</f>
        <v>0</v>
      </c>
      <c r="J24" s="86">
        <f t="shared" ca="1" si="4"/>
        <v>10421.884210717653</v>
      </c>
      <c r="K24" s="86">
        <f t="shared" ca="1" si="14"/>
        <v>0</v>
      </c>
      <c r="L24" s="86">
        <f ca="1">IF(B24="","",IF(F24=0,0,IF(Sheet1!$I$10=6,'Tabla Fijos'!$C$3*'Tabla Fijos'!$F$5,$F$5*$C$5)))</f>
        <v>0</v>
      </c>
      <c r="M24" s="86">
        <f t="shared" ca="1" si="5"/>
        <v>0</v>
      </c>
      <c r="N24" s="86">
        <f ca="1">IF(B24="","",IF(F24=0,0,IF(Simulador!$N$7='Tabla Parámetros'!$C$31,AportPat!L16,IF(Simulador!$N$7='Tabla Parámetros'!$C$34,AportPatFov!G14,0))))</f>
        <v>0</v>
      </c>
      <c r="O24" s="86">
        <f>Simulador!N79</f>
        <v>0</v>
      </c>
      <c r="P24" s="86"/>
      <c r="Q24" s="86">
        <f>IF(O24&gt;0,(O24-(O24/(1+Sheet1!$AD$13))),0)</f>
        <v>0</v>
      </c>
      <c r="R24" s="86">
        <f t="shared" ca="1" si="15"/>
        <v>10421.884210717653</v>
      </c>
      <c r="S24" s="86">
        <f t="shared" ca="1" si="6"/>
        <v>984421.5486740279</v>
      </c>
      <c r="U24" s="201">
        <f t="shared" ca="1" si="16"/>
        <v>1265.9426248745165</v>
      </c>
      <c r="V24" s="201">
        <f t="shared" ca="1" si="7"/>
        <v>9155.9415858431366</v>
      </c>
      <c r="W24" s="202">
        <f t="shared" ca="1" si="8"/>
        <v>10421.884210717653</v>
      </c>
      <c r="X24" s="201">
        <f t="shared" ca="1" si="9"/>
        <v>1265.9426248745167</v>
      </c>
      <c r="Y24" s="201">
        <f t="shared" ca="1" si="10"/>
        <v>9155.9415858431366</v>
      </c>
      <c r="Z24" s="201">
        <f t="shared" ca="1" si="17"/>
        <v>10421.884210717653</v>
      </c>
      <c r="AA24" s="201">
        <f t="shared" ca="1" si="11"/>
        <v>1265.9426248745167</v>
      </c>
      <c r="AB24" s="201">
        <f t="shared" ca="1" si="12"/>
        <v>9155.9415858431366</v>
      </c>
      <c r="AC24" s="201">
        <f t="shared" ca="1" si="18"/>
        <v>10421.884210717653</v>
      </c>
    </row>
    <row r="25" spans="2:29" x14ac:dyDescent="0.3">
      <c r="B25" s="84">
        <f t="shared" si="13"/>
        <v>14</v>
      </c>
      <c r="C25" s="85">
        <f ca="1">IF($B25="","",'Fecha Pago'!K17)</f>
        <v>46571</v>
      </c>
      <c r="D25" s="86">
        <f>IF($B$12="","",'Fecha Pago'!L17)</f>
        <v>30.4</v>
      </c>
      <c r="E25" s="87">
        <f t="shared" si="1"/>
        <v>0.11</v>
      </c>
      <c r="F25" s="86">
        <f t="shared" ca="1" si="2"/>
        <v>984421.5486740279</v>
      </c>
      <c r="G25" s="86">
        <f t="shared" ca="1" si="0"/>
        <v>1277.7018252566832</v>
      </c>
      <c r="H25" s="86">
        <f t="shared" ca="1" si="3"/>
        <v>9144.1823854609702</v>
      </c>
      <c r="I25" s="86">
        <f>IF(B25="","",IF(Simulador!$F$9="Liquidez",'Tabla Fijos'!H25*0.16,IF(Simulador!$J$9="SI",H25*0.16,0)))</f>
        <v>0</v>
      </c>
      <c r="J25" s="86">
        <f t="shared" ca="1" si="4"/>
        <v>10421.884210717653</v>
      </c>
      <c r="K25" s="86">
        <f t="shared" ca="1" si="14"/>
        <v>0</v>
      </c>
      <c r="L25" s="86">
        <f ca="1">IF(B25="","",IF(F25=0,0,IF(Sheet1!$I$10=6,'Tabla Fijos'!$C$3*'Tabla Fijos'!$F$5,$F$5*$C$5)))</f>
        <v>0</v>
      </c>
      <c r="M25" s="86">
        <f t="shared" ca="1" si="5"/>
        <v>0</v>
      </c>
      <c r="N25" s="86">
        <f ca="1">IF(B25="","",IF(F25=0,0,IF(Simulador!$N$7='Tabla Parámetros'!$C$31,AportPat!L17,IF(Simulador!$N$7='Tabla Parámetros'!$C$34,AportPatFov!G15,0))))</f>
        <v>0</v>
      </c>
      <c r="O25" s="86">
        <f>Simulador!N80</f>
        <v>0</v>
      </c>
      <c r="P25" s="86"/>
      <c r="Q25" s="86">
        <f>IF(O25&gt;0,(O25-(O25/(1+Sheet1!$AD$13))),0)</f>
        <v>0</v>
      </c>
      <c r="R25" s="86">
        <f t="shared" ca="1" si="15"/>
        <v>10421.884210717653</v>
      </c>
      <c r="S25" s="86">
        <f t="shared" ca="1" si="6"/>
        <v>983143.84684877121</v>
      </c>
      <c r="U25" s="201">
        <f t="shared" ca="1" si="16"/>
        <v>1277.7018252566838</v>
      </c>
      <c r="V25" s="201">
        <f t="shared" ca="1" si="7"/>
        <v>9144.1823854609702</v>
      </c>
      <c r="W25" s="202">
        <f t="shared" ca="1" si="8"/>
        <v>10421.884210717653</v>
      </c>
      <c r="X25" s="201">
        <f t="shared" ca="1" si="9"/>
        <v>1277.7018252566832</v>
      </c>
      <c r="Y25" s="201">
        <f t="shared" ca="1" si="10"/>
        <v>9144.1823854609702</v>
      </c>
      <c r="Z25" s="201">
        <f t="shared" ca="1" si="17"/>
        <v>10421.884210717653</v>
      </c>
      <c r="AA25" s="201">
        <f t="shared" ca="1" si="11"/>
        <v>1277.7018252566832</v>
      </c>
      <c r="AB25" s="201">
        <f t="shared" ca="1" si="12"/>
        <v>9144.1823854609702</v>
      </c>
      <c r="AC25" s="201">
        <f t="shared" ca="1" si="18"/>
        <v>10421.884210717653</v>
      </c>
    </row>
    <row r="26" spans="2:29" x14ac:dyDescent="0.3">
      <c r="B26" s="84">
        <f t="shared" si="13"/>
        <v>15</v>
      </c>
      <c r="C26" s="85">
        <f ca="1">IF($B26="","",'Fecha Pago'!K18)</f>
        <v>46602</v>
      </c>
      <c r="D26" s="86">
        <f>IF($B$12="","",'Fecha Pago'!L18)</f>
        <v>30.4</v>
      </c>
      <c r="E26" s="87">
        <f t="shared" si="1"/>
        <v>0.11</v>
      </c>
      <c r="F26" s="86">
        <f ca="1">IF(B26="","",F25-G25)</f>
        <v>983143.84684877121</v>
      </c>
      <c r="G26" s="86">
        <f t="shared" ca="1" si="0"/>
        <v>1289.5702555446242</v>
      </c>
      <c r="H26" s="86">
        <f t="shared" ca="1" si="3"/>
        <v>9132.3139551730292</v>
      </c>
      <c r="I26" s="86">
        <f>IF(B26="","",IF(Simulador!$F$9="Liquidez",'Tabla Fijos'!H26*0.16,IF(Simulador!$J$9="SI",H26*0.16,0)))</f>
        <v>0</v>
      </c>
      <c r="J26" s="86">
        <f t="shared" ca="1" si="4"/>
        <v>10421.884210717653</v>
      </c>
      <c r="K26" s="86">
        <f t="shared" ca="1" si="14"/>
        <v>0</v>
      </c>
      <c r="L26" s="86">
        <f ca="1">IF(B26="","",IF(F26=0,0,IF(Sheet1!$I$10=6,'Tabla Fijos'!$C$3*'Tabla Fijos'!$F$5,$F$5*$C$5)))</f>
        <v>0</v>
      </c>
      <c r="M26" s="86">
        <f t="shared" ca="1" si="5"/>
        <v>0</v>
      </c>
      <c r="N26" s="86">
        <f ca="1">IF(B26="","",IF(F26=0,0,IF(Simulador!$N$7='Tabla Parámetros'!$C$31,AportPat!L18,IF(Simulador!$N$7='Tabla Parámetros'!$C$34,AportPatFov!G16,0))))</f>
        <v>0</v>
      </c>
      <c r="O26" s="86">
        <f>Simulador!N81</f>
        <v>0</v>
      </c>
      <c r="P26" s="86"/>
      <c r="Q26" s="86">
        <f>IF(O26&gt;0,(O26-(O26/(1+Sheet1!$AD$13))),0)</f>
        <v>0</v>
      </c>
      <c r="R26" s="86">
        <f t="shared" ca="1" si="15"/>
        <v>10421.884210717653</v>
      </c>
      <c r="S26" s="86">
        <f t="shared" ca="1" si="6"/>
        <v>981854.27659322659</v>
      </c>
      <c r="U26" s="201">
        <f t="shared" ca="1" si="16"/>
        <v>1289.5702555446237</v>
      </c>
      <c r="V26" s="201">
        <f t="shared" ca="1" si="7"/>
        <v>9132.3139551730292</v>
      </c>
      <c r="W26" s="202">
        <f t="shared" ca="1" si="8"/>
        <v>10421.884210717653</v>
      </c>
      <c r="X26" s="201">
        <f t="shared" ca="1" si="9"/>
        <v>1289.5702555446242</v>
      </c>
      <c r="Y26" s="201">
        <f t="shared" ca="1" si="10"/>
        <v>9132.3139551730292</v>
      </c>
      <c r="Z26" s="201">
        <f t="shared" ca="1" si="17"/>
        <v>10421.884210717653</v>
      </c>
      <c r="AA26" s="201">
        <f t="shared" ca="1" si="11"/>
        <v>1289.5702555446242</v>
      </c>
      <c r="AB26" s="201">
        <f t="shared" ca="1" si="12"/>
        <v>9132.3139551730292</v>
      </c>
      <c r="AC26" s="201">
        <f t="shared" ca="1" si="18"/>
        <v>10421.884210717653</v>
      </c>
    </row>
    <row r="27" spans="2:29" x14ac:dyDescent="0.3">
      <c r="B27" s="84">
        <f t="shared" si="13"/>
        <v>16</v>
      </c>
      <c r="C27" s="85">
        <f ca="1">IF($B27="","",'Fecha Pago'!K19)</f>
        <v>46633</v>
      </c>
      <c r="D27" s="86">
        <f>IF($B$12="","",'Fecha Pago'!L19)</f>
        <v>30.4</v>
      </c>
      <c r="E27" s="87">
        <f t="shared" si="1"/>
        <v>0.11</v>
      </c>
      <c r="F27" s="86">
        <f t="shared" ref="F27:F90" ca="1" si="19">IF(B27="","",F26-G26)</f>
        <v>981854.27659322659</v>
      </c>
      <c r="G27" s="86">
        <f t="shared" ca="1" si="0"/>
        <v>1301.548930362791</v>
      </c>
      <c r="H27" s="86">
        <f t="shared" ca="1" si="3"/>
        <v>9120.3352803548605</v>
      </c>
      <c r="I27" s="86">
        <f>IF(B27="","",IF(Simulador!$F$9="Liquidez",'Tabla Fijos'!H27*0.16,IF(Simulador!$J$9="SI",H27*0.16,0)))</f>
        <v>0</v>
      </c>
      <c r="J27" s="86">
        <f t="shared" ca="1" si="4"/>
        <v>10421.884210717652</v>
      </c>
      <c r="K27" s="86">
        <f t="shared" ca="1" si="14"/>
        <v>0</v>
      </c>
      <c r="L27" s="86">
        <f ca="1">IF(B27="","",IF(F27=0,0,IF(Sheet1!$I$10=6,'Tabla Fijos'!$C$3*'Tabla Fijos'!$F$5,$F$5*$C$5)))</f>
        <v>0</v>
      </c>
      <c r="M27" s="86">
        <f t="shared" ca="1" si="5"/>
        <v>0</v>
      </c>
      <c r="N27" s="86">
        <f ca="1">IF(B27="","",IF(F27=0,0,IF(Simulador!$N$7='Tabla Parámetros'!$C$31,AportPat!L19,IF(Simulador!$N$7='Tabla Parámetros'!$C$34,AportPatFov!G17,0))))</f>
        <v>0</v>
      </c>
      <c r="O27" s="86">
        <f>Simulador!N82</f>
        <v>0</v>
      </c>
      <c r="P27" s="86"/>
      <c r="Q27" s="86">
        <f>IF(O27&gt;0,(O27-(O27/(1+Sheet1!$AD$13))),0)</f>
        <v>0</v>
      </c>
      <c r="R27" s="86">
        <f t="shared" ca="1" si="15"/>
        <v>10421.884210717652</v>
      </c>
      <c r="S27" s="86">
        <f t="shared" ca="1" si="6"/>
        <v>980552.72766286379</v>
      </c>
      <c r="U27" s="201">
        <f t="shared" ca="1" si="16"/>
        <v>1301.5489303627935</v>
      </c>
      <c r="V27" s="201">
        <f t="shared" ca="1" si="7"/>
        <v>9120.3352803548605</v>
      </c>
      <c r="W27" s="202">
        <f t="shared" ca="1" si="8"/>
        <v>10421.884210717653</v>
      </c>
      <c r="X27" s="201">
        <f t="shared" ca="1" si="9"/>
        <v>1301.5489303627928</v>
      </c>
      <c r="Y27" s="201">
        <f t="shared" ca="1" si="10"/>
        <v>9120.3352803548605</v>
      </c>
      <c r="Z27" s="201">
        <f t="shared" ca="1" si="17"/>
        <v>10421.884210717653</v>
      </c>
      <c r="AA27" s="201">
        <f t="shared" ca="1" si="11"/>
        <v>1301.548930362791</v>
      </c>
      <c r="AB27" s="201">
        <f t="shared" ca="1" si="12"/>
        <v>9120.3352803548605</v>
      </c>
      <c r="AC27" s="201">
        <f t="shared" ca="1" si="18"/>
        <v>10421.884210717652</v>
      </c>
    </row>
    <row r="28" spans="2:29" x14ac:dyDescent="0.3">
      <c r="B28" s="84">
        <f t="shared" si="13"/>
        <v>17</v>
      </c>
      <c r="C28" s="85">
        <f ca="1">IF($B28="","",'Fecha Pago'!K20)</f>
        <v>46663</v>
      </c>
      <c r="D28" s="86">
        <f>IF($B$12="","",'Fecha Pago'!L20)</f>
        <v>30.4</v>
      </c>
      <c r="E28" s="87">
        <f t="shared" si="1"/>
        <v>0.11</v>
      </c>
      <c r="F28" s="86">
        <f t="shared" ca="1" si="19"/>
        <v>980552.72766286379</v>
      </c>
      <c r="G28" s="86">
        <f t="shared" ca="1" si="0"/>
        <v>1313.6388737603866</v>
      </c>
      <c r="H28" s="86">
        <f t="shared" ca="1" si="3"/>
        <v>9108.2453369572668</v>
      </c>
      <c r="I28" s="86">
        <f>IF(B28="","",IF(Simulador!$F$9="Liquidez",'Tabla Fijos'!H28*0.16,IF(Simulador!$J$9="SI",H28*0.16,0)))</f>
        <v>0</v>
      </c>
      <c r="J28" s="86">
        <f t="shared" ca="1" si="4"/>
        <v>10421.884210717653</v>
      </c>
      <c r="K28" s="86">
        <f t="shared" ca="1" si="14"/>
        <v>0</v>
      </c>
      <c r="L28" s="86">
        <f ca="1">IF(B28="","",IF(F28=0,0,IF(Sheet1!$I$10=6,'Tabla Fijos'!$C$3*'Tabla Fijos'!$F$5,$F$5*$C$5)))</f>
        <v>0</v>
      </c>
      <c r="M28" s="86">
        <f t="shared" ca="1" si="5"/>
        <v>0</v>
      </c>
      <c r="N28" s="86">
        <f ca="1">IF(B28="","",IF(F28=0,0,IF(Simulador!$N$7='Tabla Parámetros'!$C$31,AportPat!L20,IF(Simulador!$N$7='Tabla Parámetros'!$C$34,AportPatFov!G18,0))))</f>
        <v>0</v>
      </c>
      <c r="O28" s="86">
        <f>Simulador!N83</f>
        <v>0</v>
      </c>
      <c r="P28" s="86"/>
      <c r="Q28" s="86">
        <f>IF(O28&gt;0,(O28-(O28/(1+Sheet1!$AD$13))),0)</f>
        <v>0</v>
      </c>
      <c r="R28" s="86">
        <f t="shared" ca="1" si="15"/>
        <v>10421.884210717653</v>
      </c>
      <c r="S28" s="86">
        <f t="shared" ca="1" si="6"/>
        <v>979239.08878910344</v>
      </c>
      <c r="U28" s="201">
        <f t="shared" ca="1" si="16"/>
        <v>1313.6388737603859</v>
      </c>
      <c r="V28" s="201">
        <f t="shared" ca="1" si="7"/>
        <v>9108.2453369572668</v>
      </c>
      <c r="W28" s="202">
        <f t="shared" ca="1" si="8"/>
        <v>10421.884210717653</v>
      </c>
      <c r="X28" s="201">
        <f t="shared" ca="1" si="9"/>
        <v>1313.6388737603866</v>
      </c>
      <c r="Y28" s="201">
        <f t="shared" ca="1" si="10"/>
        <v>9108.2453369572668</v>
      </c>
      <c r="Z28" s="201">
        <f t="shared" ca="1" si="17"/>
        <v>10421.884210717653</v>
      </c>
      <c r="AA28" s="201">
        <f t="shared" ca="1" si="11"/>
        <v>1313.6388737603866</v>
      </c>
      <c r="AB28" s="201">
        <f t="shared" ca="1" si="12"/>
        <v>9108.2453369572668</v>
      </c>
      <c r="AC28" s="201">
        <f t="shared" ca="1" si="18"/>
        <v>10421.884210717653</v>
      </c>
    </row>
    <row r="29" spans="2:29" x14ac:dyDescent="0.3">
      <c r="B29" s="84">
        <f t="shared" si="13"/>
        <v>18</v>
      </c>
      <c r="C29" s="85">
        <f ca="1">IF($B29="","",'Fecha Pago'!K21)</f>
        <v>46694</v>
      </c>
      <c r="D29" s="86">
        <f>IF($B$12="","",'Fecha Pago'!L21)</f>
        <v>30.4</v>
      </c>
      <c r="E29" s="87">
        <f t="shared" si="1"/>
        <v>0.11</v>
      </c>
      <c r="F29" s="86">
        <f t="shared" ca="1" si="19"/>
        <v>979239.08878910344</v>
      </c>
      <c r="G29" s="86">
        <f t="shared" ca="1" si="0"/>
        <v>1325.8411192988715</v>
      </c>
      <c r="H29" s="86">
        <f t="shared" ca="1" si="3"/>
        <v>9096.0430914187818</v>
      </c>
      <c r="I29" s="86">
        <f>IF(B29="","",IF(Simulador!$F$9="Liquidez",'Tabla Fijos'!H29*0.16,IF(Simulador!$J$9="SI",H29*0.16,0)))</f>
        <v>0</v>
      </c>
      <c r="J29" s="86">
        <f t="shared" ca="1" si="4"/>
        <v>10421.884210717653</v>
      </c>
      <c r="K29" s="86">
        <f t="shared" ca="1" si="14"/>
        <v>0</v>
      </c>
      <c r="L29" s="86">
        <f ca="1">IF(B29="","",IF(F29=0,0,IF(Sheet1!$I$10=6,'Tabla Fijos'!$C$3*'Tabla Fijos'!$F$5,$F$5*$C$5)))</f>
        <v>0</v>
      </c>
      <c r="M29" s="86">
        <f t="shared" ca="1" si="5"/>
        <v>0</v>
      </c>
      <c r="N29" s="86">
        <f ca="1">IF(B29="","",IF(F29=0,0,IF(Simulador!$N$7='Tabla Parámetros'!$C$31,AportPat!L21,IF(Simulador!$N$7='Tabla Parámetros'!$C$34,AportPatFov!G19,0))))</f>
        <v>0</v>
      </c>
      <c r="O29" s="86">
        <f>Simulador!N84</f>
        <v>0</v>
      </c>
      <c r="P29" s="86"/>
      <c r="Q29" s="86">
        <f>IF(O29&gt;0,(O29-(O29/(1+Sheet1!$AD$13))),0)</f>
        <v>0</v>
      </c>
      <c r="R29" s="86">
        <f t="shared" ca="1" si="15"/>
        <v>10421.884210717653</v>
      </c>
      <c r="S29" s="86">
        <f t="shared" ca="1" si="6"/>
        <v>977913.24766980461</v>
      </c>
      <c r="U29" s="201">
        <f t="shared" ca="1" si="16"/>
        <v>1325.8411192988717</v>
      </c>
      <c r="V29" s="201">
        <f t="shared" ca="1" si="7"/>
        <v>9096.0430914187818</v>
      </c>
      <c r="W29" s="202">
        <f t="shared" ca="1" si="8"/>
        <v>10421.884210717653</v>
      </c>
      <c r="X29" s="201">
        <f t="shared" ca="1" si="9"/>
        <v>1325.8411192988715</v>
      </c>
      <c r="Y29" s="201">
        <f t="shared" ca="1" si="10"/>
        <v>9096.0430914187818</v>
      </c>
      <c r="Z29" s="201">
        <f t="shared" ca="1" si="17"/>
        <v>10421.884210717653</v>
      </c>
      <c r="AA29" s="201">
        <f t="shared" ca="1" si="11"/>
        <v>1325.8411192988715</v>
      </c>
      <c r="AB29" s="201">
        <f t="shared" ca="1" si="12"/>
        <v>9096.0430914187818</v>
      </c>
      <c r="AC29" s="201">
        <f t="shared" ca="1" si="18"/>
        <v>10421.884210717653</v>
      </c>
    </row>
    <row r="30" spans="2:29" x14ac:dyDescent="0.3">
      <c r="B30" s="84">
        <f t="shared" si="13"/>
        <v>19</v>
      </c>
      <c r="C30" s="85">
        <f ca="1">IF($B30="","",'Fecha Pago'!K22)</f>
        <v>46724</v>
      </c>
      <c r="D30" s="86">
        <f>IF($B$12="","",'Fecha Pago'!L22)</f>
        <v>30.4</v>
      </c>
      <c r="E30" s="87">
        <f t="shared" si="1"/>
        <v>0.11</v>
      </c>
      <c r="F30" s="86">
        <f t="shared" ca="1" si="19"/>
        <v>977913.24766980461</v>
      </c>
      <c r="G30" s="86">
        <f t="shared" ca="1" si="0"/>
        <v>1338.156710140358</v>
      </c>
      <c r="H30" s="86">
        <f t="shared" ca="1" si="3"/>
        <v>9083.7275005772954</v>
      </c>
      <c r="I30" s="86">
        <f>IF(B30="","",IF(Simulador!$F$9="Liquidez",'Tabla Fijos'!H30*0.16,IF(Simulador!$J$9="SI",H30*0.16,0)))</f>
        <v>0</v>
      </c>
      <c r="J30" s="86">
        <f t="shared" ca="1" si="4"/>
        <v>10421.884210717653</v>
      </c>
      <c r="K30" s="86">
        <f t="shared" ca="1" si="14"/>
        <v>0</v>
      </c>
      <c r="L30" s="86">
        <f ca="1">IF(B30="","",IF(F30=0,0,IF(Sheet1!$I$10=6,'Tabla Fijos'!$C$3*'Tabla Fijos'!$F$5,$F$5*$C$5)))</f>
        <v>0</v>
      </c>
      <c r="M30" s="86">
        <f t="shared" ca="1" si="5"/>
        <v>0</v>
      </c>
      <c r="N30" s="86">
        <f ca="1">IF(B30="","",IF(F30=0,0,IF(Simulador!$N$7='Tabla Parámetros'!$C$31,AportPat!L22,IF(Simulador!$N$7='Tabla Parámetros'!$C$34,AportPatFov!G20,0))))</f>
        <v>0</v>
      </c>
      <c r="O30" s="86">
        <f>Simulador!N85</f>
        <v>0</v>
      </c>
      <c r="P30" s="86"/>
      <c r="Q30" s="86">
        <f>IF(O30&gt;0,(O30-(O30/(1+Sheet1!$AD$13))),0)</f>
        <v>0</v>
      </c>
      <c r="R30" s="86">
        <f t="shared" ca="1" si="15"/>
        <v>10421.884210717653</v>
      </c>
      <c r="S30" s="86">
        <f t="shared" ca="1" si="6"/>
        <v>976575.0909596642</v>
      </c>
      <c r="U30" s="201">
        <f t="shared" ca="1" si="16"/>
        <v>1338.1567101403587</v>
      </c>
      <c r="V30" s="201">
        <f t="shared" ca="1" si="7"/>
        <v>9083.7275005772954</v>
      </c>
      <c r="W30" s="202">
        <f t="shared" ca="1" si="8"/>
        <v>10421.884210717653</v>
      </c>
      <c r="X30" s="201">
        <f t="shared" ca="1" si="9"/>
        <v>1338.156710140358</v>
      </c>
      <c r="Y30" s="201">
        <f t="shared" ca="1" si="10"/>
        <v>9083.7275005772954</v>
      </c>
      <c r="Z30" s="201">
        <f t="shared" ca="1" si="17"/>
        <v>10421.884210717653</v>
      </c>
      <c r="AA30" s="201">
        <f t="shared" ca="1" si="11"/>
        <v>1338.156710140358</v>
      </c>
      <c r="AB30" s="201">
        <f t="shared" ca="1" si="12"/>
        <v>9083.7275005772954</v>
      </c>
      <c r="AC30" s="201">
        <f t="shared" ca="1" si="18"/>
        <v>10421.884210717653</v>
      </c>
    </row>
    <row r="31" spans="2:29" x14ac:dyDescent="0.3">
      <c r="B31" s="84">
        <f t="shared" si="13"/>
        <v>20</v>
      </c>
      <c r="C31" s="85">
        <f ca="1">IF($B31="","",'Fecha Pago'!K23)</f>
        <v>46755</v>
      </c>
      <c r="D31" s="86">
        <f>IF($B$12="","",'Fecha Pago'!L23)</f>
        <v>30.4</v>
      </c>
      <c r="E31" s="87">
        <f t="shared" si="1"/>
        <v>0.11</v>
      </c>
      <c r="F31" s="86">
        <f t="shared" ca="1" si="19"/>
        <v>976575.0909596642</v>
      </c>
      <c r="G31" s="86">
        <f t="shared" ca="1" si="0"/>
        <v>1350.5866991367729</v>
      </c>
      <c r="H31" s="86">
        <f t="shared" ca="1" si="3"/>
        <v>9071.2975115808804</v>
      </c>
      <c r="I31" s="86">
        <f>IF(B31="","",IF(Simulador!$F$9="Liquidez",'Tabla Fijos'!H31*0.16,IF(Simulador!$J$9="SI",H31*0.16,0)))</f>
        <v>0</v>
      </c>
      <c r="J31" s="86">
        <f t="shared" ca="1" si="4"/>
        <v>10421.884210717653</v>
      </c>
      <c r="K31" s="86">
        <f t="shared" ca="1" si="14"/>
        <v>0</v>
      </c>
      <c r="L31" s="86">
        <f ca="1">IF(B31="","",IF(F31=0,0,IF(Sheet1!$I$10=6,'Tabla Fijos'!$C$3*'Tabla Fijos'!$F$5,$F$5*$C$5)))</f>
        <v>0</v>
      </c>
      <c r="M31" s="86">
        <f t="shared" ca="1" si="5"/>
        <v>0</v>
      </c>
      <c r="N31" s="86">
        <f ca="1">IF(B31="","",IF(F31=0,0,IF(Simulador!$N$7='Tabla Parámetros'!$C$31,AportPat!L23,IF(Simulador!$N$7='Tabla Parámetros'!$C$34,AportPatFov!G21,0))))</f>
        <v>0</v>
      </c>
      <c r="O31" s="86">
        <f>Simulador!N86</f>
        <v>0</v>
      </c>
      <c r="P31" s="86"/>
      <c r="Q31" s="86">
        <f>IF(O31&gt;0,(O31-(O31/(1+Sheet1!$AD$13))),0)</f>
        <v>0</v>
      </c>
      <c r="R31" s="86">
        <f t="shared" ca="1" si="15"/>
        <v>10421.884210717653</v>
      </c>
      <c r="S31" s="86">
        <f t="shared" ca="1" si="6"/>
        <v>975224.50426052744</v>
      </c>
      <c r="U31" s="201">
        <f t="shared" ca="1" si="16"/>
        <v>1350.5866991367739</v>
      </c>
      <c r="V31" s="201">
        <f t="shared" ca="1" si="7"/>
        <v>9071.2975115808804</v>
      </c>
      <c r="W31" s="202">
        <f t="shared" ca="1" si="8"/>
        <v>10421.884210717653</v>
      </c>
      <c r="X31" s="201">
        <f t="shared" ca="1" si="9"/>
        <v>1350.5866991367729</v>
      </c>
      <c r="Y31" s="201">
        <f t="shared" ca="1" si="10"/>
        <v>9071.2975115808804</v>
      </c>
      <c r="Z31" s="201">
        <f t="shared" ca="1" si="17"/>
        <v>10421.884210717653</v>
      </c>
      <c r="AA31" s="201">
        <f t="shared" ca="1" si="11"/>
        <v>1350.5866991367729</v>
      </c>
      <c r="AB31" s="201">
        <f t="shared" ca="1" si="12"/>
        <v>9071.2975115808804</v>
      </c>
      <c r="AC31" s="201">
        <f t="shared" ca="1" si="18"/>
        <v>10421.884210717653</v>
      </c>
    </row>
    <row r="32" spans="2:29" x14ac:dyDescent="0.3">
      <c r="B32" s="84">
        <f t="shared" si="13"/>
        <v>21</v>
      </c>
      <c r="C32" s="85">
        <f ca="1">IF($B32="","",'Fecha Pago'!K24)</f>
        <v>46786</v>
      </c>
      <c r="D32" s="86">
        <f>IF($B$12="","",'Fecha Pago'!L24)</f>
        <v>30.4</v>
      </c>
      <c r="E32" s="87">
        <f t="shared" si="1"/>
        <v>0.11</v>
      </c>
      <c r="F32" s="86">
        <f t="shared" ca="1" si="19"/>
        <v>975224.50426052744</v>
      </c>
      <c r="G32" s="86">
        <f t="shared" ca="1" si="0"/>
        <v>1363.1321489198654</v>
      </c>
      <c r="H32" s="86">
        <f t="shared" ca="1" si="3"/>
        <v>9058.752061797788</v>
      </c>
      <c r="I32" s="86">
        <f>IF(B32="","",IF(Simulador!$F$9="Liquidez",'Tabla Fijos'!H32*0.16,IF(Simulador!$J$9="SI",H32*0.16,0)))</f>
        <v>0</v>
      </c>
      <c r="J32" s="86">
        <f t="shared" ca="1" si="4"/>
        <v>10421.884210717653</v>
      </c>
      <c r="K32" s="86">
        <f t="shared" ca="1" si="14"/>
        <v>0</v>
      </c>
      <c r="L32" s="86">
        <f ca="1">IF(B32="","",IF(F32=0,0,IF(Sheet1!$I$10=6,'Tabla Fijos'!$C$3*'Tabla Fijos'!$F$5,$F$5*$C$5)))</f>
        <v>0</v>
      </c>
      <c r="M32" s="86">
        <f t="shared" ca="1" si="5"/>
        <v>0</v>
      </c>
      <c r="N32" s="86">
        <f ca="1">IF(B32="","",IF(F32=0,0,IF(Simulador!$N$7='Tabla Parámetros'!$C$31,AportPat!L24,IF(Simulador!$N$7='Tabla Parámetros'!$C$34,AportPatFov!G22,0))))</f>
        <v>0</v>
      </c>
      <c r="O32" s="86">
        <f>Simulador!N87</f>
        <v>0</v>
      </c>
      <c r="P32" s="86"/>
      <c r="Q32" s="86">
        <f>IF(O32&gt;0,(O32-(O32/(1+Sheet1!$AD$13))),0)</f>
        <v>0</v>
      </c>
      <c r="R32" s="86">
        <f t="shared" ca="1" si="15"/>
        <v>10421.884210717653</v>
      </c>
      <c r="S32" s="86">
        <f t="shared" ca="1" si="6"/>
        <v>973861.37211160758</v>
      </c>
      <c r="U32" s="201">
        <f t="shared" ca="1" si="16"/>
        <v>1363.132148919866</v>
      </c>
      <c r="V32" s="201">
        <f t="shared" ca="1" si="7"/>
        <v>9058.752061797788</v>
      </c>
      <c r="W32" s="202">
        <f t="shared" ca="1" si="8"/>
        <v>10421.884210717653</v>
      </c>
      <c r="X32" s="201">
        <f t="shared" ca="1" si="9"/>
        <v>1363.1321489198654</v>
      </c>
      <c r="Y32" s="201">
        <f t="shared" ca="1" si="10"/>
        <v>9058.752061797788</v>
      </c>
      <c r="Z32" s="201">
        <f t="shared" ca="1" si="17"/>
        <v>10421.884210717653</v>
      </c>
      <c r="AA32" s="201">
        <f t="shared" ca="1" si="11"/>
        <v>1363.1321489198654</v>
      </c>
      <c r="AB32" s="201">
        <f t="shared" ca="1" si="12"/>
        <v>9058.752061797788</v>
      </c>
      <c r="AC32" s="201">
        <f t="shared" ca="1" si="18"/>
        <v>10421.884210717653</v>
      </c>
    </row>
    <row r="33" spans="2:29" x14ac:dyDescent="0.3">
      <c r="B33" s="84">
        <f t="shared" si="13"/>
        <v>22</v>
      </c>
      <c r="C33" s="85">
        <f ca="1">IF($B33="","",'Fecha Pago'!K25)</f>
        <v>46815</v>
      </c>
      <c r="D33" s="86">
        <f>IF($B$12="","",'Fecha Pago'!L25)</f>
        <v>30.4</v>
      </c>
      <c r="E33" s="87">
        <f t="shared" si="1"/>
        <v>0.11</v>
      </c>
      <c r="F33" s="86">
        <f t="shared" ca="1" si="19"/>
        <v>973861.37211160758</v>
      </c>
      <c r="G33" s="86">
        <f t="shared" ca="1" si="0"/>
        <v>1375.7941319920556</v>
      </c>
      <c r="H33" s="86">
        <f t="shared" ca="1" si="3"/>
        <v>9046.0900787255978</v>
      </c>
      <c r="I33" s="86">
        <f>IF(B33="","",IF(Simulador!$F$9="Liquidez",'Tabla Fijos'!H33*0.16,IF(Simulador!$J$9="SI",H33*0.16,0)))</f>
        <v>0</v>
      </c>
      <c r="J33" s="86">
        <f t="shared" ca="1" si="4"/>
        <v>10421.884210717653</v>
      </c>
      <c r="K33" s="86">
        <f t="shared" ca="1" si="14"/>
        <v>0</v>
      </c>
      <c r="L33" s="86">
        <f ca="1">IF(B33="","",IF(F33=0,0,IF(Sheet1!$I$10=6,'Tabla Fijos'!$C$3*'Tabla Fijos'!$F$5,$F$5*$C$5)))</f>
        <v>0</v>
      </c>
      <c r="M33" s="86">
        <f t="shared" ca="1" si="5"/>
        <v>0</v>
      </c>
      <c r="N33" s="86">
        <f ca="1">IF(B33="","",IF(F33=0,0,IF(Simulador!$N$7='Tabla Parámetros'!$C$31,AportPat!L25,IF(Simulador!$N$7='Tabla Parámetros'!$C$34,AportPatFov!G23,0))))</f>
        <v>0</v>
      </c>
      <c r="O33" s="86">
        <f>Simulador!N88</f>
        <v>0</v>
      </c>
      <c r="P33" s="86"/>
      <c r="Q33" s="86">
        <f>IF(O33&gt;0,(O33-(O33/(1+Sheet1!$AD$13))),0)</f>
        <v>0</v>
      </c>
      <c r="R33" s="86">
        <f t="shared" ca="1" si="15"/>
        <v>10421.884210717653</v>
      </c>
      <c r="S33" s="86">
        <f t="shared" ca="1" si="6"/>
        <v>972485.57797961554</v>
      </c>
      <c r="U33" s="201">
        <f t="shared" ca="1" si="16"/>
        <v>1375.7941319920553</v>
      </c>
      <c r="V33" s="201">
        <f t="shared" ca="1" si="7"/>
        <v>9046.0900787255978</v>
      </c>
      <c r="W33" s="202">
        <f t="shared" ca="1" si="8"/>
        <v>10421.884210717653</v>
      </c>
      <c r="X33" s="201">
        <f t="shared" ca="1" si="9"/>
        <v>1375.7941319920556</v>
      </c>
      <c r="Y33" s="201">
        <f t="shared" ca="1" si="10"/>
        <v>9046.0900787255978</v>
      </c>
      <c r="Z33" s="201">
        <f t="shared" ca="1" si="17"/>
        <v>10421.884210717653</v>
      </c>
      <c r="AA33" s="201">
        <f t="shared" ca="1" si="11"/>
        <v>1375.7941319920556</v>
      </c>
      <c r="AB33" s="201">
        <f t="shared" ca="1" si="12"/>
        <v>9046.0900787255978</v>
      </c>
      <c r="AC33" s="201">
        <f t="shared" ca="1" si="18"/>
        <v>10421.884210717653</v>
      </c>
    </row>
    <row r="34" spans="2:29" x14ac:dyDescent="0.3">
      <c r="B34" s="84">
        <f t="shared" si="13"/>
        <v>23</v>
      </c>
      <c r="C34" s="85">
        <f ca="1">IF($B34="","",'Fecha Pago'!K26)</f>
        <v>46846</v>
      </c>
      <c r="D34" s="86">
        <f>IF($B$12="","",'Fecha Pago'!L26)</f>
        <v>30.4</v>
      </c>
      <c r="E34" s="87">
        <f t="shared" si="1"/>
        <v>0.11</v>
      </c>
      <c r="F34" s="86">
        <f t="shared" ca="1" si="19"/>
        <v>972485.57797961554</v>
      </c>
      <c r="G34" s="86">
        <f t="shared" ca="1" si="0"/>
        <v>1388.5737308181142</v>
      </c>
      <c r="H34" s="86">
        <f t="shared" ca="1" si="3"/>
        <v>9033.3104798995391</v>
      </c>
      <c r="I34" s="86">
        <f>IF(B34="","",IF(Simulador!$F$9="Liquidez",'Tabla Fijos'!H34*0.16,IF(Simulador!$J$9="SI",H34*0.16,0)))</f>
        <v>0</v>
      </c>
      <c r="J34" s="86">
        <f t="shared" ca="1" si="4"/>
        <v>10421.884210717653</v>
      </c>
      <c r="K34" s="86">
        <f t="shared" ca="1" si="14"/>
        <v>0</v>
      </c>
      <c r="L34" s="86">
        <f ca="1">IF(B34="","",IF(F34=0,0,IF(Sheet1!$I$10=6,'Tabla Fijos'!$C$3*'Tabla Fijos'!$F$5,$F$5*$C$5)))</f>
        <v>0</v>
      </c>
      <c r="M34" s="86">
        <f t="shared" ca="1" si="5"/>
        <v>0</v>
      </c>
      <c r="N34" s="86">
        <f ca="1">IF(B34="","",IF(F34=0,0,IF(Simulador!$N$7='Tabla Parámetros'!$C$31,AportPat!L26,IF(Simulador!$N$7='Tabla Parámetros'!$C$34,AportPatFov!G24,0))))</f>
        <v>0</v>
      </c>
      <c r="O34" s="86">
        <f>Simulador!N89</f>
        <v>0</v>
      </c>
      <c r="P34" s="86"/>
      <c r="Q34" s="86">
        <f>IF(O34&gt;0,(O34-(O34/(1+Sheet1!$AD$13))),0)</f>
        <v>0</v>
      </c>
      <c r="R34" s="86">
        <f t="shared" ca="1" si="15"/>
        <v>10421.884210717653</v>
      </c>
      <c r="S34" s="86">
        <f t="shared" ca="1" si="6"/>
        <v>971097.00424879743</v>
      </c>
      <c r="U34" s="201">
        <f t="shared" ca="1" si="16"/>
        <v>1388.5737308181147</v>
      </c>
      <c r="V34" s="201">
        <f t="shared" ca="1" si="7"/>
        <v>9033.3104798995391</v>
      </c>
      <c r="W34" s="202">
        <f t="shared" ca="1" si="8"/>
        <v>10421.884210717653</v>
      </c>
      <c r="X34" s="201">
        <f t="shared" ca="1" si="9"/>
        <v>1388.5737308181142</v>
      </c>
      <c r="Y34" s="201">
        <f t="shared" ca="1" si="10"/>
        <v>9033.3104798995391</v>
      </c>
      <c r="Z34" s="201">
        <f t="shared" ca="1" si="17"/>
        <v>10421.884210717653</v>
      </c>
      <c r="AA34" s="201">
        <f t="shared" ca="1" si="11"/>
        <v>1388.5737308181142</v>
      </c>
      <c r="AB34" s="201">
        <f t="shared" ca="1" si="12"/>
        <v>9033.3104798995391</v>
      </c>
      <c r="AC34" s="201">
        <f t="shared" ca="1" si="18"/>
        <v>10421.884210717653</v>
      </c>
    </row>
    <row r="35" spans="2:29" x14ac:dyDescent="0.3">
      <c r="B35" s="84">
        <f t="shared" si="13"/>
        <v>24</v>
      </c>
      <c r="C35" s="85">
        <f ca="1">IF($B35="","",'Fecha Pago'!K27)</f>
        <v>46876</v>
      </c>
      <c r="D35" s="86">
        <f>IF($B$12="","",'Fecha Pago'!L27)</f>
        <v>30.4</v>
      </c>
      <c r="E35" s="87">
        <f t="shared" si="1"/>
        <v>0.11</v>
      </c>
      <c r="F35" s="86">
        <f t="shared" ca="1" si="19"/>
        <v>971097.00424879743</v>
      </c>
      <c r="G35" s="86">
        <f t="shared" ca="1" si="0"/>
        <v>1401.4720379177143</v>
      </c>
      <c r="H35" s="86">
        <f t="shared" ca="1" si="3"/>
        <v>9020.4121727999391</v>
      </c>
      <c r="I35" s="86">
        <f>IF(B35="","",IF(Simulador!$F$9="Liquidez",'Tabla Fijos'!H35*0.16,IF(Simulador!$J$9="SI",H35*0.16,0)))</f>
        <v>0</v>
      </c>
      <c r="J35" s="86">
        <f t="shared" ca="1" si="4"/>
        <v>10421.884210717653</v>
      </c>
      <c r="K35" s="86">
        <f t="shared" ca="1" si="14"/>
        <v>0</v>
      </c>
      <c r="L35" s="86">
        <f ca="1">IF(B35="","",IF(F35=0,0,IF(Sheet1!$I$10=6,'Tabla Fijos'!$C$3*'Tabla Fijos'!$F$5,$F$5*$C$5)))</f>
        <v>0</v>
      </c>
      <c r="M35" s="86">
        <f t="shared" ca="1" si="5"/>
        <v>0</v>
      </c>
      <c r="N35" s="86">
        <f ca="1">IF(B35="","",IF(F35=0,0,IF(Simulador!$N$7='Tabla Parámetros'!$C$31,AportPat!L27,IF(Simulador!$N$7='Tabla Parámetros'!$C$34,AportPatFov!G25,0))))</f>
        <v>0</v>
      </c>
      <c r="O35" s="86">
        <f>Simulador!N90</f>
        <v>0</v>
      </c>
      <c r="P35" s="86"/>
      <c r="Q35" s="86">
        <f>IF(O35&gt;0,(O35-(O35/(1+Sheet1!$AD$13))),0)</f>
        <v>0</v>
      </c>
      <c r="R35" s="86">
        <f t="shared" ca="1" si="15"/>
        <v>10421.884210717653</v>
      </c>
      <c r="S35" s="86">
        <f t="shared" ca="1" si="6"/>
        <v>969695.53221087973</v>
      </c>
      <c r="U35" s="201">
        <f t="shared" ca="1" si="16"/>
        <v>1401.4720379177143</v>
      </c>
      <c r="V35" s="201">
        <f t="shared" ca="1" si="7"/>
        <v>9020.4121727999391</v>
      </c>
      <c r="W35" s="202">
        <f t="shared" ca="1" si="8"/>
        <v>10421.884210717653</v>
      </c>
      <c r="X35" s="201">
        <f t="shared" ca="1" si="9"/>
        <v>1401.4720379177143</v>
      </c>
      <c r="Y35" s="201">
        <f t="shared" ca="1" si="10"/>
        <v>9020.4121727999391</v>
      </c>
      <c r="Z35" s="201">
        <f t="shared" ca="1" si="17"/>
        <v>10421.884210717653</v>
      </c>
      <c r="AA35" s="201">
        <f t="shared" ca="1" si="11"/>
        <v>1401.4720379177143</v>
      </c>
      <c r="AB35" s="201">
        <f t="shared" ca="1" si="12"/>
        <v>9020.4121727999391</v>
      </c>
      <c r="AC35" s="201">
        <f t="shared" ca="1" si="18"/>
        <v>10421.884210717653</v>
      </c>
    </row>
    <row r="36" spans="2:29" x14ac:dyDescent="0.3">
      <c r="B36" s="84">
        <f t="shared" si="13"/>
        <v>25</v>
      </c>
      <c r="C36" s="85">
        <f ca="1">IF($B36="","",'Fecha Pago'!K28)</f>
        <v>46907</v>
      </c>
      <c r="D36" s="86">
        <f>IF($B$12="","",'Fecha Pago'!L28)</f>
        <v>30.4</v>
      </c>
      <c r="E36" s="87">
        <f t="shared" si="1"/>
        <v>0.11</v>
      </c>
      <c r="F36" s="86">
        <f t="shared" ca="1" si="19"/>
        <v>969695.53221087973</v>
      </c>
      <c r="G36" s="86">
        <f t="shared" ca="1" si="0"/>
        <v>1414.4901559588161</v>
      </c>
      <c r="H36" s="86">
        <f t="shared" ca="1" si="3"/>
        <v>9007.3940547588372</v>
      </c>
      <c r="I36" s="86">
        <f>IF(B36="","",IF(Simulador!$F$9="Liquidez",'Tabla Fijos'!H36*0.16,IF(Simulador!$J$9="SI",H36*0.16,0)))</f>
        <v>0</v>
      </c>
      <c r="J36" s="86">
        <f t="shared" ca="1" si="4"/>
        <v>10421.884210717653</v>
      </c>
      <c r="K36" s="86">
        <f t="shared" ca="1" si="14"/>
        <v>0</v>
      </c>
      <c r="L36" s="86">
        <f ca="1">IF(B36="","",IF(F36=0,0,IF(Sheet1!$I$10=6,'Tabla Fijos'!$C$3*'Tabla Fijos'!$F$5,$F$5*$C$5)))</f>
        <v>0</v>
      </c>
      <c r="M36" s="86">
        <f t="shared" ca="1" si="5"/>
        <v>0</v>
      </c>
      <c r="N36" s="86">
        <f ca="1">IF(B36="","",IF(F36=0,0,IF(Simulador!$N$7='Tabla Parámetros'!$C$31,AportPat!L28,IF(Simulador!$N$7='Tabla Parámetros'!$C$34,AportPatFov!G26,0))))</f>
        <v>0</v>
      </c>
      <c r="O36" s="86">
        <f>Simulador!N91</f>
        <v>0</v>
      </c>
      <c r="P36" s="86"/>
      <c r="Q36" s="86">
        <f>IF(O36&gt;0,(O36-(O36/(1+Sheet1!$AD$13))),0)</f>
        <v>0</v>
      </c>
      <c r="R36" s="86">
        <f t="shared" ca="1" si="15"/>
        <v>10421.884210717653</v>
      </c>
      <c r="S36" s="86">
        <f t="shared" ca="1" si="6"/>
        <v>968281.04205492092</v>
      </c>
      <c r="U36" s="201">
        <f t="shared" ca="1" si="16"/>
        <v>1414.4901559588161</v>
      </c>
      <c r="V36" s="201">
        <f t="shared" ca="1" si="7"/>
        <v>9007.3940547588372</v>
      </c>
      <c r="W36" s="202">
        <f t="shared" ca="1" si="8"/>
        <v>10421.884210717653</v>
      </c>
      <c r="X36" s="201">
        <f t="shared" ca="1" si="9"/>
        <v>1414.4901559588161</v>
      </c>
      <c r="Y36" s="201">
        <f t="shared" ca="1" si="10"/>
        <v>9007.3940547588372</v>
      </c>
      <c r="Z36" s="201">
        <f t="shared" ca="1" si="17"/>
        <v>10421.884210717653</v>
      </c>
      <c r="AA36" s="201">
        <f t="shared" ca="1" si="11"/>
        <v>1414.4901559588161</v>
      </c>
      <c r="AB36" s="201">
        <f t="shared" ca="1" si="12"/>
        <v>9007.3940547588372</v>
      </c>
      <c r="AC36" s="201">
        <f t="shared" ca="1" si="18"/>
        <v>10421.884210717653</v>
      </c>
    </row>
    <row r="37" spans="2:29" x14ac:dyDescent="0.3">
      <c r="B37" s="84">
        <f t="shared" si="13"/>
        <v>26</v>
      </c>
      <c r="C37" s="85">
        <f ca="1">IF($B37="","",'Fecha Pago'!K29)</f>
        <v>46937</v>
      </c>
      <c r="D37" s="86">
        <f>IF($B$12="","",'Fecha Pago'!L29)</f>
        <v>30.4</v>
      </c>
      <c r="E37" s="87">
        <f t="shared" si="1"/>
        <v>0.11</v>
      </c>
      <c r="F37" s="86">
        <f t="shared" ca="1" si="19"/>
        <v>968281.04205492092</v>
      </c>
      <c r="G37" s="86">
        <f t="shared" ca="1" si="0"/>
        <v>1427.6291978519439</v>
      </c>
      <c r="H37" s="86">
        <f t="shared" ca="1" si="3"/>
        <v>8994.2550128657094</v>
      </c>
      <c r="I37" s="86">
        <f>IF(B37="","",IF(Simulador!$F$9="Liquidez",'Tabla Fijos'!H37*0.16,IF(Simulador!$J$9="SI",H37*0.16,0)))</f>
        <v>0</v>
      </c>
      <c r="J37" s="86">
        <f t="shared" ca="1" si="4"/>
        <v>10421.884210717653</v>
      </c>
      <c r="K37" s="86">
        <f t="shared" ca="1" si="14"/>
        <v>0</v>
      </c>
      <c r="L37" s="86">
        <f ca="1">IF(B37="","",IF(F37=0,0,IF(Sheet1!$I$10=6,'Tabla Fijos'!$C$3*'Tabla Fijos'!$F$5,$F$5*$C$5)))</f>
        <v>0</v>
      </c>
      <c r="M37" s="86">
        <f t="shared" ca="1" si="5"/>
        <v>0</v>
      </c>
      <c r="N37" s="86">
        <f ca="1">IF(B37="","",IF(F37=0,0,IF(Simulador!$N$7='Tabla Parámetros'!$C$31,AportPat!L29,IF(Simulador!$N$7='Tabla Parámetros'!$C$34,AportPatFov!G27,0))))</f>
        <v>0</v>
      </c>
      <c r="O37" s="86">
        <f>Simulador!N92</f>
        <v>0</v>
      </c>
      <c r="P37" s="86"/>
      <c r="Q37" s="86">
        <f>IF(O37&gt;0,(O37-(O37/(1+Sheet1!$AD$13))),0)</f>
        <v>0</v>
      </c>
      <c r="R37" s="86">
        <f t="shared" ca="1" si="15"/>
        <v>10421.884210717653</v>
      </c>
      <c r="S37" s="86">
        <f t="shared" ca="1" si="6"/>
        <v>966853.41285706894</v>
      </c>
      <c r="U37" s="201">
        <f t="shared" ca="1" si="16"/>
        <v>1427.6291978519448</v>
      </c>
      <c r="V37" s="201">
        <f t="shared" ca="1" si="7"/>
        <v>8994.2550128657094</v>
      </c>
      <c r="W37" s="202">
        <f t="shared" ca="1" si="8"/>
        <v>10421.884210717653</v>
      </c>
      <c r="X37" s="201">
        <f t="shared" ca="1" si="9"/>
        <v>1427.6291978519439</v>
      </c>
      <c r="Y37" s="201">
        <f t="shared" ca="1" si="10"/>
        <v>8994.2550128657094</v>
      </c>
      <c r="Z37" s="201">
        <f t="shared" ca="1" si="17"/>
        <v>10421.884210717653</v>
      </c>
      <c r="AA37" s="201">
        <f t="shared" ca="1" si="11"/>
        <v>1427.6291978519439</v>
      </c>
      <c r="AB37" s="201">
        <f t="shared" ca="1" si="12"/>
        <v>8994.2550128657094</v>
      </c>
      <c r="AC37" s="201">
        <f t="shared" ca="1" si="18"/>
        <v>10421.884210717653</v>
      </c>
    </row>
    <row r="38" spans="2:29" x14ac:dyDescent="0.3">
      <c r="B38" s="84">
        <f t="shared" si="13"/>
        <v>27</v>
      </c>
      <c r="C38" s="85">
        <f ca="1">IF($B38="","",'Fecha Pago'!K30)</f>
        <v>46968</v>
      </c>
      <c r="D38" s="86">
        <f>IF($B$12="","",'Fecha Pago'!L30)</f>
        <v>30.4</v>
      </c>
      <c r="E38" s="87">
        <f t="shared" si="1"/>
        <v>0.11</v>
      </c>
      <c r="F38" s="86">
        <f t="shared" ca="1" si="19"/>
        <v>966853.41285706894</v>
      </c>
      <c r="G38" s="86">
        <f t="shared" ca="1" si="0"/>
        <v>1440.8902868453242</v>
      </c>
      <c r="H38" s="86">
        <f t="shared" ca="1" si="3"/>
        <v>8980.9939238723291</v>
      </c>
      <c r="I38" s="86">
        <f>IF(B38="","",IF(Simulador!$F$9="Liquidez",'Tabla Fijos'!H38*0.16,IF(Simulador!$J$9="SI",H38*0.16,0)))</f>
        <v>0</v>
      </c>
      <c r="J38" s="86">
        <f t="shared" ca="1" si="4"/>
        <v>10421.884210717653</v>
      </c>
      <c r="K38" s="86">
        <f t="shared" ca="1" si="14"/>
        <v>0</v>
      </c>
      <c r="L38" s="86">
        <f ca="1">IF(B38="","",IF(F38=0,0,IF(Sheet1!$I$10=6,'Tabla Fijos'!$C$3*'Tabla Fijos'!$F$5,$F$5*$C$5)))</f>
        <v>0</v>
      </c>
      <c r="M38" s="86">
        <f t="shared" ca="1" si="5"/>
        <v>0</v>
      </c>
      <c r="N38" s="86">
        <f ca="1">IF(B38="","",IF(F38=0,0,IF(Simulador!$N$7='Tabla Parámetros'!$C$31,AportPat!L30,IF(Simulador!$N$7='Tabla Parámetros'!$C$34,AportPatFov!G28,0))))</f>
        <v>0</v>
      </c>
      <c r="O38" s="86">
        <f>Simulador!N93</f>
        <v>0</v>
      </c>
      <c r="P38" s="86"/>
      <c r="Q38" s="86">
        <f>IF(O38&gt;0,(O38-(O38/(1+Sheet1!$AD$13))),0)</f>
        <v>0</v>
      </c>
      <c r="R38" s="86">
        <f t="shared" ca="1" si="15"/>
        <v>10421.884210717653</v>
      </c>
      <c r="S38" s="86">
        <f t="shared" ca="1" si="6"/>
        <v>965412.52257022366</v>
      </c>
      <c r="U38" s="201">
        <f t="shared" ca="1" si="16"/>
        <v>1440.8902868453254</v>
      </c>
      <c r="V38" s="201">
        <f t="shared" ca="1" si="7"/>
        <v>8980.9939238723291</v>
      </c>
      <c r="W38" s="202">
        <f t="shared" ca="1" si="8"/>
        <v>10421.884210717655</v>
      </c>
      <c r="X38" s="201">
        <f t="shared" ca="1" si="9"/>
        <v>1440.8902868453242</v>
      </c>
      <c r="Y38" s="201">
        <f t="shared" ca="1" si="10"/>
        <v>8980.9939238723291</v>
      </c>
      <c r="Z38" s="201">
        <f t="shared" ca="1" si="17"/>
        <v>10421.884210717653</v>
      </c>
      <c r="AA38" s="201">
        <f t="shared" ca="1" si="11"/>
        <v>1440.8902868453242</v>
      </c>
      <c r="AB38" s="201">
        <f t="shared" ca="1" si="12"/>
        <v>8980.9939238723291</v>
      </c>
      <c r="AC38" s="201">
        <f t="shared" ca="1" si="18"/>
        <v>10421.884210717653</v>
      </c>
    </row>
    <row r="39" spans="2:29" x14ac:dyDescent="0.3">
      <c r="B39" s="84">
        <f t="shared" si="13"/>
        <v>28</v>
      </c>
      <c r="C39" s="85">
        <f ca="1">IF($B39="","",'Fecha Pago'!K31)</f>
        <v>46999</v>
      </c>
      <c r="D39" s="86">
        <f>IF($B$12="","",'Fecha Pago'!L31)</f>
        <v>30.4</v>
      </c>
      <c r="E39" s="87">
        <f t="shared" si="1"/>
        <v>0.11</v>
      </c>
      <c r="F39" s="86">
        <f t="shared" ca="1" si="19"/>
        <v>965412.52257022366</v>
      </c>
      <c r="G39" s="86">
        <f t="shared" ca="1" si="0"/>
        <v>1454.2745566209105</v>
      </c>
      <c r="H39" s="86">
        <f t="shared" ca="1" si="3"/>
        <v>8967.6096540967428</v>
      </c>
      <c r="I39" s="86">
        <f>IF(B39="","",IF(Simulador!$F$9="Liquidez",'Tabla Fijos'!H39*0.16,IF(Simulador!$J$9="SI",H39*0.16,0)))</f>
        <v>0</v>
      </c>
      <c r="J39" s="86">
        <f t="shared" ca="1" si="4"/>
        <v>10421.884210717653</v>
      </c>
      <c r="K39" s="86">
        <f t="shared" ca="1" si="14"/>
        <v>0</v>
      </c>
      <c r="L39" s="86">
        <f ca="1">IF(B39="","",IF(F39=0,0,IF(Sheet1!$I$10=6,'Tabla Fijos'!$C$3*'Tabla Fijos'!$F$5,$F$5*$C$5)))</f>
        <v>0</v>
      </c>
      <c r="M39" s="86">
        <f t="shared" ca="1" si="5"/>
        <v>0</v>
      </c>
      <c r="N39" s="86">
        <f ca="1">IF(B39="","",IF(F39=0,0,IF(Simulador!$N$7='Tabla Parámetros'!$C$31,AportPat!L31,IF(Simulador!$N$7='Tabla Parámetros'!$C$34,AportPatFov!G29,0))))</f>
        <v>0</v>
      </c>
      <c r="O39" s="86">
        <f>Simulador!N94</f>
        <v>0</v>
      </c>
      <c r="P39" s="86"/>
      <c r="Q39" s="86">
        <f>IF(O39&gt;0,(O39-(O39/(1+Sheet1!$AD$13))),0)</f>
        <v>0</v>
      </c>
      <c r="R39" s="86">
        <f t="shared" ca="1" si="15"/>
        <v>10421.884210717653</v>
      </c>
      <c r="S39" s="86">
        <f t="shared" ca="1" si="6"/>
        <v>963958.2480136028</v>
      </c>
      <c r="U39" s="201">
        <f t="shared" ca="1" si="16"/>
        <v>1454.2745566209105</v>
      </c>
      <c r="V39" s="201">
        <f t="shared" ca="1" si="7"/>
        <v>8967.6096540967428</v>
      </c>
      <c r="W39" s="202">
        <f t="shared" ca="1" si="8"/>
        <v>10421.884210717653</v>
      </c>
      <c r="X39" s="201">
        <f t="shared" ca="1" si="9"/>
        <v>1454.2745566209105</v>
      </c>
      <c r="Y39" s="201">
        <f t="shared" ca="1" si="10"/>
        <v>8967.6096540967428</v>
      </c>
      <c r="Z39" s="201">
        <f t="shared" ca="1" si="17"/>
        <v>10421.884210717653</v>
      </c>
      <c r="AA39" s="201">
        <f t="shared" ca="1" si="11"/>
        <v>1454.2745566209105</v>
      </c>
      <c r="AB39" s="201">
        <f t="shared" ca="1" si="12"/>
        <v>8967.6096540967428</v>
      </c>
      <c r="AC39" s="201">
        <f t="shared" ca="1" si="18"/>
        <v>10421.884210717653</v>
      </c>
    </row>
    <row r="40" spans="2:29" x14ac:dyDescent="0.3">
      <c r="B40" s="84">
        <f t="shared" si="13"/>
        <v>29</v>
      </c>
      <c r="C40" s="85">
        <f ca="1">IF($B40="","",'Fecha Pago'!K32)</f>
        <v>47029</v>
      </c>
      <c r="D40" s="86">
        <f>IF($B$12="","",'Fecha Pago'!L32)</f>
        <v>30.4</v>
      </c>
      <c r="E40" s="87">
        <f t="shared" si="1"/>
        <v>0.11</v>
      </c>
      <c r="F40" s="86">
        <f t="shared" ca="1" si="19"/>
        <v>963958.2480136028</v>
      </c>
      <c r="G40" s="86">
        <f t="shared" ca="1" si="0"/>
        <v>1467.7831513912988</v>
      </c>
      <c r="H40" s="86">
        <f t="shared" ca="1" si="3"/>
        <v>8954.1010593263545</v>
      </c>
      <c r="I40" s="86">
        <f>IF(B40="","",IF(Simulador!$F$9="Liquidez",'Tabla Fijos'!H40*0.16,IF(Simulador!$J$9="SI",H40*0.16,0)))</f>
        <v>0</v>
      </c>
      <c r="J40" s="86">
        <f t="shared" ca="1" si="4"/>
        <v>10421.884210717653</v>
      </c>
      <c r="K40" s="86">
        <f t="shared" ca="1" si="14"/>
        <v>0</v>
      </c>
      <c r="L40" s="86">
        <f ca="1">IF(B40="","",IF(F40=0,0,IF(Sheet1!$I$10=6,'Tabla Fijos'!$C$3*'Tabla Fijos'!$F$5,$F$5*$C$5)))</f>
        <v>0</v>
      </c>
      <c r="M40" s="86">
        <f t="shared" ca="1" si="5"/>
        <v>0</v>
      </c>
      <c r="N40" s="86">
        <f ca="1">IF(B40="","",IF(F40=0,0,IF(Simulador!$N$7='Tabla Parámetros'!$C$31,AportPat!L32,IF(Simulador!$N$7='Tabla Parámetros'!$C$34,AportPatFov!G30,0))))</f>
        <v>0</v>
      </c>
      <c r="O40" s="86">
        <f>Simulador!N95</f>
        <v>0</v>
      </c>
      <c r="P40" s="86"/>
      <c r="Q40" s="86">
        <f>IF(O40&gt;0,(O40-(O40/(1+Sheet1!$AD$13))),0)</f>
        <v>0</v>
      </c>
      <c r="R40" s="86">
        <f t="shared" ca="1" si="15"/>
        <v>10421.884210717653</v>
      </c>
      <c r="S40" s="86">
        <f t="shared" ca="1" si="6"/>
        <v>962490.46486221149</v>
      </c>
      <c r="U40" s="201">
        <f t="shared" ca="1" si="16"/>
        <v>1467.7831513913006</v>
      </c>
      <c r="V40" s="201">
        <f t="shared" ca="1" si="7"/>
        <v>8954.1010593263545</v>
      </c>
      <c r="W40" s="202">
        <f t="shared" ca="1" si="8"/>
        <v>10421.884210717655</v>
      </c>
      <c r="X40" s="201">
        <f t="shared" ca="1" si="9"/>
        <v>1467.7831513912988</v>
      </c>
      <c r="Y40" s="201">
        <f t="shared" ca="1" si="10"/>
        <v>8954.1010593263545</v>
      </c>
      <c r="Z40" s="201">
        <f t="shared" ca="1" si="17"/>
        <v>10421.884210717653</v>
      </c>
      <c r="AA40" s="201">
        <f t="shared" ca="1" si="11"/>
        <v>1467.7831513912988</v>
      </c>
      <c r="AB40" s="201">
        <f t="shared" ca="1" si="12"/>
        <v>8954.1010593263545</v>
      </c>
      <c r="AC40" s="201">
        <f t="shared" ca="1" si="18"/>
        <v>10421.884210717653</v>
      </c>
    </row>
    <row r="41" spans="2:29" x14ac:dyDescent="0.3">
      <c r="B41" s="84">
        <f t="shared" si="13"/>
        <v>30</v>
      </c>
      <c r="C41" s="85">
        <f ca="1">IF($B41="","",'Fecha Pago'!K33)</f>
        <v>47060</v>
      </c>
      <c r="D41" s="86">
        <f>IF($B$12="","",'Fecha Pago'!L33)</f>
        <v>30.4</v>
      </c>
      <c r="E41" s="87">
        <f t="shared" si="1"/>
        <v>0.11</v>
      </c>
      <c r="F41" s="86">
        <f t="shared" ca="1" si="19"/>
        <v>962490.46486221149</v>
      </c>
      <c r="G41" s="86">
        <f t="shared" ca="1" si="0"/>
        <v>1481.4172259975567</v>
      </c>
      <c r="H41" s="86">
        <f t="shared" ca="1" si="3"/>
        <v>8940.4669847200967</v>
      </c>
      <c r="I41" s="86">
        <f>IF(B41="","",IF(Simulador!$F$9="Liquidez",'Tabla Fijos'!H41*0.16,IF(Simulador!$J$9="SI",H41*0.16,0)))</f>
        <v>0</v>
      </c>
      <c r="J41" s="86">
        <f t="shared" ca="1" si="4"/>
        <v>10421.884210717653</v>
      </c>
      <c r="K41" s="86">
        <f t="shared" ca="1" si="14"/>
        <v>0</v>
      </c>
      <c r="L41" s="86">
        <f ca="1">IF(B41="","",IF(F41=0,0,IF(Sheet1!$I$10=6,'Tabla Fijos'!$C$3*'Tabla Fijos'!$F$5,$F$5*$C$5)))</f>
        <v>0</v>
      </c>
      <c r="M41" s="86">
        <f t="shared" ca="1" si="5"/>
        <v>0</v>
      </c>
      <c r="N41" s="86">
        <f ca="1">IF(B41="","",IF(F41=0,0,IF(Simulador!$N$7='Tabla Parámetros'!$C$31,AportPat!L33,IF(Simulador!$N$7='Tabla Parámetros'!$C$34,AportPatFov!G31,0))))</f>
        <v>0</v>
      </c>
      <c r="O41" s="86">
        <f>Simulador!N96</f>
        <v>0</v>
      </c>
      <c r="P41" s="86"/>
      <c r="Q41" s="86">
        <f>IF(O41&gt;0,(O41-(O41/(1+Sheet1!$AD$13))),0)</f>
        <v>0</v>
      </c>
      <c r="R41" s="86">
        <f t="shared" ca="1" si="15"/>
        <v>10421.884210717653</v>
      </c>
      <c r="S41" s="86">
        <f t="shared" ca="1" si="6"/>
        <v>961009.04763621395</v>
      </c>
      <c r="U41" s="201">
        <f t="shared" ca="1" si="16"/>
        <v>1481.4172259975576</v>
      </c>
      <c r="V41" s="201">
        <f t="shared" ca="1" si="7"/>
        <v>8940.4669847200967</v>
      </c>
      <c r="W41" s="202">
        <f t="shared" ca="1" si="8"/>
        <v>10421.884210717653</v>
      </c>
      <c r="X41" s="201">
        <f t="shared" ca="1" si="9"/>
        <v>1481.4172259975567</v>
      </c>
      <c r="Y41" s="201">
        <f t="shared" ca="1" si="10"/>
        <v>8940.4669847200967</v>
      </c>
      <c r="Z41" s="201">
        <f t="shared" ca="1" si="17"/>
        <v>10421.884210717653</v>
      </c>
      <c r="AA41" s="201">
        <f t="shared" ca="1" si="11"/>
        <v>1481.4172259975567</v>
      </c>
      <c r="AB41" s="201">
        <f t="shared" ca="1" si="12"/>
        <v>8940.4669847200967</v>
      </c>
      <c r="AC41" s="201">
        <f t="shared" ca="1" si="18"/>
        <v>10421.884210717653</v>
      </c>
    </row>
    <row r="42" spans="2:29" x14ac:dyDescent="0.3">
      <c r="B42" s="84">
        <f t="shared" si="13"/>
        <v>31</v>
      </c>
      <c r="C42" s="85">
        <f ca="1">IF($B42="","",'Fecha Pago'!K34)</f>
        <v>47090</v>
      </c>
      <c r="D42" s="86">
        <f>IF($B$12="","",'Fecha Pago'!L34)</f>
        <v>30.4</v>
      </c>
      <c r="E42" s="87">
        <f t="shared" si="1"/>
        <v>0.11</v>
      </c>
      <c r="F42" s="86">
        <f t="shared" ca="1" si="19"/>
        <v>961009.04763621395</v>
      </c>
      <c r="G42" s="86">
        <f t="shared" ca="1" si="0"/>
        <v>1495.1779460079342</v>
      </c>
      <c r="H42" s="86">
        <f t="shared" ca="1" si="3"/>
        <v>8926.7062647097191</v>
      </c>
      <c r="I42" s="86">
        <f>IF(B42="","",IF(Simulador!$F$9="Liquidez",'Tabla Fijos'!H42*0.16,IF(Simulador!$J$9="SI",H42*0.16,0)))</f>
        <v>0</v>
      </c>
      <c r="J42" s="86">
        <f t="shared" ca="1" si="4"/>
        <v>10421.884210717653</v>
      </c>
      <c r="K42" s="86">
        <f t="shared" ca="1" si="14"/>
        <v>0</v>
      </c>
      <c r="L42" s="86">
        <f ca="1">IF(B42="","",IF(F42=0,0,IF(Sheet1!$I$10=6,'Tabla Fijos'!$C$3*'Tabla Fijos'!$F$5,$F$5*$C$5)))</f>
        <v>0</v>
      </c>
      <c r="M42" s="86">
        <f t="shared" ca="1" si="5"/>
        <v>0</v>
      </c>
      <c r="N42" s="86">
        <f ca="1">IF(B42="","",IF(F42=0,0,IF(Simulador!$N$7='Tabla Parámetros'!$C$31,AportPat!L34,IF(Simulador!$N$7='Tabla Parámetros'!$C$34,AportPatFov!G32,0))))</f>
        <v>0</v>
      </c>
      <c r="O42" s="86">
        <f>Simulador!N97</f>
        <v>0</v>
      </c>
      <c r="P42" s="86"/>
      <c r="Q42" s="86">
        <f>IF(O42&gt;0,(O42-(O42/(1+Sheet1!$AD$13))),0)</f>
        <v>0</v>
      </c>
      <c r="R42" s="86">
        <f t="shared" ca="1" si="15"/>
        <v>10421.884210717653</v>
      </c>
      <c r="S42" s="86">
        <f t="shared" ca="1" si="6"/>
        <v>959513.86969020602</v>
      </c>
      <c r="U42" s="201">
        <f t="shared" ca="1" si="16"/>
        <v>1495.1779460079349</v>
      </c>
      <c r="V42" s="201">
        <f t="shared" ca="1" si="7"/>
        <v>8926.7062647097191</v>
      </c>
      <c r="W42" s="202">
        <f t="shared" ca="1" si="8"/>
        <v>10421.884210717653</v>
      </c>
      <c r="X42" s="201">
        <f t="shared" ca="1" si="9"/>
        <v>1495.1779460079342</v>
      </c>
      <c r="Y42" s="201">
        <f t="shared" ca="1" si="10"/>
        <v>8926.7062647097191</v>
      </c>
      <c r="Z42" s="201">
        <f t="shared" ca="1" si="17"/>
        <v>10421.884210717653</v>
      </c>
      <c r="AA42" s="201">
        <f t="shared" ca="1" si="11"/>
        <v>1495.1779460079342</v>
      </c>
      <c r="AB42" s="201">
        <f t="shared" ca="1" si="12"/>
        <v>8926.7062647097191</v>
      </c>
      <c r="AC42" s="201">
        <f t="shared" ca="1" si="18"/>
        <v>10421.884210717653</v>
      </c>
    </row>
    <row r="43" spans="2:29" x14ac:dyDescent="0.3">
      <c r="B43" s="84">
        <f t="shared" si="13"/>
        <v>32</v>
      </c>
      <c r="C43" s="85">
        <f ca="1">IF($B43="","",'Fecha Pago'!K35)</f>
        <v>47121</v>
      </c>
      <c r="D43" s="86">
        <f>IF($B$12="","",'Fecha Pago'!L35)</f>
        <v>30.4</v>
      </c>
      <c r="E43" s="87">
        <f t="shared" si="1"/>
        <v>0.11</v>
      </c>
      <c r="F43" s="86">
        <f t="shared" ca="1" si="19"/>
        <v>959513.86969020602</v>
      </c>
      <c r="G43" s="86">
        <f t="shared" ca="1" si="0"/>
        <v>1509.0664878175176</v>
      </c>
      <c r="H43" s="86">
        <f t="shared" ca="1" si="3"/>
        <v>8912.8177229001358</v>
      </c>
      <c r="I43" s="86">
        <f>IF(B43="","",IF(Simulador!$F$9="Liquidez",'Tabla Fijos'!H43*0.16,IF(Simulador!$J$9="SI",H43*0.16,0)))</f>
        <v>0</v>
      </c>
      <c r="J43" s="86">
        <f t="shared" ca="1" si="4"/>
        <v>10421.884210717653</v>
      </c>
      <c r="K43" s="86">
        <f t="shared" ca="1" si="14"/>
        <v>0</v>
      </c>
      <c r="L43" s="86">
        <f ca="1">IF(B43="","",IF(F43=0,0,IF(Sheet1!$I$10=6,'Tabla Fijos'!$C$3*'Tabla Fijos'!$F$5,$F$5*$C$5)))</f>
        <v>0</v>
      </c>
      <c r="M43" s="86">
        <f t="shared" ca="1" si="5"/>
        <v>0</v>
      </c>
      <c r="N43" s="86">
        <f ca="1">IF(B43="","",IF(F43=0,0,IF(Simulador!$N$7='Tabla Parámetros'!$C$31,AportPat!L35,IF(Simulador!$N$7='Tabla Parámetros'!$C$34,AportPatFov!G33,0))))</f>
        <v>0</v>
      </c>
      <c r="O43" s="86">
        <f>Simulador!N98</f>
        <v>0</v>
      </c>
      <c r="P43" s="86"/>
      <c r="Q43" s="86">
        <f>IF(O43&gt;0,(O43-(O43/(1+Sheet1!$AD$13))),0)</f>
        <v>0</v>
      </c>
      <c r="R43" s="86">
        <f t="shared" ca="1" si="15"/>
        <v>10421.884210717653</v>
      </c>
      <c r="S43" s="86">
        <f t="shared" ca="1" si="6"/>
        <v>958004.80320238846</v>
      </c>
      <c r="U43" s="201">
        <f t="shared" ca="1" si="16"/>
        <v>1509.0664878175194</v>
      </c>
      <c r="V43" s="201">
        <f t="shared" ca="1" si="7"/>
        <v>8912.8177229001358</v>
      </c>
      <c r="W43" s="202">
        <f t="shared" ca="1" si="8"/>
        <v>10421.884210717655</v>
      </c>
      <c r="X43" s="201">
        <f t="shared" ca="1" si="9"/>
        <v>1509.0664878175176</v>
      </c>
      <c r="Y43" s="201">
        <f t="shared" ca="1" si="10"/>
        <v>8912.8177229001358</v>
      </c>
      <c r="Z43" s="201">
        <f t="shared" ca="1" si="17"/>
        <v>10421.884210717653</v>
      </c>
      <c r="AA43" s="201">
        <f t="shared" ca="1" si="11"/>
        <v>1509.0664878175176</v>
      </c>
      <c r="AB43" s="201">
        <f t="shared" ca="1" si="12"/>
        <v>8912.8177229001358</v>
      </c>
      <c r="AC43" s="201">
        <f t="shared" ca="1" si="18"/>
        <v>10421.884210717653</v>
      </c>
    </row>
    <row r="44" spans="2:29" x14ac:dyDescent="0.3">
      <c r="B44" s="84">
        <f t="shared" si="13"/>
        <v>33</v>
      </c>
      <c r="C44" s="85">
        <f ca="1">IF($B44="","",'Fecha Pago'!K36)</f>
        <v>47152</v>
      </c>
      <c r="D44" s="86">
        <f>IF($B$12="","",'Fecha Pago'!L36)</f>
        <v>30.4</v>
      </c>
      <c r="E44" s="87">
        <f t="shared" si="1"/>
        <v>0.11</v>
      </c>
      <c r="F44" s="86">
        <f t="shared" ca="1" si="19"/>
        <v>958004.80320238846</v>
      </c>
      <c r="G44" s="86">
        <f t="shared" ca="1" si="0"/>
        <v>1523.0840387488006</v>
      </c>
      <c r="H44" s="86">
        <f t="shared" ca="1" si="3"/>
        <v>8898.8001719688527</v>
      </c>
      <c r="I44" s="86">
        <f>IF(B44="","",IF(Simulador!$F$9="Liquidez",'Tabla Fijos'!H44*0.16,IF(Simulador!$J$9="SI",H44*0.16,0)))</f>
        <v>0</v>
      </c>
      <c r="J44" s="86">
        <f t="shared" ca="1" si="4"/>
        <v>10421.884210717653</v>
      </c>
      <c r="K44" s="86">
        <f t="shared" ca="1" si="14"/>
        <v>0</v>
      </c>
      <c r="L44" s="86">
        <f ca="1">IF(B44="","",IF(F44=0,0,IF(Sheet1!$I$10=6,'Tabla Fijos'!$C$3*'Tabla Fijos'!$F$5,$F$5*$C$5)))</f>
        <v>0</v>
      </c>
      <c r="M44" s="86">
        <f t="shared" ca="1" si="5"/>
        <v>0</v>
      </c>
      <c r="N44" s="86">
        <f ca="1">IF(B44="","",IF(F44=0,0,IF(Simulador!$N$7='Tabla Parámetros'!$C$31,AportPat!L36,IF(Simulador!$N$7='Tabla Parámetros'!$C$34,AportPatFov!G34,0))))</f>
        <v>0</v>
      </c>
      <c r="O44" s="86">
        <f>Simulador!N99</f>
        <v>0</v>
      </c>
      <c r="P44" s="86"/>
      <c r="Q44" s="86">
        <f>IF(O44&gt;0,(O44-(O44/(1+Sheet1!$AD$13))),0)</f>
        <v>0</v>
      </c>
      <c r="R44" s="86">
        <f t="shared" ca="1" si="15"/>
        <v>10421.884210717653</v>
      </c>
      <c r="S44" s="86">
        <f t="shared" ca="1" si="6"/>
        <v>956481.7191636397</v>
      </c>
      <c r="U44" s="201">
        <f t="shared" ca="1" si="16"/>
        <v>1523.0840387488022</v>
      </c>
      <c r="V44" s="201">
        <f t="shared" ca="1" si="7"/>
        <v>8898.8001719688527</v>
      </c>
      <c r="W44" s="202">
        <f t="shared" ca="1" si="8"/>
        <v>10421.884210717655</v>
      </c>
      <c r="X44" s="201">
        <f t="shared" ca="1" si="9"/>
        <v>1523.0840387488006</v>
      </c>
      <c r="Y44" s="201">
        <f t="shared" ca="1" si="10"/>
        <v>8898.8001719688527</v>
      </c>
      <c r="Z44" s="201">
        <f t="shared" ca="1" si="17"/>
        <v>10421.884210717653</v>
      </c>
      <c r="AA44" s="201">
        <f t="shared" ca="1" si="11"/>
        <v>1523.0840387488006</v>
      </c>
      <c r="AB44" s="201">
        <f t="shared" ca="1" si="12"/>
        <v>8898.8001719688527</v>
      </c>
      <c r="AC44" s="201">
        <f t="shared" ca="1" si="18"/>
        <v>10421.884210717653</v>
      </c>
    </row>
    <row r="45" spans="2:29" x14ac:dyDescent="0.3">
      <c r="B45" s="84">
        <f t="shared" si="13"/>
        <v>34</v>
      </c>
      <c r="C45" s="85">
        <f ca="1">IF($B45="","",'Fecha Pago'!K37)</f>
        <v>47180</v>
      </c>
      <c r="D45" s="86">
        <f>IF($B$12="","",'Fecha Pago'!L37)</f>
        <v>30.4</v>
      </c>
      <c r="E45" s="87">
        <f t="shared" si="1"/>
        <v>0.11</v>
      </c>
      <c r="F45" s="86">
        <f t="shared" ca="1" si="19"/>
        <v>956481.7191636397</v>
      </c>
      <c r="G45" s="86">
        <f t="shared" ca="1" si="0"/>
        <v>1537.2317971531793</v>
      </c>
      <c r="H45" s="86">
        <f t="shared" ca="1" si="3"/>
        <v>8884.652413564474</v>
      </c>
      <c r="I45" s="86">
        <f>IF(B45="","",IF(Simulador!$F$9="Liquidez",'Tabla Fijos'!H45*0.16,IF(Simulador!$J$9="SI",H45*0.16,0)))</f>
        <v>0</v>
      </c>
      <c r="J45" s="86">
        <f t="shared" ca="1" si="4"/>
        <v>10421.884210717653</v>
      </c>
      <c r="K45" s="86">
        <f t="shared" ca="1" si="14"/>
        <v>0</v>
      </c>
      <c r="L45" s="86">
        <f ca="1">IF(B45="","",IF(F45=0,0,IF(Sheet1!$I$10=6,'Tabla Fijos'!$C$3*'Tabla Fijos'!$F$5,$F$5*$C$5)))</f>
        <v>0</v>
      </c>
      <c r="M45" s="86">
        <f t="shared" ca="1" si="5"/>
        <v>0</v>
      </c>
      <c r="N45" s="86">
        <f ca="1">IF(B45="","",IF(F45=0,0,IF(Simulador!$N$7='Tabla Parámetros'!$C$31,AportPat!L37,IF(Simulador!$N$7='Tabla Parámetros'!$C$34,AportPatFov!G35,0))))</f>
        <v>0</v>
      </c>
      <c r="O45" s="86">
        <f>Simulador!N100</f>
        <v>0</v>
      </c>
      <c r="P45" s="86"/>
      <c r="Q45" s="86">
        <f>IF(O45&gt;0,(O45-(O45/(1+Sheet1!$AD$13))),0)</f>
        <v>0</v>
      </c>
      <c r="R45" s="86">
        <f t="shared" ca="1" si="15"/>
        <v>10421.884210717653</v>
      </c>
      <c r="S45" s="86">
        <f t="shared" ca="1" si="6"/>
        <v>954944.48736648657</v>
      </c>
      <c r="U45" s="201">
        <f t="shared" ca="1" si="16"/>
        <v>1537.23179715318</v>
      </c>
      <c r="V45" s="201">
        <f t="shared" ca="1" si="7"/>
        <v>8884.652413564474</v>
      </c>
      <c r="W45" s="202">
        <f t="shared" ca="1" si="8"/>
        <v>10421.884210717653</v>
      </c>
      <c r="X45" s="201">
        <f t="shared" ca="1" si="9"/>
        <v>1537.2317971531793</v>
      </c>
      <c r="Y45" s="201">
        <f t="shared" ca="1" si="10"/>
        <v>8884.652413564474</v>
      </c>
      <c r="Z45" s="201">
        <f t="shared" ca="1" si="17"/>
        <v>10421.884210717653</v>
      </c>
      <c r="AA45" s="201">
        <f t="shared" ca="1" si="11"/>
        <v>1537.2317971531793</v>
      </c>
      <c r="AB45" s="201">
        <f t="shared" ca="1" si="12"/>
        <v>8884.652413564474</v>
      </c>
      <c r="AC45" s="201">
        <f t="shared" ca="1" si="18"/>
        <v>10421.884210717653</v>
      </c>
    </row>
    <row r="46" spans="2:29" x14ac:dyDescent="0.3">
      <c r="B46" s="84">
        <f t="shared" si="13"/>
        <v>35</v>
      </c>
      <c r="C46" s="85">
        <f ca="1">IF($B46="","",'Fecha Pago'!K38)</f>
        <v>47211</v>
      </c>
      <c r="D46" s="86">
        <f>IF($B$12="","",'Fecha Pago'!L38)</f>
        <v>30.4</v>
      </c>
      <c r="E46" s="87">
        <f t="shared" si="1"/>
        <v>0.11</v>
      </c>
      <c r="F46" s="86">
        <f t="shared" ca="1" si="19"/>
        <v>954944.48736648657</v>
      </c>
      <c r="G46" s="86">
        <f t="shared" ca="1" si="0"/>
        <v>1551.5109725134043</v>
      </c>
      <c r="H46" s="86">
        <f t="shared" ca="1" si="3"/>
        <v>8870.3732382042526</v>
      </c>
      <c r="I46" s="86">
        <f>IF(B46="","",IF(Simulador!$F$9="Liquidez",'Tabla Fijos'!H46*0.16,IF(Simulador!$J$9="SI",H46*0.16,0)))</f>
        <v>0</v>
      </c>
      <c r="J46" s="86">
        <f t="shared" ca="1" si="4"/>
        <v>10421.884210717657</v>
      </c>
      <c r="K46" s="86">
        <f t="shared" ca="1" si="14"/>
        <v>0</v>
      </c>
      <c r="L46" s="86">
        <f ca="1">IF(B46="","",IF(F46=0,0,IF(Sheet1!$I$10=6,'Tabla Fijos'!$C$3*'Tabla Fijos'!$F$5,$F$5*$C$5)))</f>
        <v>0</v>
      </c>
      <c r="M46" s="86">
        <f t="shared" ca="1" si="5"/>
        <v>0</v>
      </c>
      <c r="N46" s="86">
        <f ca="1">IF(B46="","",IF(F46=0,0,IF(Simulador!$N$7='Tabla Parámetros'!$C$31,AportPat!L38,IF(Simulador!$N$7='Tabla Parámetros'!$C$34,AportPatFov!G36,0))))</f>
        <v>0</v>
      </c>
      <c r="O46" s="86">
        <f>Simulador!N101</f>
        <v>0</v>
      </c>
      <c r="P46" s="86"/>
      <c r="Q46" s="86">
        <f>IF(O46&gt;0,(O46-(O46/(1+Sheet1!$AD$13))),0)</f>
        <v>0</v>
      </c>
      <c r="R46" s="86">
        <f t="shared" ca="1" si="15"/>
        <v>10421.884210717657</v>
      </c>
      <c r="S46" s="86">
        <f t="shared" ca="1" si="6"/>
        <v>953392.97639397322</v>
      </c>
      <c r="U46" s="201">
        <f t="shared" ca="1" si="16"/>
        <v>1551.5109725134027</v>
      </c>
      <c r="V46" s="201">
        <f t="shared" ca="1" si="7"/>
        <v>8870.3732382042526</v>
      </c>
      <c r="W46" s="202">
        <f t="shared" ca="1" si="8"/>
        <v>10421.884210717655</v>
      </c>
      <c r="X46" s="201">
        <f t="shared" ca="1" si="9"/>
        <v>1551.5109725134007</v>
      </c>
      <c r="Y46" s="201">
        <f t="shared" ca="1" si="10"/>
        <v>8870.3732382042526</v>
      </c>
      <c r="Z46" s="201">
        <f t="shared" ca="1" si="17"/>
        <v>10421.884210717653</v>
      </c>
      <c r="AA46" s="201">
        <f t="shared" ca="1" si="11"/>
        <v>1551.5109725134043</v>
      </c>
      <c r="AB46" s="201">
        <f t="shared" ca="1" si="12"/>
        <v>8870.3732382042526</v>
      </c>
      <c r="AC46" s="201">
        <f t="shared" ca="1" si="18"/>
        <v>10421.884210717657</v>
      </c>
    </row>
    <row r="47" spans="2:29" x14ac:dyDescent="0.3">
      <c r="B47" s="84">
        <f t="shared" si="13"/>
        <v>36</v>
      </c>
      <c r="C47" s="85">
        <f ca="1">IF($B47="","",'Fecha Pago'!K39)</f>
        <v>47241</v>
      </c>
      <c r="D47" s="86">
        <f>IF($B$12="","",'Fecha Pago'!L39)</f>
        <v>30.4</v>
      </c>
      <c r="E47" s="87">
        <f t="shared" si="1"/>
        <v>0.11</v>
      </c>
      <c r="F47" s="86">
        <f t="shared" ca="1" si="19"/>
        <v>953392.97639397322</v>
      </c>
      <c r="G47" s="86">
        <f t="shared" ca="1" si="0"/>
        <v>1565.922785546969</v>
      </c>
      <c r="H47" s="86">
        <f t="shared" ca="1" si="3"/>
        <v>8855.9614251706844</v>
      </c>
      <c r="I47" s="86">
        <f>IF(B47="","",IF(Simulador!$F$9="Liquidez",'Tabla Fijos'!H47*0.16,IF(Simulador!$J$9="SI",H47*0.16,0)))</f>
        <v>0</v>
      </c>
      <c r="J47" s="86">
        <f t="shared" ca="1" si="4"/>
        <v>10421.884210717653</v>
      </c>
      <c r="K47" s="86">
        <f t="shared" ca="1" si="14"/>
        <v>0</v>
      </c>
      <c r="L47" s="86">
        <f ca="1">IF(B47="","",IF(F47=0,0,IF(Sheet1!$I$10=6,'Tabla Fijos'!$C$3*'Tabla Fijos'!$F$5,$F$5*$C$5)))</f>
        <v>0</v>
      </c>
      <c r="M47" s="86">
        <f t="shared" ca="1" si="5"/>
        <v>0</v>
      </c>
      <c r="N47" s="86">
        <f ca="1">IF(B47="","",IF(F47=0,0,IF(Simulador!$N$7='Tabla Parámetros'!$C$31,AportPat!L39,IF(Simulador!$N$7='Tabla Parámetros'!$C$34,AportPatFov!G37,0))))</f>
        <v>0</v>
      </c>
      <c r="O47" s="86">
        <f>Simulador!N102</f>
        <v>0</v>
      </c>
      <c r="P47" s="86"/>
      <c r="Q47" s="86">
        <f>IF(O47&gt;0,(O47-(O47/(1+Sheet1!$AD$13))),0)</f>
        <v>0</v>
      </c>
      <c r="R47" s="86">
        <f t="shared" ca="1" si="15"/>
        <v>10421.884210717653</v>
      </c>
      <c r="S47" s="86">
        <f t="shared" ca="1" si="6"/>
        <v>951827.05360842624</v>
      </c>
      <c r="U47" s="201">
        <f t="shared" ca="1" si="16"/>
        <v>1565.9227855469715</v>
      </c>
      <c r="V47" s="201">
        <f t="shared" ca="1" si="7"/>
        <v>8855.9614251706844</v>
      </c>
      <c r="W47" s="202">
        <f t="shared" ca="1" si="8"/>
        <v>10421.884210717655</v>
      </c>
      <c r="X47" s="201">
        <f t="shared" ca="1" si="9"/>
        <v>1565.922785546969</v>
      </c>
      <c r="Y47" s="201">
        <f t="shared" ca="1" si="10"/>
        <v>8855.9614251706844</v>
      </c>
      <c r="Z47" s="201">
        <f t="shared" ca="1" si="17"/>
        <v>10421.884210717653</v>
      </c>
      <c r="AA47" s="201">
        <f t="shared" ca="1" si="11"/>
        <v>1565.922785546969</v>
      </c>
      <c r="AB47" s="201">
        <f t="shared" ca="1" si="12"/>
        <v>8855.9614251706844</v>
      </c>
      <c r="AC47" s="201">
        <f t="shared" ca="1" si="18"/>
        <v>10421.884210717653</v>
      </c>
    </row>
    <row r="48" spans="2:29" x14ac:dyDescent="0.3">
      <c r="B48" s="580">
        <f t="shared" si="13"/>
        <v>37</v>
      </c>
      <c r="C48" s="581">
        <f ca="1">IF($B48="","",'Fecha Pago'!K40)</f>
        <v>47272</v>
      </c>
      <c r="D48" s="582">
        <f>IF($B$12="","",'Fecha Pago'!L40)</f>
        <v>30.4</v>
      </c>
      <c r="E48" s="583">
        <f t="shared" si="1"/>
        <v>0.11</v>
      </c>
      <c r="F48" s="582">
        <f t="shared" ca="1" si="19"/>
        <v>951827.05360842624</v>
      </c>
      <c r="G48" s="582">
        <f t="shared" ca="1" si="0"/>
        <v>1580.4684683104988</v>
      </c>
      <c r="H48" s="582">
        <f t="shared" ca="1" si="3"/>
        <v>8841.4157424071582</v>
      </c>
      <c r="I48" s="582">
        <f>IF(B48="","",IF(Simulador!$F$9="Liquidez",'Tabla Fijos'!H48*0.16,IF(Simulador!$J$9="SI",H48*0.16,0)))</f>
        <v>0</v>
      </c>
      <c r="J48" s="582">
        <f t="shared" ca="1" si="4"/>
        <v>10421.884210717657</v>
      </c>
      <c r="K48" s="582">
        <f t="shared" ca="1" si="14"/>
        <v>0</v>
      </c>
      <c r="L48" s="582">
        <f ca="1">IF(B48="","",IF(F48=0,0,IF(Sheet1!$I$10=6,'Tabla Fijos'!$C$3*'Tabla Fijos'!$F$5,$F$5*$C$5)))</f>
        <v>0</v>
      </c>
      <c r="M48" s="582">
        <f t="shared" ca="1" si="5"/>
        <v>0</v>
      </c>
      <c r="N48" s="582">
        <f ca="1">IF(B48="","",IF(F48=0,0,IF(Simulador!$N$7='Tabla Parámetros'!$C$31,AportPat!L40,IF(Simulador!$N$7='Tabla Parámetros'!$C$34,AportPatFov!G38,0))))</f>
        <v>0</v>
      </c>
      <c r="O48" s="582">
        <f>Simulador!N103</f>
        <v>0</v>
      </c>
      <c r="P48" s="582">
        <f>IF(B48="","",IF(Sheet1!$Z$1=3,'Tabla Fijos'!$P$9,0))</f>
        <v>0</v>
      </c>
      <c r="Q48" s="582">
        <v>0</v>
      </c>
      <c r="R48" s="582">
        <f t="shared" ca="1" si="15"/>
        <v>10421.884210717657</v>
      </c>
      <c r="S48" s="582">
        <f t="shared" ca="1" si="6"/>
        <v>950246.5851401157</v>
      </c>
      <c r="U48" s="201">
        <f t="shared" ref="U48:U76" ca="1" si="20">IF(F48=0,0,PPMT(E48/360*30.4,B48,$C$4,-$S$11)+N48+O48+P48)</f>
        <v>1580.4684683104972</v>
      </c>
      <c r="V48" s="201">
        <f t="shared" ca="1" si="7"/>
        <v>8841.4157424071582</v>
      </c>
      <c r="W48" s="202">
        <f t="shared" ca="1" si="8"/>
        <v>10421.884210717655</v>
      </c>
      <c r="X48" s="201">
        <f t="shared" ca="1" si="9"/>
        <v>1580.4684683104952</v>
      </c>
      <c r="Y48" s="201">
        <f t="shared" ca="1" si="10"/>
        <v>8841.4157424071582</v>
      </c>
      <c r="Z48" s="201">
        <f t="shared" ref="Z48:Z77" ca="1" si="21">IF(F48=0,0,PMT($F$2/360*30.4,$C$4,-$C$3)+N48+O48+P48)</f>
        <v>10421.884210717653</v>
      </c>
      <c r="AA48" s="201">
        <f t="shared" ca="1" si="11"/>
        <v>1580.4684683104988</v>
      </c>
      <c r="AB48" s="201">
        <f t="shared" ca="1" si="12"/>
        <v>8841.4157424071582</v>
      </c>
      <c r="AC48" s="201">
        <f t="shared" ref="AC48:AC77" ca="1" si="22">PMT($F$2/360*30.4,$C$4-B47,-S47)+N48+O48+P48</f>
        <v>10421.884210717657</v>
      </c>
    </row>
    <row r="49" spans="2:29" x14ac:dyDescent="0.3">
      <c r="B49" s="84">
        <f t="shared" si="13"/>
        <v>38</v>
      </c>
      <c r="C49" s="85">
        <f ca="1">IF($B49="","",'Fecha Pago'!K41)</f>
        <v>47302</v>
      </c>
      <c r="D49" s="86">
        <f>IF($B$12="","",'Fecha Pago'!L41)</f>
        <v>30.4</v>
      </c>
      <c r="E49" s="87">
        <f t="shared" si="1"/>
        <v>0.11</v>
      </c>
      <c r="F49" s="86">
        <f t="shared" ca="1" si="19"/>
        <v>950246.5851401157</v>
      </c>
      <c r="G49" s="86">
        <f t="shared" ca="1" si="0"/>
        <v>1595.1492643050242</v>
      </c>
      <c r="H49" s="86">
        <f t="shared" ca="1" si="3"/>
        <v>8826.7349464126291</v>
      </c>
      <c r="I49" s="86">
        <f>IF(B49="","",IF(Simulador!$F$9="Liquidez",'Tabla Fijos'!H49*0.16,IF(Simulador!$J$9="SI",H49*0.16,0)))</f>
        <v>0</v>
      </c>
      <c r="J49" s="86">
        <f t="shared" ca="1" si="4"/>
        <v>10421.884210717653</v>
      </c>
      <c r="K49" s="86">
        <f t="shared" ca="1" si="14"/>
        <v>0</v>
      </c>
      <c r="L49" s="86">
        <f ca="1">IF(B49="","",IF(F49=0,0,IF(Sheet1!$I$10=6,'Tabla Fijos'!$C$3*'Tabla Fijos'!$F$5,$F$5*$C$5)))</f>
        <v>0</v>
      </c>
      <c r="M49" s="86">
        <f t="shared" ca="1" si="5"/>
        <v>0</v>
      </c>
      <c r="N49" s="86">
        <f ca="1">IF(B49="","",IF(F49=0,0,IF(Simulador!$N$7='Tabla Parámetros'!$C$31,AportPat!L41,IF(Simulador!$N$7='Tabla Parámetros'!$C$34,AportPatFov!G39,0))))</f>
        <v>0</v>
      </c>
      <c r="O49" s="86">
        <f>Simulador!N104</f>
        <v>0</v>
      </c>
      <c r="P49" s="86"/>
      <c r="Q49" s="86">
        <v>0</v>
      </c>
      <c r="R49" s="86">
        <f t="shared" ca="1" si="15"/>
        <v>10421.884210717653</v>
      </c>
      <c r="S49" s="86">
        <f t="shared" ca="1" si="6"/>
        <v>948651.43587581068</v>
      </c>
      <c r="U49" s="201">
        <f t="shared" ca="1" si="20"/>
        <v>1595.1492643050258</v>
      </c>
      <c r="V49" s="201">
        <f t="shared" ca="1" si="7"/>
        <v>8826.7349464126291</v>
      </c>
      <c r="W49" s="202">
        <f t="shared" ca="1" si="8"/>
        <v>10421.884210717655</v>
      </c>
      <c r="X49" s="201">
        <f t="shared" ca="1" si="9"/>
        <v>1595.1492643050242</v>
      </c>
      <c r="Y49" s="201">
        <f t="shared" ca="1" si="10"/>
        <v>8826.7349464126291</v>
      </c>
      <c r="Z49" s="201">
        <f t="shared" ca="1" si="21"/>
        <v>10421.884210717653</v>
      </c>
      <c r="AA49" s="201">
        <f t="shared" ca="1" si="11"/>
        <v>1595.1492643050242</v>
      </c>
      <c r="AB49" s="201">
        <f t="shared" ca="1" si="12"/>
        <v>8826.7349464126291</v>
      </c>
      <c r="AC49" s="201">
        <f t="shared" ca="1" si="22"/>
        <v>10421.884210717653</v>
      </c>
    </row>
    <row r="50" spans="2:29" x14ac:dyDescent="0.3">
      <c r="B50" s="84">
        <f t="shared" si="13"/>
        <v>39</v>
      </c>
      <c r="C50" s="85">
        <f ca="1">IF($B50="","",'Fecha Pago'!K42)</f>
        <v>47333</v>
      </c>
      <c r="D50" s="86">
        <f>IF($B$12="","",'Fecha Pago'!L42)</f>
        <v>30.4</v>
      </c>
      <c r="E50" s="87">
        <f t="shared" si="1"/>
        <v>0.11</v>
      </c>
      <c r="F50" s="86">
        <f t="shared" ca="1" si="19"/>
        <v>948651.43587581068</v>
      </c>
      <c r="G50" s="86">
        <f t="shared" ca="1" si="0"/>
        <v>1609.9664285823492</v>
      </c>
      <c r="H50" s="86">
        <f t="shared" ca="1" si="3"/>
        <v>8811.9177821353078</v>
      </c>
      <c r="I50" s="86">
        <f>IF(B50="","",IF(Simulador!$F$9="Liquidez",'Tabla Fijos'!H50*0.16,IF(Simulador!$J$9="SI",H50*0.16,0)))</f>
        <v>0</v>
      </c>
      <c r="J50" s="86">
        <f t="shared" ca="1" si="4"/>
        <v>10421.884210717657</v>
      </c>
      <c r="K50" s="86">
        <f t="shared" ca="1" si="14"/>
        <v>0</v>
      </c>
      <c r="L50" s="86">
        <f ca="1">IF(B50="","",IF(F50=0,0,IF(Sheet1!$I$10=6,'Tabla Fijos'!$C$3*'Tabla Fijos'!$F$5,$F$5*$C$5)))</f>
        <v>0</v>
      </c>
      <c r="M50" s="86">
        <f t="shared" ca="1" si="5"/>
        <v>0</v>
      </c>
      <c r="N50" s="86">
        <f ca="1">IF(B50="","",IF(F50=0,0,IF(Simulador!$N$7='Tabla Parámetros'!$C$31,AportPat!L42,IF(Simulador!$N$7='Tabla Parámetros'!$C$34,AportPatFov!G40,0))))</f>
        <v>0</v>
      </c>
      <c r="O50" s="86">
        <f>Simulador!N105</f>
        <v>0</v>
      </c>
      <c r="P50" s="86"/>
      <c r="Q50" s="86">
        <v>0</v>
      </c>
      <c r="R50" s="86">
        <f t="shared" ca="1" si="15"/>
        <v>10421.884210717657</v>
      </c>
      <c r="S50" s="86">
        <f t="shared" ca="1" si="6"/>
        <v>947041.46944722836</v>
      </c>
      <c r="U50" s="201">
        <f t="shared" ca="1" si="20"/>
        <v>1609.966428582348</v>
      </c>
      <c r="V50" s="201">
        <f t="shared" ca="1" si="7"/>
        <v>8811.9177821353078</v>
      </c>
      <c r="W50" s="202">
        <f t="shared" ca="1" si="8"/>
        <v>10421.884210717655</v>
      </c>
      <c r="X50" s="201">
        <f t="shared" ca="1" si="9"/>
        <v>1609.9664285823455</v>
      </c>
      <c r="Y50" s="201">
        <f t="shared" ca="1" si="10"/>
        <v>8811.9177821353078</v>
      </c>
      <c r="Z50" s="201">
        <f t="shared" ca="1" si="21"/>
        <v>10421.884210717653</v>
      </c>
      <c r="AA50" s="201">
        <f t="shared" ca="1" si="11"/>
        <v>1609.9664285823492</v>
      </c>
      <c r="AB50" s="201">
        <f t="shared" ca="1" si="12"/>
        <v>8811.9177821353078</v>
      </c>
      <c r="AC50" s="201">
        <f t="shared" ca="1" si="22"/>
        <v>10421.884210717657</v>
      </c>
    </row>
    <row r="51" spans="2:29" x14ac:dyDescent="0.3">
      <c r="B51" s="84">
        <f t="shared" si="13"/>
        <v>40</v>
      </c>
      <c r="C51" s="85">
        <f ca="1">IF($B51="","",'Fecha Pago'!K43)</f>
        <v>47364</v>
      </c>
      <c r="D51" s="86">
        <f>IF($B$12="","",'Fecha Pago'!L43)</f>
        <v>30.4</v>
      </c>
      <c r="E51" s="87">
        <f t="shared" si="1"/>
        <v>0.11</v>
      </c>
      <c r="F51" s="86">
        <f t="shared" ca="1" si="19"/>
        <v>947041.46944722836</v>
      </c>
      <c r="G51" s="86">
        <f t="shared" ca="1" si="0"/>
        <v>1624.9212278522918</v>
      </c>
      <c r="H51" s="86">
        <f t="shared" ca="1" si="3"/>
        <v>8796.9629828653651</v>
      </c>
      <c r="I51" s="86">
        <f>IF(B51="","",IF(Simulador!$F$9="Liquidez",'Tabla Fijos'!H51*0.16,IF(Simulador!$J$9="SI",H51*0.16,0)))</f>
        <v>0</v>
      </c>
      <c r="J51" s="86">
        <f t="shared" ca="1" si="4"/>
        <v>10421.884210717657</v>
      </c>
      <c r="K51" s="86">
        <f t="shared" ca="1" si="14"/>
        <v>0</v>
      </c>
      <c r="L51" s="86">
        <f ca="1">IF(B51="","",IF(F51=0,0,IF(Sheet1!$I$10=6,'Tabla Fijos'!$C$3*'Tabla Fijos'!$F$5,$F$5*$C$5)))</f>
        <v>0</v>
      </c>
      <c r="M51" s="86">
        <f t="shared" ca="1" si="5"/>
        <v>0</v>
      </c>
      <c r="N51" s="86">
        <f ca="1">IF(B51="","",IF(F51=0,0,IF(Simulador!$N$7='Tabla Parámetros'!$C$31,AportPat!L43,IF(Simulador!$N$7='Tabla Parámetros'!$C$34,AportPatFov!G41,0))))</f>
        <v>0</v>
      </c>
      <c r="O51" s="86">
        <f>Simulador!N106</f>
        <v>0</v>
      </c>
      <c r="P51" s="86"/>
      <c r="Q51" s="86">
        <v>0</v>
      </c>
      <c r="R51" s="86">
        <f t="shared" ca="1" si="15"/>
        <v>10421.884210717657</v>
      </c>
      <c r="S51" s="86">
        <f t="shared" ca="1" si="6"/>
        <v>945416.54821937601</v>
      </c>
      <c r="U51" s="201">
        <f t="shared" ca="1" si="20"/>
        <v>1624.9212278522907</v>
      </c>
      <c r="V51" s="201">
        <f t="shared" ca="1" si="7"/>
        <v>8796.9629828653651</v>
      </c>
      <c r="W51" s="202">
        <f t="shared" ca="1" si="8"/>
        <v>10421.884210717655</v>
      </c>
      <c r="X51" s="201">
        <f t="shared" ca="1" si="9"/>
        <v>1624.9212278522882</v>
      </c>
      <c r="Y51" s="201">
        <f t="shared" ca="1" si="10"/>
        <v>8796.9629828653651</v>
      </c>
      <c r="Z51" s="201">
        <f t="shared" ca="1" si="21"/>
        <v>10421.884210717653</v>
      </c>
      <c r="AA51" s="201">
        <f t="shared" ca="1" si="11"/>
        <v>1624.9212278522918</v>
      </c>
      <c r="AB51" s="201">
        <f t="shared" ca="1" si="12"/>
        <v>8796.9629828653651</v>
      </c>
      <c r="AC51" s="201">
        <f t="shared" ca="1" si="22"/>
        <v>10421.884210717657</v>
      </c>
    </row>
    <row r="52" spans="2:29" x14ac:dyDescent="0.3">
      <c r="B52" s="84">
        <f t="shared" si="13"/>
        <v>41</v>
      </c>
      <c r="C52" s="85">
        <f ca="1">IF($B52="","",'Fecha Pago'!K44)</f>
        <v>47394</v>
      </c>
      <c r="D52" s="86">
        <f>IF($B$12="","",'Fecha Pago'!L44)</f>
        <v>30.4</v>
      </c>
      <c r="E52" s="87">
        <f t="shared" si="1"/>
        <v>0.11</v>
      </c>
      <c r="F52" s="86">
        <f t="shared" ca="1" si="19"/>
        <v>945416.54821937601</v>
      </c>
      <c r="G52" s="86">
        <f t="shared" ca="1" si="0"/>
        <v>1640.0149405910088</v>
      </c>
      <c r="H52" s="86">
        <f t="shared" ca="1" si="3"/>
        <v>8781.8692701266482</v>
      </c>
      <c r="I52" s="86">
        <f>IF(B52="","",IF(Simulador!$F$9="Liquidez",'Tabla Fijos'!H52*0.16,IF(Simulador!$J$9="SI",H52*0.16,0)))</f>
        <v>0</v>
      </c>
      <c r="J52" s="86">
        <f t="shared" ca="1" si="4"/>
        <v>10421.884210717657</v>
      </c>
      <c r="K52" s="86">
        <f t="shared" ca="1" si="14"/>
        <v>0</v>
      </c>
      <c r="L52" s="86">
        <f ca="1">IF(B52="","",IF(F52=0,0,IF(Sheet1!$I$10=6,'Tabla Fijos'!$C$3*'Tabla Fijos'!$F$5,$F$5*$C$5)))</f>
        <v>0</v>
      </c>
      <c r="M52" s="86">
        <f t="shared" ca="1" si="5"/>
        <v>0</v>
      </c>
      <c r="N52" s="86">
        <f ca="1">IF(B52="","",IF(F52=0,0,IF(Simulador!$N$7='Tabla Parámetros'!$C$31,AportPat!L44,IF(Simulador!$N$7='Tabla Parámetros'!$C$34,AportPatFov!G42,0))))</f>
        <v>0</v>
      </c>
      <c r="O52" s="86">
        <f>Simulador!N107</f>
        <v>0</v>
      </c>
      <c r="P52" s="86"/>
      <c r="Q52" s="86">
        <v>0</v>
      </c>
      <c r="R52" s="86">
        <f t="shared" ca="1" si="15"/>
        <v>10421.884210717657</v>
      </c>
      <c r="S52" s="86">
        <f t="shared" ca="1" si="6"/>
        <v>943776.53327878495</v>
      </c>
      <c r="U52" s="201">
        <f t="shared" ca="1" si="20"/>
        <v>1640.0149405910074</v>
      </c>
      <c r="V52" s="201">
        <f t="shared" ca="1" si="7"/>
        <v>8781.8692701266482</v>
      </c>
      <c r="W52" s="202">
        <f t="shared" ca="1" si="8"/>
        <v>10421.884210717655</v>
      </c>
      <c r="X52" s="201">
        <f t="shared" ca="1" si="9"/>
        <v>1640.0149405910051</v>
      </c>
      <c r="Y52" s="201">
        <f t="shared" ca="1" si="10"/>
        <v>8781.8692701266482</v>
      </c>
      <c r="Z52" s="201">
        <f t="shared" ca="1" si="21"/>
        <v>10421.884210717653</v>
      </c>
      <c r="AA52" s="201">
        <f t="shared" ca="1" si="11"/>
        <v>1640.0149405910088</v>
      </c>
      <c r="AB52" s="201">
        <f t="shared" ca="1" si="12"/>
        <v>8781.8692701266482</v>
      </c>
      <c r="AC52" s="201">
        <f t="shared" ca="1" si="22"/>
        <v>10421.884210717657</v>
      </c>
    </row>
    <row r="53" spans="2:29" x14ac:dyDescent="0.3">
      <c r="B53" s="84">
        <f t="shared" si="13"/>
        <v>42</v>
      </c>
      <c r="C53" s="85">
        <f ca="1">IF($B53="","",'Fecha Pago'!K45)</f>
        <v>47425</v>
      </c>
      <c r="D53" s="86">
        <f>IF($B$12="","",'Fecha Pago'!L45)</f>
        <v>30.4</v>
      </c>
      <c r="E53" s="87">
        <f t="shared" si="1"/>
        <v>0.11</v>
      </c>
      <c r="F53" s="86">
        <f t="shared" ca="1" si="19"/>
        <v>943776.53327878495</v>
      </c>
      <c r="G53" s="86">
        <f t="shared" ca="1" si="0"/>
        <v>1655.2488571502781</v>
      </c>
      <c r="H53" s="86">
        <f t="shared" ca="1" si="3"/>
        <v>8766.6353535673788</v>
      </c>
      <c r="I53" s="86">
        <f>IF(B53="","",IF(Simulador!$F$9="Liquidez",'Tabla Fijos'!H53*0.16,IF(Simulador!$J$9="SI",H53*0.16,0)))</f>
        <v>0</v>
      </c>
      <c r="J53" s="86">
        <f t="shared" ca="1" si="4"/>
        <v>10421.884210717657</v>
      </c>
      <c r="K53" s="86">
        <f t="shared" ca="1" si="14"/>
        <v>0</v>
      </c>
      <c r="L53" s="86">
        <f ca="1">IF(B53="","",IF(F53=0,0,IF(Sheet1!$I$10=6,'Tabla Fijos'!$C$3*'Tabla Fijos'!$F$5,$F$5*$C$5)))</f>
        <v>0</v>
      </c>
      <c r="M53" s="86">
        <f t="shared" ca="1" si="5"/>
        <v>0</v>
      </c>
      <c r="N53" s="86">
        <f ca="1">IF(B53="","",IF(F53=0,0,IF(Simulador!$N$7='Tabla Parámetros'!$C$31,AportPat!L45,IF(Simulador!$N$7='Tabla Parámetros'!$C$34,AportPatFov!G43,0))))</f>
        <v>0</v>
      </c>
      <c r="O53" s="86">
        <f>Simulador!N108</f>
        <v>0</v>
      </c>
      <c r="P53" s="86"/>
      <c r="Q53" s="86">
        <v>0</v>
      </c>
      <c r="R53" s="86">
        <f t="shared" ca="1" si="15"/>
        <v>10421.884210717657</v>
      </c>
      <c r="S53" s="86">
        <f t="shared" ca="1" si="6"/>
        <v>942121.28442163463</v>
      </c>
      <c r="U53" s="201">
        <f t="shared" ca="1" si="20"/>
        <v>1655.2488571502749</v>
      </c>
      <c r="V53" s="201">
        <f t="shared" ca="1" si="7"/>
        <v>8766.6353535673788</v>
      </c>
      <c r="W53" s="202">
        <f t="shared" ca="1" si="8"/>
        <v>10421.884210717653</v>
      </c>
      <c r="X53" s="201">
        <f t="shared" ca="1" si="9"/>
        <v>1655.2488571502745</v>
      </c>
      <c r="Y53" s="201">
        <f t="shared" ca="1" si="10"/>
        <v>8766.6353535673788</v>
      </c>
      <c r="Z53" s="201">
        <f t="shared" ca="1" si="21"/>
        <v>10421.884210717653</v>
      </c>
      <c r="AA53" s="201">
        <f t="shared" ca="1" si="11"/>
        <v>1655.2488571502781</v>
      </c>
      <c r="AB53" s="201">
        <f t="shared" ca="1" si="12"/>
        <v>8766.6353535673788</v>
      </c>
      <c r="AC53" s="201">
        <f t="shared" ca="1" si="22"/>
        <v>10421.884210717657</v>
      </c>
    </row>
    <row r="54" spans="2:29" x14ac:dyDescent="0.3">
      <c r="B54" s="84">
        <f t="shared" si="13"/>
        <v>43</v>
      </c>
      <c r="C54" s="85">
        <f ca="1">IF($B54="","",'Fecha Pago'!K46)</f>
        <v>47455</v>
      </c>
      <c r="D54" s="86">
        <f>IF($B$12="","",'Fecha Pago'!L46)</f>
        <v>30.4</v>
      </c>
      <c r="E54" s="87">
        <f t="shared" si="1"/>
        <v>0.11</v>
      </c>
      <c r="F54" s="86">
        <f t="shared" ca="1" si="19"/>
        <v>942121.28442163463</v>
      </c>
      <c r="G54" s="86">
        <f t="shared" ca="1" si="0"/>
        <v>1670.6242798678031</v>
      </c>
      <c r="H54" s="86">
        <f t="shared" ca="1" si="3"/>
        <v>8751.2599308498502</v>
      </c>
      <c r="I54" s="86">
        <f>IF(B54="","",IF(Simulador!$F$9="Liquidez",'Tabla Fijos'!H54*0.16,IF(Simulador!$J$9="SI",H54*0.16,0)))</f>
        <v>0</v>
      </c>
      <c r="J54" s="86">
        <f t="shared" ca="1" si="4"/>
        <v>10421.884210717653</v>
      </c>
      <c r="K54" s="86">
        <f t="shared" ca="1" si="14"/>
        <v>0</v>
      </c>
      <c r="L54" s="86">
        <f ca="1">IF(B54="","",IF(F54=0,0,IF(Sheet1!$I$10=6,'Tabla Fijos'!$C$3*'Tabla Fijos'!$F$5,$F$5*$C$5)))</f>
        <v>0</v>
      </c>
      <c r="M54" s="86">
        <f t="shared" ca="1" si="5"/>
        <v>0</v>
      </c>
      <c r="N54" s="86">
        <f ca="1">IF(B54="","",IF(F54=0,0,IF(Simulador!$N$7='Tabla Parámetros'!$C$31,AportPat!L46,IF(Simulador!$N$7='Tabla Parámetros'!$C$34,AportPatFov!G44,0))))</f>
        <v>0</v>
      </c>
      <c r="O54" s="86">
        <f>Simulador!N109</f>
        <v>0</v>
      </c>
      <c r="P54" s="86"/>
      <c r="Q54" s="86">
        <v>0</v>
      </c>
      <c r="R54" s="86">
        <f t="shared" ca="1" si="15"/>
        <v>10421.884210717653</v>
      </c>
      <c r="S54" s="86">
        <f t="shared" ca="1" si="6"/>
        <v>940450.66014176677</v>
      </c>
      <c r="U54" s="201">
        <f t="shared" ca="1" si="20"/>
        <v>1670.6242798678043</v>
      </c>
      <c r="V54" s="201">
        <f t="shared" ca="1" si="7"/>
        <v>8751.2599308498502</v>
      </c>
      <c r="W54" s="202">
        <f t="shared" ca="1" si="8"/>
        <v>10421.884210717655</v>
      </c>
      <c r="X54" s="201">
        <f t="shared" ca="1" si="9"/>
        <v>1670.6242798678031</v>
      </c>
      <c r="Y54" s="201">
        <f t="shared" ca="1" si="10"/>
        <v>8751.2599308498502</v>
      </c>
      <c r="Z54" s="201">
        <f t="shared" ca="1" si="21"/>
        <v>10421.884210717653</v>
      </c>
      <c r="AA54" s="201">
        <f t="shared" ca="1" si="11"/>
        <v>1670.6242798678031</v>
      </c>
      <c r="AB54" s="201">
        <f t="shared" ca="1" si="12"/>
        <v>8751.2599308498502</v>
      </c>
      <c r="AC54" s="201">
        <f t="shared" ca="1" si="22"/>
        <v>10421.884210717653</v>
      </c>
    </row>
    <row r="55" spans="2:29" x14ac:dyDescent="0.3">
      <c r="B55" s="84">
        <f t="shared" si="13"/>
        <v>44</v>
      </c>
      <c r="C55" s="85">
        <f ca="1">IF($B55="","",'Fecha Pago'!K47)</f>
        <v>47486</v>
      </c>
      <c r="D55" s="86">
        <f>IF($B$12="","",'Fecha Pago'!L47)</f>
        <v>30.4</v>
      </c>
      <c r="E55" s="87">
        <f t="shared" si="1"/>
        <v>0.11</v>
      </c>
      <c r="F55" s="86">
        <f t="shared" ca="1" si="19"/>
        <v>940450.66014176677</v>
      </c>
      <c r="G55" s="86">
        <f t="shared" ca="1" si="0"/>
        <v>1686.1425231785761</v>
      </c>
      <c r="H55" s="86">
        <f t="shared" ca="1" si="3"/>
        <v>8735.7416875390772</v>
      </c>
      <c r="I55" s="86">
        <f>IF(B55="","",IF(Simulador!$F$9="Liquidez",'Tabla Fijos'!H55*0.16,IF(Simulador!$J$9="SI",H55*0.16,0)))</f>
        <v>0</v>
      </c>
      <c r="J55" s="86">
        <f t="shared" ca="1" si="4"/>
        <v>10421.884210717653</v>
      </c>
      <c r="K55" s="86">
        <f t="shared" ca="1" si="14"/>
        <v>0</v>
      </c>
      <c r="L55" s="86">
        <f ca="1">IF(B55="","",IF(F55=0,0,IF(Sheet1!$I$10=6,'Tabla Fijos'!$C$3*'Tabla Fijos'!$F$5,$F$5*$C$5)))</f>
        <v>0</v>
      </c>
      <c r="M55" s="86">
        <f t="shared" ca="1" si="5"/>
        <v>0</v>
      </c>
      <c r="N55" s="86">
        <f ca="1">IF(B55="","",IF(F55=0,0,IF(Simulador!$N$7='Tabla Parámetros'!$C$31,AportPat!L47,IF(Simulador!$N$7='Tabla Parámetros'!$C$34,AportPatFov!G45,0))))</f>
        <v>0</v>
      </c>
      <c r="O55" s="86">
        <f>Simulador!N110</f>
        <v>0</v>
      </c>
      <c r="P55" s="86"/>
      <c r="Q55" s="86">
        <v>0</v>
      </c>
      <c r="R55" s="86">
        <f t="shared" ca="1" si="15"/>
        <v>10421.884210717653</v>
      </c>
      <c r="S55" s="86">
        <f t="shared" ca="1" si="6"/>
        <v>938764.51761858817</v>
      </c>
      <c r="U55" s="201">
        <f t="shared" ca="1" si="20"/>
        <v>1686.1425231785763</v>
      </c>
      <c r="V55" s="201">
        <f t="shared" ca="1" si="7"/>
        <v>8735.7416875390772</v>
      </c>
      <c r="W55" s="202">
        <f t="shared" ca="1" si="8"/>
        <v>10421.884210717653</v>
      </c>
      <c r="X55" s="201">
        <f t="shared" ca="1" si="9"/>
        <v>1686.1425231785761</v>
      </c>
      <c r="Y55" s="201">
        <f t="shared" ca="1" si="10"/>
        <v>8735.7416875390772</v>
      </c>
      <c r="Z55" s="201">
        <f t="shared" ca="1" si="21"/>
        <v>10421.884210717653</v>
      </c>
      <c r="AA55" s="201">
        <f t="shared" ca="1" si="11"/>
        <v>1686.1425231785761</v>
      </c>
      <c r="AB55" s="201">
        <f t="shared" ca="1" si="12"/>
        <v>8735.7416875390772</v>
      </c>
      <c r="AC55" s="201">
        <f t="shared" ca="1" si="22"/>
        <v>10421.884210717653</v>
      </c>
    </row>
    <row r="56" spans="2:29" x14ac:dyDescent="0.3">
      <c r="B56" s="84">
        <f t="shared" si="13"/>
        <v>45</v>
      </c>
      <c r="C56" s="85">
        <f ca="1">IF($B56="","",'Fecha Pago'!K48)</f>
        <v>47517</v>
      </c>
      <c r="D56" s="86">
        <f>IF($B$12="","",'Fecha Pago'!L48)</f>
        <v>30.4</v>
      </c>
      <c r="E56" s="87">
        <f t="shared" si="1"/>
        <v>0.11</v>
      </c>
      <c r="F56" s="86">
        <f t="shared" ca="1" si="19"/>
        <v>938764.51761858817</v>
      </c>
      <c r="G56" s="86">
        <f t="shared" ca="1" si="0"/>
        <v>1701.8049137272119</v>
      </c>
      <c r="H56" s="86">
        <f t="shared" ca="1" si="3"/>
        <v>8720.0792969904414</v>
      </c>
      <c r="I56" s="86">
        <f>IF(B56="","",IF(Simulador!$F$9="Liquidez",'Tabla Fijos'!H56*0.16,IF(Simulador!$J$9="SI",H56*0.16,0)))</f>
        <v>0</v>
      </c>
      <c r="J56" s="86">
        <f t="shared" ca="1" si="4"/>
        <v>10421.884210717653</v>
      </c>
      <c r="K56" s="86">
        <f t="shared" ca="1" si="14"/>
        <v>0</v>
      </c>
      <c r="L56" s="86">
        <f ca="1">IF(B56="","",IF(F56=0,0,IF(Sheet1!$I$10=6,'Tabla Fijos'!$C$3*'Tabla Fijos'!$F$5,$F$5*$C$5)))</f>
        <v>0</v>
      </c>
      <c r="M56" s="86">
        <f t="shared" ca="1" si="5"/>
        <v>0</v>
      </c>
      <c r="N56" s="86">
        <f ca="1">IF(B56="","",IF(F56=0,0,IF(Simulador!$N$7='Tabla Parámetros'!$C$31,AportPat!L48,IF(Simulador!$N$7='Tabla Parámetros'!$C$34,AportPatFov!G46,0))))</f>
        <v>0</v>
      </c>
      <c r="O56" s="86">
        <f>Simulador!N111</f>
        <v>0</v>
      </c>
      <c r="P56" s="86"/>
      <c r="Q56" s="86">
        <v>0</v>
      </c>
      <c r="R56" s="86">
        <f t="shared" ca="1" si="15"/>
        <v>10421.884210717653</v>
      </c>
      <c r="S56" s="86">
        <f t="shared" ca="1" si="6"/>
        <v>937062.71270486095</v>
      </c>
      <c r="U56" s="201">
        <f t="shared" ca="1" si="20"/>
        <v>1701.804913727213</v>
      </c>
      <c r="V56" s="201">
        <f t="shared" ca="1" si="7"/>
        <v>8720.0792969904414</v>
      </c>
      <c r="W56" s="202">
        <f t="shared" ca="1" si="8"/>
        <v>10421.884210717655</v>
      </c>
      <c r="X56" s="201">
        <f t="shared" ca="1" si="9"/>
        <v>1701.8049137272119</v>
      </c>
      <c r="Y56" s="201">
        <f t="shared" ca="1" si="10"/>
        <v>8720.0792969904414</v>
      </c>
      <c r="Z56" s="201">
        <f t="shared" ca="1" si="21"/>
        <v>10421.884210717653</v>
      </c>
      <c r="AA56" s="201">
        <f t="shared" ca="1" si="11"/>
        <v>1701.8049137272119</v>
      </c>
      <c r="AB56" s="201">
        <f t="shared" ca="1" si="12"/>
        <v>8720.0792969904414</v>
      </c>
      <c r="AC56" s="201">
        <f t="shared" ca="1" si="22"/>
        <v>10421.884210717653</v>
      </c>
    </row>
    <row r="57" spans="2:29" x14ac:dyDescent="0.3">
      <c r="B57" s="84">
        <f t="shared" si="13"/>
        <v>46</v>
      </c>
      <c r="C57" s="85">
        <f ca="1">IF($B57="","",'Fecha Pago'!K49)</f>
        <v>47545</v>
      </c>
      <c r="D57" s="86">
        <f>IF($B$12="","",'Fecha Pago'!L49)</f>
        <v>30.4</v>
      </c>
      <c r="E57" s="87">
        <f t="shared" si="1"/>
        <v>0.11</v>
      </c>
      <c r="F57" s="86">
        <f t="shared" ca="1" si="19"/>
        <v>937062.71270486095</v>
      </c>
      <c r="G57" s="86">
        <f t="shared" ca="1" si="0"/>
        <v>1717.6127904813893</v>
      </c>
      <c r="H57" s="86">
        <f t="shared" ca="1" si="3"/>
        <v>8704.271420236264</v>
      </c>
      <c r="I57" s="86">
        <f>IF(B57="","",IF(Simulador!$F$9="Liquidez",'Tabla Fijos'!H57*0.16,IF(Simulador!$J$9="SI",H57*0.16,0)))</f>
        <v>0</v>
      </c>
      <c r="J57" s="86">
        <f t="shared" ca="1" si="4"/>
        <v>10421.884210717653</v>
      </c>
      <c r="K57" s="86">
        <f t="shared" ca="1" si="14"/>
        <v>0</v>
      </c>
      <c r="L57" s="86">
        <f ca="1">IF(B57="","",IF(F57=0,0,IF(Sheet1!$I$10=6,'Tabla Fijos'!$C$3*'Tabla Fijos'!$F$5,$F$5*$C$5)))</f>
        <v>0</v>
      </c>
      <c r="M57" s="86">
        <f t="shared" ca="1" si="5"/>
        <v>0</v>
      </c>
      <c r="N57" s="86">
        <f ca="1">IF(B57="","",IF(F57=0,0,IF(Simulador!$N$7='Tabla Parámetros'!$C$31,AportPat!L49,IF(Simulador!$N$7='Tabla Parámetros'!$C$34,AportPatFov!G47,0))))</f>
        <v>0</v>
      </c>
      <c r="O57" s="86">
        <f>Simulador!N112</f>
        <v>0</v>
      </c>
      <c r="P57" s="86"/>
      <c r="Q57" s="86">
        <v>0</v>
      </c>
      <c r="R57" s="86">
        <f t="shared" ca="1" si="15"/>
        <v>10421.884210717653</v>
      </c>
      <c r="S57" s="86">
        <f t="shared" ca="1" si="6"/>
        <v>935345.09991437953</v>
      </c>
      <c r="U57" s="201">
        <f t="shared" ca="1" si="20"/>
        <v>1717.61279048139</v>
      </c>
      <c r="V57" s="201">
        <f t="shared" ca="1" si="7"/>
        <v>8704.271420236264</v>
      </c>
      <c r="W57" s="202">
        <f t="shared" ca="1" si="8"/>
        <v>10421.884210717653</v>
      </c>
      <c r="X57" s="201">
        <f t="shared" ca="1" si="9"/>
        <v>1717.6127904813893</v>
      </c>
      <c r="Y57" s="201">
        <f t="shared" ca="1" si="10"/>
        <v>8704.271420236264</v>
      </c>
      <c r="Z57" s="201">
        <f t="shared" ca="1" si="21"/>
        <v>10421.884210717653</v>
      </c>
      <c r="AA57" s="201">
        <f t="shared" ca="1" si="11"/>
        <v>1717.6127904813893</v>
      </c>
      <c r="AB57" s="201">
        <f t="shared" ca="1" si="12"/>
        <v>8704.271420236264</v>
      </c>
      <c r="AC57" s="201">
        <f t="shared" ca="1" si="22"/>
        <v>10421.884210717653</v>
      </c>
    </row>
    <row r="58" spans="2:29" x14ac:dyDescent="0.3">
      <c r="B58" s="84">
        <f t="shared" si="13"/>
        <v>47</v>
      </c>
      <c r="C58" s="85">
        <f ca="1">IF($B58="","",'Fecha Pago'!K50)</f>
        <v>47576</v>
      </c>
      <c r="D58" s="86">
        <f>IF($B$12="","",'Fecha Pago'!L50)</f>
        <v>30.4</v>
      </c>
      <c r="E58" s="87">
        <f t="shared" si="1"/>
        <v>0.11</v>
      </c>
      <c r="F58" s="86">
        <f t="shared" ca="1" si="19"/>
        <v>935345.09991437953</v>
      </c>
      <c r="G58" s="86">
        <f t="shared" ca="1" si="0"/>
        <v>1733.5675048463072</v>
      </c>
      <c r="H58" s="86">
        <f t="shared" ca="1" si="3"/>
        <v>8688.3167058713461</v>
      </c>
      <c r="I58" s="86">
        <f>IF(B58="","",IF(Simulador!$F$9="Liquidez",'Tabla Fijos'!H58*0.16,IF(Simulador!$J$9="SI",H58*0.16,0)))</f>
        <v>0</v>
      </c>
      <c r="J58" s="86">
        <f t="shared" ca="1" si="4"/>
        <v>10421.884210717653</v>
      </c>
      <c r="K58" s="86">
        <f t="shared" ca="1" si="14"/>
        <v>0</v>
      </c>
      <c r="L58" s="86">
        <f ca="1">IF(B58="","",IF(F58=0,0,IF(Sheet1!$I$10=6,'Tabla Fijos'!$C$3*'Tabla Fijos'!$F$5,$F$5*$C$5)))</f>
        <v>0</v>
      </c>
      <c r="M58" s="86">
        <f t="shared" ca="1" si="5"/>
        <v>0</v>
      </c>
      <c r="N58" s="86">
        <f ca="1">IF(B58="","",IF(F58=0,0,IF(Simulador!$N$7='Tabla Parámetros'!$C$31,AportPat!L50,IF(Simulador!$N$7='Tabla Parámetros'!$C$34,AportPatFov!G48,0))))</f>
        <v>0</v>
      </c>
      <c r="O58" s="86">
        <f>Simulador!N113</f>
        <v>0</v>
      </c>
      <c r="P58" s="86"/>
      <c r="Q58" s="86">
        <v>0</v>
      </c>
      <c r="R58" s="86">
        <f t="shared" ca="1" si="15"/>
        <v>10421.884210717653</v>
      </c>
      <c r="S58" s="86">
        <f t="shared" ca="1" si="6"/>
        <v>933611.53240953328</v>
      </c>
      <c r="U58" s="201">
        <f t="shared" ca="1" si="20"/>
        <v>1733.5675048463061</v>
      </c>
      <c r="V58" s="201">
        <f t="shared" ca="1" si="7"/>
        <v>8688.3167058713461</v>
      </c>
      <c r="W58" s="202">
        <f t="shared" ca="1" si="8"/>
        <v>10421.884210717652</v>
      </c>
      <c r="X58" s="201">
        <f t="shared" ca="1" si="9"/>
        <v>1733.5675048463072</v>
      </c>
      <c r="Y58" s="201">
        <f t="shared" ca="1" si="10"/>
        <v>8688.3167058713461</v>
      </c>
      <c r="Z58" s="201">
        <f t="shared" ca="1" si="21"/>
        <v>10421.884210717653</v>
      </c>
      <c r="AA58" s="201">
        <f t="shared" ca="1" si="11"/>
        <v>1733.5675048463072</v>
      </c>
      <c r="AB58" s="201">
        <f t="shared" ca="1" si="12"/>
        <v>8688.3167058713461</v>
      </c>
      <c r="AC58" s="201">
        <f t="shared" ca="1" si="22"/>
        <v>10421.884210717653</v>
      </c>
    </row>
    <row r="59" spans="2:29" x14ac:dyDescent="0.3">
      <c r="B59" s="84">
        <f t="shared" si="13"/>
        <v>48</v>
      </c>
      <c r="C59" s="85">
        <f ca="1">IF($B59="","",'Fecha Pago'!K51)</f>
        <v>47606</v>
      </c>
      <c r="D59" s="86">
        <f>IF($B$12="","",'Fecha Pago'!L51)</f>
        <v>30.4</v>
      </c>
      <c r="E59" s="87">
        <f t="shared" si="1"/>
        <v>0.11</v>
      </c>
      <c r="F59" s="86">
        <f t="shared" ca="1" si="19"/>
        <v>933611.53240953328</v>
      </c>
      <c r="G59" s="86">
        <f t="shared" ca="1" si="0"/>
        <v>1749.6704207802122</v>
      </c>
      <c r="H59" s="86">
        <f t="shared" ca="1" si="3"/>
        <v>8672.2137899374411</v>
      </c>
      <c r="I59" s="86">
        <f>IF(B59="","",IF(Simulador!$F$9="Liquidez",'Tabla Fijos'!H59*0.16,IF(Simulador!$J$9="SI",H59*0.16,0)))</f>
        <v>0</v>
      </c>
      <c r="J59" s="86">
        <f t="shared" ca="1" si="4"/>
        <v>10421.884210717653</v>
      </c>
      <c r="K59" s="86">
        <f t="shared" ca="1" si="14"/>
        <v>0</v>
      </c>
      <c r="L59" s="86">
        <f ca="1">IF(B59="","",IF(F59=0,0,IF(Sheet1!$I$10=6,'Tabla Fijos'!$C$3*'Tabla Fijos'!$F$5,$F$5*$C$5)))</f>
        <v>0</v>
      </c>
      <c r="M59" s="86">
        <f t="shared" ca="1" si="5"/>
        <v>0</v>
      </c>
      <c r="N59" s="86">
        <f ca="1">IF(B59="","",IF(F59=0,0,IF(Simulador!$N$7='Tabla Parámetros'!$C$31,AportPat!L51,IF(Simulador!$N$7='Tabla Parámetros'!$C$34,AportPatFov!G49,0))))</f>
        <v>0</v>
      </c>
      <c r="O59" s="86">
        <f>Simulador!N114</f>
        <v>0</v>
      </c>
      <c r="P59" s="86"/>
      <c r="Q59" s="86">
        <v>0</v>
      </c>
      <c r="R59" s="86">
        <f t="shared" ca="1" si="15"/>
        <v>10421.884210717653</v>
      </c>
      <c r="S59" s="86">
        <f t="shared" ca="1" si="6"/>
        <v>931861.86198875308</v>
      </c>
      <c r="U59" s="201">
        <f t="shared" ca="1" si="20"/>
        <v>1749.6704207802118</v>
      </c>
      <c r="V59" s="201">
        <f t="shared" ca="1" si="7"/>
        <v>8672.2137899374411</v>
      </c>
      <c r="W59" s="202">
        <f t="shared" ca="1" si="8"/>
        <v>10421.884210717653</v>
      </c>
      <c r="X59" s="201">
        <f t="shared" ca="1" si="9"/>
        <v>1749.6704207802122</v>
      </c>
      <c r="Y59" s="201">
        <f t="shared" ca="1" si="10"/>
        <v>8672.2137899374411</v>
      </c>
      <c r="Z59" s="201">
        <f t="shared" ca="1" si="21"/>
        <v>10421.884210717653</v>
      </c>
      <c r="AA59" s="201">
        <f t="shared" ca="1" si="11"/>
        <v>1749.6704207802122</v>
      </c>
      <c r="AB59" s="201">
        <f t="shared" ca="1" si="12"/>
        <v>8672.2137899374411</v>
      </c>
      <c r="AC59" s="201">
        <f t="shared" ca="1" si="22"/>
        <v>10421.884210717653</v>
      </c>
    </row>
    <row r="60" spans="2:29" x14ac:dyDescent="0.3">
      <c r="B60" s="84">
        <f t="shared" si="13"/>
        <v>49</v>
      </c>
      <c r="C60" s="85">
        <f ca="1">IF($B60="","",'Fecha Pago'!K52)</f>
        <v>47637</v>
      </c>
      <c r="D60" s="86">
        <f>IF($B$12="","",'Fecha Pago'!L52)</f>
        <v>30.4</v>
      </c>
      <c r="E60" s="87">
        <f t="shared" si="1"/>
        <v>0.11</v>
      </c>
      <c r="F60" s="86">
        <f t="shared" ca="1" si="19"/>
        <v>931861.86198875308</v>
      </c>
      <c r="G60" s="86">
        <f t="shared" ca="1" si="0"/>
        <v>1765.9229149110142</v>
      </c>
      <c r="H60" s="86">
        <f t="shared" ca="1" si="3"/>
        <v>8655.9612958066391</v>
      </c>
      <c r="I60" s="86">
        <f>IF(B60="","",IF(Simulador!$F$9="Liquidez",'Tabla Fijos'!H60*0.16,IF(Simulador!$J$9="SI",H60*0.16,0)))</f>
        <v>0</v>
      </c>
      <c r="J60" s="86">
        <f t="shared" ca="1" si="4"/>
        <v>10421.884210717653</v>
      </c>
      <c r="K60" s="86">
        <f t="shared" ca="1" si="14"/>
        <v>0</v>
      </c>
      <c r="L60" s="86">
        <f ca="1">IF(B60="","",IF(F60=0,0,IF(Sheet1!$I$10=6,'Tabla Fijos'!$C$3*'Tabla Fijos'!$F$5,$F$5*$C$5)))</f>
        <v>0</v>
      </c>
      <c r="M60" s="86">
        <f t="shared" ca="1" si="5"/>
        <v>0</v>
      </c>
      <c r="N60" s="86">
        <f ca="1">IF(B60="","",IF(F60=0,0,IF(Simulador!$N$7='Tabla Parámetros'!$C$31,AportPat!L52,IF(Simulador!$N$7='Tabla Parámetros'!$C$34,AportPatFov!G50,0))))</f>
        <v>0</v>
      </c>
      <c r="O60" s="86">
        <f>Simulador!N115</f>
        <v>0</v>
      </c>
      <c r="P60" s="86"/>
      <c r="Q60" s="86">
        <v>0</v>
      </c>
      <c r="R60" s="86">
        <f t="shared" ca="1" si="15"/>
        <v>10421.884210717653</v>
      </c>
      <c r="S60" s="86">
        <f t="shared" ca="1" si="6"/>
        <v>930095.93907384202</v>
      </c>
      <c r="U60" s="201">
        <f t="shared" ca="1" si="20"/>
        <v>1765.9229149110147</v>
      </c>
      <c r="V60" s="201">
        <f t="shared" ca="1" si="7"/>
        <v>8655.9612958066391</v>
      </c>
      <c r="W60" s="202">
        <f t="shared" ca="1" si="8"/>
        <v>10421.884210717653</v>
      </c>
      <c r="X60" s="201">
        <f t="shared" ca="1" si="9"/>
        <v>1765.9229149110142</v>
      </c>
      <c r="Y60" s="201">
        <f t="shared" ca="1" si="10"/>
        <v>8655.9612958066391</v>
      </c>
      <c r="Z60" s="201">
        <f t="shared" ca="1" si="21"/>
        <v>10421.884210717653</v>
      </c>
      <c r="AA60" s="201">
        <f t="shared" ca="1" si="11"/>
        <v>1765.9229149110142</v>
      </c>
      <c r="AB60" s="201">
        <f t="shared" ca="1" si="12"/>
        <v>8655.9612958066391</v>
      </c>
      <c r="AC60" s="201">
        <f t="shared" ca="1" si="22"/>
        <v>10421.884210717653</v>
      </c>
    </row>
    <row r="61" spans="2:29" x14ac:dyDescent="0.3">
      <c r="B61" s="84">
        <f t="shared" si="13"/>
        <v>50</v>
      </c>
      <c r="C61" s="85">
        <f ca="1">IF($B61="","",'Fecha Pago'!K53)</f>
        <v>47667</v>
      </c>
      <c r="D61" s="86">
        <f>IF($B$12="","",'Fecha Pago'!L53)</f>
        <v>30.4</v>
      </c>
      <c r="E61" s="87">
        <f t="shared" si="1"/>
        <v>0.11</v>
      </c>
      <c r="F61" s="86">
        <f t="shared" ca="1" si="19"/>
        <v>930095.93907384202</v>
      </c>
      <c r="G61" s="86">
        <f t="shared" ca="1" si="0"/>
        <v>1782.3263766539658</v>
      </c>
      <c r="H61" s="86">
        <f t="shared" ca="1" si="3"/>
        <v>8639.5578340636876</v>
      </c>
      <c r="I61" s="86">
        <f>IF(B61="","",IF(Simulador!$F$9="Liquidez",'Tabla Fijos'!H61*0.16,IF(Simulador!$J$9="SI",H61*0.16,0)))</f>
        <v>0</v>
      </c>
      <c r="J61" s="86">
        <f t="shared" ca="1" si="4"/>
        <v>10421.884210717653</v>
      </c>
      <c r="K61" s="86">
        <f t="shared" ca="1" si="14"/>
        <v>0</v>
      </c>
      <c r="L61" s="86">
        <f ca="1">IF(B61="","",IF(F61=0,0,IF(Sheet1!$I$10=6,'Tabla Fijos'!$C$3*'Tabla Fijos'!$F$5,$F$5*$C$5)))</f>
        <v>0</v>
      </c>
      <c r="M61" s="86">
        <f t="shared" ca="1" si="5"/>
        <v>0</v>
      </c>
      <c r="N61" s="86">
        <f ca="1">IF(B61="","",IF(F61=0,0,IF(Simulador!$N$7='Tabla Parámetros'!$C$31,AportPat!L53,IF(Simulador!$N$7='Tabla Parámetros'!$C$34,AportPatFov!G51,0))))</f>
        <v>0</v>
      </c>
      <c r="O61" s="86">
        <f>Simulador!N116</f>
        <v>0</v>
      </c>
      <c r="P61" s="86"/>
      <c r="Q61" s="86">
        <v>0</v>
      </c>
      <c r="R61" s="86">
        <f t="shared" ca="1" si="15"/>
        <v>10421.884210717653</v>
      </c>
      <c r="S61" s="86">
        <f t="shared" ca="1" si="6"/>
        <v>928313.61269718804</v>
      </c>
      <c r="U61" s="201">
        <f t="shared" ca="1" si="20"/>
        <v>1782.3263766539658</v>
      </c>
      <c r="V61" s="201">
        <f t="shared" ca="1" si="7"/>
        <v>8639.5578340636876</v>
      </c>
      <c r="W61" s="202">
        <f t="shared" ca="1" si="8"/>
        <v>10421.884210717653</v>
      </c>
      <c r="X61" s="201">
        <f t="shared" ca="1" si="9"/>
        <v>1782.3263766539658</v>
      </c>
      <c r="Y61" s="201">
        <f t="shared" ca="1" si="10"/>
        <v>8639.5578340636876</v>
      </c>
      <c r="Z61" s="201">
        <f t="shared" ca="1" si="21"/>
        <v>10421.884210717653</v>
      </c>
      <c r="AA61" s="201">
        <f t="shared" ca="1" si="11"/>
        <v>1782.3263766539658</v>
      </c>
      <c r="AB61" s="201">
        <f t="shared" ca="1" si="12"/>
        <v>8639.5578340636876</v>
      </c>
      <c r="AC61" s="201">
        <f t="shared" ca="1" si="22"/>
        <v>10421.884210717653</v>
      </c>
    </row>
    <row r="62" spans="2:29" x14ac:dyDescent="0.3">
      <c r="B62" s="84">
        <f t="shared" si="13"/>
        <v>51</v>
      </c>
      <c r="C62" s="85">
        <f ca="1">IF($B62="","",'Fecha Pago'!K54)</f>
        <v>47698</v>
      </c>
      <c r="D62" s="86">
        <f>IF($B$12="","",'Fecha Pago'!L54)</f>
        <v>30.4</v>
      </c>
      <c r="E62" s="87">
        <f t="shared" si="1"/>
        <v>0.11</v>
      </c>
      <c r="F62" s="86">
        <f t="shared" ca="1" si="19"/>
        <v>928313.61269718804</v>
      </c>
      <c r="G62" s="86">
        <f t="shared" ca="1" si="0"/>
        <v>1798.8822083304403</v>
      </c>
      <c r="H62" s="86">
        <f t="shared" ca="1" si="3"/>
        <v>8623.002002387213</v>
      </c>
      <c r="I62" s="86">
        <f>IF(B62="","",IF(Simulador!$F$9="Liquidez",'Tabla Fijos'!H62*0.16,IF(Simulador!$J$9="SI",H62*0.16,0)))</f>
        <v>0</v>
      </c>
      <c r="J62" s="86">
        <f t="shared" ca="1" si="4"/>
        <v>10421.884210717653</v>
      </c>
      <c r="K62" s="86">
        <f t="shared" ca="1" si="14"/>
        <v>0</v>
      </c>
      <c r="L62" s="86">
        <f ca="1">IF(B62="","",IF(F62=0,0,IF(Sheet1!$I$10=6,'Tabla Fijos'!$C$3*'Tabla Fijos'!$F$5,$F$5*$C$5)))</f>
        <v>0</v>
      </c>
      <c r="M62" s="86">
        <f t="shared" ca="1" si="5"/>
        <v>0</v>
      </c>
      <c r="N62" s="86">
        <f ca="1">IF(B62="","",IF(F62=0,0,IF(Simulador!$N$7='Tabla Parámetros'!$C$31,AportPat!L54,IF(Simulador!$N$7='Tabla Parámetros'!$C$34,AportPatFov!G52,0))))</f>
        <v>0</v>
      </c>
      <c r="O62" s="86">
        <f>Simulador!N117</f>
        <v>0</v>
      </c>
      <c r="P62" s="86"/>
      <c r="Q62" s="86">
        <v>0</v>
      </c>
      <c r="R62" s="86">
        <f t="shared" ca="1" si="15"/>
        <v>10421.884210717653</v>
      </c>
      <c r="S62" s="86">
        <f t="shared" ca="1" si="6"/>
        <v>926514.7304888576</v>
      </c>
      <c r="U62" s="201">
        <f t="shared" ca="1" si="20"/>
        <v>1798.8822083304403</v>
      </c>
      <c r="V62" s="201">
        <f t="shared" ca="1" si="7"/>
        <v>8623.002002387213</v>
      </c>
      <c r="W62" s="202">
        <f t="shared" ca="1" si="8"/>
        <v>10421.884210717653</v>
      </c>
      <c r="X62" s="201">
        <f t="shared" ca="1" si="9"/>
        <v>1798.8822083304403</v>
      </c>
      <c r="Y62" s="201">
        <f t="shared" ca="1" si="10"/>
        <v>8623.002002387213</v>
      </c>
      <c r="Z62" s="201">
        <f t="shared" ca="1" si="21"/>
        <v>10421.884210717653</v>
      </c>
      <c r="AA62" s="201">
        <f t="shared" ca="1" si="11"/>
        <v>1798.8822083304403</v>
      </c>
      <c r="AB62" s="201">
        <f t="shared" ca="1" si="12"/>
        <v>8623.002002387213</v>
      </c>
      <c r="AC62" s="201">
        <f t="shared" ca="1" si="22"/>
        <v>10421.884210717653</v>
      </c>
    </row>
    <row r="63" spans="2:29" x14ac:dyDescent="0.3">
      <c r="B63" s="84">
        <f t="shared" si="13"/>
        <v>52</v>
      </c>
      <c r="C63" s="85">
        <f ca="1">IF($B63="","",'Fecha Pago'!K55)</f>
        <v>47729</v>
      </c>
      <c r="D63" s="86">
        <f>IF($B$12="","",'Fecha Pago'!L55)</f>
        <v>30.4</v>
      </c>
      <c r="E63" s="87">
        <f t="shared" si="1"/>
        <v>0.11</v>
      </c>
      <c r="F63" s="86">
        <f t="shared" ca="1" si="19"/>
        <v>926514.7304888576</v>
      </c>
      <c r="G63" s="86">
        <f t="shared" ca="1" si="0"/>
        <v>1815.5918252878218</v>
      </c>
      <c r="H63" s="86">
        <f t="shared" ca="1" si="3"/>
        <v>8606.2923854298315</v>
      </c>
      <c r="I63" s="86">
        <f>IF(B63="","",IF(Simulador!$F$9="Liquidez",'Tabla Fijos'!H63*0.16,IF(Simulador!$J$9="SI",H63*0.16,0)))</f>
        <v>0</v>
      </c>
      <c r="J63" s="86">
        <f t="shared" ca="1" si="4"/>
        <v>10421.884210717653</v>
      </c>
      <c r="K63" s="86">
        <f t="shared" ca="1" si="14"/>
        <v>0</v>
      </c>
      <c r="L63" s="86">
        <f ca="1">IF(B63="","",IF(F63=0,0,IF(Sheet1!$I$10=6,'Tabla Fijos'!$C$3*'Tabla Fijos'!$F$5,$F$5*$C$5)))</f>
        <v>0</v>
      </c>
      <c r="M63" s="86">
        <f t="shared" ca="1" si="5"/>
        <v>0</v>
      </c>
      <c r="N63" s="86">
        <f ca="1">IF(B63="","",IF(F63=0,0,IF(Simulador!$N$7='Tabla Parámetros'!$C$31,AportPat!L55,IF(Simulador!$N$7='Tabla Parámetros'!$C$34,AportPatFov!G53,0))))</f>
        <v>0</v>
      </c>
      <c r="O63" s="86">
        <f>Simulador!N118</f>
        <v>0</v>
      </c>
      <c r="P63" s="86"/>
      <c r="Q63" s="86">
        <v>0</v>
      </c>
      <c r="R63" s="86">
        <f t="shared" ca="1" si="15"/>
        <v>10421.884210717653</v>
      </c>
      <c r="S63" s="86">
        <f t="shared" ca="1" si="6"/>
        <v>924699.13866356981</v>
      </c>
      <c r="U63" s="201">
        <f t="shared" ca="1" si="20"/>
        <v>1815.5918252878209</v>
      </c>
      <c r="V63" s="201">
        <f t="shared" ca="1" si="7"/>
        <v>8606.2923854298315</v>
      </c>
      <c r="W63" s="202">
        <f t="shared" ca="1" si="8"/>
        <v>10421.884210717653</v>
      </c>
      <c r="X63" s="201">
        <f t="shared" ca="1" si="9"/>
        <v>1815.5918252878218</v>
      </c>
      <c r="Y63" s="201">
        <f t="shared" ca="1" si="10"/>
        <v>8606.2923854298315</v>
      </c>
      <c r="Z63" s="201">
        <f t="shared" ca="1" si="21"/>
        <v>10421.884210717653</v>
      </c>
      <c r="AA63" s="201">
        <f t="shared" ca="1" si="11"/>
        <v>1815.5918252878218</v>
      </c>
      <c r="AB63" s="201">
        <f t="shared" ca="1" si="12"/>
        <v>8606.2923854298315</v>
      </c>
      <c r="AC63" s="201">
        <f t="shared" ca="1" si="22"/>
        <v>10421.884210717653</v>
      </c>
    </row>
    <row r="64" spans="2:29" x14ac:dyDescent="0.3">
      <c r="B64" s="84">
        <f t="shared" si="13"/>
        <v>53</v>
      </c>
      <c r="C64" s="85">
        <f ca="1">IF($B64="","",'Fecha Pago'!K56)</f>
        <v>47759</v>
      </c>
      <c r="D64" s="86">
        <f>IF($B$12="","",'Fecha Pago'!L56)</f>
        <v>30.4</v>
      </c>
      <c r="E64" s="87">
        <f t="shared" si="1"/>
        <v>0.11</v>
      </c>
      <c r="F64" s="86">
        <f t="shared" ca="1" si="19"/>
        <v>924699.13866356981</v>
      </c>
      <c r="G64" s="86">
        <f t="shared" ca="1" si="0"/>
        <v>1832.4566560204948</v>
      </c>
      <c r="H64" s="86">
        <f t="shared" ca="1" si="3"/>
        <v>8589.4275546971585</v>
      </c>
      <c r="I64" s="86">
        <f>IF(B64="","",IF(Simulador!$F$9="Liquidez",'Tabla Fijos'!H64*0.16,IF(Simulador!$J$9="SI",H64*0.16,0)))</f>
        <v>0</v>
      </c>
      <c r="J64" s="86">
        <f t="shared" ca="1" si="4"/>
        <v>10421.884210717653</v>
      </c>
      <c r="K64" s="86">
        <f t="shared" ca="1" si="14"/>
        <v>0</v>
      </c>
      <c r="L64" s="86">
        <f ca="1">IF(B64="","",IF(F64=0,0,IF(Sheet1!$I$10=6,'Tabla Fijos'!$C$3*'Tabla Fijos'!$F$5,$F$5*$C$5)))</f>
        <v>0</v>
      </c>
      <c r="M64" s="86">
        <f t="shared" ca="1" si="5"/>
        <v>0</v>
      </c>
      <c r="N64" s="86">
        <f ca="1">IF(B64="","",IF(F64=0,0,IF(Simulador!$N$7='Tabla Parámetros'!$C$31,AportPat!L56,IF(Simulador!$N$7='Tabla Parámetros'!$C$34,AportPatFov!G54,0))))</f>
        <v>0</v>
      </c>
      <c r="O64" s="86">
        <f>Simulador!N119</f>
        <v>0</v>
      </c>
      <c r="P64" s="86"/>
      <c r="Q64" s="86">
        <v>0</v>
      </c>
      <c r="R64" s="86">
        <f t="shared" ca="1" si="15"/>
        <v>10421.884210717653</v>
      </c>
      <c r="S64" s="86">
        <f t="shared" ca="1" si="6"/>
        <v>922866.68200754933</v>
      </c>
      <c r="U64" s="201">
        <f t="shared" ca="1" si="20"/>
        <v>1832.4566560204944</v>
      </c>
      <c r="V64" s="201">
        <f t="shared" ca="1" si="7"/>
        <v>8589.4275546971585</v>
      </c>
      <c r="W64" s="202">
        <f t="shared" ca="1" si="8"/>
        <v>10421.884210717653</v>
      </c>
      <c r="X64" s="201">
        <f t="shared" ca="1" si="9"/>
        <v>1832.4566560204948</v>
      </c>
      <c r="Y64" s="201">
        <f t="shared" ca="1" si="10"/>
        <v>8589.4275546971585</v>
      </c>
      <c r="Z64" s="201">
        <f t="shared" ca="1" si="21"/>
        <v>10421.884210717653</v>
      </c>
      <c r="AA64" s="201">
        <f t="shared" ca="1" si="11"/>
        <v>1832.4566560204948</v>
      </c>
      <c r="AB64" s="201">
        <f t="shared" ca="1" si="12"/>
        <v>8589.4275546971585</v>
      </c>
      <c r="AC64" s="201">
        <f t="shared" ca="1" si="22"/>
        <v>10421.884210717653</v>
      </c>
    </row>
    <row r="65" spans="2:29" x14ac:dyDescent="0.3">
      <c r="B65" s="84">
        <f t="shared" si="13"/>
        <v>54</v>
      </c>
      <c r="C65" s="85">
        <f ca="1">IF($B65="","",'Fecha Pago'!K57)</f>
        <v>47790</v>
      </c>
      <c r="D65" s="86">
        <f>IF($B$12="","",'Fecha Pago'!L57)</f>
        <v>30.4</v>
      </c>
      <c r="E65" s="87">
        <f t="shared" si="1"/>
        <v>0.11</v>
      </c>
      <c r="F65" s="86">
        <f t="shared" ca="1" si="19"/>
        <v>922866.68200754933</v>
      </c>
      <c r="G65" s="86">
        <f t="shared" ca="1" si="0"/>
        <v>1849.4781422919732</v>
      </c>
      <c r="H65" s="86">
        <f t="shared" ca="1" si="3"/>
        <v>8572.4060684256801</v>
      </c>
      <c r="I65" s="86">
        <f>IF(B65="","",IF(Simulador!$F$9="Liquidez",'Tabla Fijos'!H65*0.16,IF(Simulador!$J$9="SI",H65*0.16,0)))</f>
        <v>0</v>
      </c>
      <c r="J65" s="86">
        <f t="shared" ca="1" si="4"/>
        <v>10421.884210717653</v>
      </c>
      <c r="K65" s="86">
        <f t="shared" ca="1" si="14"/>
        <v>0</v>
      </c>
      <c r="L65" s="86">
        <f ca="1">IF(B65="","",IF(F65=0,0,IF(Sheet1!$I$10=6,'Tabla Fijos'!$C$3*'Tabla Fijos'!$F$5,$F$5*$C$5)))</f>
        <v>0</v>
      </c>
      <c r="M65" s="86">
        <f t="shared" ca="1" si="5"/>
        <v>0</v>
      </c>
      <c r="N65" s="86">
        <f ca="1">IF(B65="","",IF(F65=0,0,IF(Simulador!$N$7='Tabla Parámetros'!$C$31,AportPat!L57,IF(Simulador!$N$7='Tabla Parámetros'!$C$34,AportPatFov!G55,0))))</f>
        <v>0</v>
      </c>
      <c r="O65" s="86">
        <f>Simulador!N120</f>
        <v>0</v>
      </c>
      <c r="P65" s="86"/>
      <c r="Q65" s="86">
        <v>0</v>
      </c>
      <c r="R65" s="86">
        <f t="shared" ca="1" si="15"/>
        <v>10421.884210717653</v>
      </c>
      <c r="S65" s="86">
        <f t="shared" ca="1" si="6"/>
        <v>921017.20386525732</v>
      </c>
      <c r="U65" s="201">
        <f t="shared" ca="1" si="20"/>
        <v>1849.4781422919741</v>
      </c>
      <c r="V65" s="201">
        <f t="shared" ca="1" si="7"/>
        <v>8572.4060684256801</v>
      </c>
      <c r="W65" s="202">
        <f t="shared" ca="1" si="8"/>
        <v>10421.884210717653</v>
      </c>
      <c r="X65" s="201">
        <f t="shared" ca="1" si="9"/>
        <v>1849.4781422919732</v>
      </c>
      <c r="Y65" s="201">
        <f t="shared" ca="1" si="10"/>
        <v>8572.4060684256801</v>
      </c>
      <c r="Z65" s="201">
        <f t="shared" ca="1" si="21"/>
        <v>10421.884210717653</v>
      </c>
      <c r="AA65" s="201">
        <f t="shared" ca="1" si="11"/>
        <v>1849.4781422919732</v>
      </c>
      <c r="AB65" s="201">
        <f t="shared" ca="1" si="12"/>
        <v>8572.4060684256801</v>
      </c>
      <c r="AC65" s="201">
        <f t="shared" ca="1" si="22"/>
        <v>10421.884210717653</v>
      </c>
    </row>
    <row r="66" spans="2:29" x14ac:dyDescent="0.3">
      <c r="B66" s="84">
        <f t="shared" si="13"/>
        <v>55</v>
      </c>
      <c r="C66" s="85">
        <f ca="1">IF($B66="","",'Fecha Pago'!K58)</f>
        <v>47820</v>
      </c>
      <c r="D66" s="86">
        <f>IF($B$12="","",'Fecha Pago'!L58)</f>
        <v>30.4</v>
      </c>
      <c r="E66" s="87">
        <f t="shared" si="1"/>
        <v>0.11</v>
      </c>
      <c r="F66" s="86">
        <f t="shared" ca="1" si="19"/>
        <v>921017.20386525732</v>
      </c>
      <c r="G66" s="86">
        <f t="shared" ca="1" si="0"/>
        <v>1866.657739258153</v>
      </c>
      <c r="H66" s="86">
        <f t="shared" ca="1" si="3"/>
        <v>8555.2264714595003</v>
      </c>
      <c r="I66" s="86">
        <f>IF(B66="","",IF(Simulador!$F$9="Liquidez",'Tabla Fijos'!H66*0.16,IF(Simulador!$J$9="SI",H66*0.16,0)))</f>
        <v>0</v>
      </c>
      <c r="J66" s="86">
        <f t="shared" ca="1" si="4"/>
        <v>10421.884210717653</v>
      </c>
      <c r="K66" s="86">
        <f t="shared" ca="1" si="14"/>
        <v>0</v>
      </c>
      <c r="L66" s="86">
        <f ca="1">IF(B66="","",IF(F66=0,0,IF(Sheet1!$I$10=6,'Tabla Fijos'!$C$3*'Tabla Fijos'!$F$5,$F$5*$C$5)))</f>
        <v>0</v>
      </c>
      <c r="M66" s="86">
        <f t="shared" ca="1" si="5"/>
        <v>0</v>
      </c>
      <c r="N66" s="86">
        <f ca="1">IF(B66="","",IF(F66=0,0,IF(Simulador!$N$7='Tabla Parámetros'!$C$31,AportPat!L58,IF(Simulador!$N$7='Tabla Parámetros'!$C$34,AportPatFov!G56,0))))</f>
        <v>0</v>
      </c>
      <c r="O66" s="86">
        <f>Simulador!N121</f>
        <v>0</v>
      </c>
      <c r="P66" s="86"/>
      <c r="Q66" s="86">
        <v>0</v>
      </c>
      <c r="R66" s="86">
        <f t="shared" ca="1" si="15"/>
        <v>10421.884210717653</v>
      </c>
      <c r="S66" s="86">
        <f t="shared" ca="1" si="6"/>
        <v>919150.54612599919</v>
      </c>
      <c r="U66" s="201">
        <f t="shared" ca="1" si="20"/>
        <v>1866.6577392581528</v>
      </c>
      <c r="V66" s="201">
        <f t="shared" ca="1" si="7"/>
        <v>8555.2264714595003</v>
      </c>
      <c r="W66" s="202">
        <f t="shared" ca="1" si="8"/>
        <v>10421.884210717653</v>
      </c>
      <c r="X66" s="201">
        <f t="shared" ca="1" si="9"/>
        <v>1866.657739258153</v>
      </c>
      <c r="Y66" s="201">
        <f t="shared" ca="1" si="10"/>
        <v>8555.2264714595003</v>
      </c>
      <c r="Z66" s="201">
        <f t="shared" ca="1" si="21"/>
        <v>10421.884210717653</v>
      </c>
      <c r="AA66" s="201">
        <f t="shared" ca="1" si="11"/>
        <v>1866.657739258153</v>
      </c>
      <c r="AB66" s="201">
        <f t="shared" ca="1" si="12"/>
        <v>8555.2264714595003</v>
      </c>
      <c r="AC66" s="201">
        <f t="shared" ca="1" si="22"/>
        <v>10421.884210717653</v>
      </c>
    </row>
    <row r="67" spans="2:29" x14ac:dyDescent="0.3">
      <c r="B67" s="84">
        <f t="shared" si="13"/>
        <v>56</v>
      </c>
      <c r="C67" s="85">
        <f ca="1">IF($B67="","",'Fecha Pago'!K59)</f>
        <v>47851</v>
      </c>
      <c r="D67" s="86">
        <f>IF($B$12="","",'Fecha Pago'!L59)</f>
        <v>30.4</v>
      </c>
      <c r="E67" s="87">
        <f t="shared" si="1"/>
        <v>0.11</v>
      </c>
      <c r="F67" s="86">
        <f t="shared" ca="1" si="19"/>
        <v>919150.54612599919</v>
      </c>
      <c r="G67" s="86">
        <f t="shared" ca="1" si="0"/>
        <v>1883.9969155917061</v>
      </c>
      <c r="H67" s="86">
        <f t="shared" ca="1" si="3"/>
        <v>8537.8872951259473</v>
      </c>
      <c r="I67" s="86">
        <f>IF(B67="","",IF(Simulador!$F$9="Liquidez",'Tabla Fijos'!H67*0.16,IF(Simulador!$J$9="SI",H67*0.16,0)))</f>
        <v>0</v>
      </c>
      <c r="J67" s="86">
        <f t="shared" ca="1" si="4"/>
        <v>10421.884210717653</v>
      </c>
      <c r="K67" s="86">
        <f t="shared" ca="1" si="14"/>
        <v>0</v>
      </c>
      <c r="L67" s="86">
        <f ca="1">IF(B67="","",IF(F67=0,0,IF(Sheet1!$I$10=6,'Tabla Fijos'!$C$3*'Tabla Fijos'!$F$5,$F$5*$C$5)))</f>
        <v>0</v>
      </c>
      <c r="M67" s="86">
        <f t="shared" ca="1" si="5"/>
        <v>0</v>
      </c>
      <c r="N67" s="86">
        <f ca="1">IF(B67="","",IF(F67=0,0,IF(Simulador!$N$7='Tabla Parámetros'!$C$31,AportPat!L59,IF(Simulador!$N$7='Tabla Parámetros'!$C$34,AportPatFov!G57,0))))</f>
        <v>0</v>
      </c>
      <c r="O67" s="86">
        <f>Simulador!N122</f>
        <v>0</v>
      </c>
      <c r="P67" s="86"/>
      <c r="Q67" s="86">
        <v>0</v>
      </c>
      <c r="R67" s="86">
        <f t="shared" ca="1" si="15"/>
        <v>10421.884210717653</v>
      </c>
      <c r="S67" s="86">
        <f t="shared" ca="1" si="6"/>
        <v>917266.54921040754</v>
      </c>
      <c r="U67" s="201">
        <f t="shared" ca="1" si="20"/>
        <v>1883.9969155917063</v>
      </c>
      <c r="V67" s="201">
        <f t="shared" ca="1" si="7"/>
        <v>8537.8872951259473</v>
      </c>
      <c r="W67" s="202">
        <f t="shared" ca="1" si="8"/>
        <v>10421.884210717653</v>
      </c>
      <c r="X67" s="201">
        <f t="shared" ca="1" si="9"/>
        <v>1883.9969155917061</v>
      </c>
      <c r="Y67" s="201">
        <f t="shared" ca="1" si="10"/>
        <v>8537.8872951259473</v>
      </c>
      <c r="Z67" s="201">
        <f t="shared" ca="1" si="21"/>
        <v>10421.884210717653</v>
      </c>
      <c r="AA67" s="201">
        <f t="shared" ca="1" si="11"/>
        <v>1883.9969155917061</v>
      </c>
      <c r="AB67" s="201">
        <f t="shared" ca="1" si="12"/>
        <v>8537.8872951259473</v>
      </c>
      <c r="AC67" s="201">
        <f t="shared" ca="1" si="22"/>
        <v>10421.884210717653</v>
      </c>
    </row>
    <row r="68" spans="2:29" x14ac:dyDescent="0.3">
      <c r="B68" s="84">
        <f t="shared" si="13"/>
        <v>57</v>
      </c>
      <c r="C68" s="85">
        <f ca="1">IF($B68="","",'Fecha Pago'!K60)</f>
        <v>47882</v>
      </c>
      <c r="D68" s="86">
        <f>IF($B$12="","",'Fecha Pago'!L60)</f>
        <v>30.4</v>
      </c>
      <c r="E68" s="87">
        <f t="shared" si="1"/>
        <v>0.11</v>
      </c>
      <c r="F68" s="86">
        <f t="shared" ca="1" si="19"/>
        <v>917266.54921040754</v>
      </c>
      <c r="G68" s="86">
        <f t="shared" ca="1" si="0"/>
        <v>1901.4971536076464</v>
      </c>
      <c r="H68" s="86">
        <f t="shared" ca="1" si="3"/>
        <v>8520.3870571100069</v>
      </c>
      <c r="I68" s="86">
        <f>IF(B68="","",IF(Simulador!$F$9="Liquidez",'Tabla Fijos'!H68*0.16,IF(Simulador!$J$9="SI",H68*0.16,0)))</f>
        <v>0</v>
      </c>
      <c r="J68" s="86">
        <f t="shared" ca="1" si="4"/>
        <v>10421.884210717653</v>
      </c>
      <c r="K68" s="86">
        <f t="shared" ca="1" si="14"/>
        <v>0</v>
      </c>
      <c r="L68" s="86">
        <f ca="1">IF(B68="","",IF(F68=0,0,IF(Sheet1!$I$10=6,'Tabla Fijos'!$C$3*'Tabla Fijos'!$F$5,$F$5*$C$5)))</f>
        <v>0</v>
      </c>
      <c r="M68" s="86">
        <f t="shared" ca="1" si="5"/>
        <v>0</v>
      </c>
      <c r="N68" s="86">
        <f ca="1">IF(B68="","",IF(F68=0,0,IF(Simulador!$N$7='Tabla Parámetros'!$C$31,AportPat!L60,IF(Simulador!$N$7='Tabla Parámetros'!$C$34,AportPatFov!G58,0))))</f>
        <v>0</v>
      </c>
      <c r="O68" s="86">
        <f>Simulador!N123</f>
        <v>0</v>
      </c>
      <c r="P68" s="86"/>
      <c r="Q68" s="86">
        <v>0</v>
      </c>
      <c r="R68" s="86">
        <f t="shared" ca="1" si="15"/>
        <v>10421.884210717653</v>
      </c>
      <c r="S68" s="86">
        <f t="shared" ca="1" si="6"/>
        <v>915365.05205679988</v>
      </c>
      <c r="U68" s="201">
        <f t="shared" ca="1" si="20"/>
        <v>1901.4971536076466</v>
      </c>
      <c r="V68" s="201">
        <f t="shared" ca="1" si="7"/>
        <v>8520.3870571100069</v>
      </c>
      <c r="W68" s="202">
        <f t="shared" ca="1" si="8"/>
        <v>10421.884210717653</v>
      </c>
      <c r="X68" s="201">
        <f t="shared" ca="1" si="9"/>
        <v>1901.4971536076464</v>
      </c>
      <c r="Y68" s="201">
        <f t="shared" ca="1" si="10"/>
        <v>8520.3870571100069</v>
      </c>
      <c r="Z68" s="201">
        <f t="shared" ca="1" si="21"/>
        <v>10421.884210717653</v>
      </c>
      <c r="AA68" s="201">
        <f t="shared" ca="1" si="11"/>
        <v>1901.4971536076464</v>
      </c>
      <c r="AB68" s="201">
        <f t="shared" ca="1" si="12"/>
        <v>8520.3870571100069</v>
      </c>
      <c r="AC68" s="201">
        <f t="shared" ca="1" si="22"/>
        <v>10421.884210717653</v>
      </c>
    </row>
    <row r="69" spans="2:29" x14ac:dyDescent="0.3">
      <c r="B69" s="84">
        <f t="shared" si="13"/>
        <v>58</v>
      </c>
      <c r="C69" s="85">
        <f ca="1">IF($B69="","",'Fecha Pago'!K61)</f>
        <v>47910</v>
      </c>
      <c r="D69" s="86">
        <f>IF($B$12="","",'Fecha Pago'!L61)</f>
        <v>30.4</v>
      </c>
      <c r="E69" s="87">
        <f t="shared" si="1"/>
        <v>0.11</v>
      </c>
      <c r="F69" s="86">
        <f t="shared" ca="1" si="19"/>
        <v>915365.05205679988</v>
      </c>
      <c r="G69" s="86">
        <f ca="1">IF(B69="","",IF((J69-H69)&gt;F69,F69,IF($S$7=$U$10,U69,IF($S$7=$X$10,X69,IF($S$7=$AA$10,AA69,)))))</f>
        <v>1919.1599493900467</v>
      </c>
      <c r="H69" s="86">
        <f t="shared" ca="1" si="3"/>
        <v>8502.7242613276067</v>
      </c>
      <c r="I69" s="86">
        <f>IF(B69="","",IF(Simulador!$F$9="Liquidez",'Tabla Fijos'!H69*0.16,IF(Simulador!$J$9="SI",H69*0.16,0)))</f>
        <v>0</v>
      </c>
      <c r="J69" s="86">
        <f ca="1">IF(D69="","",IF($S$7=$U$10,W69,IF($S$7=$X$10,Z69,IF($S$7=$AA$10,AC69,))))</f>
        <v>10421.884210717653</v>
      </c>
      <c r="K69" s="86">
        <f t="shared" ca="1" si="14"/>
        <v>0</v>
      </c>
      <c r="L69" s="86">
        <f ca="1">IF(B69="","",IF(F69=0,0,IF(Sheet1!$I$10=6,'Tabla Fijos'!$C$3*'Tabla Fijos'!$F$5,$F$5*$C$5)))</f>
        <v>0</v>
      </c>
      <c r="M69" s="86">
        <f t="shared" ca="1" si="5"/>
        <v>0</v>
      </c>
      <c r="N69" s="86">
        <f ca="1">IF(B69="","",IF(F69=0,0,IF(Simulador!$N$7='Tabla Parámetros'!$C$31,AportPat!L61,IF(Simulador!$N$7='Tabla Parámetros'!$C$34,AportPatFov!G59,0))))</f>
        <v>0</v>
      </c>
      <c r="O69" s="86">
        <f>Simulador!N124</f>
        <v>0</v>
      </c>
      <c r="P69" s="86"/>
      <c r="Q69" s="86">
        <v>0</v>
      </c>
      <c r="R69" s="86">
        <f t="shared" ca="1" si="15"/>
        <v>10421.884210717653</v>
      </c>
      <c r="S69" s="86">
        <f t="shared" ca="1" si="6"/>
        <v>913445.89210740977</v>
      </c>
      <c r="U69" s="201">
        <f t="shared" ca="1" si="20"/>
        <v>1919.1599493900464</v>
      </c>
      <c r="V69" s="201">
        <f t="shared" ca="1" si="7"/>
        <v>8502.7242613276067</v>
      </c>
      <c r="W69" s="202">
        <f t="shared" ca="1" si="8"/>
        <v>10421.884210717653</v>
      </c>
      <c r="X69" s="201">
        <f t="shared" ca="1" si="9"/>
        <v>1919.1599493900467</v>
      </c>
      <c r="Y69" s="201">
        <f t="shared" ca="1" si="10"/>
        <v>8502.7242613276067</v>
      </c>
      <c r="Z69" s="201">
        <f t="shared" ca="1" si="21"/>
        <v>10421.884210717653</v>
      </c>
      <c r="AA69" s="201">
        <f t="shared" ca="1" si="11"/>
        <v>1919.1599493900467</v>
      </c>
      <c r="AB69" s="201">
        <f t="shared" ca="1" si="12"/>
        <v>8502.7242613276067</v>
      </c>
      <c r="AC69" s="201">
        <f t="shared" ca="1" si="22"/>
        <v>10421.884210717653</v>
      </c>
    </row>
    <row r="70" spans="2:29" x14ac:dyDescent="0.3">
      <c r="B70" s="84">
        <f t="shared" si="13"/>
        <v>59</v>
      </c>
      <c r="C70" s="85">
        <f ca="1">IF($B70="","",'Fecha Pago'!K62)</f>
        <v>47941</v>
      </c>
      <c r="D70" s="86">
        <f>IF($B$12="","",'Fecha Pago'!L62)</f>
        <v>30.4</v>
      </c>
      <c r="E70" s="87">
        <f t="shared" si="1"/>
        <v>0.11</v>
      </c>
      <c r="F70" s="86">
        <f t="shared" ca="1" si="19"/>
        <v>913445.89210740977</v>
      </c>
      <c r="G70" s="86">
        <f t="shared" ref="G70:G133" ca="1" si="23">IF(B70="","",IF((J70-H70)&gt;F70,F70,IF($S$7=$U$10,U70,IF($S$7=$X$10,X70,IF($S$7=$AA$10,AA70,)))))</f>
        <v>1936.9868129199349</v>
      </c>
      <c r="H70" s="86">
        <f t="shared" ca="1" si="3"/>
        <v>8484.8973977977166</v>
      </c>
      <c r="I70" s="86">
        <f>IF(B70="","",IF(Simulador!$F$9="Liquidez",'Tabla Fijos'!H70*0.16,IF(Simulador!$J$9="SI",H70*0.16,0)))</f>
        <v>0</v>
      </c>
      <c r="J70" s="86">
        <f t="shared" ca="1" si="4"/>
        <v>10421.884210717652</v>
      </c>
      <c r="K70" s="86">
        <f t="shared" ca="1" si="14"/>
        <v>0</v>
      </c>
      <c r="L70" s="86">
        <f ca="1">IF(B70="","",IF(F70=0,0,IF(Sheet1!$I$10=6,'Tabla Fijos'!$C$3*'Tabla Fijos'!$F$5,$F$5*$C$5)))</f>
        <v>0</v>
      </c>
      <c r="M70" s="86">
        <f t="shared" ca="1" si="5"/>
        <v>0</v>
      </c>
      <c r="N70" s="86">
        <f ca="1">IF(B70="","",IF(F70=0,0,IF(Simulador!$N$7='Tabla Parámetros'!$C$31,AportPat!L62,IF(Simulador!$N$7='Tabla Parámetros'!$C$34,AportPatFov!G60,0))))</f>
        <v>0</v>
      </c>
      <c r="O70" s="86">
        <f>Simulador!N125</f>
        <v>0</v>
      </c>
      <c r="P70" s="86"/>
      <c r="Q70" s="86">
        <v>0</v>
      </c>
      <c r="R70" s="86">
        <f t="shared" ca="1" si="15"/>
        <v>10421.884210717652</v>
      </c>
      <c r="S70" s="86">
        <f t="shared" ca="1" si="6"/>
        <v>911508.90529448981</v>
      </c>
      <c r="U70" s="201">
        <f t="shared" ca="1" si="20"/>
        <v>1936.9868129199363</v>
      </c>
      <c r="V70" s="201">
        <f t="shared" ca="1" si="7"/>
        <v>8484.8973977977166</v>
      </c>
      <c r="W70" s="202">
        <f t="shared" ca="1" si="8"/>
        <v>10421.884210717653</v>
      </c>
      <c r="X70" s="201">
        <f t="shared" ca="1" si="9"/>
        <v>1936.9868129199367</v>
      </c>
      <c r="Y70" s="201">
        <f t="shared" ca="1" si="10"/>
        <v>8484.8973977977166</v>
      </c>
      <c r="Z70" s="201">
        <f t="shared" ca="1" si="21"/>
        <v>10421.884210717653</v>
      </c>
      <c r="AA70" s="201">
        <f t="shared" ca="1" si="11"/>
        <v>1936.9868129199349</v>
      </c>
      <c r="AB70" s="201">
        <f t="shared" ca="1" si="12"/>
        <v>8484.8973977977166</v>
      </c>
      <c r="AC70" s="201">
        <f t="shared" ca="1" si="22"/>
        <v>10421.884210717652</v>
      </c>
    </row>
    <row r="71" spans="2:29" x14ac:dyDescent="0.3">
      <c r="B71" s="84">
        <f t="shared" si="13"/>
        <v>60</v>
      </c>
      <c r="C71" s="85">
        <f ca="1">IF($B71="","",'Fecha Pago'!K63)</f>
        <v>47971</v>
      </c>
      <c r="D71" s="86">
        <f>IF($B$12="","",'Fecha Pago'!L63)</f>
        <v>30.4</v>
      </c>
      <c r="E71" s="87">
        <f t="shared" si="1"/>
        <v>0.11</v>
      </c>
      <c r="F71" s="86">
        <f t="shared" ca="1" si="19"/>
        <v>911508.90529448981</v>
      </c>
      <c r="G71" s="86">
        <f t="shared" ca="1" si="23"/>
        <v>1954.9792682043917</v>
      </c>
      <c r="H71" s="86">
        <f t="shared" ca="1" si="3"/>
        <v>8466.9049425132598</v>
      </c>
      <c r="I71" s="86">
        <f>IF(B71="","",IF(Simulador!$F$9="Liquidez",'Tabla Fijos'!H71*0.16,IF(Simulador!$J$9="SI",H71*0.16,0)))</f>
        <v>0</v>
      </c>
      <c r="J71" s="86">
        <f t="shared" ca="1" si="4"/>
        <v>10421.884210717652</v>
      </c>
      <c r="K71" s="86">
        <f t="shared" ca="1" si="14"/>
        <v>0</v>
      </c>
      <c r="L71" s="86">
        <f ca="1">IF(B71="","",IF(F71=0,0,IF(Sheet1!$I$10=6,'Tabla Fijos'!$C$3*'Tabla Fijos'!$F$5,$F$5*$C$5)))</f>
        <v>0</v>
      </c>
      <c r="M71" s="86">
        <f t="shared" ca="1" si="5"/>
        <v>0</v>
      </c>
      <c r="N71" s="86">
        <f ca="1">IF(B71="","",IF(F71=0,0,IF(Simulador!$N$7='Tabla Parámetros'!$C$31,AportPat!L63,IF(Simulador!$N$7='Tabla Parámetros'!$C$34,AportPatFov!G61,0))))</f>
        <v>0</v>
      </c>
      <c r="O71" s="86">
        <f>Simulador!N126</f>
        <v>0</v>
      </c>
      <c r="P71" s="86"/>
      <c r="Q71" s="86">
        <v>0</v>
      </c>
      <c r="R71" s="86">
        <f t="shared" ca="1" si="15"/>
        <v>10421.884210717652</v>
      </c>
      <c r="S71" s="86">
        <f t="shared" ca="1" si="6"/>
        <v>909553.92602628539</v>
      </c>
      <c r="U71" s="201">
        <f t="shared" ca="1" si="20"/>
        <v>1954.9792682043928</v>
      </c>
      <c r="V71" s="201">
        <f t="shared" ca="1" si="7"/>
        <v>8466.9049425132598</v>
      </c>
      <c r="W71" s="202">
        <f t="shared" ca="1" si="8"/>
        <v>10421.884210717653</v>
      </c>
      <c r="X71" s="201">
        <f t="shared" ca="1" si="9"/>
        <v>1954.9792682043935</v>
      </c>
      <c r="Y71" s="201">
        <f t="shared" ca="1" si="10"/>
        <v>8466.9049425132598</v>
      </c>
      <c r="Z71" s="201">
        <f t="shared" ca="1" si="21"/>
        <v>10421.884210717653</v>
      </c>
      <c r="AA71" s="201">
        <f t="shared" ca="1" si="11"/>
        <v>1954.9792682043917</v>
      </c>
      <c r="AB71" s="201">
        <f t="shared" ca="1" si="12"/>
        <v>8466.9049425132598</v>
      </c>
      <c r="AC71" s="201">
        <f t="shared" ca="1" si="22"/>
        <v>10421.884210717652</v>
      </c>
    </row>
    <row r="72" spans="2:29" x14ac:dyDescent="0.3">
      <c r="B72" s="84">
        <f t="shared" si="13"/>
        <v>61</v>
      </c>
      <c r="C72" s="85">
        <f ca="1">IF($B72="","",'Fecha Pago'!K64)</f>
        <v>48002</v>
      </c>
      <c r="D72" s="86">
        <f>IF($B$12="","",'Fecha Pago'!L64)</f>
        <v>30.4</v>
      </c>
      <c r="E72" s="87">
        <f t="shared" si="1"/>
        <v>0.11</v>
      </c>
      <c r="F72" s="86">
        <f t="shared" ca="1" si="19"/>
        <v>909553.92602628539</v>
      </c>
      <c r="G72" s="86">
        <f t="shared" ca="1" si="23"/>
        <v>1973.1388534068228</v>
      </c>
      <c r="H72" s="86">
        <f t="shared" ca="1" si="3"/>
        <v>8448.7453573108287</v>
      </c>
      <c r="I72" s="86">
        <f>IF(B72="","",IF(Simulador!$F$9="Liquidez",'Tabla Fijos'!H72*0.16,IF(Simulador!$J$9="SI",H72*0.16,0)))</f>
        <v>0</v>
      </c>
      <c r="J72" s="86">
        <f t="shared" ca="1" si="4"/>
        <v>10421.884210717652</v>
      </c>
      <c r="K72" s="86">
        <f t="shared" ca="1" si="14"/>
        <v>0</v>
      </c>
      <c r="L72" s="86">
        <f ca="1">IF(B72="","",IF(F72=0,0,IF(Sheet1!$I$10=6,'Tabla Fijos'!$C$3*'Tabla Fijos'!$F$5,$F$5*$C$5)))</f>
        <v>0</v>
      </c>
      <c r="M72" s="86">
        <f t="shared" ca="1" si="5"/>
        <v>0</v>
      </c>
      <c r="N72" s="86">
        <f ca="1">IF(B72="","",IF(F72=0,0,IF(Simulador!$N$7='Tabla Parámetros'!$C$31,AportPat!L64,IF(Simulador!$N$7='Tabla Parámetros'!$C$34,AportPatFov!G62,0))))</f>
        <v>0</v>
      </c>
      <c r="O72" s="86">
        <f>Simulador!N127</f>
        <v>0</v>
      </c>
      <c r="P72" s="86"/>
      <c r="Q72" s="86">
        <v>0</v>
      </c>
      <c r="R72" s="86">
        <f t="shared" ca="1" si="15"/>
        <v>10421.884210717652</v>
      </c>
      <c r="S72" s="86">
        <f t="shared" ca="1" si="6"/>
        <v>907580.78717287863</v>
      </c>
      <c r="U72" s="201">
        <f t="shared" ca="1" si="20"/>
        <v>1973.1388534068249</v>
      </c>
      <c r="V72" s="201">
        <f t="shared" ca="1" si="7"/>
        <v>8448.7453573108287</v>
      </c>
      <c r="W72" s="202">
        <f t="shared" ca="1" si="8"/>
        <v>10421.884210717653</v>
      </c>
      <c r="X72" s="201">
        <f t="shared" ca="1" si="9"/>
        <v>1973.1388534068246</v>
      </c>
      <c r="Y72" s="201">
        <f t="shared" ca="1" si="10"/>
        <v>8448.7453573108287</v>
      </c>
      <c r="Z72" s="201">
        <f t="shared" ca="1" si="21"/>
        <v>10421.884210717653</v>
      </c>
      <c r="AA72" s="201">
        <f t="shared" ca="1" si="11"/>
        <v>1973.1388534068228</v>
      </c>
      <c r="AB72" s="201">
        <f t="shared" ca="1" si="12"/>
        <v>8448.7453573108287</v>
      </c>
      <c r="AC72" s="201">
        <f t="shared" ca="1" si="22"/>
        <v>10421.884210717652</v>
      </c>
    </row>
    <row r="73" spans="2:29" x14ac:dyDescent="0.3">
      <c r="B73" s="84">
        <f t="shared" si="13"/>
        <v>62</v>
      </c>
      <c r="C73" s="85">
        <f ca="1">IF($B73="","",'Fecha Pago'!K65)</f>
        <v>48032</v>
      </c>
      <c r="D73" s="86">
        <f>IF($B$12="","",'Fecha Pago'!L65)</f>
        <v>30.4</v>
      </c>
      <c r="E73" s="87">
        <f t="shared" si="1"/>
        <v>0.11</v>
      </c>
      <c r="F73" s="86">
        <f t="shared" ca="1" si="19"/>
        <v>907580.78717287863</v>
      </c>
      <c r="G73" s="86">
        <f t="shared" ca="1" si="23"/>
        <v>1991.4671209784701</v>
      </c>
      <c r="H73" s="86">
        <f t="shared" ca="1" si="3"/>
        <v>8430.4170897391832</v>
      </c>
      <c r="I73" s="86">
        <f>IF(B73="","",IF(Simulador!$F$9="Liquidez",'Tabla Fijos'!H73*0.16,IF(Simulador!$J$9="SI",H73*0.16,0)))</f>
        <v>0</v>
      </c>
      <c r="J73" s="86">
        <f t="shared" ca="1" si="4"/>
        <v>10421.884210717653</v>
      </c>
      <c r="K73" s="86">
        <f t="shared" ca="1" si="14"/>
        <v>0</v>
      </c>
      <c r="L73" s="86">
        <f ca="1">IF(B73="","",IF(F73=0,0,IF(Sheet1!$I$10=6,'Tabla Fijos'!$C$3*'Tabla Fijos'!$F$5,$F$5*$C$5)))</f>
        <v>0</v>
      </c>
      <c r="M73" s="86">
        <f t="shared" ca="1" si="5"/>
        <v>0</v>
      </c>
      <c r="N73" s="86">
        <f ca="1">IF(B73="","",IF(F73=0,0,IF(Simulador!$N$7='Tabla Parámetros'!$C$31,AportPat!L65,IF(Simulador!$N$7='Tabla Parámetros'!$C$34,AportPatFov!G63,0))))</f>
        <v>0</v>
      </c>
      <c r="O73" s="86">
        <f>Simulador!N128</f>
        <v>0</v>
      </c>
      <c r="P73" s="86"/>
      <c r="Q73" s="86">
        <v>0</v>
      </c>
      <c r="R73" s="86">
        <f t="shared" ca="1" si="15"/>
        <v>10421.884210717653</v>
      </c>
      <c r="S73" s="86">
        <f t="shared" ca="1" si="6"/>
        <v>905589.32005190011</v>
      </c>
      <c r="U73" s="201">
        <f t="shared" ca="1" si="20"/>
        <v>1991.4671209784706</v>
      </c>
      <c r="V73" s="201">
        <f t="shared" ca="1" si="7"/>
        <v>8430.4170897391832</v>
      </c>
      <c r="W73" s="202">
        <f t="shared" ca="1" si="8"/>
        <v>10421.884210717653</v>
      </c>
      <c r="X73" s="201">
        <f t="shared" ca="1" si="9"/>
        <v>1991.4671209784701</v>
      </c>
      <c r="Y73" s="201">
        <f t="shared" ca="1" si="10"/>
        <v>8430.4170897391832</v>
      </c>
      <c r="Z73" s="201">
        <f t="shared" ca="1" si="21"/>
        <v>10421.884210717653</v>
      </c>
      <c r="AA73" s="201">
        <f t="shared" ca="1" si="11"/>
        <v>1991.4671209784701</v>
      </c>
      <c r="AB73" s="201">
        <f t="shared" ca="1" si="12"/>
        <v>8430.4170897391832</v>
      </c>
      <c r="AC73" s="201">
        <f t="shared" ca="1" si="22"/>
        <v>10421.884210717653</v>
      </c>
    </row>
    <row r="74" spans="2:29" x14ac:dyDescent="0.3">
      <c r="B74" s="84">
        <f t="shared" si="13"/>
        <v>63</v>
      </c>
      <c r="C74" s="85">
        <f ca="1">IF($B74="","",'Fecha Pago'!K66)</f>
        <v>48063</v>
      </c>
      <c r="D74" s="86">
        <f>IF($B$12="","",'Fecha Pago'!L66)</f>
        <v>30.4</v>
      </c>
      <c r="E74" s="87">
        <f t="shared" si="1"/>
        <v>0.11</v>
      </c>
      <c r="F74" s="86">
        <f t="shared" ca="1" si="19"/>
        <v>905589.32005190011</v>
      </c>
      <c r="G74" s="86">
        <f t="shared" ca="1" si="23"/>
        <v>2009.9656377911142</v>
      </c>
      <c r="H74" s="86">
        <f t="shared" ca="1" si="3"/>
        <v>8411.9185729265373</v>
      </c>
      <c r="I74" s="86">
        <f>IF(B74="","",IF(Simulador!$F$9="Liquidez",'Tabla Fijos'!H74*0.16,IF(Simulador!$J$9="SI",H74*0.16,0)))</f>
        <v>0</v>
      </c>
      <c r="J74" s="86">
        <f t="shared" ca="1" si="4"/>
        <v>10421.884210717652</v>
      </c>
      <c r="K74" s="86">
        <f t="shared" ca="1" si="14"/>
        <v>0</v>
      </c>
      <c r="L74" s="86">
        <f ca="1">IF(B74="","",IF(F74=0,0,IF(Sheet1!$I$10=6,'Tabla Fijos'!$C$3*'Tabla Fijos'!$F$5,$F$5*$C$5)))</f>
        <v>0</v>
      </c>
      <c r="M74" s="86">
        <f t="shared" ca="1" si="5"/>
        <v>0</v>
      </c>
      <c r="N74" s="86">
        <f ca="1">IF(B74="","",IF(F74=0,0,IF(Simulador!$N$7='Tabla Parámetros'!$C$31,AportPat!L66,IF(Simulador!$N$7='Tabla Parámetros'!$C$34,AportPatFov!G64,0))))</f>
        <v>0</v>
      </c>
      <c r="O74" s="86">
        <f>Simulador!N129</f>
        <v>0</v>
      </c>
      <c r="P74" s="86"/>
      <c r="Q74" s="86">
        <v>0</v>
      </c>
      <c r="R74" s="86">
        <f t="shared" ca="1" si="15"/>
        <v>10421.884210717652</v>
      </c>
      <c r="S74" s="86">
        <f t="shared" ca="1" si="6"/>
        <v>903579.35441410902</v>
      </c>
      <c r="U74" s="201">
        <f t="shared" ca="1" si="20"/>
        <v>2009.9656377911151</v>
      </c>
      <c r="V74" s="201">
        <f t="shared" ca="1" si="7"/>
        <v>8411.9185729265373</v>
      </c>
      <c r="W74" s="202">
        <f t="shared" ca="1" si="8"/>
        <v>10421.884210717653</v>
      </c>
      <c r="X74" s="201">
        <f t="shared" ca="1" si="9"/>
        <v>2009.965637791116</v>
      </c>
      <c r="Y74" s="201">
        <f t="shared" ca="1" si="10"/>
        <v>8411.9185729265373</v>
      </c>
      <c r="Z74" s="201">
        <f t="shared" ca="1" si="21"/>
        <v>10421.884210717653</v>
      </c>
      <c r="AA74" s="201">
        <f t="shared" ca="1" si="11"/>
        <v>2009.9656377911142</v>
      </c>
      <c r="AB74" s="201">
        <f t="shared" ca="1" si="12"/>
        <v>8411.9185729265373</v>
      </c>
      <c r="AC74" s="201">
        <f t="shared" ca="1" si="22"/>
        <v>10421.884210717652</v>
      </c>
    </row>
    <row r="75" spans="2:29" x14ac:dyDescent="0.3">
      <c r="B75" s="84">
        <f t="shared" si="13"/>
        <v>64</v>
      </c>
      <c r="C75" s="85">
        <f ca="1">IF($B75="","",'Fecha Pago'!K67)</f>
        <v>48094</v>
      </c>
      <c r="D75" s="86">
        <f>IF($B$12="","",'Fecha Pago'!L67)</f>
        <v>30.4</v>
      </c>
      <c r="E75" s="87">
        <f t="shared" si="1"/>
        <v>0.11</v>
      </c>
      <c r="F75" s="86">
        <f t="shared" ca="1" si="19"/>
        <v>903579.35441410902</v>
      </c>
      <c r="G75" s="86">
        <f t="shared" ca="1" si="23"/>
        <v>2028.6359852710393</v>
      </c>
      <c r="H75" s="86">
        <f t="shared" ca="1" si="3"/>
        <v>8393.2482254466122</v>
      </c>
      <c r="I75" s="86">
        <f>IF(B75="","",IF(Simulador!$F$9="Liquidez",'Tabla Fijos'!H75*0.16,IF(Simulador!$J$9="SI",H75*0.16,0)))</f>
        <v>0</v>
      </c>
      <c r="J75" s="86">
        <f t="shared" ca="1" si="4"/>
        <v>10421.884210717652</v>
      </c>
      <c r="K75" s="86">
        <f t="shared" ca="1" si="14"/>
        <v>0</v>
      </c>
      <c r="L75" s="86">
        <f ca="1">IF(B75="","",IF(F75=0,0,IF(Sheet1!$I$10=6,'Tabla Fijos'!$C$3*'Tabla Fijos'!$F$5,$F$5*$C$5)))</f>
        <v>0</v>
      </c>
      <c r="M75" s="86">
        <f t="shared" ca="1" si="5"/>
        <v>0</v>
      </c>
      <c r="N75" s="86">
        <f ca="1">IF(B75="","",IF(F75=0,0,IF(Simulador!$N$7='Tabla Parámetros'!$C$31,AportPat!L67,IF(Simulador!$N$7='Tabla Parámetros'!$C$34,AportPatFov!G65,0))))</f>
        <v>0</v>
      </c>
      <c r="O75" s="86">
        <f>Simulador!N130</f>
        <v>0</v>
      </c>
      <c r="P75" s="86"/>
      <c r="Q75" s="86">
        <v>0</v>
      </c>
      <c r="R75" s="86">
        <f t="shared" ca="1" si="15"/>
        <v>10421.884210717652</v>
      </c>
      <c r="S75" s="86">
        <f t="shared" ca="1" si="6"/>
        <v>901550.71842883795</v>
      </c>
      <c r="U75" s="201">
        <f t="shared" ca="1" si="20"/>
        <v>2028.6359852710411</v>
      </c>
      <c r="V75" s="201">
        <f t="shared" ca="1" si="7"/>
        <v>8393.2482254466122</v>
      </c>
      <c r="W75" s="202">
        <f t="shared" ca="1" si="8"/>
        <v>10421.884210717653</v>
      </c>
      <c r="X75" s="201">
        <f t="shared" ca="1" si="9"/>
        <v>2028.6359852710411</v>
      </c>
      <c r="Y75" s="201">
        <f t="shared" ca="1" si="10"/>
        <v>8393.2482254466122</v>
      </c>
      <c r="Z75" s="201">
        <f t="shared" ca="1" si="21"/>
        <v>10421.884210717653</v>
      </c>
      <c r="AA75" s="201">
        <f t="shared" ca="1" si="11"/>
        <v>2028.6359852710393</v>
      </c>
      <c r="AB75" s="201">
        <f t="shared" ca="1" si="12"/>
        <v>8393.2482254466122</v>
      </c>
      <c r="AC75" s="201">
        <f t="shared" ca="1" si="22"/>
        <v>10421.884210717652</v>
      </c>
    </row>
    <row r="76" spans="2:29" x14ac:dyDescent="0.3">
      <c r="B76" s="84">
        <f t="shared" si="13"/>
        <v>65</v>
      </c>
      <c r="C76" s="85">
        <f ca="1">IF($B76="","",'Fecha Pago'!K68)</f>
        <v>48124</v>
      </c>
      <c r="D76" s="86">
        <f>IF($B$12="","",'Fecha Pago'!L68)</f>
        <v>30.4</v>
      </c>
      <c r="E76" s="87">
        <f t="shared" si="1"/>
        <v>0.11</v>
      </c>
      <c r="F76" s="86">
        <f t="shared" ca="1" si="19"/>
        <v>901550.71842883795</v>
      </c>
      <c r="G76" s="86">
        <f t="shared" ca="1" si="23"/>
        <v>2047.4797595342243</v>
      </c>
      <c r="H76" s="86">
        <f t="shared" ca="1" si="3"/>
        <v>8374.4044511834272</v>
      </c>
      <c r="I76" s="86">
        <f>IF(B76="","",IF(Simulador!$F$9="Liquidez",'Tabla Fijos'!H76*0.16,IF(Simulador!$J$9="SI",H76*0.16,0)))</f>
        <v>0</v>
      </c>
      <c r="J76" s="86">
        <f t="shared" ca="1" si="4"/>
        <v>10421.884210717652</v>
      </c>
      <c r="K76" s="86">
        <f t="shared" ca="1" si="14"/>
        <v>0</v>
      </c>
      <c r="L76" s="86">
        <f ca="1">IF(B76="","",IF(F76=0,0,IF(Sheet1!$I$10=6,'Tabla Fijos'!$C$3*'Tabla Fijos'!$F$5,$F$5*$C$5)))</f>
        <v>0</v>
      </c>
      <c r="M76" s="86">
        <f t="shared" ca="1" si="5"/>
        <v>0</v>
      </c>
      <c r="N76" s="86">
        <f ca="1">IF(B76="","",IF(F76=0,0,IF(Simulador!$N$7='Tabla Parámetros'!$C$31,AportPat!L68,IF(Simulador!$N$7='Tabla Parámetros'!$C$34,AportPatFov!G66,0))))</f>
        <v>0</v>
      </c>
      <c r="O76" s="86">
        <f>Simulador!N131</f>
        <v>0</v>
      </c>
      <c r="P76" s="86"/>
      <c r="Q76" s="86">
        <v>0</v>
      </c>
      <c r="R76" s="86">
        <f t="shared" ca="1" si="15"/>
        <v>10421.884210717652</v>
      </c>
      <c r="S76" s="86">
        <f t="shared" ca="1" si="6"/>
        <v>899503.23866930371</v>
      </c>
      <c r="U76" s="201">
        <f t="shared" ca="1" si="20"/>
        <v>2047.4797595342254</v>
      </c>
      <c r="V76" s="201">
        <f t="shared" ca="1" si="7"/>
        <v>8374.4044511834272</v>
      </c>
      <c r="W76" s="202">
        <f t="shared" ca="1" si="8"/>
        <v>10421.884210717653</v>
      </c>
      <c r="X76" s="201">
        <f t="shared" ca="1" si="9"/>
        <v>2047.4797595342261</v>
      </c>
      <c r="Y76" s="201">
        <f t="shared" ca="1" si="10"/>
        <v>8374.4044511834272</v>
      </c>
      <c r="Z76" s="201">
        <f t="shared" ca="1" si="21"/>
        <v>10421.884210717653</v>
      </c>
      <c r="AA76" s="201">
        <f t="shared" ca="1" si="11"/>
        <v>2047.4797595342243</v>
      </c>
      <c r="AB76" s="201">
        <f t="shared" ca="1" si="12"/>
        <v>8374.4044511834272</v>
      </c>
      <c r="AC76" s="201">
        <f t="shared" ca="1" si="22"/>
        <v>10421.884210717652</v>
      </c>
    </row>
    <row r="77" spans="2:29" x14ac:dyDescent="0.3">
      <c r="B77" s="84">
        <f t="shared" si="13"/>
        <v>66</v>
      </c>
      <c r="C77" s="85">
        <f ca="1">IF($B77="","",'Fecha Pago'!K69)</f>
        <v>48155</v>
      </c>
      <c r="D77" s="86">
        <f>IF($B$12="","",'Fecha Pago'!L69)</f>
        <v>30.4</v>
      </c>
      <c r="E77" s="87">
        <f t="shared" ref="E77:E140" si="24">IF(B77="","",$F$2)</f>
        <v>0.11</v>
      </c>
      <c r="F77" s="86">
        <f t="shared" ca="1" si="19"/>
        <v>899503.23866930371</v>
      </c>
      <c r="G77" s="86">
        <f t="shared" ca="1" si="23"/>
        <v>2066.4985715227867</v>
      </c>
      <c r="H77" s="86">
        <f t="shared" ref="H77:H140" ca="1" si="25">IF(C77="","",IF($S$7=$U$10,V77,IF($S$7=$X$10,Y77,IF($S$7=$AA$10,AB77,))))</f>
        <v>8355.3856391948648</v>
      </c>
      <c r="I77" s="86">
        <f>IF(B77="","",IF(Simulador!$F$9="Liquidez",'Tabla Fijos'!H77*0.16,IF(Simulador!$J$9="SI",H77*0.16,0)))</f>
        <v>0</v>
      </c>
      <c r="J77" s="86">
        <f t="shared" ref="J77:J140" ca="1" si="26">IF(D77="","",IF($S$7=$U$10,W77,IF($S$7=$X$10,Z77,IF($S$7=$AA$10,AC77,))))</f>
        <v>10421.884210717652</v>
      </c>
      <c r="K77" s="86">
        <f t="shared" ca="1" si="14"/>
        <v>0</v>
      </c>
      <c r="L77" s="86">
        <f ca="1">IF(B77="","",IF(F77=0,0,IF(Sheet1!$I$10=6,'Tabla Fijos'!$C$3*'Tabla Fijos'!$F$5,$F$5*$C$5)))</f>
        <v>0</v>
      </c>
      <c r="M77" s="86">
        <f t="shared" ref="M77:M140" ca="1" si="27">IF(B77="","",IF(F77=0,0,$J$4))</f>
        <v>0</v>
      </c>
      <c r="N77" s="86">
        <f ca="1">IF(B77="","",IF(F77=0,0,IF(Simulador!$N$7='Tabla Parámetros'!$C$31,AportPat!L69,IF(Simulador!$N$7='Tabla Parámetros'!$C$34,AportPatFov!G67,0))))</f>
        <v>0</v>
      </c>
      <c r="O77" s="86">
        <f>Simulador!N132</f>
        <v>0</v>
      </c>
      <c r="P77" s="86"/>
      <c r="Q77" s="86">
        <v>0</v>
      </c>
      <c r="R77" s="86">
        <f t="shared" ref="R77:R140" ca="1" si="28">IF(B77="","",G77+H77+K77+L77+M77)-N77</f>
        <v>10421.884210717652</v>
      </c>
      <c r="S77" s="86">
        <f t="shared" ref="S77:S140" ca="1" si="29">IF(B77="","",F77-G77)</f>
        <v>897436.74009778094</v>
      </c>
      <c r="U77" s="201">
        <f t="shared" ref="U77:U140" ca="1" si="30">IF(F77=0,0,PPMT(E77/360*30.4,B77,$C$4,-$S$11)+N77+O77+P77)</f>
        <v>2066.4985715227876</v>
      </c>
      <c r="V77" s="201">
        <f t="shared" ref="V77:V140" ca="1" si="31">(E77/360*D77)*F77</f>
        <v>8355.3856391948648</v>
      </c>
      <c r="W77" s="202">
        <f t="shared" ref="W77:W140" ca="1" si="32">U77+V77</f>
        <v>10421.884210717653</v>
      </c>
      <c r="X77" s="201">
        <f t="shared" ref="X77:X140" ca="1" si="33">Z77-Y77</f>
        <v>2066.4985715227886</v>
      </c>
      <c r="Y77" s="201">
        <f t="shared" ref="Y77:Y140" ca="1" si="34">(E77/360*D77)*F77</f>
        <v>8355.3856391948648</v>
      </c>
      <c r="Z77" s="201">
        <f t="shared" ca="1" si="21"/>
        <v>10421.884210717653</v>
      </c>
      <c r="AA77" s="201">
        <f t="shared" ref="AA77:AA140" ca="1" si="35">AC77-AB77</f>
        <v>2066.4985715227867</v>
      </c>
      <c r="AB77" s="201">
        <f t="shared" ref="AB77:AB140" ca="1" si="36">(E77/360*D77)*F77</f>
        <v>8355.3856391948648</v>
      </c>
      <c r="AC77" s="201">
        <f t="shared" ca="1" si="22"/>
        <v>10421.884210717652</v>
      </c>
    </row>
    <row r="78" spans="2:29" x14ac:dyDescent="0.3">
      <c r="B78" s="84">
        <f t="shared" ref="B78:B141" si="37">IF(B77="","",IF(B77=$C$4,"",B77+1))</f>
        <v>67</v>
      </c>
      <c r="C78" s="85">
        <f ca="1">IF($B78="","",'Fecha Pago'!K70)</f>
        <v>48185</v>
      </c>
      <c r="D78" s="86">
        <f>IF($B$12="","",'Fecha Pago'!L70)</f>
        <v>30.4</v>
      </c>
      <c r="E78" s="87">
        <f t="shared" si="24"/>
        <v>0.11</v>
      </c>
      <c r="F78" s="86">
        <f t="shared" ca="1" si="19"/>
        <v>897436.74009778094</v>
      </c>
      <c r="G78" s="86">
        <f t="shared" ca="1" si="23"/>
        <v>2085.6940471427097</v>
      </c>
      <c r="H78" s="86">
        <f t="shared" ca="1" si="25"/>
        <v>8336.1901635749418</v>
      </c>
      <c r="I78" s="86">
        <f>IF(B78="","",IF(Simulador!$F$9="Liquidez",'Tabla Fijos'!H78*0.16,IF(Simulador!$J$9="SI",H78*0.16,0)))</f>
        <v>0</v>
      </c>
      <c r="J78" s="86">
        <f t="shared" ca="1" si="26"/>
        <v>10421.884210717652</v>
      </c>
      <c r="K78" s="86">
        <f t="shared" ref="K78:K141" ca="1" si="38">IF(B78="","",IF($F$3="",0,($F$4*F78)))</f>
        <v>0</v>
      </c>
      <c r="L78" s="86">
        <f ca="1">IF(B78="","",IF(F78=0,0,IF(Sheet1!$I$10=6,'Tabla Fijos'!$C$3*'Tabla Fijos'!$F$5,$F$5*$C$5)))</f>
        <v>0</v>
      </c>
      <c r="M78" s="86">
        <f t="shared" ca="1" si="27"/>
        <v>0</v>
      </c>
      <c r="N78" s="86">
        <f ca="1">IF(B78="","",IF(F78=0,0,IF(Simulador!$N$7='Tabla Parámetros'!$C$31,AportPat!L70,IF(Simulador!$N$7='Tabla Parámetros'!$C$34,AportPatFov!G68,0))))</f>
        <v>0</v>
      </c>
      <c r="O78" s="86">
        <f>Simulador!N133</f>
        <v>0</v>
      </c>
      <c r="P78" s="86"/>
      <c r="Q78" s="86">
        <v>0</v>
      </c>
      <c r="R78" s="86">
        <f t="shared" ca="1" si="28"/>
        <v>10421.884210717652</v>
      </c>
      <c r="S78" s="86">
        <f t="shared" ca="1" si="29"/>
        <v>895351.04605063819</v>
      </c>
      <c r="U78" s="201">
        <f t="shared" ca="1" si="30"/>
        <v>2085.6940471427106</v>
      </c>
      <c r="V78" s="201">
        <f t="shared" ca="1" si="31"/>
        <v>8336.1901635749418</v>
      </c>
      <c r="W78" s="202">
        <f t="shared" ca="1" si="32"/>
        <v>10421.884210717653</v>
      </c>
      <c r="X78" s="201">
        <f t="shared" ca="1" si="33"/>
        <v>2085.6940471427115</v>
      </c>
      <c r="Y78" s="201">
        <f t="shared" ca="1" si="34"/>
        <v>8336.1901635749418</v>
      </c>
      <c r="Z78" s="201">
        <f t="shared" ref="Z78:Z141" ca="1" si="39">IF(F78=0,0,PMT($F$2/360*30.4,$C$4,-$C$3)+N78+O78+P78)</f>
        <v>10421.884210717653</v>
      </c>
      <c r="AA78" s="201">
        <f t="shared" ca="1" si="35"/>
        <v>2085.6940471427097</v>
      </c>
      <c r="AB78" s="201">
        <f t="shared" ca="1" si="36"/>
        <v>8336.1901635749418</v>
      </c>
      <c r="AC78" s="201">
        <f t="shared" ref="AC78:AC141" ca="1" si="40">PMT($F$2/360*30.4,$C$4-B77,-S77)+N78+O78+P78</f>
        <v>10421.884210717652</v>
      </c>
    </row>
    <row r="79" spans="2:29" x14ac:dyDescent="0.3">
      <c r="B79" s="84">
        <f t="shared" si="37"/>
        <v>68</v>
      </c>
      <c r="C79" s="85">
        <f ca="1">IF($B79="","",'Fecha Pago'!K71)</f>
        <v>48216</v>
      </c>
      <c r="D79" s="86">
        <f>IF($B$12="","",'Fecha Pago'!L71)</f>
        <v>30.4</v>
      </c>
      <c r="E79" s="87">
        <f t="shared" si="24"/>
        <v>0.11</v>
      </c>
      <c r="F79" s="86">
        <f t="shared" ca="1" si="19"/>
        <v>895351.04605063819</v>
      </c>
      <c r="G79" s="86">
        <f t="shared" ca="1" si="23"/>
        <v>2105.067827402836</v>
      </c>
      <c r="H79" s="86">
        <f t="shared" ca="1" si="25"/>
        <v>8316.8163833148155</v>
      </c>
      <c r="I79" s="86">
        <f>IF(B79="","",IF(Simulador!$F$9="Liquidez",'Tabla Fijos'!H79*0.16,IF(Simulador!$J$9="SI",H79*0.16,0)))</f>
        <v>0</v>
      </c>
      <c r="J79" s="86">
        <f t="shared" ca="1" si="26"/>
        <v>10421.884210717652</v>
      </c>
      <c r="K79" s="86">
        <f t="shared" ca="1" si="38"/>
        <v>0</v>
      </c>
      <c r="L79" s="86">
        <f ca="1">IF(B79="","",IF(F79=0,0,IF(Sheet1!$I$10=6,'Tabla Fijos'!$C$3*'Tabla Fijos'!$F$5,$F$5*$C$5)))</f>
        <v>0</v>
      </c>
      <c r="M79" s="86">
        <f t="shared" ca="1" si="27"/>
        <v>0</v>
      </c>
      <c r="N79" s="86">
        <f ca="1">IF(B79="","",IF(F79=0,0,IF(Simulador!$N$7='Tabla Parámetros'!$C$31,AportPat!L71,IF(Simulador!$N$7='Tabla Parámetros'!$C$34,AportPatFov!G69,0))))</f>
        <v>0</v>
      </c>
      <c r="O79" s="86">
        <f>Simulador!N134</f>
        <v>0</v>
      </c>
      <c r="P79" s="86"/>
      <c r="Q79" s="86">
        <v>0</v>
      </c>
      <c r="R79" s="86">
        <f t="shared" ca="1" si="28"/>
        <v>10421.884210717652</v>
      </c>
      <c r="S79" s="86">
        <f t="shared" ca="1" si="29"/>
        <v>893245.97822323535</v>
      </c>
      <c r="U79" s="201">
        <f t="shared" ca="1" si="30"/>
        <v>2105.067827402836</v>
      </c>
      <c r="V79" s="201">
        <f t="shared" ca="1" si="31"/>
        <v>8316.8163833148155</v>
      </c>
      <c r="W79" s="202">
        <f t="shared" ca="1" si="32"/>
        <v>10421.884210717652</v>
      </c>
      <c r="X79" s="201">
        <f t="shared" ca="1" si="33"/>
        <v>2105.0678274028378</v>
      </c>
      <c r="Y79" s="201">
        <f t="shared" ca="1" si="34"/>
        <v>8316.8163833148155</v>
      </c>
      <c r="Z79" s="201">
        <f t="shared" ca="1" si="39"/>
        <v>10421.884210717653</v>
      </c>
      <c r="AA79" s="201">
        <f t="shared" ca="1" si="35"/>
        <v>2105.067827402836</v>
      </c>
      <c r="AB79" s="201">
        <f t="shared" ca="1" si="36"/>
        <v>8316.8163833148155</v>
      </c>
      <c r="AC79" s="201">
        <f t="shared" ca="1" si="40"/>
        <v>10421.884210717652</v>
      </c>
    </row>
    <row r="80" spans="2:29" x14ac:dyDescent="0.3">
      <c r="B80" s="84">
        <f t="shared" si="37"/>
        <v>69</v>
      </c>
      <c r="C80" s="85">
        <f ca="1">IF($B80="","",'Fecha Pago'!K72)</f>
        <v>48247</v>
      </c>
      <c r="D80" s="86">
        <f>IF($B$12="","",'Fecha Pago'!L72)</f>
        <v>30.4</v>
      </c>
      <c r="E80" s="87">
        <f t="shared" si="24"/>
        <v>0.11</v>
      </c>
      <c r="F80" s="86">
        <f t="shared" ca="1" si="19"/>
        <v>893245.97822323535</v>
      </c>
      <c r="G80" s="86">
        <f t="shared" ca="1" si="23"/>
        <v>2124.6215685551542</v>
      </c>
      <c r="H80" s="86">
        <f t="shared" ca="1" si="25"/>
        <v>8297.2626421624973</v>
      </c>
      <c r="I80" s="86">
        <f>IF(B80="","",IF(Simulador!$F$9="Liquidez",'Tabla Fijos'!H80*0.16,IF(Simulador!$J$9="SI",H80*0.16,0)))</f>
        <v>0</v>
      </c>
      <c r="J80" s="86">
        <f t="shared" ca="1" si="26"/>
        <v>10421.884210717652</v>
      </c>
      <c r="K80" s="86">
        <f t="shared" ca="1" si="38"/>
        <v>0</v>
      </c>
      <c r="L80" s="86">
        <f ca="1">IF(B80="","",IF(F80=0,0,IF(Sheet1!$I$10=6,'Tabla Fijos'!$C$3*'Tabla Fijos'!$F$5,$F$5*$C$5)))</f>
        <v>0</v>
      </c>
      <c r="M80" s="86">
        <f t="shared" ca="1" si="27"/>
        <v>0</v>
      </c>
      <c r="N80" s="86">
        <f ca="1">IF(B80="","",IF(F80=0,0,IF(Simulador!$N$7='Tabla Parámetros'!$C$31,AportPat!L72,IF(Simulador!$N$7='Tabla Parámetros'!$C$34,AportPatFov!G70,0))))</f>
        <v>0</v>
      </c>
      <c r="O80" s="86">
        <f>Simulador!N135</f>
        <v>0</v>
      </c>
      <c r="P80" s="86"/>
      <c r="Q80" s="86">
        <v>0</v>
      </c>
      <c r="R80" s="86">
        <f t="shared" ca="1" si="28"/>
        <v>10421.884210717652</v>
      </c>
      <c r="S80" s="86">
        <f t="shared" ca="1" si="29"/>
        <v>891121.35665468022</v>
      </c>
      <c r="U80" s="201">
        <f t="shared" ca="1" si="30"/>
        <v>2124.621568555156</v>
      </c>
      <c r="V80" s="201">
        <f t="shared" ca="1" si="31"/>
        <v>8297.2626421624973</v>
      </c>
      <c r="W80" s="202">
        <f t="shared" ca="1" si="32"/>
        <v>10421.884210717653</v>
      </c>
      <c r="X80" s="201">
        <f t="shared" ca="1" si="33"/>
        <v>2124.621568555156</v>
      </c>
      <c r="Y80" s="201">
        <f t="shared" ca="1" si="34"/>
        <v>8297.2626421624973</v>
      </c>
      <c r="Z80" s="201">
        <f t="shared" ca="1" si="39"/>
        <v>10421.884210717653</v>
      </c>
      <c r="AA80" s="201">
        <f t="shared" ca="1" si="35"/>
        <v>2124.6215685551542</v>
      </c>
      <c r="AB80" s="201">
        <f t="shared" ca="1" si="36"/>
        <v>8297.2626421624973</v>
      </c>
      <c r="AC80" s="201">
        <f t="shared" ca="1" si="40"/>
        <v>10421.884210717652</v>
      </c>
    </row>
    <row r="81" spans="2:29" x14ac:dyDescent="0.3">
      <c r="B81" s="84">
        <f t="shared" si="37"/>
        <v>70</v>
      </c>
      <c r="C81" s="85">
        <f ca="1">IF($B81="","",'Fecha Pago'!K73)</f>
        <v>48276</v>
      </c>
      <c r="D81" s="86">
        <f>IF($B$12="","",'Fecha Pago'!L73)</f>
        <v>30.4</v>
      </c>
      <c r="E81" s="87">
        <f t="shared" si="24"/>
        <v>0.11</v>
      </c>
      <c r="F81" s="86">
        <f t="shared" ca="1" si="19"/>
        <v>891121.35665468022</v>
      </c>
      <c r="G81" s="86">
        <f t="shared" ca="1" si="23"/>
        <v>2144.3569422364017</v>
      </c>
      <c r="H81" s="86">
        <f t="shared" ca="1" si="25"/>
        <v>8277.5272684812517</v>
      </c>
      <c r="I81" s="86">
        <f>IF(B81="","",IF(Simulador!$F$9="Liquidez",'Tabla Fijos'!H81*0.16,IF(Simulador!$J$9="SI",H81*0.16,0)))</f>
        <v>0</v>
      </c>
      <c r="J81" s="86">
        <f t="shared" ca="1" si="26"/>
        <v>10421.884210717653</v>
      </c>
      <c r="K81" s="86">
        <f t="shared" ca="1" si="38"/>
        <v>0</v>
      </c>
      <c r="L81" s="86">
        <f ca="1">IF(B81="","",IF(F81=0,0,IF(Sheet1!$I$10=6,'Tabla Fijos'!$C$3*'Tabla Fijos'!$F$5,$F$5*$C$5)))</f>
        <v>0</v>
      </c>
      <c r="M81" s="86">
        <f t="shared" ca="1" si="27"/>
        <v>0</v>
      </c>
      <c r="N81" s="86">
        <f ca="1">IF(B81="","",IF(F81=0,0,IF(Simulador!$N$7='Tabla Parámetros'!$C$31,AportPat!L73,IF(Simulador!$N$7='Tabla Parámetros'!$C$34,AportPatFov!G71,0))))</f>
        <v>0</v>
      </c>
      <c r="O81" s="86">
        <f>Simulador!N136</f>
        <v>0</v>
      </c>
      <c r="P81" s="86"/>
      <c r="Q81" s="86">
        <v>0</v>
      </c>
      <c r="R81" s="86">
        <f t="shared" ca="1" si="28"/>
        <v>10421.884210717653</v>
      </c>
      <c r="S81" s="86">
        <f t="shared" ca="1" si="29"/>
        <v>888976.99971244379</v>
      </c>
      <c r="U81" s="201">
        <f t="shared" ca="1" si="30"/>
        <v>2144.3569422364017</v>
      </c>
      <c r="V81" s="201">
        <f t="shared" ca="1" si="31"/>
        <v>8277.5272684812517</v>
      </c>
      <c r="W81" s="202">
        <f t="shared" ca="1" si="32"/>
        <v>10421.884210717653</v>
      </c>
      <c r="X81" s="201">
        <f t="shared" ca="1" si="33"/>
        <v>2144.3569422364017</v>
      </c>
      <c r="Y81" s="201">
        <f t="shared" ca="1" si="34"/>
        <v>8277.5272684812517</v>
      </c>
      <c r="Z81" s="201">
        <f t="shared" ca="1" si="39"/>
        <v>10421.884210717653</v>
      </c>
      <c r="AA81" s="201">
        <f t="shared" ca="1" si="35"/>
        <v>2144.3569422364017</v>
      </c>
      <c r="AB81" s="201">
        <f t="shared" ca="1" si="36"/>
        <v>8277.5272684812517</v>
      </c>
      <c r="AC81" s="201">
        <f t="shared" ca="1" si="40"/>
        <v>10421.884210717653</v>
      </c>
    </row>
    <row r="82" spans="2:29" x14ac:dyDescent="0.3">
      <c r="B82" s="84">
        <f t="shared" si="37"/>
        <v>71</v>
      </c>
      <c r="C82" s="85">
        <f ca="1">IF($B82="","",'Fecha Pago'!K74)</f>
        <v>48307</v>
      </c>
      <c r="D82" s="86">
        <f>IF($B$12="","",'Fecha Pago'!L74)</f>
        <v>30.4</v>
      </c>
      <c r="E82" s="87">
        <f t="shared" si="24"/>
        <v>0.11</v>
      </c>
      <c r="F82" s="86">
        <f t="shared" ca="1" si="19"/>
        <v>888976.99971244379</v>
      </c>
      <c r="G82" s="86">
        <f t="shared" ca="1" si="23"/>
        <v>2164.2756356109512</v>
      </c>
      <c r="H82" s="86">
        <f t="shared" ca="1" si="25"/>
        <v>8257.6085751067003</v>
      </c>
      <c r="I82" s="86">
        <f>IF(B82="","",IF(Simulador!$F$9="Liquidez",'Tabla Fijos'!H82*0.16,IF(Simulador!$J$9="SI",H82*0.16,0)))</f>
        <v>0</v>
      </c>
      <c r="J82" s="86">
        <f t="shared" ca="1" si="26"/>
        <v>10421.884210717652</v>
      </c>
      <c r="K82" s="86">
        <f t="shared" ca="1" si="38"/>
        <v>0</v>
      </c>
      <c r="L82" s="86">
        <f ca="1">IF(B82="","",IF(F82=0,0,IF(Sheet1!$I$10=6,'Tabla Fijos'!$C$3*'Tabla Fijos'!$F$5,$F$5*$C$5)))</f>
        <v>0</v>
      </c>
      <c r="M82" s="86">
        <f t="shared" ca="1" si="27"/>
        <v>0</v>
      </c>
      <c r="N82" s="86">
        <f ca="1">IF(B82="","",IF(F82=0,0,IF(Simulador!$N$7='Tabla Parámetros'!$C$31,AportPat!L74,IF(Simulador!$N$7='Tabla Parámetros'!$C$34,AportPatFov!G72,0))))</f>
        <v>0</v>
      </c>
      <c r="O82" s="86">
        <f>Simulador!N137</f>
        <v>0</v>
      </c>
      <c r="P82" s="86"/>
      <c r="Q82" s="86">
        <v>0</v>
      </c>
      <c r="R82" s="86">
        <f t="shared" ca="1" si="28"/>
        <v>10421.884210717652</v>
      </c>
      <c r="S82" s="86">
        <f t="shared" ca="1" si="29"/>
        <v>886812.72407683288</v>
      </c>
      <c r="U82" s="201">
        <f t="shared" ca="1" si="30"/>
        <v>2164.2756356109535</v>
      </c>
      <c r="V82" s="201">
        <f t="shared" ca="1" si="31"/>
        <v>8257.6085751067003</v>
      </c>
      <c r="W82" s="202">
        <f t="shared" ca="1" si="32"/>
        <v>10421.884210717653</v>
      </c>
      <c r="X82" s="201">
        <f t="shared" ca="1" si="33"/>
        <v>2164.275635610953</v>
      </c>
      <c r="Y82" s="201">
        <f t="shared" ca="1" si="34"/>
        <v>8257.6085751067003</v>
      </c>
      <c r="Z82" s="201">
        <f t="shared" ca="1" si="39"/>
        <v>10421.884210717653</v>
      </c>
      <c r="AA82" s="201">
        <f t="shared" ca="1" si="35"/>
        <v>2164.2756356109512</v>
      </c>
      <c r="AB82" s="201">
        <f t="shared" ca="1" si="36"/>
        <v>8257.6085751067003</v>
      </c>
      <c r="AC82" s="201">
        <f t="shared" ca="1" si="40"/>
        <v>10421.884210717652</v>
      </c>
    </row>
    <row r="83" spans="2:29" x14ac:dyDescent="0.3">
      <c r="B83" s="84">
        <f t="shared" si="37"/>
        <v>72</v>
      </c>
      <c r="C83" s="85">
        <f ca="1">IF($B83="","",'Fecha Pago'!K75)</f>
        <v>48337</v>
      </c>
      <c r="D83" s="86">
        <f>IF($B$12="","",'Fecha Pago'!L75)</f>
        <v>30.4</v>
      </c>
      <c r="E83" s="87">
        <f t="shared" si="24"/>
        <v>0.11</v>
      </c>
      <c r="F83" s="86">
        <f t="shared" ca="1" si="19"/>
        <v>886812.72407683288</v>
      </c>
      <c r="G83" s="86">
        <f t="shared" ca="1" si="23"/>
        <v>2184.3793515150719</v>
      </c>
      <c r="H83" s="86">
        <f t="shared" ca="1" si="25"/>
        <v>8237.5048592025796</v>
      </c>
      <c r="I83" s="86">
        <f>IF(B83="","",IF(Simulador!$F$9="Liquidez",'Tabla Fijos'!H83*0.16,IF(Simulador!$J$9="SI",H83*0.16,0)))</f>
        <v>0</v>
      </c>
      <c r="J83" s="86">
        <f t="shared" ca="1" si="26"/>
        <v>10421.884210717652</v>
      </c>
      <c r="K83" s="86">
        <f t="shared" ca="1" si="38"/>
        <v>0</v>
      </c>
      <c r="L83" s="86">
        <f ca="1">IF(B83="","",IF(F83=0,0,IF(Sheet1!$I$10=6,'Tabla Fijos'!$C$3*'Tabla Fijos'!$F$5,$F$5*$C$5)))</f>
        <v>0</v>
      </c>
      <c r="M83" s="86">
        <f t="shared" ca="1" si="27"/>
        <v>0</v>
      </c>
      <c r="N83" s="86">
        <f ca="1">IF(B83="","",IF(F83=0,0,IF(Simulador!$N$7='Tabla Parámetros'!$C$31,AportPat!L75,IF(Simulador!$N$7='Tabla Parámetros'!$C$34,AportPatFov!G73,0))))</f>
        <v>0</v>
      </c>
      <c r="O83" s="86">
        <f>Simulador!N138</f>
        <v>0</v>
      </c>
      <c r="P83" s="86"/>
      <c r="Q83" s="86">
        <v>0</v>
      </c>
      <c r="R83" s="86">
        <f t="shared" ca="1" si="28"/>
        <v>10421.884210717652</v>
      </c>
      <c r="S83" s="86">
        <f t="shared" ca="1" si="29"/>
        <v>884628.34472531779</v>
      </c>
      <c r="U83" s="201">
        <f t="shared" ca="1" si="30"/>
        <v>2184.3793515150728</v>
      </c>
      <c r="V83" s="201">
        <f t="shared" ca="1" si="31"/>
        <v>8237.5048592025796</v>
      </c>
      <c r="W83" s="202">
        <f t="shared" ca="1" si="32"/>
        <v>10421.884210717653</v>
      </c>
      <c r="X83" s="201">
        <f t="shared" ca="1" si="33"/>
        <v>2184.3793515150737</v>
      </c>
      <c r="Y83" s="201">
        <f t="shared" ca="1" si="34"/>
        <v>8237.5048592025796</v>
      </c>
      <c r="Z83" s="201">
        <f t="shared" ca="1" si="39"/>
        <v>10421.884210717653</v>
      </c>
      <c r="AA83" s="201">
        <f t="shared" ca="1" si="35"/>
        <v>2184.3793515150719</v>
      </c>
      <c r="AB83" s="201">
        <f t="shared" ca="1" si="36"/>
        <v>8237.5048592025796</v>
      </c>
      <c r="AC83" s="201">
        <f t="shared" ca="1" si="40"/>
        <v>10421.884210717652</v>
      </c>
    </row>
    <row r="84" spans="2:29" x14ac:dyDescent="0.3">
      <c r="B84" s="580">
        <f t="shared" si="37"/>
        <v>73</v>
      </c>
      <c r="C84" s="581">
        <f ca="1">IF($B84="","",'Fecha Pago'!K76)</f>
        <v>48368</v>
      </c>
      <c r="D84" s="582">
        <f>IF($B$12="","",'Fecha Pago'!L76)</f>
        <v>30.4</v>
      </c>
      <c r="E84" s="583">
        <f t="shared" si="24"/>
        <v>0.11</v>
      </c>
      <c r="F84" s="582">
        <f t="shared" ca="1" si="19"/>
        <v>884628.34472531779</v>
      </c>
      <c r="G84" s="582">
        <f t="shared" ca="1" si="23"/>
        <v>2204.6698086024771</v>
      </c>
      <c r="H84" s="582">
        <f t="shared" ca="1" si="25"/>
        <v>8217.2144021151744</v>
      </c>
      <c r="I84" s="582">
        <f>IF(B84="","",IF(Simulador!$F$9="Liquidez",'Tabla Fijos'!H84*0.16,IF(Simulador!$J$9="SI",H84*0.16,0)))</f>
        <v>0</v>
      </c>
      <c r="J84" s="582">
        <f t="shared" ca="1" si="26"/>
        <v>10421.884210717652</v>
      </c>
      <c r="K84" s="582">
        <f t="shared" ca="1" si="38"/>
        <v>0</v>
      </c>
      <c r="L84" s="582">
        <f ca="1">IF(B84="","",IF(F84=0,0,IF(Sheet1!$I$10=6,'Tabla Fijos'!$C$3*'Tabla Fijos'!$F$5,$F$5*$C$5)))</f>
        <v>0</v>
      </c>
      <c r="M84" s="582">
        <f t="shared" ca="1" si="27"/>
        <v>0</v>
      </c>
      <c r="N84" s="582">
        <f ca="1">IF(B84="","",IF(F84=0,0,IF(Simulador!$N$7='Tabla Parámetros'!$C$31,AportPat!L76,IF(Simulador!$N$7='Tabla Parámetros'!$C$34,AportPatFov!G74,0))))</f>
        <v>0</v>
      </c>
      <c r="O84" s="582">
        <f>Simulador!N139</f>
        <v>0</v>
      </c>
      <c r="P84" s="582">
        <f>IF(B84="","",IF(Sheet1!$Z$1=3,'Tabla Fijos'!$P$9,0))</f>
        <v>0</v>
      </c>
      <c r="Q84" s="582">
        <v>0</v>
      </c>
      <c r="R84" s="582">
        <f t="shared" ca="1" si="28"/>
        <v>10421.884210717652</v>
      </c>
      <c r="S84" s="582">
        <f t="shared" ca="1" si="29"/>
        <v>882423.67491671536</v>
      </c>
      <c r="U84" s="201">
        <f t="shared" ca="1" si="30"/>
        <v>2204.6698086024794</v>
      </c>
      <c r="V84" s="201">
        <f t="shared" ca="1" si="31"/>
        <v>8217.2144021151744</v>
      </c>
      <c r="W84" s="202">
        <f t="shared" ca="1" si="32"/>
        <v>10421.884210717653</v>
      </c>
      <c r="X84" s="201">
        <f t="shared" ca="1" si="33"/>
        <v>2204.669808602479</v>
      </c>
      <c r="Y84" s="201">
        <f t="shared" ca="1" si="34"/>
        <v>8217.2144021151744</v>
      </c>
      <c r="Z84" s="201">
        <f t="shared" ca="1" si="39"/>
        <v>10421.884210717653</v>
      </c>
      <c r="AA84" s="201">
        <f t="shared" ca="1" si="35"/>
        <v>2204.6698086024771</v>
      </c>
      <c r="AB84" s="201">
        <f t="shared" ca="1" si="36"/>
        <v>8217.2144021151744</v>
      </c>
      <c r="AC84" s="201">
        <f t="shared" ca="1" si="40"/>
        <v>10421.884210717652</v>
      </c>
    </row>
    <row r="85" spans="2:29" x14ac:dyDescent="0.3">
      <c r="B85" s="84">
        <f t="shared" si="37"/>
        <v>74</v>
      </c>
      <c r="C85" s="85">
        <f ca="1">IF($B85="","",'Fecha Pago'!K77)</f>
        <v>48398</v>
      </c>
      <c r="D85" s="86">
        <f>IF($B$12="","",'Fecha Pago'!L77)</f>
        <v>30.4</v>
      </c>
      <c r="E85" s="87">
        <f t="shared" si="24"/>
        <v>0.11</v>
      </c>
      <c r="F85" s="86">
        <f t="shared" ca="1" si="19"/>
        <v>882423.67491671536</v>
      </c>
      <c r="G85" s="86">
        <f t="shared" ca="1" si="23"/>
        <v>2225.1487414912754</v>
      </c>
      <c r="H85" s="86">
        <f t="shared" ca="1" si="25"/>
        <v>8196.735469226378</v>
      </c>
      <c r="I85" s="86">
        <f>IF(B85="","",IF(Simulador!$F$9="Liquidez",'Tabla Fijos'!H85*0.16,IF(Simulador!$J$9="SI",H85*0.16,0)))</f>
        <v>0</v>
      </c>
      <c r="J85" s="86">
        <f t="shared" ca="1" si="26"/>
        <v>10421.884210717653</v>
      </c>
      <c r="K85" s="86">
        <f t="shared" ca="1" si="38"/>
        <v>0</v>
      </c>
      <c r="L85" s="86">
        <f ca="1">IF(B85="","",IF(F85=0,0,IF(Sheet1!$I$10=6,'Tabla Fijos'!$C$3*'Tabla Fijos'!$F$5,$F$5*$C$5)))</f>
        <v>0</v>
      </c>
      <c r="M85" s="86">
        <f t="shared" ca="1" si="27"/>
        <v>0</v>
      </c>
      <c r="N85" s="86">
        <f ca="1">IF(B85="","",IF(F85=0,0,IF(Simulador!$N$7='Tabla Parámetros'!$C$31,AportPat!L77,IF(Simulador!$N$7='Tabla Parámetros'!$C$34,AportPatFov!G75,0))))</f>
        <v>0</v>
      </c>
      <c r="O85" s="86">
        <f>Simulador!N140</f>
        <v>0</v>
      </c>
      <c r="P85" s="86"/>
      <c r="Q85" s="86">
        <v>0</v>
      </c>
      <c r="R85" s="86">
        <f t="shared" ca="1" si="28"/>
        <v>10421.884210717653</v>
      </c>
      <c r="S85" s="86">
        <f t="shared" ca="1" si="29"/>
        <v>880198.52617522411</v>
      </c>
      <c r="U85" s="201">
        <f t="shared" ca="1" si="30"/>
        <v>2225.1487414912758</v>
      </c>
      <c r="V85" s="201">
        <f t="shared" ca="1" si="31"/>
        <v>8196.735469226378</v>
      </c>
      <c r="W85" s="202">
        <f t="shared" ca="1" si="32"/>
        <v>10421.884210717653</v>
      </c>
      <c r="X85" s="201">
        <f t="shared" ca="1" si="33"/>
        <v>2225.1487414912754</v>
      </c>
      <c r="Y85" s="201">
        <f t="shared" ca="1" si="34"/>
        <v>8196.735469226378</v>
      </c>
      <c r="Z85" s="201">
        <f t="shared" ca="1" si="39"/>
        <v>10421.884210717653</v>
      </c>
      <c r="AA85" s="201">
        <f t="shared" ca="1" si="35"/>
        <v>2225.1487414912754</v>
      </c>
      <c r="AB85" s="201">
        <f t="shared" ca="1" si="36"/>
        <v>8196.735469226378</v>
      </c>
      <c r="AC85" s="201">
        <f t="shared" ca="1" si="40"/>
        <v>10421.884210717653</v>
      </c>
    </row>
    <row r="86" spans="2:29" x14ac:dyDescent="0.3">
      <c r="B86" s="84">
        <f t="shared" si="37"/>
        <v>75</v>
      </c>
      <c r="C86" s="85">
        <f ca="1">IF($B86="","",'Fecha Pago'!K78)</f>
        <v>48429</v>
      </c>
      <c r="D86" s="86">
        <f>IF($B$12="","",'Fecha Pago'!L78)</f>
        <v>30.4</v>
      </c>
      <c r="E86" s="87">
        <f t="shared" si="24"/>
        <v>0.11</v>
      </c>
      <c r="F86" s="86">
        <f t="shared" ca="1" si="19"/>
        <v>880198.52617522411</v>
      </c>
      <c r="G86" s="86">
        <f t="shared" ca="1" si="23"/>
        <v>2245.8179009122387</v>
      </c>
      <c r="H86" s="86">
        <f t="shared" ca="1" si="25"/>
        <v>8176.0663098054147</v>
      </c>
      <c r="I86" s="86">
        <f>IF(B86="","",IF(Simulador!$F$9="Liquidez",'Tabla Fijos'!H86*0.16,IF(Simulador!$J$9="SI",H86*0.16,0)))</f>
        <v>0</v>
      </c>
      <c r="J86" s="86">
        <f t="shared" ca="1" si="26"/>
        <v>10421.884210717653</v>
      </c>
      <c r="K86" s="86">
        <f t="shared" ca="1" si="38"/>
        <v>0</v>
      </c>
      <c r="L86" s="86">
        <f ca="1">IF(B86="","",IF(F86=0,0,IF(Sheet1!$I$10=6,'Tabla Fijos'!$C$3*'Tabla Fijos'!$F$5,$F$5*$C$5)))</f>
        <v>0</v>
      </c>
      <c r="M86" s="86">
        <f t="shared" ca="1" si="27"/>
        <v>0</v>
      </c>
      <c r="N86" s="86">
        <f ca="1">IF(B86="","",IF(F86=0,0,IF(Simulador!$N$7='Tabla Parámetros'!$C$31,AportPat!L78,IF(Simulador!$N$7='Tabla Parámetros'!$C$34,AportPatFov!G76,0))))</f>
        <v>0</v>
      </c>
      <c r="O86" s="86">
        <f>Simulador!N141</f>
        <v>0</v>
      </c>
      <c r="P86" s="86"/>
      <c r="Q86" s="86">
        <v>0</v>
      </c>
      <c r="R86" s="86">
        <f t="shared" ca="1" si="28"/>
        <v>10421.884210717653</v>
      </c>
      <c r="S86" s="86">
        <f t="shared" ca="1" si="29"/>
        <v>877952.70827431185</v>
      </c>
      <c r="U86" s="201">
        <f t="shared" ca="1" si="30"/>
        <v>2245.8179009122391</v>
      </c>
      <c r="V86" s="201">
        <f t="shared" ca="1" si="31"/>
        <v>8176.0663098054147</v>
      </c>
      <c r="W86" s="202">
        <f t="shared" ca="1" si="32"/>
        <v>10421.884210717653</v>
      </c>
      <c r="X86" s="201">
        <f t="shared" ca="1" si="33"/>
        <v>2245.8179009122387</v>
      </c>
      <c r="Y86" s="201">
        <f t="shared" ca="1" si="34"/>
        <v>8176.0663098054147</v>
      </c>
      <c r="Z86" s="201">
        <f t="shared" ca="1" si="39"/>
        <v>10421.884210717653</v>
      </c>
      <c r="AA86" s="201">
        <f t="shared" ca="1" si="35"/>
        <v>2245.8179009122387</v>
      </c>
      <c r="AB86" s="201">
        <f t="shared" ca="1" si="36"/>
        <v>8176.0663098054147</v>
      </c>
      <c r="AC86" s="201">
        <f t="shared" ca="1" si="40"/>
        <v>10421.884210717653</v>
      </c>
    </row>
    <row r="87" spans="2:29" x14ac:dyDescent="0.3">
      <c r="B87" s="84">
        <f t="shared" si="37"/>
        <v>76</v>
      </c>
      <c r="C87" s="85">
        <f ca="1">IF($B87="","",'Fecha Pago'!K79)</f>
        <v>48460</v>
      </c>
      <c r="D87" s="86">
        <f>IF($B$12="","",'Fecha Pago'!L79)</f>
        <v>30.4</v>
      </c>
      <c r="E87" s="87">
        <f t="shared" si="24"/>
        <v>0.11</v>
      </c>
      <c r="F87" s="86">
        <f t="shared" ca="1" si="19"/>
        <v>877952.70827431185</v>
      </c>
      <c r="G87" s="86">
        <f t="shared" ca="1" si="23"/>
        <v>2266.6790538584883</v>
      </c>
      <c r="H87" s="86">
        <f t="shared" ca="1" si="25"/>
        <v>8155.2051568591633</v>
      </c>
      <c r="I87" s="86">
        <f>IF(B87="","",IF(Simulador!$F$9="Liquidez",'Tabla Fijos'!H87*0.16,IF(Simulador!$J$9="SI",H87*0.16,0)))</f>
        <v>0</v>
      </c>
      <c r="J87" s="86">
        <f t="shared" ca="1" si="26"/>
        <v>10421.884210717652</v>
      </c>
      <c r="K87" s="86">
        <f t="shared" ca="1" si="38"/>
        <v>0</v>
      </c>
      <c r="L87" s="86">
        <f ca="1">IF(B87="","",IF(F87=0,0,IF(Sheet1!$I$10=6,'Tabla Fijos'!$C$3*'Tabla Fijos'!$F$5,$F$5*$C$5)))</f>
        <v>0</v>
      </c>
      <c r="M87" s="86">
        <f t="shared" ca="1" si="27"/>
        <v>0</v>
      </c>
      <c r="N87" s="86">
        <f ca="1">IF(B87="","",IF(F87=0,0,IF(Simulador!$N$7='Tabla Parámetros'!$C$31,AportPat!L79,IF(Simulador!$N$7='Tabla Parámetros'!$C$34,AportPatFov!G77,0))))</f>
        <v>0</v>
      </c>
      <c r="O87" s="86">
        <f>Simulador!N142</f>
        <v>0</v>
      </c>
      <c r="P87" s="86"/>
      <c r="Q87" s="86">
        <v>0</v>
      </c>
      <c r="R87" s="86">
        <f t="shared" ca="1" si="28"/>
        <v>10421.884210717652</v>
      </c>
      <c r="S87" s="86">
        <f t="shared" ca="1" si="29"/>
        <v>875686.02922045335</v>
      </c>
      <c r="U87" s="201">
        <f t="shared" ca="1" si="30"/>
        <v>2266.6790538584905</v>
      </c>
      <c r="V87" s="201">
        <f t="shared" ca="1" si="31"/>
        <v>8155.2051568591633</v>
      </c>
      <c r="W87" s="202">
        <f t="shared" ca="1" si="32"/>
        <v>10421.884210717653</v>
      </c>
      <c r="X87" s="201">
        <f t="shared" ca="1" si="33"/>
        <v>2266.6790538584901</v>
      </c>
      <c r="Y87" s="201">
        <f t="shared" ca="1" si="34"/>
        <v>8155.2051568591633</v>
      </c>
      <c r="Z87" s="201">
        <f t="shared" ca="1" si="39"/>
        <v>10421.884210717653</v>
      </c>
      <c r="AA87" s="201">
        <f t="shared" ca="1" si="35"/>
        <v>2266.6790538584883</v>
      </c>
      <c r="AB87" s="201">
        <f t="shared" ca="1" si="36"/>
        <v>8155.2051568591633</v>
      </c>
      <c r="AC87" s="201">
        <f t="shared" ca="1" si="40"/>
        <v>10421.884210717652</v>
      </c>
    </row>
    <row r="88" spans="2:29" x14ac:dyDescent="0.3">
      <c r="B88" s="84">
        <f t="shared" si="37"/>
        <v>77</v>
      </c>
      <c r="C88" s="85">
        <f ca="1">IF($B88="","",'Fecha Pago'!K80)</f>
        <v>48490</v>
      </c>
      <c r="D88" s="86">
        <f>IF($B$12="","",'Fecha Pago'!L80)</f>
        <v>30.4</v>
      </c>
      <c r="E88" s="87">
        <f t="shared" si="24"/>
        <v>0.11</v>
      </c>
      <c r="F88" s="86">
        <f t="shared" ca="1" si="19"/>
        <v>875686.02922045335</v>
      </c>
      <c r="G88" s="86">
        <f t="shared" ca="1" si="23"/>
        <v>2287.7339837365525</v>
      </c>
      <c r="H88" s="86">
        <f t="shared" ca="1" si="25"/>
        <v>8134.150226981099</v>
      </c>
      <c r="I88" s="86">
        <f>IF(B88="","",IF(Simulador!$F$9="Liquidez",'Tabla Fijos'!H88*0.16,IF(Simulador!$J$9="SI",H88*0.16,0)))</f>
        <v>0</v>
      </c>
      <c r="J88" s="86">
        <f t="shared" ca="1" si="26"/>
        <v>10421.884210717652</v>
      </c>
      <c r="K88" s="86">
        <f t="shared" ca="1" si="38"/>
        <v>0</v>
      </c>
      <c r="L88" s="86">
        <f ca="1">IF(B88="","",IF(F88=0,0,IF(Sheet1!$I$10=6,'Tabla Fijos'!$C$3*'Tabla Fijos'!$F$5,$F$5*$C$5)))</f>
        <v>0</v>
      </c>
      <c r="M88" s="86">
        <f t="shared" ca="1" si="27"/>
        <v>0</v>
      </c>
      <c r="N88" s="86">
        <f ca="1">IF(B88="","",IF(F88=0,0,IF(Simulador!$N$7='Tabla Parámetros'!$C$31,AportPat!L80,IF(Simulador!$N$7='Tabla Parámetros'!$C$34,AportPatFov!G78,0))))</f>
        <v>0</v>
      </c>
      <c r="O88" s="86">
        <f>Simulador!N143</f>
        <v>0</v>
      </c>
      <c r="P88" s="86"/>
      <c r="Q88" s="86">
        <v>0</v>
      </c>
      <c r="R88" s="86">
        <f t="shared" ca="1" si="28"/>
        <v>10421.884210717652</v>
      </c>
      <c r="S88" s="86">
        <f t="shared" ca="1" si="29"/>
        <v>873398.29523671675</v>
      </c>
      <c r="U88" s="201">
        <f t="shared" ca="1" si="30"/>
        <v>2287.7339837365544</v>
      </c>
      <c r="V88" s="201">
        <f t="shared" ca="1" si="31"/>
        <v>8134.150226981099</v>
      </c>
      <c r="W88" s="202">
        <f t="shared" ca="1" si="32"/>
        <v>10421.884210717653</v>
      </c>
      <c r="X88" s="201">
        <f t="shared" ca="1" si="33"/>
        <v>2287.7339837365544</v>
      </c>
      <c r="Y88" s="201">
        <f t="shared" ca="1" si="34"/>
        <v>8134.150226981099</v>
      </c>
      <c r="Z88" s="201">
        <f t="shared" ca="1" si="39"/>
        <v>10421.884210717653</v>
      </c>
      <c r="AA88" s="201">
        <f t="shared" ca="1" si="35"/>
        <v>2287.7339837365525</v>
      </c>
      <c r="AB88" s="201">
        <f t="shared" ca="1" si="36"/>
        <v>8134.150226981099</v>
      </c>
      <c r="AC88" s="201">
        <f t="shared" ca="1" si="40"/>
        <v>10421.884210717652</v>
      </c>
    </row>
    <row r="89" spans="2:29" x14ac:dyDescent="0.3">
      <c r="B89" s="84">
        <f t="shared" si="37"/>
        <v>78</v>
      </c>
      <c r="C89" s="85">
        <f ca="1">IF($B89="","",'Fecha Pago'!K81)</f>
        <v>48521</v>
      </c>
      <c r="D89" s="86">
        <f>IF($B$12="","",'Fecha Pago'!L81)</f>
        <v>30.4</v>
      </c>
      <c r="E89" s="87">
        <f t="shared" si="24"/>
        <v>0.11</v>
      </c>
      <c r="F89" s="86">
        <f t="shared" ca="1" si="19"/>
        <v>873398.29523671675</v>
      </c>
      <c r="G89" s="86">
        <f t="shared" ca="1" si="23"/>
        <v>2308.9844905188165</v>
      </c>
      <c r="H89" s="86">
        <f t="shared" ca="1" si="25"/>
        <v>8112.899720198835</v>
      </c>
      <c r="I89" s="86">
        <f>IF(B89="","",IF(Simulador!$F$9="Liquidez",'Tabla Fijos'!H89*0.16,IF(Simulador!$J$9="SI",H89*0.16,0)))</f>
        <v>0</v>
      </c>
      <c r="J89" s="86">
        <f t="shared" ca="1" si="26"/>
        <v>10421.884210717652</v>
      </c>
      <c r="K89" s="86">
        <f t="shared" ca="1" si="38"/>
        <v>0</v>
      </c>
      <c r="L89" s="86">
        <f ca="1">IF(B89="","",IF(F89=0,0,IF(Sheet1!$I$10=6,'Tabla Fijos'!$C$3*'Tabla Fijos'!$F$5,$F$5*$C$5)))</f>
        <v>0</v>
      </c>
      <c r="M89" s="86">
        <f t="shared" ca="1" si="27"/>
        <v>0</v>
      </c>
      <c r="N89" s="86">
        <f ca="1">IF(B89="","",IF(F89=0,0,IF(Simulador!$N$7='Tabla Parámetros'!$C$31,AportPat!L81,IF(Simulador!$N$7='Tabla Parámetros'!$C$34,AportPatFov!G79,0))))</f>
        <v>0</v>
      </c>
      <c r="O89" s="86">
        <f>Simulador!N144</f>
        <v>0</v>
      </c>
      <c r="P89" s="86"/>
      <c r="Q89" s="86">
        <v>0</v>
      </c>
      <c r="R89" s="86">
        <f t="shared" ca="1" si="28"/>
        <v>10421.884210717652</v>
      </c>
      <c r="S89" s="86">
        <f t="shared" ca="1" si="29"/>
        <v>871089.31074619794</v>
      </c>
      <c r="U89" s="201">
        <f t="shared" ca="1" si="30"/>
        <v>2308.9844905188179</v>
      </c>
      <c r="V89" s="201">
        <f t="shared" ca="1" si="31"/>
        <v>8112.899720198835</v>
      </c>
      <c r="W89" s="202">
        <f t="shared" ca="1" si="32"/>
        <v>10421.884210717653</v>
      </c>
      <c r="X89" s="201">
        <f t="shared" ca="1" si="33"/>
        <v>2308.9844905188183</v>
      </c>
      <c r="Y89" s="201">
        <f t="shared" ca="1" si="34"/>
        <v>8112.899720198835</v>
      </c>
      <c r="Z89" s="201">
        <f t="shared" ca="1" si="39"/>
        <v>10421.884210717653</v>
      </c>
      <c r="AA89" s="201">
        <f t="shared" ca="1" si="35"/>
        <v>2308.9844905188165</v>
      </c>
      <c r="AB89" s="201">
        <f t="shared" ca="1" si="36"/>
        <v>8112.899720198835</v>
      </c>
      <c r="AC89" s="201">
        <f t="shared" ca="1" si="40"/>
        <v>10421.884210717652</v>
      </c>
    </row>
    <row r="90" spans="2:29" x14ac:dyDescent="0.3">
      <c r="B90" s="84">
        <f t="shared" si="37"/>
        <v>79</v>
      </c>
      <c r="C90" s="85">
        <f ca="1">IF($B90="","",'Fecha Pago'!K82)</f>
        <v>48551</v>
      </c>
      <c r="D90" s="86">
        <f>IF($B$12="","",'Fecha Pago'!L82)</f>
        <v>30.4</v>
      </c>
      <c r="E90" s="87">
        <f t="shared" si="24"/>
        <v>0.11</v>
      </c>
      <c r="F90" s="86">
        <f t="shared" ca="1" si="19"/>
        <v>871089.31074619794</v>
      </c>
      <c r="G90" s="86">
        <f t="shared" ca="1" si="23"/>
        <v>2330.4323908974138</v>
      </c>
      <c r="H90" s="86">
        <f t="shared" ca="1" si="25"/>
        <v>8091.4518198202377</v>
      </c>
      <c r="I90" s="86">
        <f>IF(B90="","",IF(Simulador!$F$9="Liquidez",'Tabla Fijos'!H90*0.16,IF(Simulador!$J$9="SI",H90*0.16,0)))</f>
        <v>0</v>
      </c>
      <c r="J90" s="86">
        <f t="shared" ca="1" si="26"/>
        <v>10421.884210717652</v>
      </c>
      <c r="K90" s="86">
        <f t="shared" ca="1" si="38"/>
        <v>0</v>
      </c>
      <c r="L90" s="86">
        <f ca="1">IF(B90="","",IF(F90=0,0,IF(Sheet1!$I$10=6,'Tabla Fijos'!$C$3*'Tabla Fijos'!$F$5,$F$5*$C$5)))</f>
        <v>0</v>
      </c>
      <c r="M90" s="86">
        <f t="shared" ca="1" si="27"/>
        <v>0</v>
      </c>
      <c r="N90" s="86">
        <f ca="1">IF(B90="","",IF(F90=0,0,IF(Simulador!$N$7='Tabla Parámetros'!$C$31,AportPat!L82,IF(Simulador!$N$7='Tabla Parámetros'!$C$34,AportPatFov!G80,0))))</f>
        <v>0</v>
      </c>
      <c r="O90" s="86">
        <f>Simulador!N145</f>
        <v>0</v>
      </c>
      <c r="P90" s="86"/>
      <c r="Q90" s="86">
        <v>0</v>
      </c>
      <c r="R90" s="86">
        <f t="shared" ca="1" si="28"/>
        <v>10421.884210717652</v>
      </c>
      <c r="S90" s="86">
        <f t="shared" ca="1" si="29"/>
        <v>868758.87835530052</v>
      </c>
      <c r="U90" s="201">
        <f t="shared" ca="1" si="30"/>
        <v>2330.4323908974152</v>
      </c>
      <c r="V90" s="201">
        <f t="shared" ca="1" si="31"/>
        <v>8091.4518198202377</v>
      </c>
      <c r="W90" s="202">
        <f t="shared" ca="1" si="32"/>
        <v>10421.884210717653</v>
      </c>
      <c r="X90" s="201">
        <f t="shared" ca="1" si="33"/>
        <v>2330.4323908974156</v>
      </c>
      <c r="Y90" s="201">
        <f t="shared" ca="1" si="34"/>
        <v>8091.4518198202377</v>
      </c>
      <c r="Z90" s="201">
        <f t="shared" ca="1" si="39"/>
        <v>10421.884210717653</v>
      </c>
      <c r="AA90" s="201">
        <f t="shared" ca="1" si="35"/>
        <v>2330.4323908974138</v>
      </c>
      <c r="AB90" s="201">
        <f t="shared" ca="1" si="36"/>
        <v>8091.4518198202377</v>
      </c>
      <c r="AC90" s="201">
        <f t="shared" ca="1" si="40"/>
        <v>10421.884210717652</v>
      </c>
    </row>
    <row r="91" spans="2:29" x14ac:dyDescent="0.3">
      <c r="B91" s="84">
        <f t="shared" si="37"/>
        <v>80</v>
      </c>
      <c r="C91" s="85">
        <f ca="1">IF($B91="","",'Fecha Pago'!K83)</f>
        <v>48582</v>
      </c>
      <c r="D91" s="86">
        <f>IF($B$12="","",'Fecha Pago'!L83)</f>
        <v>30.4</v>
      </c>
      <c r="E91" s="87">
        <f t="shared" si="24"/>
        <v>0.11</v>
      </c>
      <c r="F91" s="86">
        <f t="shared" ref="F91:F154" ca="1" si="41">IF(B91="","",F90-G90)</f>
        <v>868758.87835530052</v>
      </c>
      <c r="G91" s="86">
        <f t="shared" ca="1" si="23"/>
        <v>2352.0795184395274</v>
      </c>
      <c r="H91" s="86">
        <f t="shared" ca="1" si="25"/>
        <v>8069.8046922781241</v>
      </c>
      <c r="I91" s="86">
        <f>IF(B91="","",IF(Simulador!$F$9="Liquidez",'Tabla Fijos'!H91*0.16,IF(Simulador!$J$9="SI",H91*0.16,0)))</f>
        <v>0</v>
      </c>
      <c r="J91" s="86">
        <f t="shared" ca="1" si="26"/>
        <v>10421.884210717652</v>
      </c>
      <c r="K91" s="86">
        <f t="shared" ca="1" si="38"/>
        <v>0</v>
      </c>
      <c r="L91" s="86">
        <f ca="1">IF(B91="","",IF(F91=0,0,IF(Sheet1!$I$10=6,'Tabla Fijos'!$C$3*'Tabla Fijos'!$F$5,$F$5*$C$5)))</f>
        <v>0</v>
      </c>
      <c r="M91" s="86">
        <f t="shared" ca="1" si="27"/>
        <v>0</v>
      </c>
      <c r="N91" s="86">
        <f ca="1">IF(B91="","",IF(F91=0,0,IF(Simulador!$N$7='Tabla Parámetros'!$C$31,AportPat!L83,IF(Simulador!$N$7='Tabla Parámetros'!$C$34,AportPatFov!G81,0))))</f>
        <v>0</v>
      </c>
      <c r="O91" s="86">
        <f>Simulador!N146</f>
        <v>0</v>
      </c>
      <c r="P91" s="86"/>
      <c r="Q91" s="86">
        <v>0</v>
      </c>
      <c r="R91" s="86">
        <f t="shared" ca="1" si="28"/>
        <v>10421.884210717652</v>
      </c>
      <c r="S91" s="86">
        <f t="shared" ca="1" si="29"/>
        <v>866406.79883686104</v>
      </c>
      <c r="U91" s="201">
        <f t="shared" ca="1" si="30"/>
        <v>2352.0795184395288</v>
      </c>
      <c r="V91" s="201">
        <f t="shared" ca="1" si="31"/>
        <v>8069.8046922781241</v>
      </c>
      <c r="W91" s="202">
        <f t="shared" ca="1" si="32"/>
        <v>10421.884210717653</v>
      </c>
      <c r="X91" s="201">
        <f t="shared" ca="1" si="33"/>
        <v>2352.0795184395292</v>
      </c>
      <c r="Y91" s="201">
        <f t="shared" ca="1" si="34"/>
        <v>8069.8046922781241</v>
      </c>
      <c r="Z91" s="201">
        <f t="shared" ca="1" si="39"/>
        <v>10421.884210717653</v>
      </c>
      <c r="AA91" s="201">
        <f t="shared" ca="1" si="35"/>
        <v>2352.0795184395274</v>
      </c>
      <c r="AB91" s="201">
        <f t="shared" ca="1" si="36"/>
        <v>8069.8046922781241</v>
      </c>
      <c r="AC91" s="201">
        <f t="shared" ca="1" si="40"/>
        <v>10421.884210717652</v>
      </c>
    </row>
    <row r="92" spans="2:29" x14ac:dyDescent="0.3">
      <c r="B92" s="84">
        <f t="shared" si="37"/>
        <v>81</v>
      </c>
      <c r="C92" s="85">
        <f ca="1">IF($B92="","",'Fecha Pago'!K84)</f>
        <v>48613</v>
      </c>
      <c r="D92" s="86">
        <f>IF($B$12="","",'Fecha Pago'!L84)</f>
        <v>30.4</v>
      </c>
      <c r="E92" s="87">
        <f t="shared" si="24"/>
        <v>0.11</v>
      </c>
      <c r="F92" s="86">
        <f t="shared" ca="1" si="41"/>
        <v>866406.79883686104</v>
      </c>
      <c r="G92" s="86">
        <f t="shared" ca="1" si="23"/>
        <v>2373.9277237441429</v>
      </c>
      <c r="H92" s="86">
        <f t="shared" ca="1" si="25"/>
        <v>8047.9564869735086</v>
      </c>
      <c r="I92" s="86">
        <f>IF(B92="","",IF(Simulador!$F$9="Liquidez",'Tabla Fijos'!H92*0.16,IF(Simulador!$J$9="SI",H92*0.16,0)))</f>
        <v>0</v>
      </c>
      <c r="J92" s="86">
        <f t="shared" ca="1" si="26"/>
        <v>10421.884210717652</v>
      </c>
      <c r="K92" s="86">
        <f t="shared" ca="1" si="38"/>
        <v>0</v>
      </c>
      <c r="L92" s="86">
        <f ca="1">IF(B92="","",IF(F92=0,0,IF(Sheet1!$I$10=6,'Tabla Fijos'!$C$3*'Tabla Fijos'!$F$5,$F$5*$C$5)))</f>
        <v>0</v>
      </c>
      <c r="M92" s="86">
        <f t="shared" ca="1" si="27"/>
        <v>0</v>
      </c>
      <c r="N92" s="86">
        <f ca="1">IF(B92="","",IF(F92=0,0,IF(Simulador!$N$7='Tabla Parámetros'!$C$31,AportPat!L84,IF(Simulador!$N$7='Tabla Parámetros'!$C$34,AportPatFov!G82,0))))</f>
        <v>0</v>
      </c>
      <c r="O92" s="86">
        <f>Simulador!N147</f>
        <v>0</v>
      </c>
      <c r="P92" s="86"/>
      <c r="Q92" s="86">
        <v>0</v>
      </c>
      <c r="R92" s="86">
        <f t="shared" ca="1" si="28"/>
        <v>10421.884210717652</v>
      </c>
      <c r="S92" s="86">
        <f t="shared" ca="1" si="29"/>
        <v>864032.87111311685</v>
      </c>
      <c r="U92" s="201">
        <f t="shared" ca="1" si="30"/>
        <v>2373.9277237441447</v>
      </c>
      <c r="V92" s="201">
        <f t="shared" ca="1" si="31"/>
        <v>8047.9564869735086</v>
      </c>
      <c r="W92" s="202">
        <f t="shared" ca="1" si="32"/>
        <v>10421.884210717653</v>
      </c>
      <c r="X92" s="201">
        <f t="shared" ca="1" si="33"/>
        <v>2373.9277237441447</v>
      </c>
      <c r="Y92" s="201">
        <f t="shared" ca="1" si="34"/>
        <v>8047.9564869735086</v>
      </c>
      <c r="Z92" s="201">
        <f t="shared" ca="1" si="39"/>
        <v>10421.884210717653</v>
      </c>
      <c r="AA92" s="201">
        <f t="shared" ca="1" si="35"/>
        <v>2373.9277237441429</v>
      </c>
      <c r="AB92" s="201">
        <f t="shared" ca="1" si="36"/>
        <v>8047.9564869735086</v>
      </c>
      <c r="AC92" s="201">
        <f t="shared" ca="1" si="40"/>
        <v>10421.884210717652</v>
      </c>
    </row>
    <row r="93" spans="2:29" x14ac:dyDescent="0.3">
      <c r="B93" s="84">
        <f t="shared" si="37"/>
        <v>82</v>
      </c>
      <c r="C93" s="85">
        <f ca="1">IF($B93="","",'Fecha Pago'!K85)</f>
        <v>48641</v>
      </c>
      <c r="D93" s="86">
        <f>IF($B$12="","",'Fecha Pago'!L85)</f>
        <v>30.4</v>
      </c>
      <c r="E93" s="87">
        <f t="shared" si="24"/>
        <v>0.11</v>
      </c>
      <c r="F93" s="86">
        <f t="shared" ca="1" si="41"/>
        <v>864032.87111311685</v>
      </c>
      <c r="G93" s="86">
        <f t="shared" ca="1" si="23"/>
        <v>2395.9788746002559</v>
      </c>
      <c r="H93" s="86">
        <f t="shared" ca="1" si="25"/>
        <v>8025.9053361173956</v>
      </c>
      <c r="I93" s="86">
        <f>IF(B93="","",IF(Simulador!$F$9="Liquidez",'Tabla Fijos'!H93*0.16,IF(Simulador!$J$9="SI",H93*0.16,0)))</f>
        <v>0</v>
      </c>
      <c r="J93" s="86">
        <f t="shared" ca="1" si="26"/>
        <v>10421.884210717652</v>
      </c>
      <c r="K93" s="86">
        <f t="shared" ca="1" si="38"/>
        <v>0</v>
      </c>
      <c r="L93" s="86">
        <f ca="1">IF(B93="","",IF(F93=0,0,IF(Sheet1!$I$10=6,'Tabla Fijos'!$C$3*'Tabla Fijos'!$F$5,$F$5*$C$5)))</f>
        <v>0</v>
      </c>
      <c r="M93" s="86">
        <f t="shared" ca="1" si="27"/>
        <v>0</v>
      </c>
      <c r="N93" s="86">
        <f ca="1">IF(B93="","",IF(F93=0,0,IF(Simulador!$N$7='Tabla Parámetros'!$C$31,AportPat!L85,IF(Simulador!$N$7='Tabla Parámetros'!$C$34,AportPatFov!G83,0))))</f>
        <v>0</v>
      </c>
      <c r="O93" s="86">
        <f>Simulador!N148</f>
        <v>0</v>
      </c>
      <c r="P93" s="86"/>
      <c r="Q93" s="86">
        <v>0</v>
      </c>
      <c r="R93" s="86">
        <f t="shared" ca="1" si="28"/>
        <v>10421.884210717652</v>
      </c>
      <c r="S93" s="86">
        <f t="shared" ca="1" si="29"/>
        <v>861636.89223851659</v>
      </c>
      <c r="U93" s="201">
        <f t="shared" ca="1" si="30"/>
        <v>2395.9788746002569</v>
      </c>
      <c r="V93" s="201">
        <f t="shared" ca="1" si="31"/>
        <v>8025.9053361173956</v>
      </c>
      <c r="W93" s="202">
        <f t="shared" ca="1" si="32"/>
        <v>10421.884210717653</v>
      </c>
      <c r="X93" s="201">
        <f t="shared" ca="1" si="33"/>
        <v>2395.9788746002578</v>
      </c>
      <c r="Y93" s="201">
        <f t="shared" ca="1" si="34"/>
        <v>8025.9053361173956</v>
      </c>
      <c r="Z93" s="201">
        <f t="shared" ca="1" si="39"/>
        <v>10421.884210717653</v>
      </c>
      <c r="AA93" s="201">
        <f t="shared" ca="1" si="35"/>
        <v>2395.9788746002559</v>
      </c>
      <c r="AB93" s="201">
        <f t="shared" ca="1" si="36"/>
        <v>8025.9053361173956</v>
      </c>
      <c r="AC93" s="201">
        <f t="shared" ca="1" si="40"/>
        <v>10421.884210717652</v>
      </c>
    </row>
    <row r="94" spans="2:29" x14ac:dyDescent="0.3">
      <c r="B94" s="84">
        <f t="shared" si="37"/>
        <v>83</v>
      </c>
      <c r="C94" s="85">
        <f ca="1">IF($B94="","",'Fecha Pago'!K86)</f>
        <v>48672</v>
      </c>
      <c r="D94" s="86">
        <f>IF($B$12="","",'Fecha Pago'!L86)</f>
        <v>30.4</v>
      </c>
      <c r="E94" s="87">
        <f t="shared" si="24"/>
        <v>0.11</v>
      </c>
      <c r="F94" s="86">
        <f t="shared" ca="1" si="41"/>
        <v>861636.89223851659</v>
      </c>
      <c r="G94" s="86">
        <f t="shared" ca="1" si="23"/>
        <v>2418.2348561465424</v>
      </c>
      <c r="H94" s="86">
        <f t="shared" ca="1" si="25"/>
        <v>8003.6493545711091</v>
      </c>
      <c r="I94" s="86">
        <f>IF(B94="","",IF(Simulador!$F$9="Liquidez",'Tabla Fijos'!H94*0.16,IF(Simulador!$J$9="SI",H94*0.16,0)))</f>
        <v>0</v>
      </c>
      <c r="J94" s="86">
        <f t="shared" ca="1" si="26"/>
        <v>10421.884210717652</v>
      </c>
      <c r="K94" s="86">
        <f t="shared" ca="1" si="38"/>
        <v>0</v>
      </c>
      <c r="L94" s="86">
        <f ca="1">IF(B94="","",IF(F94=0,0,IF(Sheet1!$I$10=6,'Tabla Fijos'!$C$3*'Tabla Fijos'!$F$5,$F$5*$C$5)))</f>
        <v>0</v>
      </c>
      <c r="M94" s="86">
        <f t="shared" ca="1" si="27"/>
        <v>0</v>
      </c>
      <c r="N94" s="86">
        <f ca="1">IF(B94="","",IF(F94=0,0,IF(Simulador!$N$7='Tabla Parámetros'!$C$31,AportPat!L86,IF(Simulador!$N$7='Tabla Parámetros'!$C$34,AportPatFov!G84,0))))</f>
        <v>0</v>
      </c>
      <c r="O94" s="86">
        <f>Simulador!N149</f>
        <v>0</v>
      </c>
      <c r="P94" s="86"/>
      <c r="Q94" s="86">
        <v>0</v>
      </c>
      <c r="R94" s="86">
        <f t="shared" ca="1" si="28"/>
        <v>10421.884210717652</v>
      </c>
      <c r="S94" s="86">
        <f t="shared" ca="1" si="29"/>
        <v>859218.65738237009</v>
      </c>
      <c r="U94" s="201">
        <f t="shared" ca="1" si="30"/>
        <v>2418.2348561465433</v>
      </c>
      <c r="V94" s="201">
        <f t="shared" ca="1" si="31"/>
        <v>8003.6493545711091</v>
      </c>
      <c r="W94" s="202">
        <f t="shared" ca="1" si="32"/>
        <v>10421.884210717653</v>
      </c>
      <c r="X94" s="201">
        <f t="shared" ca="1" si="33"/>
        <v>2418.2348561465442</v>
      </c>
      <c r="Y94" s="201">
        <f t="shared" ca="1" si="34"/>
        <v>8003.6493545711091</v>
      </c>
      <c r="Z94" s="201">
        <f t="shared" ca="1" si="39"/>
        <v>10421.884210717653</v>
      </c>
      <c r="AA94" s="201">
        <f t="shared" ca="1" si="35"/>
        <v>2418.2348561465424</v>
      </c>
      <c r="AB94" s="201">
        <f t="shared" ca="1" si="36"/>
        <v>8003.6493545711091</v>
      </c>
      <c r="AC94" s="201">
        <f t="shared" ca="1" si="40"/>
        <v>10421.884210717652</v>
      </c>
    </row>
    <row r="95" spans="2:29" x14ac:dyDescent="0.3">
      <c r="B95" s="84">
        <f t="shared" si="37"/>
        <v>84</v>
      </c>
      <c r="C95" s="85">
        <f ca="1">IF($B95="","",'Fecha Pago'!K87)</f>
        <v>48702</v>
      </c>
      <c r="D95" s="86">
        <f>IF($B$12="","",'Fecha Pago'!L87)</f>
        <v>30.4</v>
      </c>
      <c r="E95" s="87">
        <f t="shared" si="24"/>
        <v>0.11</v>
      </c>
      <c r="F95" s="86">
        <f t="shared" ca="1" si="41"/>
        <v>859218.65738237009</v>
      </c>
      <c r="G95" s="86">
        <f t="shared" ca="1" si="23"/>
        <v>2440.697571032526</v>
      </c>
      <c r="H95" s="86">
        <f t="shared" ca="1" si="25"/>
        <v>7981.1866396851256</v>
      </c>
      <c r="I95" s="86">
        <f>IF(B95="","",IF(Simulador!$F$9="Liquidez",'Tabla Fijos'!H95*0.16,IF(Simulador!$J$9="SI",H95*0.16,0)))</f>
        <v>0</v>
      </c>
      <c r="J95" s="86">
        <f t="shared" ca="1" si="26"/>
        <v>10421.884210717652</v>
      </c>
      <c r="K95" s="86">
        <f t="shared" ca="1" si="38"/>
        <v>0</v>
      </c>
      <c r="L95" s="86">
        <f ca="1">IF(B95="","",IF(F95=0,0,IF(Sheet1!$I$10=6,'Tabla Fijos'!$C$3*'Tabla Fijos'!$F$5,$F$5*$C$5)))</f>
        <v>0</v>
      </c>
      <c r="M95" s="86">
        <f t="shared" ca="1" si="27"/>
        <v>0</v>
      </c>
      <c r="N95" s="86">
        <f ca="1">IF(B95="","",IF(F95=0,0,IF(Simulador!$N$7='Tabla Parámetros'!$C$31,AportPat!L87,IF(Simulador!$N$7='Tabla Parámetros'!$C$34,AportPatFov!G85,0))))</f>
        <v>0</v>
      </c>
      <c r="O95" s="86">
        <f>Simulador!N150</f>
        <v>0</v>
      </c>
      <c r="P95" s="86"/>
      <c r="Q95" s="86">
        <v>0</v>
      </c>
      <c r="R95" s="86">
        <f t="shared" ca="1" si="28"/>
        <v>10421.884210717652</v>
      </c>
      <c r="S95" s="86">
        <f t="shared" ca="1" si="29"/>
        <v>856777.95981133753</v>
      </c>
      <c r="U95" s="201">
        <f t="shared" ca="1" si="30"/>
        <v>2440.6975710325269</v>
      </c>
      <c r="V95" s="201">
        <f t="shared" ca="1" si="31"/>
        <v>7981.1866396851256</v>
      </c>
      <c r="W95" s="202">
        <f t="shared" ca="1" si="32"/>
        <v>10421.884210717653</v>
      </c>
      <c r="X95" s="201">
        <f t="shared" ca="1" si="33"/>
        <v>2440.6975710325278</v>
      </c>
      <c r="Y95" s="201">
        <f t="shared" ca="1" si="34"/>
        <v>7981.1866396851256</v>
      </c>
      <c r="Z95" s="201">
        <f t="shared" ca="1" si="39"/>
        <v>10421.884210717653</v>
      </c>
      <c r="AA95" s="201">
        <f t="shared" ca="1" si="35"/>
        <v>2440.697571032526</v>
      </c>
      <c r="AB95" s="201">
        <f t="shared" ca="1" si="36"/>
        <v>7981.1866396851256</v>
      </c>
      <c r="AC95" s="201">
        <f t="shared" ca="1" si="40"/>
        <v>10421.884210717652</v>
      </c>
    </row>
    <row r="96" spans="2:29" x14ac:dyDescent="0.3">
      <c r="B96" s="84">
        <f t="shared" si="37"/>
        <v>85</v>
      </c>
      <c r="C96" s="85">
        <f ca="1">IF($B96="","",'Fecha Pago'!K88)</f>
        <v>48733</v>
      </c>
      <c r="D96" s="86">
        <f>IF($B$12="","",'Fecha Pago'!L88)</f>
        <v>30.4</v>
      </c>
      <c r="E96" s="87">
        <f t="shared" si="24"/>
        <v>0.11</v>
      </c>
      <c r="F96" s="86">
        <f t="shared" ca="1" si="41"/>
        <v>856777.95981133753</v>
      </c>
      <c r="G96" s="86">
        <f t="shared" ca="1" si="23"/>
        <v>2463.368939581228</v>
      </c>
      <c r="H96" s="86">
        <f t="shared" ca="1" si="25"/>
        <v>7958.5152711364235</v>
      </c>
      <c r="I96" s="86">
        <f>IF(B96="","",IF(Simulador!$F$9="Liquidez",'Tabla Fijos'!H96*0.16,IF(Simulador!$J$9="SI",H96*0.16,0)))</f>
        <v>0</v>
      </c>
      <c r="J96" s="86">
        <f t="shared" ca="1" si="26"/>
        <v>10421.884210717652</v>
      </c>
      <c r="K96" s="86">
        <f t="shared" ca="1" si="38"/>
        <v>0</v>
      </c>
      <c r="L96" s="86">
        <f ca="1">IF(B96="","",IF(F96=0,0,IF(Sheet1!$I$10=6,'Tabla Fijos'!$C$3*'Tabla Fijos'!$F$5,$F$5*$C$5)))</f>
        <v>0</v>
      </c>
      <c r="M96" s="86">
        <f t="shared" ca="1" si="27"/>
        <v>0</v>
      </c>
      <c r="N96" s="86">
        <f ca="1">IF(B96="","",IF(F96=0,0,IF(Simulador!$N$7='Tabla Parámetros'!$C$31,AportPat!L88,IF(Simulador!$N$7='Tabla Parámetros'!$C$34,AportPatFov!G86,0))))</f>
        <v>0</v>
      </c>
      <c r="O96" s="86">
        <f>Simulador!N151</f>
        <v>0</v>
      </c>
      <c r="P96" s="86"/>
      <c r="Q96" s="86">
        <v>0</v>
      </c>
      <c r="R96" s="86">
        <f t="shared" ca="1" si="28"/>
        <v>10421.884210717652</v>
      </c>
      <c r="S96" s="86">
        <f t="shared" ca="1" si="29"/>
        <v>854314.59087175631</v>
      </c>
      <c r="U96" s="201">
        <f t="shared" ca="1" si="30"/>
        <v>2463.3689395812289</v>
      </c>
      <c r="V96" s="201">
        <f t="shared" ca="1" si="31"/>
        <v>7958.5152711364235</v>
      </c>
      <c r="W96" s="202">
        <f t="shared" ca="1" si="32"/>
        <v>10421.884210717653</v>
      </c>
      <c r="X96" s="201">
        <f t="shared" ca="1" si="33"/>
        <v>2463.3689395812298</v>
      </c>
      <c r="Y96" s="201">
        <f t="shared" ca="1" si="34"/>
        <v>7958.5152711364235</v>
      </c>
      <c r="Z96" s="201">
        <f t="shared" ca="1" si="39"/>
        <v>10421.884210717653</v>
      </c>
      <c r="AA96" s="201">
        <f t="shared" ca="1" si="35"/>
        <v>2463.368939581228</v>
      </c>
      <c r="AB96" s="201">
        <f t="shared" ca="1" si="36"/>
        <v>7958.5152711364235</v>
      </c>
      <c r="AC96" s="201">
        <f t="shared" ca="1" si="40"/>
        <v>10421.884210717652</v>
      </c>
    </row>
    <row r="97" spans="2:29" x14ac:dyDescent="0.3">
      <c r="B97" s="84">
        <f t="shared" si="37"/>
        <v>86</v>
      </c>
      <c r="C97" s="85">
        <f ca="1">IF($B97="","",'Fecha Pago'!K89)</f>
        <v>48763</v>
      </c>
      <c r="D97" s="86">
        <f>IF($B$12="","",'Fecha Pago'!L89)</f>
        <v>30.4</v>
      </c>
      <c r="E97" s="87">
        <f t="shared" si="24"/>
        <v>0.11</v>
      </c>
      <c r="F97" s="86">
        <f t="shared" ca="1" si="41"/>
        <v>854314.59087175631</v>
      </c>
      <c r="G97" s="86">
        <f t="shared" ca="1" si="23"/>
        <v>2486.2508999533375</v>
      </c>
      <c r="H97" s="86">
        <f t="shared" ca="1" si="25"/>
        <v>7935.633310764314</v>
      </c>
      <c r="I97" s="86">
        <f>IF(B97="","",IF(Simulador!$F$9="Liquidez",'Tabla Fijos'!H97*0.16,IF(Simulador!$J$9="SI",H97*0.16,0)))</f>
        <v>0</v>
      </c>
      <c r="J97" s="86">
        <f t="shared" ca="1" si="26"/>
        <v>10421.884210717652</v>
      </c>
      <c r="K97" s="86">
        <f t="shared" ca="1" si="38"/>
        <v>0</v>
      </c>
      <c r="L97" s="86">
        <f ca="1">IF(B97="","",IF(F97=0,0,IF(Sheet1!$I$10=6,'Tabla Fijos'!$C$3*'Tabla Fijos'!$F$5,$F$5*$C$5)))</f>
        <v>0</v>
      </c>
      <c r="M97" s="86">
        <f t="shared" ca="1" si="27"/>
        <v>0</v>
      </c>
      <c r="N97" s="86">
        <f ca="1">IF(B97="","",IF(F97=0,0,IF(Simulador!$N$7='Tabla Parámetros'!$C$31,AportPat!L89,IF(Simulador!$N$7='Tabla Parámetros'!$C$34,AportPatFov!G87,0))))</f>
        <v>0</v>
      </c>
      <c r="O97" s="86">
        <f>Simulador!N152</f>
        <v>0</v>
      </c>
      <c r="P97" s="86"/>
      <c r="Q97" s="86">
        <v>0</v>
      </c>
      <c r="R97" s="86">
        <f t="shared" ca="1" si="28"/>
        <v>10421.884210717652</v>
      </c>
      <c r="S97" s="86">
        <f t="shared" ca="1" si="29"/>
        <v>851828.33997180301</v>
      </c>
      <c r="U97" s="201">
        <f t="shared" ca="1" si="30"/>
        <v>2486.2508999533393</v>
      </c>
      <c r="V97" s="201">
        <f t="shared" ca="1" si="31"/>
        <v>7935.633310764314</v>
      </c>
      <c r="W97" s="202">
        <f t="shared" ca="1" si="32"/>
        <v>10421.884210717653</v>
      </c>
      <c r="X97" s="201">
        <f t="shared" ca="1" si="33"/>
        <v>2486.2508999533393</v>
      </c>
      <c r="Y97" s="201">
        <f t="shared" ca="1" si="34"/>
        <v>7935.633310764314</v>
      </c>
      <c r="Z97" s="201">
        <f t="shared" ca="1" si="39"/>
        <v>10421.884210717653</v>
      </c>
      <c r="AA97" s="201">
        <f t="shared" ca="1" si="35"/>
        <v>2486.2508999533375</v>
      </c>
      <c r="AB97" s="201">
        <f t="shared" ca="1" si="36"/>
        <v>7935.633310764314</v>
      </c>
      <c r="AC97" s="201">
        <f t="shared" ca="1" si="40"/>
        <v>10421.884210717652</v>
      </c>
    </row>
    <row r="98" spans="2:29" x14ac:dyDescent="0.3">
      <c r="B98" s="84">
        <f t="shared" si="37"/>
        <v>87</v>
      </c>
      <c r="C98" s="85">
        <f ca="1">IF($B98="","",'Fecha Pago'!K90)</f>
        <v>48794</v>
      </c>
      <c r="D98" s="86">
        <f>IF($B$12="","",'Fecha Pago'!L90)</f>
        <v>30.4</v>
      </c>
      <c r="E98" s="87">
        <f t="shared" si="24"/>
        <v>0.11</v>
      </c>
      <c r="F98" s="86">
        <f t="shared" ca="1" si="41"/>
        <v>851828.33997180301</v>
      </c>
      <c r="G98" s="86">
        <f t="shared" ca="1" si="23"/>
        <v>2509.3454083129063</v>
      </c>
      <c r="H98" s="86">
        <f t="shared" ca="1" si="25"/>
        <v>7912.538802404747</v>
      </c>
      <c r="I98" s="86">
        <f>IF(B98="","",IF(Simulador!$F$9="Liquidez",'Tabla Fijos'!H98*0.16,IF(Simulador!$J$9="SI",H98*0.16,0)))</f>
        <v>0</v>
      </c>
      <c r="J98" s="86">
        <f t="shared" ca="1" si="26"/>
        <v>10421.884210717653</v>
      </c>
      <c r="K98" s="86">
        <f t="shared" ca="1" si="38"/>
        <v>0</v>
      </c>
      <c r="L98" s="86">
        <f ca="1">IF(B98="","",IF(F98=0,0,IF(Sheet1!$I$10=6,'Tabla Fijos'!$C$3*'Tabla Fijos'!$F$5,$F$5*$C$5)))</f>
        <v>0</v>
      </c>
      <c r="M98" s="86">
        <f t="shared" ca="1" si="27"/>
        <v>0</v>
      </c>
      <c r="N98" s="86">
        <f ca="1">IF(B98="","",IF(F98=0,0,IF(Simulador!$N$7='Tabla Parámetros'!$C$31,AportPat!L90,IF(Simulador!$N$7='Tabla Parámetros'!$C$34,AportPatFov!G88,0))))</f>
        <v>0</v>
      </c>
      <c r="O98" s="86">
        <f>Simulador!N153</f>
        <v>0</v>
      </c>
      <c r="P98" s="86"/>
      <c r="Q98" s="86">
        <v>0</v>
      </c>
      <c r="R98" s="86">
        <f t="shared" ca="1" si="28"/>
        <v>10421.884210717653</v>
      </c>
      <c r="S98" s="86">
        <f t="shared" ca="1" si="29"/>
        <v>849318.99456349015</v>
      </c>
      <c r="U98" s="201">
        <f t="shared" ca="1" si="30"/>
        <v>2509.3454083129063</v>
      </c>
      <c r="V98" s="201">
        <f t="shared" ca="1" si="31"/>
        <v>7912.538802404747</v>
      </c>
      <c r="W98" s="202">
        <f t="shared" ca="1" si="32"/>
        <v>10421.884210717653</v>
      </c>
      <c r="X98" s="201">
        <f t="shared" ca="1" si="33"/>
        <v>2509.3454083129063</v>
      </c>
      <c r="Y98" s="201">
        <f t="shared" ca="1" si="34"/>
        <v>7912.538802404747</v>
      </c>
      <c r="Z98" s="201">
        <f t="shared" ca="1" si="39"/>
        <v>10421.884210717653</v>
      </c>
      <c r="AA98" s="201">
        <f t="shared" ca="1" si="35"/>
        <v>2509.3454083129063</v>
      </c>
      <c r="AB98" s="201">
        <f t="shared" ca="1" si="36"/>
        <v>7912.538802404747</v>
      </c>
      <c r="AC98" s="201">
        <f t="shared" ca="1" si="40"/>
        <v>10421.884210717653</v>
      </c>
    </row>
    <row r="99" spans="2:29" x14ac:dyDescent="0.3">
      <c r="B99" s="84">
        <f t="shared" si="37"/>
        <v>88</v>
      </c>
      <c r="C99" s="85">
        <f ca="1">IF($B99="","",'Fecha Pago'!K91)</f>
        <v>48825</v>
      </c>
      <c r="D99" s="86">
        <f>IF($B$12="","",'Fecha Pago'!L91)</f>
        <v>30.4</v>
      </c>
      <c r="E99" s="87">
        <f t="shared" si="24"/>
        <v>0.11</v>
      </c>
      <c r="F99" s="86">
        <f t="shared" ca="1" si="41"/>
        <v>849318.99456349015</v>
      </c>
      <c r="G99" s="86">
        <f t="shared" ca="1" si="23"/>
        <v>2532.6544389945675</v>
      </c>
      <c r="H99" s="86">
        <f t="shared" ca="1" si="25"/>
        <v>7889.2297717230858</v>
      </c>
      <c r="I99" s="86">
        <f>IF(B99="","",IF(Simulador!$F$9="Liquidez",'Tabla Fijos'!H99*0.16,IF(Simulador!$J$9="SI",H99*0.16,0)))</f>
        <v>0</v>
      </c>
      <c r="J99" s="86">
        <f t="shared" ca="1" si="26"/>
        <v>10421.884210717653</v>
      </c>
      <c r="K99" s="86">
        <f t="shared" ca="1" si="38"/>
        <v>0</v>
      </c>
      <c r="L99" s="86">
        <f ca="1">IF(B99="","",IF(F99=0,0,IF(Sheet1!$I$10=6,'Tabla Fijos'!$C$3*'Tabla Fijos'!$F$5,$F$5*$C$5)))</f>
        <v>0</v>
      </c>
      <c r="M99" s="86">
        <f t="shared" ca="1" si="27"/>
        <v>0</v>
      </c>
      <c r="N99" s="86">
        <f ca="1">IF(B99="","",IF(F99=0,0,IF(Simulador!$N$7='Tabla Parámetros'!$C$31,AportPat!L91,IF(Simulador!$N$7='Tabla Parámetros'!$C$34,AportPatFov!G89,0))))</f>
        <v>0</v>
      </c>
      <c r="O99" s="86">
        <f>Simulador!N154</f>
        <v>0</v>
      </c>
      <c r="P99" s="86"/>
      <c r="Q99" s="86">
        <v>0</v>
      </c>
      <c r="R99" s="86">
        <f t="shared" ca="1" si="28"/>
        <v>10421.884210717653</v>
      </c>
      <c r="S99" s="86">
        <f t="shared" ca="1" si="29"/>
        <v>846786.34012449556</v>
      </c>
      <c r="U99" s="201">
        <f t="shared" ca="1" si="30"/>
        <v>2532.6544389945684</v>
      </c>
      <c r="V99" s="201">
        <f t="shared" ca="1" si="31"/>
        <v>7889.2297717230858</v>
      </c>
      <c r="W99" s="202">
        <f t="shared" ca="1" si="32"/>
        <v>10421.884210717653</v>
      </c>
      <c r="X99" s="201">
        <f t="shared" ca="1" si="33"/>
        <v>2532.6544389945675</v>
      </c>
      <c r="Y99" s="201">
        <f t="shared" ca="1" si="34"/>
        <v>7889.2297717230858</v>
      </c>
      <c r="Z99" s="201">
        <f t="shared" ca="1" si="39"/>
        <v>10421.884210717653</v>
      </c>
      <c r="AA99" s="201">
        <f t="shared" ca="1" si="35"/>
        <v>2532.6544389945675</v>
      </c>
      <c r="AB99" s="201">
        <f t="shared" ca="1" si="36"/>
        <v>7889.2297717230858</v>
      </c>
      <c r="AC99" s="201">
        <f t="shared" ca="1" si="40"/>
        <v>10421.884210717653</v>
      </c>
    </row>
    <row r="100" spans="2:29" x14ac:dyDescent="0.3">
      <c r="B100" s="84">
        <f t="shared" si="37"/>
        <v>89</v>
      </c>
      <c r="C100" s="85">
        <f ca="1">IF($B100="","",'Fecha Pago'!K92)</f>
        <v>48855</v>
      </c>
      <c r="D100" s="86">
        <f>IF($B$12="","",'Fecha Pago'!L92)</f>
        <v>30.4</v>
      </c>
      <c r="E100" s="87">
        <f t="shared" si="24"/>
        <v>0.11</v>
      </c>
      <c r="F100" s="86">
        <f t="shared" ca="1" si="41"/>
        <v>846786.34012449556</v>
      </c>
      <c r="G100" s="86">
        <f t="shared" ca="1" si="23"/>
        <v>2556.1799846723379</v>
      </c>
      <c r="H100" s="86">
        <f t="shared" ca="1" si="25"/>
        <v>7865.7042260453136</v>
      </c>
      <c r="I100" s="86">
        <f>IF(B100="","",IF(Simulador!$F$9="Liquidez",'Tabla Fijos'!H100*0.16,IF(Simulador!$J$9="SI",H100*0.16,0)))</f>
        <v>0</v>
      </c>
      <c r="J100" s="86">
        <f t="shared" ca="1" si="26"/>
        <v>10421.884210717652</v>
      </c>
      <c r="K100" s="86">
        <f t="shared" ca="1" si="38"/>
        <v>0</v>
      </c>
      <c r="L100" s="86">
        <f ca="1">IF(B100="","",IF(F100=0,0,IF(Sheet1!$I$10=6,'Tabla Fijos'!$C$3*'Tabla Fijos'!$F$5,$F$5*$C$5)))</f>
        <v>0</v>
      </c>
      <c r="M100" s="86">
        <f t="shared" ca="1" si="27"/>
        <v>0</v>
      </c>
      <c r="N100" s="86">
        <f ca="1">IF(B100="","",IF(F100=0,0,IF(Simulador!$N$7='Tabla Parámetros'!$C$31,AportPat!L92,IF(Simulador!$N$7='Tabla Parámetros'!$C$34,AportPatFov!G90,0))))</f>
        <v>0</v>
      </c>
      <c r="O100" s="86">
        <f>Simulador!N155</f>
        <v>0</v>
      </c>
      <c r="P100" s="86"/>
      <c r="Q100" s="86">
        <v>0</v>
      </c>
      <c r="R100" s="86">
        <f t="shared" ca="1" si="28"/>
        <v>10421.884210717652</v>
      </c>
      <c r="S100" s="86">
        <f t="shared" ca="1" si="29"/>
        <v>844230.16013982322</v>
      </c>
      <c r="U100" s="201">
        <f t="shared" ca="1" si="30"/>
        <v>2556.1799846723397</v>
      </c>
      <c r="V100" s="201">
        <f t="shared" ca="1" si="31"/>
        <v>7865.7042260453136</v>
      </c>
      <c r="W100" s="202">
        <f t="shared" ca="1" si="32"/>
        <v>10421.884210717653</v>
      </c>
      <c r="X100" s="201">
        <f t="shared" ca="1" si="33"/>
        <v>2556.1799846723397</v>
      </c>
      <c r="Y100" s="201">
        <f t="shared" ca="1" si="34"/>
        <v>7865.7042260453136</v>
      </c>
      <c r="Z100" s="201">
        <f t="shared" ca="1" si="39"/>
        <v>10421.884210717653</v>
      </c>
      <c r="AA100" s="201">
        <f t="shared" ca="1" si="35"/>
        <v>2556.1799846723379</v>
      </c>
      <c r="AB100" s="201">
        <f t="shared" ca="1" si="36"/>
        <v>7865.7042260453136</v>
      </c>
      <c r="AC100" s="201">
        <f t="shared" ca="1" si="40"/>
        <v>10421.884210717652</v>
      </c>
    </row>
    <row r="101" spans="2:29" x14ac:dyDescent="0.3">
      <c r="B101" s="84">
        <f t="shared" si="37"/>
        <v>90</v>
      </c>
      <c r="C101" s="85">
        <f ca="1">IF($B101="","",'Fecha Pago'!K93)</f>
        <v>48886</v>
      </c>
      <c r="D101" s="86">
        <f>IF($B$12="","",'Fecha Pago'!L93)</f>
        <v>30.4</v>
      </c>
      <c r="E101" s="87">
        <f t="shared" si="24"/>
        <v>0.11</v>
      </c>
      <c r="F101" s="86">
        <f t="shared" ca="1" si="41"/>
        <v>844230.16013982322</v>
      </c>
      <c r="G101" s="86">
        <f t="shared" ca="1" si="23"/>
        <v>2579.9240565299606</v>
      </c>
      <c r="H101" s="86">
        <f t="shared" ca="1" si="25"/>
        <v>7841.9601541876909</v>
      </c>
      <c r="I101" s="86">
        <f>IF(B101="","",IF(Simulador!$F$9="Liquidez",'Tabla Fijos'!H101*0.16,IF(Simulador!$J$9="SI",H101*0.16,0)))</f>
        <v>0</v>
      </c>
      <c r="J101" s="86">
        <f t="shared" ca="1" si="26"/>
        <v>10421.884210717652</v>
      </c>
      <c r="K101" s="86">
        <f t="shared" ca="1" si="38"/>
        <v>0</v>
      </c>
      <c r="L101" s="86">
        <f ca="1">IF(B101="","",IF(F101=0,0,IF(Sheet1!$I$10=6,'Tabla Fijos'!$C$3*'Tabla Fijos'!$F$5,$F$5*$C$5)))</f>
        <v>0</v>
      </c>
      <c r="M101" s="86">
        <f t="shared" ca="1" si="27"/>
        <v>0</v>
      </c>
      <c r="N101" s="86">
        <f ca="1">IF(B101="","",IF(F101=0,0,IF(Simulador!$N$7='Tabla Parámetros'!$C$31,AportPat!L93,IF(Simulador!$N$7='Tabla Parámetros'!$C$34,AportPatFov!G91,0))))</f>
        <v>0</v>
      </c>
      <c r="O101" s="86">
        <f>Simulador!N156</f>
        <v>0</v>
      </c>
      <c r="P101" s="86"/>
      <c r="Q101" s="86">
        <v>0</v>
      </c>
      <c r="R101" s="86">
        <f t="shared" ca="1" si="28"/>
        <v>10421.884210717652</v>
      </c>
      <c r="S101" s="86">
        <f t="shared" ca="1" si="29"/>
        <v>841650.23608329322</v>
      </c>
      <c r="U101" s="201">
        <f t="shared" ca="1" si="30"/>
        <v>2579.9240565299629</v>
      </c>
      <c r="V101" s="201">
        <f t="shared" ca="1" si="31"/>
        <v>7841.9601541876909</v>
      </c>
      <c r="W101" s="202">
        <f t="shared" ca="1" si="32"/>
        <v>10421.884210717653</v>
      </c>
      <c r="X101" s="201">
        <f t="shared" ca="1" si="33"/>
        <v>2579.9240565299624</v>
      </c>
      <c r="Y101" s="201">
        <f t="shared" ca="1" si="34"/>
        <v>7841.9601541876909</v>
      </c>
      <c r="Z101" s="201">
        <f t="shared" ca="1" si="39"/>
        <v>10421.884210717653</v>
      </c>
      <c r="AA101" s="201">
        <f t="shared" ca="1" si="35"/>
        <v>2579.9240565299606</v>
      </c>
      <c r="AB101" s="201">
        <f t="shared" ca="1" si="36"/>
        <v>7841.9601541876909</v>
      </c>
      <c r="AC101" s="201">
        <f t="shared" ca="1" si="40"/>
        <v>10421.884210717652</v>
      </c>
    </row>
    <row r="102" spans="2:29" x14ac:dyDescent="0.3">
      <c r="B102" s="84">
        <f t="shared" si="37"/>
        <v>91</v>
      </c>
      <c r="C102" s="85">
        <f ca="1">IF($B102="","",'Fecha Pago'!K94)</f>
        <v>48916</v>
      </c>
      <c r="D102" s="86">
        <f>IF($B$12="","",'Fecha Pago'!L94)</f>
        <v>30.4</v>
      </c>
      <c r="E102" s="87">
        <f t="shared" si="24"/>
        <v>0.11</v>
      </c>
      <c r="F102" s="86">
        <f t="shared" ca="1" si="41"/>
        <v>841650.23608329322</v>
      </c>
      <c r="G102" s="86">
        <f t="shared" ca="1" si="23"/>
        <v>2603.8886844328399</v>
      </c>
      <c r="H102" s="86">
        <f t="shared" ca="1" si="25"/>
        <v>7817.9955262848116</v>
      </c>
      <c r="I102" s="86">
        <f>IF(B102="","",IF(Simulador!$F$9="Liquidez",'Tabla Fijos'!H102*0.16,IF(Simulador!$J$9="SI",H102*0.16,0)))</f>
        <v>0</v>
      </c>
      <c r="J102" s="86">
        <f t="shared" ca="1" si="26"/>
        <v>10421.884210717652</v>
      </c>
      <c r="K102" s="86">
        <f t="shared" ca="1" si="38"/>
        <v>0</v>
      </c>
      <c r="L102" s="86">
        <f ca="1">IF(B102="","",IF(F102=0,0,IF(Sheet1!$I$10=6,'Tabla Fijos'!$C$3*'Tabla Fijos'!$F$5,$F$5*$C$5)))</f>
        <v>0</v>
      </c>
      <c r="M102" s="86">
        <f t="shared" ca="1" si="27"/>
        <v>0</v>
      </c>
      <c r="N102" s="86">
        <f ca="1">IF(B102="","",IF(F102=0,0,IF(Simulador!$N$7='Tabla Parámetros'!$C$31,AportPat!L94,IF(Simulador!$N$7='Tabla Parámetros'!$C$34,AportPatFov!G92,0))))</f>
        <v>0</v>
      </c>
      <c r="O102" s="86">
        <f>Simulador!N157</f>
        <v>0</v>
      </c>
      <c r="P102" s="86"/>
      <c r="Q102" s="86">
        <v>0</v>
      </c>
      <c r="R102" s="86">
        <f t="shared" ca="1" si="28"/>
        <v>10421.884210717652</v>
      </c>
      <c r="S102" s="86">
        <f t="shared" ca="1" si="29"/>
        <v>839046.34739886038</v>
      </c>
      <c r="U102" s="201">
        <f t="shared" ca="1" si="30"/>
        <v>2603.8886844328413</v>
      </c>
      <c r="V102" s="201">
        <f t="shared" ca="1" si="31"/>
        <v>7817.9955262848116</v>
      </c>
      <c r="W102" s="202">
        <f t="shared" ca="1" si="32"/>
        <v>10421.884210717653</v>
      </c>
      <c r="X102" s="201">
        <f t="shared" ca="1" si="33"/>
        <v>2603.8886844328417</v>
      </c>
      <c r="Y102" s="201">
        <f t="shared" ca="1" si="34"/>
        <v>7817.9955262848116</v>
      </c>
      <c r="Z102" s="201">
        <f t="shared" ca="1" si="39"/>
        <v>10421.884210717653</v>
      </c>
      <c r="AA102" s="201">
        <f t="shared" ca="1" si="35"/>
        <v>2603.8886844328399</v>
      </c>
      <c r="AB102" s="201">
        <f t="shared" ca="1" si="36"/>
        <v>7817.9955262848116</v>
      </c>
      <c r="AC102" s="201">
        <f t="shared" ca="1" si="40"/>
        <v>10421.884210717652</v>
      </c>
    </row>
    <row r="103" spans="2:29" x14ac:dyDescent="0.3">
      <c r="B103" s="84">
        <f t="shared" si="37"/>
        <v>92</v>
      </c>
      <c r="C103" s="85">
        <f ca="1">IF($B103="","",'Fecha Pago'!K95)</f>
        <v>48947</v>
      </c>
      <c r="D103" s="86">
        <f>IF($B$12="","",'Fecha Pago'!L95)</f>
        <v>30.4</v>
      </c>
      <c r="E103" s="87">
        <f t="shared" si="24"/>
        <v>0.11</v>
      </c>
      <c r="F103" s="86">
        <f t="shared" ca="1" si="41"/>
        <v>839046.34739886038</v>
      </c>
      <c r="G103" s="86">
        <f t="shared" ca="1" si="23"/>
        <v>2628.0759171015716</v>
      </c>
      <c r="H103" s="86">
        <f t="shared" ca="1" si="25"/>
        <v>7793.8082936160799</v>
      </c>
      <c r="I103" s="86">
        <f>IF(B103="","",IF(Simulador!$F$9="Liquidez",'Tabla Fijos'!H103*0.16,IF(Simulador!$J$9="SI",H103*0.16,0)))</f>
        <v>0</v>
      </c>
      <c r="J103" s="86">
        <f t="shared" ca="1" si="26"/>
        <v>10421.884210717652</v>
      </c>
      <c r="K103" s="86">
        <f t="shared" ca="1" si="38"/>
        <v>0</v>
      </c>
      <c r="L103" s="86">
        <f ca="1">IF(B103="","",IF(F103=0,0,IF(Sheet1!$I$10=6,'Tabla Fijos'!$C$3*'Tabla Fijos'!$F$5,$F$5*$C$5)))</f>
        <v>0</v>
      </c>
      <c r="M103" s="86">
        <f t="shared" ca="1" si="27"/>
        <v>0</v>
      </c>
      <c r="N103" s="86">
        <f ca="1">IF(B103="","",IF(F103=0,0,IF(Simulador!$N$7='Tabla Parámetros'!$C$31,AportPat!L95,IF(Simulador!$N$7='Tabla Parámetros'!$C$34,AportPatFov!G93,0))))</f>
        <v>0</v>
      </c>
      <c r="O103" s="86">
        <f>Simulador!N158</f>
        <v>0</v>
      </c>
      <c r="P103" s="86"/>
      <c r="Q103" s="86">
        <v>0</v>
      </c>
      <c r="R103" s="86">
        <f t="shared" ca="1" si="28"/>
        <v>10421.884210717652</v>
      </c>
      <c r="S103" s="86">
        <f t="shared" ca="1" si="29"/>
        <v>836418.2714817588</v>
      </c>
      <c r="U103" s="201">
        <f t="shared" ca="1" si="30"/>
        <v>2628.0759171015729</v>
      </c>
      <c r="V103" s="201">
        <f t="shared" ca="1" si="31"/>
        <v>7793.8082936160799</v>
      </c>
      <c r="W103" s="202">
        <f t="shared" ca="1" si="32"/>
        <v>10421.884210717653</v>
      </c>
      <c r="X103" s="201">
        <f t="shared" ca="1" si="33"/>
        <v>2628.0759171015734</v>
      </c>
      <c r="Y103" s="201">
        <f t="shared" ca="1" si="34"/>
        <v>7793.8082936160799</v>
      </c>
      <c r="Z103" s="201">
        <f t="shared" ca="1" si="39"/>
        <v>10421.884210717653</v>
      </c>
      <c r="AA103" s="201">
        <f t="shared" ca="1" si="35"/>
        <v>2628.0759171015716</v>
      </c>
      <c r="AB103" s="201">
        <f t="shared" ca="1" si="36"/>
        <v>7793.8082936160799</v>
      </c>
      <c r="AC103" s="201">
        <f t="shared" ca="1" si="40"/>
        <v>10421.884210717652</v>
      </c>
    </row>
    <row r="104" spans="2:29" x14ac:dyDescent="0.3">
      <c r="B104" s="84">
        <f t="shared" si="37"/>
        <v>93</v>
      </c>
      <c r="C104" s="85">
        <f ca="1">IF($B104="","",'Fecha Pago'!K96)</f>
        <v>48978</v>
      </c>
      <c r="D104" s="86">
        <f>IF($B$12="","",'Fecha Pago'!L96)</f>
        <v>30.4</v>
      </c>
      <c r="E104" s="87">
        <f t="shared" si="24"/>
        <v>0.11</v>
      </c>
      <c r="F104" s="86">
        <f t="shared" ca="1" si="41"/>
        <v>836418.2714817588</v>
      </c>
      <c r="G104" s="86">
        <f t="shared" ca="1" si="23"/>
        <v>2652.4878222870948</v>
      </c>
      <c r="H104" s="86">
        <f t="shared" ca="1" si="25"/>
        <v>7769.3963884305585</v>
      </c>
      <c r="I104" s="86">
        <f>IF(B104="","",IF(Simulador!$F$9="Liquidez",'Tabla Fijos'!H104*0.16,IF(Simulador!$J$9="SI",H104*0.16,0)))</f>
        <v>0</v>
      </c>
      <c r="J104" s="86">
        <f t="shared" ca="1" si="26"/>
        <v>10421.884210717653</v>
      </c>
      <c r="K104" s="86">
        <f t="shared" ca="1" si="38"/>
        <v>0</v>
      </c>
      <c r="L104" s="86">
        <f ca="1">IF(B104="","",IF(F104=0,0,IF(Sheet1!$I$10=6,'Tabla Fijos'!$C$3*'Tabla Fijos'!$F$5,$F$5*$C$5)))</f>
        <v>0</v>
      </c>
      <c r="M104" s="86">
        <f t="shared" ca="1" si="27"/>
        <v>0</v>
      </c>
      <c r="N104" s="86">
        <f ca="1">IF(B104="","",IF(F104=0,0,IF(Simulador!$N$7='Tabla Parámetros'!$C$31,AportPat!L96,IF(Simulador!$N$7='Tabla Parámetros'!$C$34,AportPatFov!G94,0))))</f>
        <v>0</v>
      </c>
      <c r="O104" s="86">
        <f>Simulador!N159</f>
        <v>0</v>
      </c>
      <c r="P104" s="86"/>
      <c r="Q104" s="86">
        <v>0</v>
      </c>
      <c r="R104" s="86">
        <f t="shared" ca="1" si="28"/>
        <v>10421.884210717653</v>
      </c>
      <c r="S104" s="86">
        <f t="shared" ca="1" si="29"/>
        <v>833765.78365947166</v>
      </c>
      <c r="U104" s="201">
        <f t="shared" ca="1" si="30"/>
        <v>2652.4878222870948</v>
      </c>
      <c r="V104" s="201">
        <f t="shared" ca="1" si="31"/>
        <v>7769.3963884305585</v>
      </c>
      <c r="W104" s="202">
        <f t="shared" ca="1" si="32"/>
        <v>10421.884210717653</v>
      </c>
      <c r="X104" s="201">
        <f t="shared" ca="1" si="33"/>
        <v>2652.4878222870948</v>
      </c>
      <c r="Y104" s="201">
        <f t="shared" ca="1" si="34"/>
        <v>7769.3963884305585</v>
      </c>
      <c r="Z104" s="201">
        <f t="shared" ca="1" si="39"/>
        <v>10421.884210717653</v>
      </c>
      <c r="AA104" s="201">
        <f t="shared" ca="1" si="35"/>
        <v>2652.4878222870948</v>
      </c>
      <c r="AB104" s="201">
        <f t="shared" ca="1" si="36"/>
        <v>7769.3963884305585</v>
      </c>
      <c r="AC104" s="201">
        <f t="shared" ca="1" si="40"/>
        <v>10421.884210717653</v>
      </c>
    </row>
    <row r="105" spans="2:29" x14ac:dyDescent="0.3">
      <c r="B105" s="84">
        <f t="shared" si="37"/>
        <v>94</v>
      </c>
      <c r="C105" s="85">
        <f ca="1">IF($B105="","",'Fecha Pago'!K97)</f>
        <v>49006</v>
      </c>
      <c r="D105" s="86">
        <f>IF($B$12="","",'Fecha Pago'!L97)</f>
        <v>30.4</v>
      </c>
      <c r="E105" s="87">
        <f t="shared" si="24"/>
        <v>0.11</v>
      </c>
      <c r="F105" s="86">
        <f t="shared" ca="1" si="41"/>
        <v>833765.78365947166</v>
      </c>
      <c r="G105" s="86">
        <f t="shared" ca="1" si="23"/>
        <v>2677.1264869474489</v>
      </c>
      <c r="H105" s="86">
        <f t="shared" ca="1" si="25"/>
        <v>7744.7577237702026</v>
      </c>
      <c r="I105" s="86">
        <f>IF(B105="","",IF(Simulador!$F$9="Liquidez",'Tabla Fijos'!H105*0.16,IF(Simulador!$J$9="SI",H105*0.16,0)))</f>
        <v>0</v>
      </c>
      <c r="J105" s="86">
        <f t="shared" ca="1" si="26"/>
        <v>10421.884210717652</v>
      </c>
      <c r="K105" s="86">
        <f t="shared" ca="1" si="38"/>
        <v>0</v>
      </c>
      <c r="L105" s="86">
        <f ca="1">IF(B105="","",IF(F105=0,0,IF(Sheet1!$I$10=6,'Tabla Fijos'!$C$3*'Tabla Fijos'!$F$5,$F$5*$C$5)))</f>
        <v>0</v>
      </c>
      <c r="M105" s="86">
        <f t="shared" ca="1" si="27"/>
        <v>0</v>
      </c>
      <c r="N105" s="86">
        <f ca="1">IF(B105="","",IF(F105=0,0,IF(Simulador!$N$7='Tabla Parámetros'!$C$31,AportPat!L97,IF(Simulador!$N$7='Tabla Parámetros'!$C$34,AportPatFov!G95,0))))</f>
        <v>0</v>
      </c>
      <c r="O105" s="86">
        <f>Simulador!N160</f>
        <v>0</v>
      </c>
      <c r="P105" s="86"/>
      <c r="Q105" s="86">
        <v>0</v>
      </c>
      <c r="R105" s="86">
        <f t="shared" ca="1" si="28"/>
        <v>10421.884210717652</v>
      </c>
      <c r="S105" s="86">
        <f t="shared" ca="1" si="29"/>
        <v>831088.65717252425</v>
      </c>
      <c r="U105" s="201">
        <f t="shared" ca="1" si="30"/>
        <v>2677.1264869474503</v>
      </c>
      <c r="V105" s="201">
        <f t="shared" ca="1" si="31"/>
        <v>7744.7577237702026</v>
      </c>
      <c r="W105" s="202">
        <f t="shared" ca="1" si="32"/>
        <v>10421.884210717653</v>
      </c>
      <c r="X105" s="201">
        <f t="shared" ca="1" si="33"/>
        <v>2677.1264869474508</v>
      </c>
      <c r="Y105" s="201">
        <f t="shared" ca="1" si="34"/>
        <v>7744.7577237702026</v>
      </c>
      <c r="Z105" s="201">
        <f t="shared" ca="1" si="39"/>
        <v>10421.884210717653</v>
      </c>
      <c r="AA105" s="201">
        <f t="shared" ca="1" si="35"/>
        <v>2677.1264869474489</v>
      </c>
      <c r="AB105" s="201">
        <f t="shared" ca="1" si="36"/>
        <v>7744.7577237702026</v>
      </c>
      <c r="AC105" s="201">
        <f t="shared" ca="1" si="40"/>
        <v>10421.884210717652</v>
      </c>
    </row>
    <row r="106" spans="2:29" x14ac:dyDescent="0.3">
      <c r="B106" s="84">
        <f t="shared" si="37"/>
        <v>95</v>
      </c>
      <c r="C106" s="85">
        <f ca="1">IF($B106="","",'Fecha Pago'!K98)</f>
        <v>49037</v>
      </c>
      <c r="D106" s="86">
        <f>IF($B$12="","",'Fecha Pago'!L98)</f>
        <v>30.4</v>
      </c>
      <c r="E106" s="87">
        <f t="shared" si="24"/>
        <v>0.11</v>
      </c>
      <c r="F106" s="86">
        <f t="shared" ca="1" si="41"/>
        <v>831088.65717252425</v>
      </c>
      <c r="G106" s="86">
        <f t="shared" ca="1" si="23"/>
        <v>2701.9940174262065</v>
      </c>
      <c r="H106" s="86">
        <f t="shared" ca="1" si="25"/>
        <v>7719.8901932914468</v>
      </c>
      <c r="I106" s="86">
        <f>IF(B106="","",IF(Simulador!$F$9="Liquidez",'Tabla Fijos'!H106*0.16,IF(Simulador!$J$9="SI",H106*0.16,0)))</f>
        <v>0</v>
      </c>
      <c r="J106" s="86">
        <f t="shared" ca="1" si="26"/>
        <v>10421.884210717653</v>
      </c>
      <c r="K106" s="86">
        <f t="shared" ca="1" si="38"/>
        <v>0</v>
      </c>
      <c r="L106" s="86">
        <f ca="1">IF(B106="","",IF(F106=0,0,IF(Sheet1!$I$10=6,'Tabla Fijos'!$C$3*'Tabla Fijos'!$F$5,$F$5*$C$5)))</f>
        <v>0</v>
      </c>
      <c r="M106" s="86">
        <f t="shared" ca="1" si="27"/>
        <v>0</v>
      </c>
      <c r="N106" s="86">
        <f ca="1">IF(B106="","",IF(F106=0,0,IF(Simulador!$N$7='Tabla Parámetros'!$C$31,AportPat!L98,IF(Simulador!$N$7='Tabla Parámetros'!$C$34,AportPatFov!G96,0))))</f>
        <v>0</v>
      </c>
      <c r="O106" s="86">
        <f>Simulador!N161</f>
        <v>0</v>
      </c>
      <c r="P106" s="86"/>
      <c r="Q106" s="86">
        <v>0</v>
      </c>
      <c r="R106" s="86">
        <f t="shared" ca="1" si="28"/>
        <v>10421.884210717653</v>
      </c>
      <c r="S106" s="86">
        <f t="shared" ca="1" si="29"/>
        <v>828386.6631550981</v>
      </c>
      <c r="U106" s="201">
        <f t="shared" ca="1" si="30"/>
        <v>2701.9940174262065</v>
      </c>
      <c r="V106" s="201">
        <f t="shared" ca="1" si="31"/>
        <v>7719.8901932914468</v>
      </c>
      <c r="W106" s="202">
        <f t="shared" ca="1" si="32"/>
        <v>10421.884210717653</v>
      </c>
      <c r="X106" s="201">
        <f t="shared" ca="1" si="33"/>
        <v>2701.9940174262065</v>
      </c>
      <c r="Y106" s="201">
        <f t="shared" ca="1" si="34"/>
        <v>7719.8901932914468</v>
      </c>
      <c r="Z106" s="201">
        <f t="shared" ca="1" si="39"/>
        <v>10421.884210717653</v>
      </c>
      <c r="AA106" s="201">
        <f t="shared" ca="1" si="35"/>
        <v>2701.9940174262065</v>
      </c>
      <c r="AB106" s="201">
        <f t="shared" ca="1" si="36"/>
        <v>7719.8901932914468</v>
      </c>
      <c r="AC106" s="201">
        <f t="shared" ca="1" si="40"/>
        <v>10421.884210717653</v>
      </c>
    </row>
    <row r="107" spans="2:29" x14ac:dyDescent="0.3">
      <c r="B107" s="84">
        <f t="shared" si="37"/>
        <v>96</v>
      </c>
      <c r="C107" s="85">
        <f ca="1">IF($B107="","",'Fecha Pago'!K99)</f>
        <v>49067</v>
      </c>
      <c r="D107" s="86">
        <f>IF($B$12="","",'Fecha Pago'!L99)</f>
        <v>30.4</v>
      </c>
      <c r="E107" s="87">
        <f t="shared" si="24"/>
        <v>0.11</v>
      </c>
      <c r="F107" s="86">
        <f t="shared" ca="1" si="41"/>
        <v>828386.6631550981</v>
      </c>
      <c r="G107" s="86">
        <f t="shared" ca="1" si="23"/>
        <v>2727.0925396325201</v>
      </c>
      <c r="H107" s="86">
        <f t="shared" ca="1" si="25"/>
        <v>7694.7916710851332</v>
      </c>
      <c r="I107" s="86">
        <f>IF(B107="","",IF(Simulador!$F$9="Liquidez",'Tabla Fijos'!H107*0.16,IF(Simulador!$J$9="SI",H107*0.16,0)))</f>
        <v>0</v>
      </c>
      <c r="J107" s="86">
        <f t="shared" ca="1" si="26"/>
        <v>10421.884210717653</v>
      </c>
      <c r="K107" s="86">
        <f t="shared" ca="1" si="38"/>
        <v>0</v>
      </c>
      <c r="L107" s="86">
        <f ca="1">IF(B107="","",IF(F107=0,0,IF(Sheet1!$I$10=6,'Tabla Fijos'!$C$3*'Tabla Fijos'!$F$5,$F$5*$C$5)))</f>
        <v>0</v>
      </c>
      <c r="M107" s="86">
        <f t="shared" ca="1" si="27"/>
        <v>0</v>
      </c>
      <c r="N107" s="86">
        <f ca="1">IF(B107="","",IF(F107=0,0,IF(Simulador!$N$7='Tabla Parámetros'!$C$31,AportPat!L99,IF(Simulador!$N$7='Tabla Parámetros'!$C$34,AportPatFov!G97,0))))</f>
        <v>0</v>
      </c>
      <c r="O107" s="86">
        <f>Simulador!N162</f>
        <v>0</v>
      </c>
      <c r="P107" s="86"/>
      <c r="Q107" s="86">
        <v>0</v>
      </c>
      <c r="R107" s="86">
        <f t="shared" ca="1" si="28"/>
        <v>10421.884210717653</v>
      </c>
      <c r="S107" s="86">
        <f t="shared" ca="1" si="29"/>
        <v>825659.57061546552</v>
      </c>
      <c r="U107" s="201">
        <f t="shared" ca="1" si="30"/>
        <v>2727.0925396325215</v>
      </c>
      <c r="V107" s="201">
        <f t="shared" ca="1" si="31"/>
        <v>7694.7916710851332</v>
      </c>
      <c r="W107" s="202">
        <f t="shared" ca="1" si="32"/>
        <v>10421.884210717655</v>
      </c>
      <c r="X107" s="201">
        <f t="shared" ca="1" si="33"/>
        <v>2727.0925396325201</v>
      </c>
      <c r="Y107" s="201">
        <f t="shared" ca="1" si="34"/>
        <v>7694.7916710851332</v>
      </c>
      <c r="Z107" s="201">
        <f t="shared" ca="1" si="39"/>
        <v>10421.884210717653</v>
      </c>
      <c r="AA107" s="201">
        <f t="shared" ca="1" si="35"/>
        <v>2727.0925396325201</v>
      </c>
      <c r="AB107" s="201">
        <f t="shared" ca="1" si="36"/>
        <v>7694.7916710851332</v>
      </c>
      <c r="AC107" s="201">
        <f t="shared" ca="1" si="40"/>
        <v>10421.884210717653</v>
      </c>
    </row>
    <row r="108" spans="2:29" x14ac:dyDescent="0.3">
      <c r="B108" s="84">
        <f t="shared" si="37"/>
        <v>97</v>
      </c>
      <c r="C108" s="85">
        <f ca="1">IF($B108="","",'Fecha Pago'!K100)</f>
        <v>49098</v>
      </c>
      <c r="D108" s="86">
        <f>IF($B$12="","",'Fecha Pago'!L100)</f>
        <v>30.4</v>
      </c>
      <c r="E108" s="87">
        <f t="shared" si="24"/>
        <v>0.11</v>
      </c>
      <c r="F108" s="86">
        <f t="shared" ca="1" si="41"/>
        <v>825659.57061546552</v>
      </c>
      <c r="G108" s="86">
        <f t="shared" ca="1" si="23"/>
        <v>2752.4241992228835</v>
      </c>
      <c r="H108" s="86">
        <f t="shared" ca="1" si="25"/>
        <v>7669.460011494768</v>
      </c>
      <c r="I108" s="86">
        <f>IF(B108="","",IF(Simulador!$F$9="Liquidez",'Tabla Fijos'!H108*0.16,IF(Simulador!$J$9="SI",H108*0.16,0)))</f>
        <v>0</v>
      </c>
      <c r="J108" s="86">
        <f t="shared" ca="1" si="26"/>
        <v>10421.884210717652</v>
      </c>
      <c r="K108" s="86">
        <f t="shared" ca="1" si="38"/>
        <v>0</v>
      </c>
      <c r="L108" s="86">
        <f ca="1">IF(B108="","",IF(F108=0,0,IF(Sheet1!$I$10=6,'Tabla Fijos'!$C$3*'Tabla Fijos'!$F$5,$F$5*$C$5)))</f>
        <v>0</v>
      </c>
      <c r="M108" s="86">
        <f t="shared" ca="1" si="27"/>
        <v>0</v>
      </c>
      <c r="N108" s="86">
        <f ca="1">IF(B108="","",IF(F108=0,0,IF(Simulador!$N$7='Tabla Parámetros'!$C$31,AportPat!L100,IF(Simulador!$N$7='Tabla Parámetros'!$C$34,AportPatFov!G98,0))))</f>
        <v>0</v>
      </c>
      <c r="O108" s="86">
        <f>Simulador!N163</f>
        <v>0</v>
      </c>
      <c r="P108" s="86"/>
      <c r="Q108" s="86">
        <v>0</v>
      </c>
      <c r="R108" s="86">
        <f t="shared" ca="1" si="28"/>
        <v>10421.884210717652</v>
      </c>
      <c r="S108" s="86">
        <f t="shared" ca="1" si="29"/>
        <v>822907.14641624258</v>
      </c>
      <c r="U108" s="201">
        <f t="shared" ca="1" si="30"/>
        <v>2752.4241992228849</v>
      </c>
      <c r="V108" s="201">
        <f t="shared" ca="1" si="31"/>
        <v>7669.460011494768</v>
      </c>
      <c r="W108" s="202">
        <f t="shared" ca="1" si="32"/>
        <v>10421.884210717653</v>
      </c>
      <c r="X108" s="201">
        <f t="shared" ca="1" si="33"/>
        <v>2752.4241992228854</v>
      </c>
      <c r="Y108" s="201">
        <f t="shared" ca="1" si="34"/>
        <v>7669.460011494768</v>
      </c>
      <c r="Z108" s="201">
        <f t="shared" ca="1" si="39"/>
        <v>10421.884210717653</v>
      </c>
      <c r="AA108" s="201">
        <f t="shared" ca="1" si="35"/>
        <v>2752.4241992228835</v>
      </c>
      <c r="AB108" s="201">
        <f t="shared" ca="1" si="36"/>
        <v>7669.460011494768</v>
      </c>
      <c r="AC108" s="201">
        <f t="shared" ca="1" si="40"/>
        <v>10421.884210717652</v>
      </c>
    </row>
    <row r="109" spans="2:29" x14ac:dyDescent="0.3">
      <c r="B109" s="84">
        <f t="shared" si="37"/>
        <v>98</v>
      </c>
      <c r="C109" s="85">
        <f ca="1">IF($B109="","",'Fecha Pago'!K101)</f>
        <v>49128</v>
      </c>
      <c r="D109" s="86">
        <f>IF($B$12="","",'Fecha Pago'!L101)</f>
        <v>30.4</v>
      </c>
      <c r="E109" s="87">
        <f t="shared" si="24"/>
        <v>0.11</v>
      </c>
      <c r="F109" s="86">
        <f t="shared" ca="1" si="41"/>
        <v>822907.14641624258</v>
      </c>
      <c r="G109" s="86">
        <f t="shared" ca="1" si="23"/>
        <v>2777.9911617845546</v>
      </c>
      <c r="H109" s="86">
        <f t="shared" ca="1" si="25"/>
        <v>7643.8930489330969</v>
      </c>
      <c r="I109" s="86">
        <f>IF(B109="","",IF(Simulador!$F$9="Liquidez",'Tabla Fijos'!H109*0.16,IF(Simulador!$J$9="SI",H109*0.16,0)))</f>
        <v>0</v>
      </c>
      <c r="J109" s="86">
        <f t="shared" ca="1" si="26"/>
        <v>10421.884210717652</v>
      </c>
      <c r="K109" s="86">
        <f t="shared" ca="1" si="38"/>
        <v>0</v>
      </c>
      <c r="L109" s="86">
        <f ca="1">IF(B109="","",IF(F109=0,0,IF(Sheet1!$I$10=6,'Tabla Fijos'!$C$3*'Tabla Fijos'!$F$5,$F$5*$C$5)))</f>
        <v>0</v>
      </c>
      <c r="M109" s="86">
        <f t="shared" ca="1" si="27"/>
        <v>0</v>
      </c>
      <c r="N109" s="86">
        <f ca="1">IF(B109="","",IF(F109=0,0,IF(Simulador!$N$7='Tabla Parámetros'!$C$31,AportPat!L101,IF(Simulador!$N$7='Tabla Parámetros'!$C$34,AportPatFov!G99,0))))</f>
        <v>0</v>
      </c>
      <c r="O109" s="86">
        <f>Simulador!N164</f>
        <v>0</v>
      </c>
      <c r="P109" s="86"/>
      <c r="Q109" s="86">
        <v>0</v>
      </c>
      <c r="R109" s="86">
        <f t="shared" ca="1" si="28"/>
        <v>10421.884210717652</v>
      </c>
      <c r="S109" s="86">
        <f t="shared" ca="1" si="29"/>
        <v>820129.15525445808</v>
      </c>
      <c r="U109" s="201">
        <f t="shared" ca="1" si="30"/>
        <v>2777.9911617845555</v>
      </c>
      <c r="V109" s="201">
        <f t="shared" ca="1" si="31"/>
        <v>7643.8930489330969</v>
      </c>
      <c r="W109" s="202">
        <f t="shared" ca="1" si="32"/>
        <v>10421.884210717653</v>
      </c>
      <c r="X109" s="201">
        <f t="shared" ca="1" si="33"/>
        <v>2777.9911617845564</v>
      </c>
      <c r="Y109" s="201">
        <f t="shared" ca="1" si="34"/>
        <v>7643.8930489330969</v>
      </c>
      <c r="Z109" s="201">
        <f t="shared" ca="1" si="39"/>
        <v>10421.884210717653</v>
      </c>
      <c r="AA109" s="201">
        <f t="shared" ca="1" si="35"/>
        <v>2777.9911617845546</v>
      </c>
      <c r="AB109" s="201">
        <f t="shared" ca="1" si="36"/>
        <v>7643.8930489330969</v>
      </c>
      <c r="AC109" s="201">
        <f t="shared" ca="1" si="40"/>
        <v>10421.884210717652</v>
      </c>
    </row>
    <row r="110" spans="2:29" x14ac:dyDescent="0.3">
      <c r="B110" s="84">
        <f t="shared" si="37"/>
        <v>99</v>
      </c>
      <c r="C110" s="85">
        <f ca="1">IF($B110="","",'Fecha Pago'!K102)</f>
        <v>49159</v>
      </c>
      <c r="D110" s="86">
        <f>IF($B$12="","",'Fecha Pago'!L102)</f>
        <v>30.4</v>
      </c>
      <c r="E110" s="87">
        <f t="shared" si="24"/>
        <v>0.11</v>
      </c>
      <c r="F110" s="86">
        <f t="shared" ca="1" si="41"/>
        <v>820129.15525445808</v>
      </c>
      <c r="G110" s="86">
        <f t="shared" ca="1" si="23"/>
        <v>2803.7956130206858</v>
      </c>
      <c r="H110" s="86">
        <f t="shared" ca="1" si="25"/>
        <v>7618.0885976969657</v>
      </c>
      <c r="I110" s="86">
        <f>IF(B110="","",IF(Simulador!$F$9="Liquidez",'Tabla Fijos'!H110*0.16,IF(Simulador!$J$9="SI",H110*0.16,0)))</f>
        <v>0</v>
      </c>
      <c r="J110" s="86">
        <f t="shared" ca="1" si="26"/>
        <v>10421.884210717652</v>
      </c>
      <c r="K110" s="86">
        <f t="shared" ca="1" si="38"/>
        <v>0</v>
      </c>
      <c r="L110" s="86">
        <f ca="1">IF(B110="","",IF(F110=0,0,IF(Sheet1!$I$10=6,'Tabla Fijos'!$C$3*'Tabla Fijos'!$F$5,$F$5*$C$5)))</f>
        <v>0</v>
      </c>
      <c r="M110" s="86">
        <f t="shared" ca="1" si="27"/>
        <v>0</v>
      </c>
      <c r="N110" s="86">
        <f ca="1">IF(B110="","",IF(F110=0,0,IF(Simulador!$N$7='Tabla Parámetros'!$C$31,AportPat!L102,IF(Simulador!$N$7='Tabla Parámetros'!$C$34,AportPatFov!G100,0))))</f>
        <v>0</v>
      </c>
      <c r="O110" s="86">
        <f>Simulador!N165</f>
        <v>0</v>
      </c>
      <c r="P110" s="86"/>
      <c r="Q110" s="86">
        <v>0</v>
      </c>
      <c r="R110" s="86">
        <f t="shared" ca="1" si="28"/>
        <v>10421.884210717652</v>
      </c>
      <c r="S110" s="86">
        <f t="shared" ca="1" si="29"/>
        <v>817325.35964143742</v>
      </c>
      <c r="U110" s="201">
        <f t="shared" ca="1" si="30"/>
        <v>2803.7956130206876</v>
      </c>
      <c r="V110" s="201">
        <f t="shared" ca="1" si="31"/>
        <v>7618.0885976969657</v>
      </c>
      <c r="W110" s="202">
        <f t="shared" ca="1" si="32"/>
        <v>10421.884210717653</v>
      </c>
      <c r="X110" s="201">
        <f t="shared" ca="1" si="33"/>
        <v>2803.7956130206876</v>
      </c>
      <c r="Y110" s="201">
        <f t="shared" ca="1" si="34"/>
        <v>7618.0885976969657</v>
      </c>
      <c r="Z110" s="201">
        <f t="shared" ca="1" si="39"/>
        <v>10421.884210717653</v>
      </c>
      <c r="AA110" s="201">
        <f t="shared" ca="1" si="35"/>
        <v>2803.7956130206858</v>
      </c>
      <c r="AB110" s="201">
        <f t="shared" ca="1" si="36"/>
        <v>7618.0885976969657</v>
      </c>
      <c r="AC110" s="201">
        <f t="shared" ca="1" si="40"/>
        <v>10421.884210717652</v>
      </c>
    </row>
    <row r="111" spans="2:29" x14ac:dyDescent="0.3">
      <c r="B111" s="84">
        <f t="shared" si="37"/>
        <v>100</v>
      </c>
      <c r="C111" s="85">
        <f ca="1">IF($B111="","",'Fecha Pago'!K103)</f>
        <v>49190</v>
      </c>
      <c r="D111" s="86">
        <f>IF($B$12="","",'Fecha Pago'!L103)</f>
        <v>30.4</v>
      </c>
      <c r="E111" s="87">
        <f t="shared" si="24"/>
        <v>0.11</v>
      </c>
      <c r="F111" s="86">
        <f t="shared" ca="1" si="41"/>
        <v>817325.35964143742</v>
      </c>
      <c r="G111" s="86">
        <f t="shared" ca="1" si="23"/>
        <v>2829.8397589371907</v>
      </c>
      <c r="H111" s="86">
        <f t="shared" ca="1" si="25"/>
        <v>7592.0444517804626</v>
      </c>
      <c r="I111" s="86">
        <f>IF(B111="","",IF(Simulador!$F$9="Liquidez",'Tabla Fijos'!H111*0.16,IF(Simulador!$J$9="SI",H111*0.16,0)))</f>
        <v>0</v>
      </c>
      <c r="J111" s="86">
        <f t="shared" ca="1" si="26"/>
        <v>10421.884210717653</v>
      </c>
      <c r="K111" s="86">
        <f t="shared" ca="1" si="38"/>
        <v>0</v>
      </c>
      <c r="L111" s="86">
        <f ca="1">IF(B111="","",IF(F111=0,0,IF(Sheet1!$I$10=6,'Tabla Fijos'!$C$3*'Tabla Fijos'!$F$5,$F$5*$C$5)))</f>
        <v>0</v>
      </c>
      <c r="M111" s="86">
        <f t="shared" ca="1" si="27"/>
        <v>0</v>
      </c>
      <c r="N111" s="86">
        <f ca="1">IF(B111="","",IF(F111=0,0,IF(Simulador!$N$7='Tabla Parámetros'!$C$31,AportPat!L103,IF(Simulador!$N$7='Tabla Parámetros'!$C$34,AportPatFov!G101,0))))</f>
        <v>0</v>
      </c>
      <c r="O111" s="86">
        <f>Simulador!N166</f>
        <v>0</v>
      </c>
      <c r="P111" s="86"/>
      <c r="Q111" s="86">
        <v>0</v>
      </c>
      <c r="R111" s="86">
        <f t="shared" ca="1" si="28"/>
        <v>10421.884210717653</v>
      </c>
      <c r="S111" s="86">
        <f t="shared" ca="1" si="29"/>
        <v>814495.51988250017</v>
      </c>
      <c r="U111" s="201">
        <f t="shared" ca="1" si="30"/>
        <v>2829.8397589371907</v>
      </c>
      <c r="V111" s="201">
        <f t="shared" ca="1" si="31"/>
        <v>7592.0444517804626</v>
      </c>
      <c r="W111" s="202">
        <f t="shared" ca="1" si="32"/>
        <v>10421.884210717653</v>
      </c>
      <c r="X111" s="201">
        <f t="shared" ca="1" si="33"/>
        <v>2829.8397589371907</v>
      </c>
      <c r="Y111" s="201">
        <f t="shared" ca="1" si="34"/>
        <v>7592.0444517804626</v>
      </c>
      <c r="Z111" s="201">
        <f t="shared" ca="1" si="39"/>
        <v>10421.884210717653</v>
      </c>
      <c r="AA111" s="201">
        <f t="shared" ca="1" si="35"/>
        <v>2829.8397589371907</v>
      </c>
      <c r="AB111" s="201">
        <f t="shared" ca="1" si="36"/>
        <v>7592.0444517804626</v>
      </c>
      <c r="AC111" s="201">
        <f t="shared" ca="1" si="40"/>
        <v>10421.884210717653</v>
      </c>
    </row>
    <row r="112" spans="2:29" x14ac:dyDescent="0.3">
      <c r="B112" s="84">
        <f t="shared" si="37"/>
        <v>101</v>
      </c>
      <c r="C112" s="85">
        <f ca="1">IF($B112="","",'Fecha Pago'!K104)</f>
        <v>49220</v>
      </c>
      <c r="D112" s="86">
        <f>IF($B$12="","",'Fecha Pago'!L104)</f>
        <v>30.4</v>
      </c>
      <c r="E112" s="87">
        <f t="shared" si="24"/>
        <v>0.11</v>
      </c>
      <c r="F112" s="86">
        <f t="shared" ca="1" si="41"/>
        <v>814495.51988250017</v>
      </c>
      <c r="G112" s="86">
        <f t="shared" ca="1" si="23"/>
        <v>2856.1258260313152</v>
      </c>
      <c r="H112" s="86">
        <f t="shared" ca="1" si="25"/>
        <v>7565.7583846863345</v>
      </c>
      <c r="I112" s="86">
        <f>IF(B112="","",IF(Simulador!$F$9="Liquidez",'Tabla Fijos'!H112*0.16,IF(Simulador!$J$9="SI",H112*0.16,0)))</f>
        <v>0</v>
      </c>
      <c r="J112" s="86">
        <f t="shared" ca="1" si="26"/>
        <v>10421.88421071765</v>
      </c>
      <c r="K112" s="86">
        <f t="shared" ca="1" si="38"/>
        <v>0</v>
      </c>
      <c r="L112" s="86">
        <f ca="1">IF(B112="","",IF(F112=0,0,IF(Sheet1!$I$10=6,'Tabla Fijos'!$C$3*'Tabla Fijos'!$F$5,$F$5*$C$5)))</f>
        <v>0</v>
      </c>
      <c r="M112" s="86">
        <f t="shared" ca="1" si="27"/>
        <v>0</v>
      </c>
      <c r="N112" s="86">
        <f ca="1">IF(B112="","",IF(F112=0,0,IF(Simulador!$N$7='Tabla Parámetros'!$C$31,AportPat!L104,IF(Simulador!$N$7='Tabla Parámetros'!$C$34,AportPatFov!G102,0))))</f>
        <v>0</v>
      </c>
      <c r="O112" s="86">
        <f>Simulador!N167</f>
        <v>0</v>
      </c>
      <c r="P112" s="86"/>
      <c r="Q112" s="86">
        <v>0</v>
      </c>
      <c r="R112" s="86">
        <f t="shared" ca="1" si="28"/>
        <v>10421.88421071765</v>
      </c>
      <c r="S112" s="86">
        <f t="shared" ca="1" si="29"/>
        <v>811639.39405646885</v>
      </c>
      <c r="U112" s="201">
        <f t="shared" ca="1" si="30"/>
        <v>2856.125826031318</v>
      </c>
      <c r="V112" s="201">
        <f t="shared" ca="1" si="31"/>
        <v>7565.7583846863345</v>
      </c>
      <c r="W112" s="202">
        <f t="shared" ca="1" si="32"/>
        <v>10421.884210717653</v>
      </c>
      <c r="X112" s="201">
        <f t="shared" ca="1" si="33"/>
        <v>2856.1258260313189</v>
      </c>
      <c r="Y112" s="201">
        <f t="shared" ca="1" si="34"/>
        <v>7565.7583846863345</v>
      </c>
      <c r="Z112" s="201">
        <f t="shared" ca="1" si="39"/>
        <v>10421.884210717653</v>
      </c>
      <c r="AA112" s="201">
        <f t="shared" ca="1" si="35"/>
        <v>2856.1258260313152</v>
      </c>
      <c r="AB112" s="201">
        <f t="shared" ca="1" si="36"/>
        <v>7565.7583846863345</v>
      </c>
      <c r="AC112" s="201">
        <f t="shared" ca="1" si="40"/>
        <v>10421.88421071765</v>
      </c>
    </row>
    <row r="113" spans="2:29" x14ac:dyDescent="0.3">
      <c r="B113" s="84">
        <f t="shared" si="37"/>
        <v>102</v>
      </c>
      <c r="C113" s="85">
        <f ca="1">IF($B113="","",'Fecha Pago'!K105)</f>
        <v>49251</v>
      </c>
      <c r="D113" s="86">
        <f>IF($B$12="","",'Fecha Pago'!L105)</f>
        <v>30.4</v>
      </c>
      <c r="E113" s="87">
        <f t="shared" si="24"/>
        <v>0.11</v>
      </c>
      <c r="F113" s="86">
        <f t="shared" ca="1" si="41"/>
        <v>811639.39405646885</v>
      </c>
      <c r="G113" s="86">
        <f t="shared" ca="1" si="23"/>
        <v>2882.65606148201</v>
      </c>
      <c r="H113" s="86">
        <f t="shared" ca="1" si="25"/>
        <v>7539.2281492356433</v>
      </c>
      <c r="I113" s="86">
        <f>IF(B113="","",IF(Simulador!$F$9="Liquidez",'Tabla Fijos'!H113*0.16,IF(Simulador!$J$9="SI",H113*0.16,0)))</f>
        <v>0</v>
      </c>
      <c r="J113" s="86">
        <f t="shared" ca="1" si="26"/>
        <v>10421.884210717653</v>
      </c>
      <c r="K113" s="86">
        <f t="shared" ca="1" si="38"/>
        <v>0</v>
      </c>
      <c r="L113" s="86">
        <f ca="1">IF(B113="","",IF(F113=0,0,IF(Sheet1!$I$10=6,'Tabla Fijos'!$C$3*'Tabla Fijos'!$F$5,$F$5*$C$5)))</f>
        <v>0</v>
      </c>
      <c r="M113" s="86">
        <f t="shared" ca="1" si="27"/>
        <v>0</v>
      </c>
      <c r="N113" s="86">
        <f ca="1">IF(B113="","",IF(F113=0,0,IF(Simulador!$N$7='Tabla Parámetros'!$C$31,AportPat!L105,IF(Simulador!$N$7='Tabla Parámetros'!$C$34,AportPatFov!G103,0))))</f>
        <v>0</v>
      </c>
      <c r="O113" s="86">
        <f>Simulador!N168</f>
        <v>0</v>
      </c>
      <c r="P113" s="86"/>
      <c r="Q113" s="86">
        <v>0</v>
      </c>
      <c r="R113" s="86">
        <f t="shared" ca="1" si="28"/>
        <v>10421.884210717653</v>
      </c>
      <c r="S113" s="86">
        <f t="shared" ca="1" si="29"/>
        <v>808756.73799498682</v>
      </c>
      <c r="U113" s="201">
        <f t="shared" ca="1" si="30"/>
        <v>2882.6560614820096</v>
      </c>
      <c r="V113" s="201">
        <f t="shared" ca="1" si="31"/>
        <v>7539.2281492356433</v>
      </c>
      <c r="W113" s="202">
        <f t="shared" ca="1" si="32"/>
        <v>10421.884210717653</v>
      </c>
      <c r="X113" s="201">
        <f t="shared" ca="1" si="33"/>
        <v>2882.65606148201</v>
      </c>
      <c r="Y113" s="201">
        <f t="shared" ca="1" si="34"/>
        <v>7539.2281492356433</v>
      </c>
      <c r="Z113" s="201">
        <f t="shared" ca="1" si="39"/>
        <v>10421.884210717653</v>
      </c>
      <c r="AA113" s="201">
        <f t="shared" ca="1" si="35"/>
        <v>2882.65606148201</v>
      </c>
      <c r="AB113" s="201">
        <f t="shared" ca="1" si="36"/>
        <v>7539.2281492356433</v>
      </c>
      <c r="AC113" s="201">
        <f t="shared" ca="1" si="40"/>
        <v>10421.884210717653</v>
      </c>
    </row>
    <row r="114" spans="2:29" x14ac:dyDescent="0.3">
      <c r="B114" s="84">
        <f t="shared" si="37"/>
        <v>103</v>
      </c>
      <c r="C114" s="85">
        <f ca="1">IF($B114="","",'Fecha Pago'!K106)</f>
        <v>49281</v>
      </c>
      <c r="D114" s="86">
        <f>IF($B$12="","",'Fecha Pago'!L106)</f>
        <v>30.4</v>
      </c>
      <c r="E114" s="87">
        <f t="shared" si="24"/>
        <v>0.11</v>
      </c>
      <c r="F114" s="86">
        <f t="shared" ca="1" si="41"/>
        <v>808756.73799498682</v>
      </c>
      <c r="G114" s="86">
        <f t="shared" ca="1" si="23"/>
        <v>2909.4327333419969</v>
      </c>
      <c r="H114" s="86">
        <f t="shared" ca="1" si="25"/>
        <v>7512.4514773756546</v>
      </c>
      <c r="I114" s="86">
        <f>IF(B114="","",IF(Simulador!$F$9="Liquidez",'Tabla Fijos'!H114*0.16,IF(Simulador!$J$9="SI",H114*0.16,0)))</f>
        <v>0</v>
      </c>
      <c r="J114" s="86">
        <f t="shared" ca="1" si="26"/>
        <v>10421.884210717652</v>
      </c>
      <c r="K114" s="86">
        <f t="shared" ca="1" si="38"/>
        <v>0</v>
      </c>
      <c r="L114" s="86">
        <f ca="1">IF(B114="","",IF(F114=0,0,IF(Sheet1!$I$10=6,'Tabla Fijos'!$C$3*'Tabla Fijos'!$F$5,$F$5*$C$5)))</f>
        <v>0</v>
      </c>
      <c r="M114" s="86">
        <f t="shared" ca="1" si="27"/>
        <v>0</v>
      </c>
      <c r="N114" s="86">
        <f ca="1">IF(B114="","",IF(F114=0,0,IF(Simulador!$N$7='Tabla Parámetros'!$C$31,AportPat!L106,IF(Simulador!$N$7='Tabla Parámetros'!$C$34,AportPatFov!G104,0))))</f>
        <v>0</v>
      </c>
      <c r="O114" s="86">
        <f>Simulador!N169</f>
        <v>0</v>
      </c>
      <c r="P114" s="86"/>
      <c r="Q114" s="86">
        <v>0</v>
      </c>
      <c r="R114" s="86">
        <f t="shared" ca="1" si="28"/>
        <v>10421.884210717652</v>
      </c>
      <c r="S114" s="86">
        <f t="shared" ca="1" si="29"/>
        <v>805847.30526164477</v>
      </c>
      <c r="U114" s="201">
        <f t="shared" ca="1" si="30"/>
        <v>2909.4327333419978</v>
      </c>
      <c r="V114" s="201">
        <f t="shared" ca="1" si="31"/>
        <v>7512.4514773756546</v>
      </c>
      <c r="W114" s="202">
        <f t="shared" ca="1" si="32"/>
        <v>10421.884210717653</v>
      </c>
      <c r="X114" s="201">
        <f t="shared" ca="1" si="33"/>
        <v>2909.4327333419988</v>
      </c>
      <c r="Y114" s="201">
        <f t="shared" ca="1" si="34"/>
        <v>7512.4514773756546</v>
      </c>
      <c r="Z114" s="201">
        <f t="shared" ca="1" si="39"/>
        <v>10421.884210717653</v>
      </c>
      <c r="AA114" s="201">
        <f t="shared" ca="1" si="35"/>
        <v>2909.4327333419969</v>
      </c>
      <c r="AB114" s="201">
        <f t="shared" ca="1" si="36"/>
        <v>7512.4514773756546</v>
      </c>
      <c r="AC114" s="201">
        <f t="shared" ca="1" si="40"/>
        <v>10421.884210717652</v>
      </c>
    </row>
    <row r="115" spans="2:29" x14ac:dyDescent="0.3">
      <c r="B115" s="84">
        <f t="shared" si="37"/>
        <v>104</v>
      </c>
      <c r="C115" s="85">
        <f ca="1">IF($B115="","",'Fecha Pago'!K107)</f>
        <v>49312</v>
      </c>
      <c r="D115" s="86">
        <f>IF($B$12="","",'Fecha Pago'!L107)</f>
        <v>30.4</v>
      </c>
      <c r="E115" s="87">
        <f t="shared" si="24"/>
        <v>0.11</v>
      </c>
      <c r="F115" s="86">
        <f t="shared" ca="1" si="41"/>
        <v>805847.30526164477</v>
      </c>
      <c r="G115" s="86">
        <f t="shared" ca="1" si="23"/>
        <v>2936.4581307317076</v>
      </c>
      <c r="H115" s="86">
        <f t="shared" ca="1" si="25"/>
        <v>7485.4260799859439</v>
      </c>
      <c r="I115" s="86">
        <f>IF(B115="","",IF(Simulador!$F$9="Liquidez",'Tabla Fijos'!H115*0.16,IF(Simulador!$J$9="SI",H115*0.16,0)))</f>
        <v>0</v>
      </c>
      <c r="J115" s="86">
        <f t="shared" ca="1" si="26"/>
        <v>10421.884210717652</v>
      </c>
      <c r="K115" s="86">
        <f t="shared" ca="1" si="38"/>
        <v>0</v>
      </c>
      <c r="L115" s="86">
        <f ca="1">IF(B115="","",IF(F115=0,0,IF(Sheet1!$I$10=6,'Tabla Fijos'!$C$3*'Tabla Fijos'!$F$5,$F$5*$C$5)))</f>
        <v>0</v>
      </c>
      <c r="M115" s="86">
        <f t="shared" ca="1" si="27"/>
        <v>0</v>
      </c>
      <c r="N115" s="86">
        <f ca="1">IF(B115="","",IF(F115=0,0,IF(Simulador!$N$7='Tabla Parámetros'!$C$31,AportPat!L107,IF(Simulador!$N$7='Tabla Parámetros'!$C$34,AportPatFov!G105,0))))</f>
        <v>0</v>
      </c>
      <c r="O115" s="86">
        <f>Simulador!N170</f>
        <v>0</v>
      </c>
      <c r="P115" s="86"/>
      <c r="Q115" s="86">
        <v>0</v>
      </c>
      <c r="R115" s="86">
        <f t="shared" ca="1" si="28"/>
        <v>10421.884210717652</v>
      </c>
      <c r="S115" s="86">
        <f t="shared" ca="1" si="29"/>
        <v>802910.84713091305</v>
      </c>
      <c r="U115" s="201">
        <f t="shared" ca="1" si="30"/>
        <v>2936.4581307317085</v>
      </c>
      <c r="V115" s="201">
        <f t="shared" ca="1" si="31"/>
        <v>7485.4260799859439</v>
      </c>
      <c r="W115" s="202">
        <f t="shared" ca="1" si="32"/>
        <v>10421.884210717653</v>
      </c>
      <c r="X115" s="201">
        <f t="shared" ca="1" si="33"/>
        <v>2936.4581307317094</v>
      </c>
      <c r="Y115" s="201">
        <f t="shared" ca="1" si="34"/>
        <v>7485.4260799859439</v>
      </c>
      <c r="Z115" s="201">
        <f t="shared" ca="1" si="39"/>
        <v>10421.884210717653</v>
      </c>
      <c r="AA115" s="201">
        <f t="shared" ca="1" si="35"/>
        <v>2936.4581307317076</v>
      </c>
      <c r="AB115" s="201">
        <f t="shared" ca="1" si="36"/>
        <v>7485.4260799859439</v>
      </c>
      <c r="AC115" s="201">
        <f t="shared" ca="1" si="40"/>
        <v>10421.884210717652</v>
      </c>
    </row>
    <row r="116" spans="2:29" x14ac:dyDescent="0.3">
      <c r="B116" s="84">
        <f t="shared" si="37"/>
        <v>105</v>
      </c>
      <c r="C116" s="85">
        <f ca="1">IF($B116="","",'Fecha Pago'!K108)</f>
        <v>49343</v>
      </c>
      <c r="D116" s="86">
        <f>IF($B$12="","",'Fecha Pago'!L108)</f>
        <v>30.4</v>
      </c>
      <c r="E116" s="87">
        <f t="shared" si="24"/>
        <v>0.11</v>
      </c>
      <c r="F116" s="86">
        <f t="shared" ca="1" si="41"/>
        <v>802910.84713091305</v>
      </c>
      <c r="G116" s="86">
        <f t="shared" ca="1" si="23"/>
        <v>2963.7345640349486</v>
      </c>
      <c r="H116" s="86">
        <f t="shared" ca="1" si="25"/>
        <v>7458.149646682703</v>
      </c>
      <c r="I116" s="86">
        <f>IF(B116="","",IF(Simulador!$F$9="Liquidez",'Tabla Fijos'!H116*0.16,IF(Simulador!$J$9="SI",H116*0.16,0)))</f>
        <v>0</v>
      </c>
      <c r="J116" s="86">
        <f t="shared" ca="1" si="26"/>
        <v>10421.884210717652</v>
      </c>
      <c r="K116" s="86">
        <f t="shared" ca="1" si="38"/>
        <v>0</v>
      </c>
      <c r="L116" s="86">
        <f ca="1">IF(B116="","",IF(F116=0,0,IF(Sheet1!$I$10=6,'Tabla Fijos'!$C$3*'Tabla Fijos'!$F$5,$F$5*$C$5)))</f>
        <v>0</v>
      </c>
      <c r="M116" s="86">
        <f t="shared" ca="1" si="27"/>
        <v>0</v>
      </c>
      <c r="N116" s="86">
        <f ca="1">IF(B116="","",IF(F116=0,0,IF(Simulador!$N$7='Tabla Parámetros'!$C$31,AportPat!L108,IF(Simulador!$N$7='Tabla Parámetros'!$C$34,AportPatFov!G106,0))))</f>
        <v>0</v>
      </c>
      <c r="O116" s="86">
        <f>Simulador!N171</f>
        <v>0</v>
      </c>
      <c r="P116" s="86"/>
      <c r="Q116" s="86">
        <v>0</v>
      </c>
      <c r="R116" s="86">
        <f t="shared" ca="1" si="28"/>
        <v>10421.884210717652</v>
      </c>
      <c r="S116" s="86">
        <f t="shared" ca="1" si="29"/>
        <v>799947.11256687809</v>
      </c>
      <c r="U116" s="201">
        <f t="shared" ca="1" si="30"/>
        <v>2963.7345640349495</v>
      </c>
      <c r="V116" s="201">
        <f t="shared" ca="1" si="31"/>
        <v>7458.149646682703</v>
      </c>
      <c r="W116" s="202">
        <f t="shared" ca="1" si="32"/>
        <v>10421.884210717653</v>
      </c>
      <c r="X116" s="201">
        <f t="shared" ca="1" si="33"/>
        <v>2963.7345640349504</v>
      </c>
      <c r="Y116" s="201">
        <f t="shared" ca="1" si="34"/>
        <v>7458.149646682703</v>
      </c>
      <c r="Z116" s="201">
        <f t="shared" ca="1" si="39"/>
        <v>10421.884210717653</v>
      </c>
      <c r="AA116" s="201">
        <f t="shared" ca="1" si="35"/>
        <v>2963.7345640349486</v>
      </c>
      <c r="AB116" s="201">
        <f t="shared" ca="1" si="36"/>
        <v>7458.149646682703</v>
      </c>
      <c r="AC116" s="201">
        <f t="shared" ca="1" si="40"/>
        <v>10421.884210717652</v>
      </c>
    </row>
    <row r="117" spans="2:29" x14ac:dyDescent="0.3">
      <c r="B117" s="84">
        <f t="shared" si="37"/>
        <v>106</v>
      </c>
      <c r="C117" s="85">
        <f ca="1">IF($B117="","",'Fecha Pago'!K109)</f>
        <v>49371</v>
      </c>
      <c r="D117" s="86">
        <f>IF($B$12="","",'Fecha Pago'!L109)</f>
        <v>30.4</v>
      </c>
      <c r="E117" s="87">
        <f t="shared" si="24"/>
        <v>0.11</v>
      </c>
      <c r="F117" s="86">
        <f t="shared" ca="1" si="41"/>
        <v>799947.11256687809</v>
      </c>
      <c r="G117" s="86">
        <f t="shared" ca="1" si="23"/>
        <v>2991.2643650964274</v>
      </c>
      <c r="H117" s="86">
        <f t="shared" ca="1" si="25"/>
        <v>7430.6198456212223</v>
      </c>
      <c r="I117" s="86">
        <f>IF(B117="","",IF(Simulador!$F$9="Liquidez",'Tabla Fijos'!H117*0.16,IF(Simulador!$J$9="SI",H117*0.16,0)))</f>
        <v>0</v>
      </c>
      <c r="J117" s="86">
        <f t="shared" ca="1" si="26"/>
        <v>10421.88421071765</v>
      </c>
      <c r="K117" s="86">
        <f t="shared" ca="1" si="38"/>
        <v>0</v>
      </c>
      <c r="L117" s="86">
        <f ca="1">IF(B117="","",IF(F117=0,0,IF(Sheet1!$I$10=6,'Tabla Fijos'!$C$3*'Tabla Fijos'!$F$5,$F$5*$C$5)))</f>
        <v>0</v>
      </c>
      <c r="M117" s="86">
        <f t="shared" ca="1" si="27"/>
        <v>0</v>
      </c>
      <c r="N117" s="86">
        <f ca="1">IF(B117="","",IF(F117=0,0,IF(Simulador!$N$7='Tabla Parámetros'!$C$31,AportPat!L109,IF(Simulador!$N$7='Tabla Parámetros'!$C$34,AportPatFov!G107,0))))</f>
        <v>0</v>
      </c>
      <c r="O117" s="86">
        <f>Simulador!N172</f>
        <v>0</v>
      </c>
      <c r="P117" s="86"/>
      <c r="Q117" s="86">
        <v>0</v>
      </c>
      <c r="R117" s="86">
        <f t="shared" ca="1" si="28"/>
        <v>10421.88421071765</v>
      </c>
      <c r="S117" s="86">
        <f t="shared" ca="1" si="29"/>
        <v>796955.84820178163</v>
      </c>
      <c r="U117" s="201">
        <f t="shared" ca="1" si="30"/>
        <v>2991.2643650964296</v>
      </c>
      <c r="V117" s="201">
        <f t="shared" ca="1" si="31"/>
        <v>7430.6198456212223</v>
      </c>
      <c r="W117" s="202">
        <f t="shared" ca="1" si="32"/>
        <v>10421.884210717652</v>
      </c>
      <c r="X117" s="201">
        <f t="shared" ca="1" si="33"/>
        <v>2991.264365096431</v>
      </c>
      <c r="Y117" s="201">
        <f t="shared" ca="1" si="34"/>
        <v>7430.6198456212223</v>
      </c>
      <c r="Z117" s="201">
        <f t="shared" ca="1" si="39"/>
        <v>10421.884210717653</v>
      </c>
      <c r="AA117" s="201">
        <f t="shared" ca="1" si="35"/>
        <v>2991.2643650964274</v>
      </c>
      <c r="AB117" s="201">
        <f t="shared" ca="1" si="36"/>
        <v>7430.6198456212223</v>
      </c>
      <c r="AC117" s="201">
        <f t="shared" ca="1" si="40"/>
        <v>10421.88421071765</v>
      </c>
    </row>
    <row r="118" spans="2:29" x14ac:dyDescent="0.3">
      <c r="B118" s="84">
        <f t="shared" si="37"/>
        <v>107</v>
      </c>
      <c r="C118" s="85">
        <f ca="1">IF($B118="","",'Fecha Pago'!K110)</f>
        <v>49402</v>
      </c>
      <c r="D118" s="86">
        <f>IF($B$12="","",'Fecha Pago'!L110)</f>
        <v>30.4</v>
      </c>
      <c r="E118" s="87">
        <f t="shared" si="24"/>
        <v>0.11</v>
      </c>
      <c r="F118" s="86">
        <f t="shared" ca="1" si="41"/>
        <v>796955.84820178163</v>
      </c>
      <c r="G118" s="86">
        <f t="shared" ca="1" si="23"/>
        <v>3019.0498874211007</v>
      </c>
      <c r="H118" s="86">
        <f t="shared" ca="1" si="25"/>
        <v>7402.834323296549</v>
      </c>
      <c r="I118" s="86">
        <f>IF(B118="","",IF(Simulador!$F$9="Liquidez",'Tabla Fijos'!H118*0.16,IF(Simulador!$J$9="SI",H118*0.16,0)))</f>
        <v>0</v>
      </c>
      <c r="J118" s="86">
        <f t="shared" ca="1" si="26"/>
        <v>10421.88421071765</v>
      </c>
      <c r="K118" s="86">
        <f t="shared" ca="1" si="38"/>
        <v>0</v>
      </c>
      <c r="L118" s="86">
        <f ca="1">IF(B118="","",IF(F118=0,0,IF(Sheet1!$I$10=6,'Tabla Fijos'!$C$3*'Tabla Fijos'!$F$5,$F$5*$C$5)))</f>
        <v>0</v>
      </c>
      <c r="M118" s="86">
        <f t="shared" ca="1" si="27"/>
        <v>0</v>
      </c>
      <c r="N118" s="86">
        <f ca="1">IF(B118="","",IF(F118=0,0,IF(Simulador!$N$7='Tabla Parámetros'!$C$31,AportPat!L110,IF(Simulador!$N$7='Tabla Parámetros'!$C$34,AportPatFov!G108,0))))</f>
        <v>0</v>
      </c>
      <c r="O118" s="86">
        <f>Simulador!N173</f>
        <v>0</v>
      </c>
      <c r="P118" s="86"/>
      <c r="Q118" s="86">
        <v>0</v>
      </c>
      <c r="R118" s="86">
        <f t="shared" ca="1" si="28"/>
        <v>10421.88421071765</v>
      </c>
      <c r="S118" s="86">
        <f t="shared" ca="1" si="29"/>
        <v>793936.79831436055</v>
      </c>
      <c r="U118" s="201">
        <f t="shared" ca="1" si="30"/>
        <v>3019.049887421103</v>
      </c>
      <c r="V118" s="201">
        <f t="shared" ca="1" si="31"/>
        <v>7402.834323296549</v>
      </c>
      <c r="W118" s="202">
        <f t="shared" ca="1" si="32"/>
        <v>10421.884210717652</v>
      </c>
      <c r="X118" s="201">
        <f t="shared" ca="1" si="33"/>
        <v>3019.0498874211044</v>
      </c>
      <c r="Y118" s="201">
        <f t="shared" ca="1" si="34"/>
        <v>7402.834323296549</v>
      </c>
      <c r="Z118" s="201">
        <f t="shared" ca="1" si="39"/>
        <v>10421.884210717653</v>
      </c>
      <c r="AA118" s="201">
        <f t="shared" ca="1" si="35"/>
        <v>3019.0498874211007</v>
      </c>
      <c r="AB118" s="201">
        <f t="shared" ca="1" si="36"/>
        <v>7402.834323296549</v>
      </c>
      <c r="AC118" s="201">
        <f t="shared" ca="1" si="40"/>
        <v>10421.88421071765</v>
      </c>
    </row>
    <row r="119" spans="2:29" x14ac:dyDescent="0.3">
      <c r="B119" s="84">
        <f t="shared" si="37"/>
        <v>108</v>
      </c>
      <c r="C119" s="85">
        <f ca="1">IF($B119="","",'Fecha Pago'!K111)</f>
        <v>49432</v>
      </c>
      <c r="D119" s="86">
        <f>IF($B$12="","",'Fecha Pago'!L111)</f>
        <v>30.4</v>
      </c>
      <c r="E119" s="87">
        <f t="shared" si="24"/>
        <v>0.11</v>
      </c>
      <c r="F119" s="86">
        <f t="shared" ca="1" si="41"/>
        <v>793936.79831436055</v>
      </c>
      <c r="G119" s="86">
        <f t="shared" ca="1" si="23"/>
        <v>3047.0935063753677</v>
      </c>
      <c r="H119" s="86">
        <f t="shared" ca="1" si="25"/>
        <v>7374.790704342282</v>
      </c>
      <c r="I119" s="86">
        <f>IF(B119="","",IF(Simulador!$F$9="Liquidez",'Tabla Fijos'!H119*0.16,IF(Simulador!$J$9="SI",H119*0.16,0)))</f>
        <v>0</v>
      </c>
      <c r="J119" s="86">
        <f t="shared" ca="1" si="26"/>
        <v>10421.88421071765</v>
      </c>
      <c r="K119" s="86">
        <f t="shared" ca="1" si="38"/>
        <v>0</v>
      </c>
      <c r="L119" s="86">
        <f ca="1">IF(B119="","",IF(F119=0,0,IF(Sheet1!$I$10=6,'Tabla Fijos'!$C$3*'Tabla Fijos'!$F$5,$F$5*$C$5)))</f>
        <v>0</v>
      </c>
      <c r="M119" s="86">
        <f t="shared" ca="1" si="27"/>
        <v>0</v>
      </c>
      <c r="N119" s="86">
        <f ca="1">IF(B119="","",IF(F119=0,0,IF(Simulador!$N$7='Tabla Parámetros'!$C$31,AportPat!L111,IF(Simulador!$N$7='Tabla Parámetros'!$C$34,AportPatFov!G109,0))))</f>
        <v>0</v>
      </c>
      <c r="O119" s="86">
        <f>Simulador!N174</f>
        <v>0</v>
      </c>
      <c r="P119" s="86"/>
      <c r="Q119" s="86">
        <v>0</v>
      </c>
      <c r="R119" s="86">
        <f t="shared" ca="1" si="28"/>
        <v>10421.88421071765</v>
      </c>
      <c r="S119" s="86">
        <f t="shared" ca="1" si="29"/>
        <v>790889.70480798522</v>
      </c>
      <c r="U119" s="201">
        <f t="shared" ca="1" si="30"/>
        <v>3047.0935063753695</v>
      </c>
      <c r="V119" s="201">
        <f t="shared" ca="1" si="31"/>
        <v>7374.790704342282</v>
      </c>
      <c r="W119" s="202">
        <f t="shared" ca="1" si="32"/>
        <v>10421.884210717652</v>
      </c>
      <c r="X119" s="201">
        <f t="shared" ca="1" si="33"/>
        <v>3047.0935063753714</v>
      </c>
      <c r="Y119" s="201">
        <f t="shared" ca="1" si="34"/>
        <v>7374.790704342282</v>
      </c>
      <c r="Z119" s="201">
        <f t="shared" ca="1" si="39"/>
        <v>10421.884210717653</v>
      </c>
      <c r="AA119" s="201">
        <f t="shared" ca="1" si="35"/>
        <v>3047.0935063753677</v>
      </c>
      <c r="AB119" s="201">
        <f t="shared" ca="1" si="36"/>
        <v>7374.790704342282</v>
      </c>
      <c r="AC119" s="201">
        <f t="shared" ca="1" si="40"/>
        <v>10421.88421071765</v>
      </c>
    </row>
    <row r="120" spans="2:29" x14ac:dyDescent="0.3">
      <c r="B120" s="580">
        <f t="shared" si="37"/>
        <v>109</v>
      </c>
      <c r="C120" s="581">
        <f ca="1">IF($B120="","",'Fecha Pago'!K112)</f>
        <v>49463</v>
      </c>
      <c r="D120" s="582">
        <f>IF($B$12="","",'Fecha Pago'!L112)</f>
        <v>30.4</v>
      </c>
      <c r="E120" s="583">
        <f t="shared" si="24"/>
        <v>0.11</v>
      </c>
      <c r="F120" s="582">
        <f t="shared" ca="1" si="41"/>
        <v>790889.70480798522</v>
      </c>
      <c r="G120" s="582">
        <f t="shared" ca="1" si="23"/>
        <v>3075.3976193901462</v>
      </c>
      <c r="H120" s="582">
        <f t="shared" ca="1" si="25"/>
        <v>7346.4865913275071</v>
      </c>
      <c r="I120" s="582">
        <f>IF(B120="","",IF(Simulador!$F$9="Liquidez",'Tabla Fijos'!H120*0.16,IF(Simulador!$J$9="SI",H120*0.16,0)))</f>
        <v>0</v>
      </c>
      <c r="J120" s="582">
        <f t="shared" ca="1" si="26"/>
        <v>10421.884210717653</v>
      </c>
      <c r="K120" s="582">
        <f t="shared" ca="1" si="38"/>
        <v>0</v>
      </c>
      <c r="L120" s="582">
        <f ca="1">IF(B120="","",IF(F120=0,0,IF(Sheet1!$I$10=6,'Tabla Fijos'!$C$3*'Tabla Fijos'!$F$5,$F$5*$C$5)))</f>
        <v>0</v>
      </c>
      <c r="M120" s="582">
        <f t="shared" ca="1" si="27"/>
        <v>0</v>
      </c>
      <c r="N120" s="582">
        <f ca="1">IF(B120="","",IF(F120=0,0,IF(Simulador!$N$7='Tabla Parámetros'!$C$31,AportPat!L112,IF(Simulador!$N$7='Tabla Parámetros'!$C$34,AportPatFov!G110,0))))</f>
        <v>0</v>
      </c>
      <c r="O120" s="582">
        <f>Simulador!N175</f>
        <v>0</v>
      </c>
      <c r="P120" s="582">
        <f>IF(B120="","",IF(Sheet1!$Z$1=3,'Tabla Fijos'!$P$9,0))</f>
        <v>0</v>
      </c>
      <c r="Q120" s="582">
        <v>0</v>
      </c>
      <c r="R120" s="582">
        <f t="shared" ca="1" si="28"/>
        <v>10421.884210717653</v>
      </c>
      <c r="S120" s="582">
        <f t="shared" ca="1" si="29"/>
        <v>787814.30718859506</v>
      </c>
      <c r="U120" s="201">
        <f t="shared" ca="1" si="30"/>
        <v>3075.3976193901462</v>
      </c>
      <c r="V120" s="201">
        <f t="shared" ca="1" si="31"/>
        <v>7346.4865913275071</v>
      </c>
      <c r="W120" s="202">
        <f t="shared" ca="1" si="32"/>
        <v>10421.884210717653</v>
      </c>
      <c r="X120" s="201">
        <f t="shared" ca="1" si="33"/>
        <v>3075.3976193901462</v>
      </c>
      <c r="Y120" s="201">
        <f t="shared" ca="1" si="34"/>
        <v>7346.4865913275071</v>
      </c>
      <c r="Z120" s="201">
        <f t="shared" ca="1" si="39"/>
        <v>10421.884210717653</v>
      </c>
      <c r="AA120" s="201">
        <f t="shared" ca="1" si="35"/>
        <v>3075.3976193901462</v>
      </c>
      <c r="AB120" s="201">
        <f t="shared" ca="1" si="36"/>
        <v>7346.4865913275071</v>
      </c>
      <c r="AC120" s="201">
        <f t="shared" ca="1" si="40"/>
        <v>10421.884210717653</v>
      </c>
    </row>
    <row r="121" spans="2:29" x14ac:dyDescent="0.3">
      <c r="B121" s="84">
        <f t="shared" si="37"/>
        <v>110</v>
      </c>
      <c r="C121" s="85">
        <f ca="1">IF($B121="","",'Fecha Pago'!K113)</f>
        <v>49493</v>
      </c>
      <c r="D121" s="86">
        <f>IF($B$12="","",'Fecha Pago'!L113)</f>
        <v>30.4</v>
      </c>
      <c r="E121" s="87">
        <f t="shared" si="24"/>
        <v>0.11</v>
      </c>
      <c r="F121" s="86">
        <f t="shared" ca="1" si="41"/>
        <v>787814.30718859506</v>
      </c>
      <c r="G121" s="86">
        <f t="shared" ca="1" si="23"/>
        <v>3103.9646461658131</v>
      </c>
      <c r="H121" s="86">
        <f t="shared" ca="1" si="25"/>
        <v>7317.9195645518384</v>
      </c>
      <c r="I121" s="86">
        <f>IF(B121="","",IF(Simulador!$F$9="Liquidez",'Tabla Fijos'!H121*0.16,IF(Simulador!$J$9="SI",H121*0.16,0)))</f>
        <v>0</v>
      </c>
      <c r="J121" s="86">
        <f t="shared" ca="1" si="26"/>
        <v>10421.884210717652</v>
      </c>
      <c r="K121" s="86">
        <f t="shared" ca="1" si="38"/>
        <v>0</v>
      </c>
      <c r="L121" s="86">
        <f ca="1">IF(B121="","",IF(F121=0,0,IF(Sheet1!$I$10=6,'Tabla Fijos'!$C$3*'Tabla Fijos'!$F$5,$F$5*$C$5)))</f>
        <v>0</v>
      </c>
      <c r="M121" s="86">
        <f t="shared" ca="1" si="27"/>
        <v>0</v>
      </c>
      <c r="N121" s="86">
        <f ca="1">IF(B121="","",IF(F121=0,0,IF(Simulador!$N$7='Tabla Parámetros'!$C$31,AportPat!L113,IF(Simulador!$N$7='Tabla Parámetros'!$C$34,AportPatFov!G111,0))))</f>
        <v>0</v>
      </c>
      <c r="O121" s="86">
        <f>Simulador!N176</f>
        <v>0</v>
      </c>
      <c r="P121" s="86"/>
      <c r="Q121" s="86">
        <v>0</v>
      </c>
      <c r="R121" s="86">
        <f t="shared" ca="1" si="28"/>
        <v>10421.884210717652</v>
      </c>
      <c r="S121" s="86">
        <f t="shared" ca="1" si="29"/>
        <v>784710.34254242922</v>
      </c>
      <c r="U121" s="201">
        <f t="shared" ca="1" si="30"/>
        <v>3103.9646461658144</v>
      </c>
      <c r="V121" s="201">
        <f t="shared" ca="1" si="31"/>
        <v>7317.9195645518384</v>
      </c>
      <c r="W121" s="202">
        <f t="shared" ca="1" si="32"/>
        <v>10421.884210717653</v>
      </c>
      <c r="X121" s="201">
        <f t="shared" ca="1" si="33"/>
        <v>3103.9646461658149</v>
      </c>
      <c r="Y121" s="201">
        <f t="shared" ca="1" si="34"/>
        <v>7317.9195645518384</v>
      </c>
      <c r="Z121" s="201">
        <f t="shared" ca="1" si="39"/>
        <v>10421.884210717653</v>
      </c>
      <c r="AA121" s="201">
        <f t="shared" ca="1" si="35"/>
        <v>3103.9646461658131</v>
      </c>
      <c r="AB121" s="201">
        <f t="shared" ca="1" si="36"/>
        <v>7317.9195645518384</v>
      </c>
      <c r="AC121" s="201">
        <f t="shared" ca="1" si="40"/>
        <v>10421.884210717652</v>
      </c>
    </row>
    <row r="122" spans="2:29" x14ac:dyDescent="0.3">
      <c r="B122" s="84">
        <f t="shared" si="37"/>
        <v>111</v>
      </c>
      <c r="C122" s="85">
        <f ca="1">IF($B122="","",'Fecha Pago'!K114)</f>
        <v>49524</v>
      </c>
      <c r="D122" s="86">
        <f>IF($B$12="","",'Fecha Pago'!L114)</f>
        <v>30.4</v>
      </c>
      <c r="E122" s="87">
        <f t="shared" si="24"/>
        <v>0.11</v>
      </c>
      <c r="F122" s="86">
        <f t="shared" ca="1" si="41"/>
        <v>784710.34254242922</v>
      </c>
      <c r="G122" s="86">
        <f t="shared" ca="1" si="23"/>
        <v>3132.7970288790875</v>
      </c>
      <c r="H122" s="86">
        <f t="shared" ca="1" si="25"/>
        <v>7289.087181838564</v>
      </c>
      <c r="I122" s="86">
        <f>IF(B122="","",IF(Simulador!$F$9="Liquidez",'Tabla Fijos'!H122*0.16,IF(Simulador!$J$9="SI",H122*0.16,0)))</f>
        <v>0</v>
      </c>
      <c r="J122" s="86">
        <f t="shared" ca="1" si="26"/>
        <v>10421.884210717652</v>
      </c>
      <c r="K122" s="86">
        <f t="shared" ca="1" si="38"/>
        <v>0</v>
      </c>
      <c r="L122" s="86">
        <f ca="1">IF(B122="","",IF(F122=0,0,IF(Sheet1!$I$10=6,'Tabla Fijos'!$C$3*'Tabla Fijos'!$F$5,$F$5*$C$5)))</f>
        <v>0</v>
      </c>
      <c r="M122" s="86">
        <f t="shared" ca="1" si="27"/>
        <v>0</v>
      </c>
      <c r="N122" s="86">
        <f ca="1">IF(B122="","",IF(F122=0,0,IF(Simulador!$N$7='Tabla Parámetros'!$C$31,AportPat!L114,IF(Simulador!$N$7='Tabla Parámetros'!$C$34,AportPatFov!G112,0))))</f>
        <v>0</v>
      </c>
      <c r="O122" s="86">
        <f>Simulador!N177</f>
        <v>0</v>
      </c>
      <c r="P122" s="86"/>
      <c r="Q122" s="86">
        <v>0</v>
      </c>
      <c r="R122" s="86">
        <f t="shared" ca="1" si="28"/>
        <v>10421.884210717652</v>
      </c>
      <c r="S122" s="86">
        <f t="shared" ca="1" si="29"/>
        <v>781577.54551355017</v>
      </c>
      <c r="U122" s="201">
        <f t="shared" ca="1" si="30"/>
        <v>3132.797028879088</v>
      </c>
      <c r="V122" s="201">
        <f t="shared" ca="1" si="31"/>
        <v>7289.087181838564</v>
      </c>
      <c r="W122" s="202">
        <f t="shared" ca="1" si="32"/>
        <v>10421.884210717652</v>
      </c>
      <c r="X122" s="201">
        <f t="shared" ca="1" si="33"/>
        <v>3132.7970288790893</v>
      </c>
      <c r="Y122" s="201">
        <f t="shared" ca="1" si="34"/>
        <v>7289.087181838564</v>
      </c>
      <c r="Z122" s="201">
        <f t="shared" ca="1" si="39"/>
        <v>10421.884210717653</v>
      </c>
      <c r="AA122" s="201">
        <f t="shared" ca="1" si="35"/>
        <v>3132.7970288790875</v>
      </c>
      <c r="AB122" s="201">
        <f t="shared" ca="1" si="36"/>
        <v>7289.087181838564</v>
      </c>
      <c r="AC122" s="201">
        <f t="shared" ca="1" si="40"/>
        <v>10421.884210717652</v>
      </c>
    </row>
    <row r="123" spans="2:29" x14ac:dyDescent="0.3">
      <c r="B123" s="84">
        <f t="shared" si="37"/>
        <v>112</v>
      </c>
      <c r="C123" s="85">
        <f ca="1">IF($B123="","",'Fecha Pago'!K115)</f>
        <v>49555</v>
      </c>
      <c r="D123" s="86">
        <f>IF($B$12="","",'Fecha Pago'!L115)</f>
        <v>30.4</v>
      </c>
      <c r="E123" s="87">
        <f t="shared" si="24"/>
        <v>0.11</v>
      </c>
      <c r="F123" s="86">
        <f t="shared" ca="1" si="41"/>
        <v>781577.54551355017</v>
      </c>
      <c r="G123" s="86">
        <f t="shared" ca="1" si="23"/>
        <v>3161.897232391786</v>
      </c>
      <c r="H123" s="86">
        <f t="shared" ca="1" si="25"/>
        <v>7259.9869783258655</v>
      </c>
      <c r="I123" s="86">
        <f>IF(B123="","",IF(Simulador!$F$9="Liquidez",'Tabla Fijos'!H123*0.16,IF(Simulador!$J$9="SI",H123*0.16,0)))</f>
        <v>0</v>
      </c>
      <c r="J123" s="86">
        <f t="shared" ca="1" si="26"/>
        <v>10421.884210717652</v>
      </c>
      <c r="K123" s="86">
        <f t="shared" ca="1" si="38"/>
        <v>0</v>
      </c>
      <c r="L123" s="86">
        <f ca="1">IF(B123="","",IF(F123=0,0,IF(Sheet1!$I$10=6,'Tabla Fijos'!$C$3*'Tabla Fijos'!$F$5,$F$5*$C$5)))</f>
        <v>0</v>
      </c>
      <c r="M123" s="86">
        <f t="shared" ca="1" si="27"/>
        <v>0</v>
      </c>
      <c r="N123" s="86">
        <f ca="1">IF(B123="","",IF(F123=0,0,IF(Simulador!$N$7='Tabla Parámetros'!$C$31,AportPat!L115,IF(Simulador!$N$7='Tabla Parámetros'!$C$34,AportPatFov!G113,0))))</f>
        <v>0</v>
      </c>
      <c r="O123" s="86">
        <f>Simulador!N178</f>
        <v>0</v>
      </c>
      <c r="P123" s="86"/>
      <c r="Q123" s="86">
        <v>0</v>
      </c>
      <c r="R123" s="86">
        <f t="shared" ca="1" si="28"/>
        <v>10421.884210717652</v>
      </c>
      <c r="S123" s="86">
        <f t="shared" ca="1" si="29"/>
        <v>778415.64828115841</v>
      </c>
      <c r="U123" s="201">
        <f t="shared" ca="1" si="30"/>
        <v>3161.8972323917869</v>
      </c>
      <c r="V123" s="201">
        <f t="shared" ca="1" si="31"/>
        <v>7259.9869783258655</v>
      </c>
      <c r="W123" s="202">
        <f t="shared" ca="1" si="32"/>
        <v>10421.884210717653</v>
      </c>
      <c r="X123" s="201">
        <f t="shared" ca="1" si="33"/>
        <v>3161.8972323917878</v>
      </c>
      <c r="Y123" s="201">
        <f t="shared" ca="1" si="34"/>
        <v>7259.9869783258655</v>
      </c>
      <c r="Z123" s="201">
        <f t="shared" ca="1" si="39"/>
        <v>10421.884210717653</v>
      </c>
      <c r="AA123" s="201">
        <f t="shared" ca="1" si="35"/>
        <v>3161.897232391786</v>
      </c>
      <c r="AB123" s="201">
        <f t="shared" ca="1" si="36"/>
        <v>7259.9869783258655</v>
      </c>
      <c r="AC123" s="201">
        <f t="shared" ca="1" si="40"/>
        <v>10421.884210717652</v>
      </c>
    </row>
    <row r="124" spans="2:29" x14ac:dyDescent="0.3">
      <c r="B124" s="84">
        <f t="shared" si="37"/>
        <v>113</v>
      </c>
      <c r="C124" s="85">
        <f ca="1">IF($B124="","",'Fecha Pago'!K116)</f>
        <v>49585</v>
      </c>
      <c r="D124" s="86">
        <f>IF($B$12="","",'Fecha Pago'!L116)</f>
        <v>30.4</v>
      </c>
      <c r="E124" s="87">
        <f t="shared" si="24"/>
        <v>0.11</v>
      </c>
      <c r="F124" s="86">
        <f t="shared" ca="1" si="41"/>
        <v>778415.64828115841</v>
      </c>
      <c r="G124" s="86">
        <f t="shared" ca="1" si="23"/>
        <v>3191.2677444615583</v>
      </c>
      <c r="H124" s="86">
        <f t="shared" ca="1" si="25"/>
        <v>7230.6164662560932</v>
      </c>
      <c r="I124" s="86">
        <f>IF(B124="","",IF(Simulador!$F$9="Liquidez",'Tabla Fijos'!H124*0.16,IF(Simulador!$J$9="SI",H124*0.16,0)))</f>
        <v>0</v>
      </c>
      <c r="J124" s="86">
        <f t="shared" ca="1" si="26"/>
        <v>10421.884210717652</v>
      </c>
      <c r="K124" s="86">
        <f t="shared" ca="1" si="38"/>
        <v>0</v>
      </c>
      <c r="L124" s="86">
        <f ca="1">IF(B124="","",IF(F124=0,0,IF(Sheet1!$I$10=6,'Tabla Fijos'!$C$3*'Tabla Fijos'!$F$5,$F$5*$C$5)))</f>
        <v>0</v>
      </c>
      <c r="M124" s="86">
        <f t="shared" ca="1" si="27"/>
        <v>0</v>
      </c>
      <c r="N124" s="86">
        <f ca="1">IF(B124="","",IF(F124=0,0,IF(Simulador!$N$7='Tabla Parámetros'!$C$31,AportPat!L116,IF(Simulador!$N$7='Tabla Parámetros'!$C$34,AportPatFov!G114,0))))</f>
        <v>0</v>
      </c>
      <c r="O124" s="86">
        <f>Simulador!N179</f>
        <v>0</v>
      </c>
      <c r="P124" s="86"/>
      <c r="Q124" s="86">
        <v>0</v>
      </c>
      <c r="R124" s="86">
        <f t="shared" ca="1" si="28"/>
        <v>10421.884210717652</v>
      </c>
      <c r="S124" s="86">
        <f t="shared" ca="1" si="29"/>
        <v>775224.38053669687</v>
      </c>
      <c r="U124" s="201">
        <f t="shared" ca="1" si="30"/>
        <v>3191.2677444615592</v>
      </c>
      <c r="V124" s="201">
        <f t="shared" ca="1" si="31"/>
        <v>7230.6164662560932</v>
      </c>
      <c r="W124" s="202">
        <f t="shared" ca="1" si="32"/>
        <v>10421.884210717653</v>
      </c>
      <c r="X124" s="201">
        <f t="shared" ca="1" si="33"/>
        <v>3191.2677444615601</v>
      </c>
      <c r="Y124" s="201">
        <f t="shared" ca="1" si="34"/>
        <v>7230.6164662560932</v>
      </c>
      <c r="Z124" s="201">
        <f t="shared" ca="1" si="39"/>
        <v>10421.884210717653</v>
      </c>
      <c r="AA124" s="201">
        <f t="shared" ca="1" si="35"/>
        <v>3191.2677444615583</v>
      </c>
      <c r="AB124" s="201">
        <f t="shared" ca="1" si="36"/>
        <v>7230.6164662560932</v>
      </c>
      <c r="AC124" s="201">
        <f t="shared" ca="1" si="40"/>
        <v>10421.884210717652</v>
      </c>
    </row>
    <row r="125" spans="2:29" x14ac:dyDescent="0.3">
      <c r="B125" s="84">
        <f t="shared" si="37"/>
        <v>114</v>
      </c>
      <c r="C125" s="85">
        <f ca="1">IF($B125="","",'Fecha Pago'!K117)</f>
        <v>49616</v>
      </c>
      <c r="D125" s="86">
        <f>IF($B$12="","",'Fecha Pago'!L117)</f>
        <v>30.4</v>
      </c>
      <c r="E125" s="87">
        <f t="shared" si="24"/>
        <v>0.11</v>
      </c>
      <c r="F125" s="86">
        <f t="shared" ca="1" si="41"/>
        <v>775224.38053669687</v>
      </c>
      <c r="G125" s="86">
        <f t="shared" ca="1" si="23"/>
        <v>3220.9110759545547</v>
      </c>
      <c r="H125" s="86">
        <f t="shared" ca="1" si="25"/>
        <v>7200.973134763095</v>
      </c>
      <c r="I125" s="86">
        <f>IF(B125="","",IF(Simulador!$F$9="Liquidez",'Tabla Fijos'!H125*0.16,IF(Simulador!$J$9="SI",H125*0.16,0)))</f>
        <v>0</v>
      </c>
      <c r="J125" s="86">
        <f t="shared" ca="1" si="26"/>
        <v>10421.88421071765</v>
      </c>
      <c r="K125" s="86">
        <f t="shared" ca="1" si="38"/>
        <v>0</v>
      </c>
      <c r="L125" s="86">
        <f ca="1">IF(B125="","",IF(F125=0,0,IF(Sheet1!$I$10=6,'Tabla Fijos'!$C$3*'Tabla Fijos'!$F$5,$F$5*$C$5)))</f>
        <v>0</v>
      </c>
      <c r="M125" s="86">
        <f t="shared" ca="1" si="27"/>
        <v>0</v>
      </c>
      <c r="N125" s="86">
        <f ca="1">IF(B125="","",IF(F125=0,0,IF(Simulador!$N$7='Tabla Parámetros'!$C$31,AportPat!L117,IF(Simulador!$N$7='Tabla Parámetros'!$C$34,AportPatFov!G115,0))))</f>
        <v>0</v>
      </c>
      <c r="O125" s="86">
        <f>Simulador!N180</f>
        <v>0</v>
      </c>
      <c r="P125" s="86"/>
      <c r="Q125" s="86">
        <v>0</v>
      </c>
      <c r="R125" s="86">
        <f t="shared" ca="1" si="28"/>
        <v>10421.88421071765</v>
      </c>
      <c r="S125" s="86">
        <f t="shared" ca="1" si="29"/>
        <v>772003.46946074232</v>
      </c>
      <c r="U125" s="201">
        <f t="shared" ca="1" si="30"/>
        <v>3220.9110759545579</v>
      </c>
      <c r="V125" s="201">
        <f t="shared" ca="1" si="31"/>
        <v>7200.973134763095</v>
      </c>
      <c r="W125" s="202">
        <f t="shared" ca="1" si="32"/>
        <v>10421.884210717653</v>
      </c>
      <c r="X125" s="201">
        <f t="shared" ca="1" si="33"/>
        <v>3220.9110759545583</v>
      </c>
      <c r="Y125" s="201">
        <f t="shared" ca="1" si="34"/>
        <v>7200.973134763095</v>
      </c>
      <c r="Z125" s="201">
        <f t="shared" ca="1" si="39"/>
        <v>10421.884210717653</v>
      </c>
      <c r="AA125" s="201">
        <f t="shared" ca="1" si="35"/>
        <v>3220.9110759545547</v>
      </c>
      <c r="AB125" s="201">
        <f t="shared" ca="1" si="36"/>
        <v>7200.973134763095</v>
      </c>
      <c r="AC125" s="201">
        <f t="shared" ca="1" si="40"/>
        <v>10421.88421071765</v>
      </c>
    </row>
    <row r="126" spans="2:29" x14ac:dyDescent="0.3">
      <c r="B126" s="84">
        <f t="shared" si="37"/>
        <v>115</v>
      </c>
      <c r="C126" s="85">
        <f ca="1">IF($B126="","",'Fecha Pago'!K118)</f>
        <v>49646</v>
      </c>
      <c r="D126" s="86">
        <f>IF($B$12="","",'Fecha Pago'!L118)</f>
        <v>30.4</v>
      </c>
      <c r="E126" s="87">
        <f t="shared" si="24"/>
        <v>0.11</v>
      </c>
      <c r="F126" s="86">
        <f t="shared" ca="1" si="41"/>
        <v>772003.46946074232</v>
      </c>
      <c r="G126" s="86">
        <f t="shared" ca="1" si="23"/>
        <v>3250.8297610600885</v>
      </c>
      <c r="H126" s="86">
        <f t="shared" ca="1" si="25"/>
        <v>7171.0544496575612</v>
      </c>
      <c r="I126" s="86">
        <f>IF(B126="","",IF(Simulador!$F$9="Liquidez",'Tabla Fijos'!H126*0.16,IF(Simulador!$J$9="SI",H126*0.16,0)))</f>
        <v>0</v>
      </c>
      <c r="J126" s="86">
        <f t="shared" ca="1" si="26"/>
        <v>10421.88421071765</v>
      </c>
      <c r="K126" s="86">
        <f t="shared" ca="1" si="38"/>
        <v>0</v>
      </c>
      <c r="L126" s="86">
        <f ca="1">IF(B126="","",IF(F126=0,0,IF(Sheet1!$I$10=6,'Tabla Fijos'!$C$3*'Tabla Fijos'!$F$5,$F$5*$C$5)))</f>
        <v>0</v>
      </c>
      <c r="M126" s="86">
        <f t="shared" ca="1" si="27"/>
        <v>0</v>
      </c>
      <c r="N126" s="86">
        <f ca="1">IF(B126="","",IF(F126=0,0,IF(Simulador!$N$7='Tabla Parámetros'!$C$31,AportPat!L118,IF(Simulador!$N$7='Tabla Parámetros'!$C$34,AportPatFov!G116,0))))</f>
        <v>0</v>
      </c>
      <c r="O126" s="86">
        <f>Simulador!N181</f>
        <v>0</v>
      </c>
      <c r="P126" s="86"/>
      <c r="Q126" s="86">
        <v>0</v>
      </c>
      <c r="R126" s="86">
        <f t="shared" ca="1" si="28"/>
        <v>10421.88421071765</v>
      </c>
      <c r="S126" s="86">
        <f t="shared" ca="1" si="29"/>
        <v>768752.63969968224</v>
      </c>
      <c r="U126" s="201">
        <f t="shared" ca="1" si="30"/>
        <v>3250.8297610600912</v>
      </c>
      <c r="V126" s="201">
        <f t="shared" ca="1" si="31"/>
        <v>7171.0544496575612</v>
      </c>
      <c r="W126" s="202">
        <f t="shared" ca="1" si="32"/>
        <v>10421.884210717653</v>
      </c>
      <c r="X126" s="201">
        <f t="shared" ca="1" si="33"/>
        <v>3250.8297610600921</v>
      </c>
      <c r="Y126" s="201">
        <f t="shared" ca="1" si="34"/>
        <v>7171.0544496575612</v>
      </c>
      <c r="Z126" s="201">
        <f t="shared" ca="1" si="39"/>
        <v>10421.884210717653</v>
      </c>
      <c r="AA126" s="201">
        <f t="shared" ca="1" si="35"/>
        <v>3250.8297610600885</v>
      </c>
      <c r="AB126" s="201">
        <f t="shared" ca="1" si="36"/>
        <v>7171.0544496575612</v>
      </c>
      <c r="AC126" s="201">
        <f t="shared" ca="1" si="40"/>
        <v>10421.88421071765</v>
      </c>
    </row>
    <row r="127" spans="2:29" x14ac:dyDescent="0.3">
      <c r="B127" s="84">
        <f t="shared" si="37"/>
        <v>116</v>
      </c>
      <c r="C127" s="85">
        <f ca="1">IF($B127="","",'Fecha Pago'!K119)</f>
        <v>49677</v>
      </c>
      <c r="D127" s="86">
        <f>IF($B$12="","",'Fecha Pago'!L119)</f>
        <v>30.4</v>
      </c>
      <c r="E127" s="87">
        <f t="shared" si="24"/>
        <v>0.11</v>
      </c>
      <c r="F127" s="86">
        <f t="shared" ca="1" si="41"/>
        <v>768752.63969968224</v>
      </c>
      <c r="G127" s="86">
        <f t="shared" ca="1" si="23"/>
        <v>3281.0263575072704</v>
      </c>
      <c r="H127" s="86">
        <f t="shared" ca="1" si="25"/>
        <v>7140.8578532103811</v>
      </c>
      <c r="I127" s="86">
        <f>IF(B127="","",IF(Simulador!$F$9="Liquidez",'Tabla Fijos'!H127*0.16,IF(Simulador!$J$9="SI",H127*0.16,0)))</f>
        <v>0</v>
      </c>
      <c r="J127" s="86">
        <f t="shared" ca="1" si="26"/>
        <v>10421.884210717652</v>
      </c>
      <c r="K127" s="86">
        <f t="shared" ca="1" si="38"/>
        <v>0</v>
      </c>
      <c r="L127" s="86">
        <f ca="1">IF(B127="","",IF(F127=0,0,IF(Sheet1!$I$10=6,'Tabla Fijos'!$C$3*'Tabla Fijos'!$F$5,$F$5*$C$5)))</f>
        <v>0</v>
      </c>
      <c r="M127" s="86">
        <f t="shared" ca="1" si="27"/>
        <v>0</v>
      </c>
      <c r="N127" s="86">
        <f ca="1">IF(B127="","",IF(F127=0,0,IF(Simulador!$N$7='Tabla Parámetros'!$C$31,AportPat!L119,IF(Simulador!$N$7='Tabla Parámetros'!$C$34,AportPatFov!G117,0))))</f>
        <v>0</v>
      </c>
      <c r="O127" s="86">
        <f>Simulador!N182</f>
        <v>0</v>
      </c>
      <c r="P127" s="86"/>
      <c r="Q127" s="86">
        <v>0</v>
      </c>
      <c r="R127" s="86">
        <f t="shared" ca="1" si="28"/>
        <v>10421.884210717652</v>
      </c>
      <c r="S127" s="86">
        <f t="shared" ca="1" si="29"/>
        <v>765471.61334217503</v>
      </c>
      <c r="U127" s="201">
        <f t="shared" ca="1" si="30"/>
        <v>3281.0263575072713</v>
      </c>
      <c r="V127" s="201">
        <f t="shared" ca="1" si="31"/>
        <v>7140.8578532103811</v>
      </c>
      <c r="W127" s="202">
        <f t="shared" ca="1" si="32"/>
        <v>10421.884210717653</v>
      </c>
      <c r="X127" s="201">
        <f t="shared" ca="1" si="33"/>
        <v>3281.0263575072722</v>
      </c>
      <c r="Y127" s="201">
        <f t="shared" ca="1" si="34"/>
        <v>7140.8578532103811</v>
      </c>
      <c r="Z127" s="201">
        <f t="shared" ca="1" si="39"/>
        <v>10421.884210717653</v>
      </c>
      <c r="AA127" s="201">
        <f t="shared" ca="1" si="35"/>
        <v>3281.0263575072704</v>
      </c>
      <c r="AB127" s="201">
        <f t="shared" ca="1" si="36"/>
        <v>7140.8578532103811</v>
      </c>
      <c r="AC127" s="201">
        <f t="shared" ca="1" si="40"/>
        <v>10421.884210717652</v>
      </c>
    </row>
    <row r="128" spans="2:29" x14ac:dyDescent="0.3">
      <c r="B128" s="84">
        <f t="shared" si="37"/>
        <v>117</v>
      </c>
      <c r="C128" s="85">
        <f ca="1">IF($B128="","",'Fecha Pago'!K120)</f>
        <v>49708</v>
      </c>
      <c r="D128" s="86">
        <f>IF($B$12="","",'Fecha Pago'!L120)</f>
        <v>30.4</v>
      </c>
      <c r="E128" s="87">
        <f t="shared" si="24"/>
        <v>0.11</v>
      </c>
      <c r="F128" s="86">
        <f t="shared" ca="1" si="41"/>
        <v>765471.61334217503</v>
      </c>
      <c r="G128" s="86">
        <f t="shared" ca="1" si="23"/>
        <v>3311.5034467836704</v>
      </c>
      <c r="H128" s="86">
        <f t="shared" ca="1" si="25"/>
        <v>7110.3807639339811</v>
      </c>
      <c r="I128" s="86">
        <f>IF(B128="","",IF(Simulador!$F$9="Liquidez",'Tabla Fijos'!H128*0.16,IF(Simulador!$J$9="SI",H128*0.16,0)))</f>
        <v>0</v>
      </c>
      <c r="J128" s="86">
        <f t="shared" ca="1" si="26"/>
        <v>10421.884210717652</v>
      </c>
      <c r="K128" s="86">
        <f t="shared" ca="1" si="38"/>
        <v>0</v>
      </c>
      <c r="L128" s="86">
        <f ca="1">IF(B128="","",IF(F128=0,0,IF(Sheet1!$I$10=6,'Tabla Fijos'!$C$3*'Tabla Fijos'!$F$5,$F$5*$C$5)))</f>
        <v>0</v>
      </c>
      <c r="M128" s="86">
        <f t="shared" ca="1" si="27"/>
        <v>0</v>
      </c>
      <c r="N128" s="86">
        <f ca="1">IF(B128="","",IF(F128=0,0,IF(Simulador!$N$7='Tabla Parámetros'!$C$31,AportPat!L120,IF(Simulador!$N$7='Tabla Parámetros'!$C$34,AportPatFov!G118,0))))</f>
        <v>0</v>
      </c>
      <c r="O128" s="86">
        <f>Simulador!N183</f>
        <v>0</v>
      </c>
      <c r="P128" s="86"/>
      <c r="Q128" s="86">
        <v>0</v>
      </c>
      <c r="R128" s="86">
        <f t="shared" ca="1" si="28"/>
        <v>10421.884210717652</v>
      </c>
      <c r="S128" s="86">
        <f t="shared" ca="1" si="29"/>
        <v>762160.10989539139</v>
      </c>
      <c r="U128" s="201">
        <f t="shared" ca="1" si="30"/>
        <v>3311.5034467836722</v>
      </c>
      <c r="V128" s="201">
        <f t="shared" ca="1" si="31"/>
        <v>7110.3807639339811</v>
      </c>
      <c r="W128" s="202">
        <f t="shared" ca="1" si="32"/>
        <v>10421.884210717653</v>
      </c>
      <c r="X128" s="201">
        <f t="shared" ca="1" si="33"/>
        <v>3311.5034467836722</v>
      </c>
      <c r="Y128" s="201">
        <f t="shared" ca="1" si="34"/>
        <v>7110.3807639339811</v>
      </c>
      <c r="Z128" s="201">
        <f t="shared" ca="1" si="39"/>
        <v>10421.884210717653</v>
      </c>
      <c r="AA128" s="201">
        <f t="shared" ca="1" si="35"/>
        <v>3311.5034467836704</v>
      </c>
      <c r="AB128" s="201">
        <f t="shared" ca="1" si="36"/>
        <v>7110.3807639339811</v>
      </c>
      <c r="AC128" s="201">
        <f t="shared" ca="1" si="40"/>
        <v>10421.884210717652</v>
      </c>
    </row>
    <row r="129" spans="2:29" x14ac:dyDescent="0.3">
      <c r="B129" s="84">
        <f t="shared" si="37"/>
        <v>118</v>
      </c>
      <c r="C129" s="85">
        <f ca="1">IF($B129="","",'Fecha Pago'!K121)</f>
        <v>49737</v>
      </c>
      <c r="D129" s="86">
        <f>IF($B$12="","",'Fecha Pago'!L121)</f>
        <v>30.4</v>
      </c>
      <c r="E129" s="87">
        <f t="shared" si="24"/>
        <v>0.11</v>
      </c>
      <c r="F129" s="86">
        <f t="shared" ca="1" si="41"/>
        <v>762160.10989539139</v>
      </c>
      <c r="G129" s="86">
        <f t="shared" ca="1" si="23"/>
        <v>3342.263634356018</v>
      </c>
      <c r="H129" s="86">
        <f t="shared" ca="1" si="25"/>
        <v>7079.6205763616354</v>
      </c>
      <c r="I129" s="86">
        <f>IF(B129="","",IF(Simulador!$F$9="Liquidez",'Tabla Fijos'!H129*0.16,IF(Simulador!$J$9="SI",H129*0.16,0)))</f>
        <v>0</v>
      </c>
      <c r="J129" s="86">
        <f t="shared" ca="1" si="26"/>
        <v>10421.884210717653</v>
      </c>
      <c r="K129" s="86">
        <f t="shared" ca="1" si="38"/>
        <v>0</v>
      </c>
      <c r="L129" s="86">
        <f ca="1">IF(B129="","",IF(F129=0,0,IF(Sheet1!$I$10=6,'Tabla Fijos'!$C$3*'Tabla Fijos'!$F$5,$F$5*$C$5)))</f>
        <v>0</v>
      </c>
      <c r="M129" s="86">
        <f t="shared" ca="1" si="27"/>
        <v>0</v>
      </c>
      <c r="N129" s="86">
        <f ca="1">IF(B129="","",IF(F129=0,0,IF(Simulador!$N$7='Tabla Parámetros'!$C$31,AportPat!L121,IF(Simulador!$N$7='Tabla Parámetros'!$C$34,AportPatFov!G119,0))))</f>
        <v>0</v>
      </c>
      <c r="O129" s="86">
        <f>Simulador!N184</f>
        <v>0</v>
      </c>
      <c r="P129" s="86"/>
      <c r="Q129" s="86">
        <v>0</v>
      </c>
      <c r="R129" s="86">
        <f t="shared" ca="1" si="28"/>
        <v>10421.884210717653</v>
      </c>
      <c r="S129" s="86">
        <f t="shared" ca="1" si="29"/>
        <v>758817.84626103542</v>
      </c>
      <c r="U129" s="201">
        <f t="shared" ca="1" si="30"/>
        <v>3342.2636343560189</v>
      </c>
      <c r="V129" s="201">
        <f t="shared" ca="1" si="31"/>
        <v>7079.6205763616354</v>
      </c>
      <c r="W129" s="202">
        <f t="shared" ca="1" si="32"/>
        <v>10421.884210717653</v>
      </c>
      <c r="X129" s="201">
        <f t="shared" ca="1" si="33"/>
        <v>3342.263634356018</v>
      </c>
      <c r="Y129" s="201">
        <f t="shared" ca="1" si="34"/>
        <v>7079.6205763616354</v>
      </c>
      <c r="Z129" s="201">
        <f t="shared" ca="1" si="39"/>
        <v>10421.884210717653</v>
      </c>
      <c r="AA129" s="201">
        <f t="shared" ca="1" si="35"/>
        <v>3342.263634356018</v>
      </c>
      <c r="AB129" s="201">
        <f t="shared" ca="1" si="36"/>
        <v>7079.6205763616354</v>
      </c>
      <c r="AC129" s="201">
        <f t="shared" ca="1" si="40"/>
        <v>10421.884210717653</v>
      </c>
    </row>
    <row r="130" spans="2:29" x14ac:dyDescent="0.3">
      <c r="B130" s="84">
        <f t="shared" si="37"/>
        <v>119</v>
      </c>
      <c r="C130" s="85">
        <f ca="1">IF($B130="","",'Fecha Pago'!K122)</f>
        <v>49768</v>
      </c>
      <c r="D130" s="86">
        <f>IF($B$12="","",'Fecha Pago'!L122)</f>
        <v>30.4</v>
      </c>
      <c r="E130" s="87">
        <f t="shared" si="24"/>
        <v>0.11</v>
      </c>
      <c r="F130" s="86">
        <f t="shared" ca="1" si="41"/>
        <v>758817.84626103542</v>
      </c>
      <c r="G130" s="86">
        <f t="shared" ca="1" si="23"/>
        <v>3373.3095498929251</v>
      </c>
      <c r="H130" s="86">
        <f t="shared" ca="1" si="25"/>
        <v>7048.5746608247282</v>
      </c>
      <c r="I130" s="86">
        <f>IF(B130="","",IF(Simulador!$F$9="Liquidez",'Tabla Fijos'!H130*0.16,IF(Simulador!$J$9="SI",H130*0.16,0)))</f>
        <v>0</v>
      </c>
      <c r="J130" s="86">
        <f t="shared" ca="1" si="26"/>
        <v>10421.884210717653</v>
      </c>
      <c r="K130" s="86">
        <f t="shared" ca="1" si="38"/>
        <v>0</v>
      </c>
      <c r="L130" s="86">
        <f ca="1">IF(B130="","",IF(F130=0,0,IF(Sheet1!$I$10=6,'Tabla Fijos'!$C$3*'Tabla Fijos'!$F$5,$F$5*$C$5)))</f>
        <v>0</v>
      </c>
      <c r="M130" s="86">
        <f t="shared" ca="1" si="27"/>
        <v>0</v>
      </c>
      <c r="N130" s="86">
        <f ca="1">IF(B130="","",IF(F130=0,0,IF(Simulador!$N$7='Tabla Parámetros'!$C$31,AportPat!L122,IF(Simulador!$N$7='Tabla Parámetros'!$C$34,AportPatFov!G120,0))))</f>
        <v>0</v>
      </c>
      <c r="O130" s="86">
        <f>Simulador!N185</f>
        <v>0</v>
      </c>
      <c r="P130" s="86"/>
      <c r="Q130" s="86">
        <v>0</v>
      </c>
      <c r="R130" s="86">
        <f t="shared" ca="1" si="28"/>
        <v>10421.884210717653</v>
      </c>
      <c r="S130" s="86">
        <f t="shared" ca="1" si="29"/>
        <v>755444.53671114251</v>
      </c>
      <c r="U130" s="201">
        <f t="shared" ca="1" si="30"/>
        <v>3373.3095498929256</v>
      </c>
      <c r="V130" s="201">
        <f t="shared" ca="1" si="31"/>
        <v>7048.5746608247282</v>
      </c>
      <c r="W130" s="202">
        <f t="shared" ca="1" si="32"/>
        <v>10421.884210717653</v>
      </c>
      <c r="X130" s="201">
        <f t="shared" ca="1" si="33"/>
        <v>3373.3095498929251</v>
      </c>
      <c r="Y130" s="201">
        <f t="shared" ca="1" si="34"/>
        <v>7048.5746608247282</v>
      </c>
      <c r="Z130" s="201">
        <f t="shared" ca="1" si="39"/>
        <v>10421.884210717653</v>
      </c>
      <c r="AA130" s="201">
        <f t="shared" ca="1" si="35"/>
        <v>3373.3095498929251</v>
      </c>
      <c r="AB130" s="201">
        <f t="shared" ca="1" si="36"/>
        <v>7048.5746608247282</v>
      </c>
      <c r="AC130" s="201">
        <f t="shared" ca="1" si="40"/>
        <v>10421.884210717653</v>
      </c>
    </row>
    <row r="131" spans="2:29" x14ac:dyDescent="0.3">
      <c r="B131" s="84">
        <f t="shared" si="37"/>
        <v>120</v>
      </c>
      <c r="C131" s="85">
        <f ca="1">IF($B131="","",'Fecha Pago'!K123)</f>
        <v>49798</v>
      </c>
      <c r="D131" s="86">
        <f>IF($B$12="","",'Fecha Pago'!L123)</f>
        <v>30.4</v>
      </c>
      <c r="E131" s="87">
        <f t="shared" si="24"/>
        <v>0.11</v>
      </c>
      <c r="F131" s="86">
        <f t="shared" ca="1" si="41"/>
        <v>755444.53671114251</v>
      </c>
      <c r="G131" s="86">
        <f t="shared" ca="1" si="23"/>
        <v>3404.6438474897077</v>
      </c>
      <c r="H131" s="86">
        <f t="shared" ca="1" si="25"/>
        <v>7017.2403632279456</v>
      </c>
      <c r="I131" s="86">
        <f>IF(B131="","",IF(Simulador!$F$9="Liquidez",'Tabla Fijos'!H131*0.16,IF(Simulador!$J$9="SI",H131*0.16,0)))</f>
        <v>0</v>
      </c>
      <c r="J131" s="86">
        <f t="shared" ca="1" si="26"/>
        <v>10421.884210717653</v>
      </c>
      <c r="K131" s="86">
        <f t="shared" ca="1" si="38"/>
        <v>0</v>
      </c>
      <c r="L131" s="86">
        <f ca="1">IF(B131="","",IF(F131=0,0,IF(Sheet1!$I$10=6,'Tabla Fijos'!$C$3*'Tabla Fijos'!$F$5,$F$5*$C$5)))</f>
        <v>0</v>
      </c>
      <c r="M131" s="86">
        <f t="shared" ca="1" si="27"/>
        <v>0</v>
      </c>
      <c r="N131" s="86">
        <f ca="1">IF(B131="","",IF(F131=0,0,IF(Simulador!$N$7='Tabla Parámetros'!$C$31,AportPat!L123,IF(Simulador!$N$7='Tabla Parámetros'!$C$34,AportPatFov!G121,0))))</f>
        <v>0</v>
      </c>
      <c r="O131" s="86">
        <f>Simulador!N186</f>
        <v>0</v>
      </c>
      <c r="P131" s="86"/>
      <c r="Q131" s="86">
        <v>0</v>
      </c>
      <c r="R131" s="86">
        <f t="shared" ca="1" si="28"/>
        <v>10421.884210717653</v>
      </c>
      <c r="S131" s="86">
        <f t="shared" ca="1" si="29"/>
        <v>752039.89286365279</v>
      </c>
      <c r="U131" s="201">
        <f t="shared" ca="1" si="30"/>
        <v>3404.6438474897091</v>
      </c>
      <c r="V131" s="201">
        <f t="shared" ca="1" si="31"/>
        <v>7017.2403632279456</v>
      </c>
      <c r="W131" s="202">
        <f t="shared" ca="1" si="32"/>
        <v>10421.884210717655</v>
      </c>
      <c r="X131" s="201">
        <f t="shared" ca="1" si="33"/>
        <v>3404.6438474897077</v>
      </c>
      <c r="Y131" s="201">
        <f t="shared" ca="1" si="34"/>
        <v>7017.2403632279456</v>
      </c>
      <c r="Z131" s="201">
        <f t="shared" ca="1" si="39"/>
        <v>10421.884210717653</v>
      </c>
      <c r="AA131" s="201">
        <f t="shared" ca="1" si="35"/>
        <v>3404.6438474897077</v>
      </c>
      <c r="AB131" s="201">
        <f t="shared" ca="1" si="36"/>
        <v>7017.2403632279456</v>
      </c>
      <c r="AC131" s="201">
        <f t="shared" ca="1" si="40"/>
        <v>10421.884210717653</v>
      </c>
    </row>
    <row r="132" spans="2:29" x14ac:dyDescent="0.3">
      <c r="B132" s="84">
        <f t="shared" si="37"/>
        <v>121</v>
      </c>
      <c r="C132" s="85">
        <f ca="1">IF($B132="","",'Fecha Pago'!K124)</f>
        <v>49829</v>
      </c>
      <c r="D132" s="86">
        <f>IF($B$12="","",'Fecha Pago'!L124)</f>
        <v>30.4</v>
      </c>
      <c r="E132" s="87">
        <f t="shared" si="24"/>
        <v>0.11</v>
      </c>
      <c r="F132" s="86">
        <f t="shared" ca="1" si="41"/>
        <v>752039.89286365279</v>
      </c>
      <c r="G132" s="86">
        <f t="shared" ca="1" si="23"/>
        <v>3436.2692058952789</v>
      </c>
      <c r="H132" s="86">
        <f t="shared" ca="1" si="25"/>
        <v>6985.6150048223744</v>
      </c>
      <c r="I132" s="86">
        <f>IF(B132="","",IF(Simulador!$F$9="Liquidez",'Tabla Fijos'!H132*0.16,IF(Simulador!$J$9="SI",H132*0.16,0)))</f>
        <v>0</v>
      </c>
      <c r="J132" s="86">
        <f t="shared" ca="1" si="26"/>
        <v>10421.884210717653</v>
      </c>
      <c r="K132" s="86">
        <f t="shared" ca="1" si="38"/>
        <v>0</v>
      </c>
      <c r="L132" s="86">
        <f ca="1">IF(B132="","",IF(F132=0,0,IF(Sheet1!$I$10=6,'Tabla Fijos'!$C$3*'Tabla Fijos'!$F$5,$F$5*$C$5)))</f>
        <v>0</v>
      </c>
      <c r="M132" s="86">
        <f t="shared" ca="1" si="27"/>
        <v>0</v>
      </c>
      <c r="N132" s="86">
        <f ca="1">IF(B132="","",IF(F132=0,0,IF(Simulador!$N$7='Tabla Parámetros'!$C$31,AportPat!L124,IF(Simulador!$N$7='Tabla Parámetros'!$C$34,AportPatFov!G122,0))))</f>
        <v>0</v>
      </c>
      <c r="O132" s="86">
        <f>Simulador!N187</f>
        <v>0</v>
      </c>
      <c r="P132" s="86"/>
      <c r="Q132" s="86">
        <v>0</v>
      </c>
      <c r="R132" s="86">
        <f t="shared" ca="1" si="28"/>
        <v>10421.884210717653</v>
      </c>
      <c r="S132" s="86">
        <f t="shared" ca="1" si="29"/>
        <v>748603.62365775753</v>
      </c>
      <c r="U132" s="201">
        <f t="shared" ca="1" si="30"/>
        <v>3436.2692058952798</v>
      </c>
      <c r="V132" s="201">
        <f t="shared" ca="1" si="31"/>
        <v>6985.6150048223744</v>
      </c>
      <c r="W132" s="202">
        <f t="shared" ca="1" si="32"/>
        <v>10421.884210717653</v>
      </c>
      <c r="X132" s="201">
        <f t="shared" ca="1" si="33"/>
        <v>3436.2692058952789</v>
      </c>
      <c r="Y132" s="201">
        <f t="shared" ca="1" si="34"/>
        <v>6985.6150048223744</v>
      </c>
      <c r="Z132" s="201">
        <f t="shared" ca="1" si="39"/>
        <v>10421.884210717653</v>
      </c>
      <c r="AA132" s="201">
        <f t="shared" ca="1" si="35"/>
        <v>3436.2692058952789</v>
      </c>
      <c r="AB132" s="201">
        <f t="shared" ca="1" si="36"/>
        <v>6985.6150048223744</v>
      </c>
      <c r="AC132" s="201">
        <f t="shared" ca="1" si="40"/>
        <v>10421.884210717653</v>
      </c>
    </row>
    <row r="133" spans="2:29" x14ac:dyDescent="0.3">
      <c r="B133" s="84">
        <f t="shared" si="37"/>
        <v>122</v>
      </c>
      <c r="C133" s="85">
        <f ca="1">IF($B133="","",'Fecha Pago'!K125)</f>
        <v>49859</v>
      </c>
      <c r="D133" s="86">
        <f>IF($B$12="","",'Fecha Pago'!L125)</f>
        <v>30.4</v>
      </c>
      <c r="E133" s="87">
        <f t="shared" si="24"/>
        <v>0.11</v>
      </c>
      <c r="F133" s="86">
        <f t="shared" ca="1" si="41"/>
        <v>748603.62365775753</v>
      </c>
      <c r="G133" s="86">
        <f t="shared" ca="1" si="23"/>
        <v>3468.1883287411501</v>
      </c>
      <c r="H133" s="86">
        <f t="shared" ca="1" si="25"/>
        <v>6953.6958819765032</v>
      </c>
      <c r="I133" s="86">
        <f>IF(B133="","",IF(Simulador!$F$9="Liquidez",'Tabla Fijos'!H133*0.16,IF(Simulador!$J$9="SI",H133*0.16,0)))</f>
        <v>0</v>
      </c>
      <c r="J133" s="86">
        <f t="shared" ca="1" si="26"/>
        <v>10421.884210717653</v>
      </c>
      <c r="K133" s="86">
        <f t="shared" ca="1" si="38"/>
        <v>0</v>
      </c>
      <c r="L133" s="86">
        <f ca="1">IF(B133="","",IF(F133=0,0,IF(Sheet1!$I$10=6,'Tabla Fijos'!$C$3*'Tabla Fijos'!$F$5,$F$5*$C$5)))</f>
        <v>0</v>
      </c>
      <c r="M133" s="86">
        <f t="shared" ca="1" si="27"/>
        <v>0</v>
      </c>
      <c r="N133" s="86">
        <f ca="1">IF(B133="","",IF(F133=0,0,IF(Simulador!$N$7='Tabla Parámetros'!$C$31,AportPat!L125,IF(Simulador!$N$7='Tabla Parámetros'!$C$34,AportPatFov!G123,0))))</f>
        <v>0</v>
      </c>
      <c r="O133" s="86">
        <f>Simulador!N188</f>
        <v>0</v>
      </c>
      <c r="P133" s="86"/>
      <c r="Q133" s="86">
        <v>0</v>
      </c>
      <c r="R133" s="86">
        <f t="shared" ca="1" si="28"/>
        <v>10421.884210717653</v>
      </c>
      <c r="S133" s="86">
        <f t="shared" ca="1" si="29"/>
        <v>745135.43532901641</v>
      </c>
      <c r="U133" s="201">
        <f t="shared" ca="1" si="30"/>
        <v>3468.1883287411515</v>
      </c>
      <c r="V133" s="201">
        <f t="shared" ca="1" si="31"/>
        <v>6953.6958819765032</v>
      </c>
      <c r="W133" s="202">
        <f t="shared" ca="1" si="32"/>
        <v>10421.884210717655</v>
      </c>
      <c r="X133" s="201">
        <f t="shared" ca="1" si="33"/>
        <v>3468.1883287411501</v>
      </c>
      <c r="Y133" s="201">
        <f t="shared" ca="1" si="34"/>
        <v>6953.6958819765032</v>
      </c>
      <c r="Z133" s="201">
        <f t="shared" ca="1" si="39"/>
        <v>10421.884210717653</v>
      </c>
      <c r="AA133" s="201">
        <f t="shared" ca="1" si="35"/>
        <v>3468.1883287411501</v>
      </c>
      <c r="AB133" s="201">
        <f t="shared" ca="1" si="36"/>
        <v>6953.6958819765032</v>
      </c>
      <c r="AC133" s="201">
        <f t="shared" ca="1" si="40"/>
        <v>10421.884210717653</v>
      </c>
    </row>
    <row r="134" spans="2:29" x14ac:dyDescent="0.3">
      <c r="B134" s="84">
        <f t="shared" si="37"/>
        <v>123</v>
      </c>
      <c r="C134" s="85">
        <f ca="1">IF($B134="","",'Fecha Pago'!K126)</f>
        <v>49890</v>
      </c>
      <c r="D134" s="86">
        <f>IF($B$12="","",'Fecha Pago'!L126)</f>
        <v>30.4</v>
      </c>
      <c r="E134" s="87">
        <f t="shared" si="24"/>
        <v>0.11</v>
      </c>
      <c r="F134" s="86">
        <f t="shared" ca="1" si="41"/>
        <v>745135.43532901641</v>
      </c>
      <c r="G134" s="86">
        <f t="shared" ref="G134:G197" ca="1" si="42">IF(B134="","",IF((J134-H134)&gt;F134,F134,IF($S$7=$U$10,U134,IF($S$7=$X$10,X134,IF($S$7=$AA$10,AA134,)))))</f>
        <v>3500.4039447725681</v>
      </c>
      <c r="H134" s="86">
        <f t="shared" ca="1" si="25"/>
        <v>6921.4802659450852</v>
      </c>
      <c r="I134" s="86">
        <f>IF(B134="","",IF(Simulador!$F$9="Liquidez",'Tabla Fijos'!H134*0.16,IF(Simulador!$J$9="SI",H134*0.16,0)))</f>
        <v>0</v>
      </c>
      <c r="J134" s="86">
        <f t="shared" ca="1" si="26"/>
        <v>10421.884210717653</v>
      </c>
      <c r="K134" s="86">
        <f t="shared" ca="1" si="38"/>
        <v>0</v>
      </c>
      <c r="L134" s="86">
        <f ca="1">IF(B134="","",IF(F134=0,0,IF(Sheet1!$I$10=6,'Tabla Fijos'!$C$3*'Tabla Fijos'!$F$5,$F$5*$C$5)))</f>
        <v>0</v>
      </c>
      <c r="M134" s="86">
        <f t="shared" ca="1" si="27"/>
        <v>0</v>
      </c>
      <c r="N134" s="86">
        <f ca="1">IF(B134="","",IF(F134=0,0,IF(Simulador!$N$7='Tabla Parámetros'!$C$31,AportPat!L126,IF(Simulador!$N$7='Tabla Parámetros'!$C$34,AportPatFov!G124,0))))</f>
        <v>0</v>
      </c>
      <c r="O134" s="86">
        <f>Simulador!N189</f>
        <v>0</v>
      </c>
      <c r="P134" s="86"/>
      <c r="Q134" s="86">
        <v>0</v>
      </c>
      <c r="R134" s="86">
        <f t="shared" ca="1" si="28"/>
        <v>10421.884210717653</v>
      </c>
      <c r="S134" s="86">
        <f t="shared" ca="1" si="29"/>
        <v>741635.03138424386</v>
      </c>
      <c r="U134" s="201">
        <f t="shared" ca="1" si="30"/>
        <v>3500.4039447725695</v>
      </c>
      <c r="V134" s="201">
        <f t="shared" ca="1" si="31"/>
        <v>6921.4802659450852</v>
      </c>
      <c r="W134" s="202">
        <f t="shared" ca="1" si="32"/>
        <v>10421.884210717655</v>
      </c>
      <c r="X134" s="201">
        <f t="shared" ca="1" si="33"/>
        <v>3500.4039447725681</v>
      </c>
      <c r="Y134" s="201">
        <f t="shared" ca="1" si="34"/>
        <v>6921.4802659450852</v>
      </c>
      <c r="Z134" s="201">
        <f t="shared" ca="1" si="39"/>
        <v>10421.884210717653</v>
      </c>
      <c r="AA134" s="201">
        <f t="shared" ca="1" si="35"/>
        <v>3500.4039447725681</v>
      </c>
      <c r="AB134" s="201">
        <f t="shared" ca="1" si="36"/>
        <v>6921.4802659450852</v>
      </c>
      <c r="AC134" s="201">
        <f t="shared" ca="1" si="40"/>
        <v>10421.884210717653</v>
      </c>
    </row>
    <row r="135" spans="2:29" x14ac:dyDescent="0.3">
      <c r="B135" s="84">
        <f t="shared" si="37"/>
        <v>124</v>
      </c>
      <c r="C135" s="85">
        <f ca="1">IF($B135="","",'Fecha Pago'!K127)</f>
        <v>49921</v>
      </c>
      <c r="D135" s="86">
        <f>IF($B$12="","",'Fecha Pago'!L127)</f>
        <v>30.4</v>
      </c>
      <c r="E135" s="87">
        <f t="shared" si="24"/>
        <v>0.11</v>
      </c>
      <c r="F135" s="86">
        <f t="shared" ca="1" si="41"/>
        <v>741635.03138424386</v>
      </c>
      <c r="G135" s="86">
        <f t="shared" ca="1" si="42"/>
        <v>3532.9188080817921</v>
      </c>
      <c r="H135" s="86">
        <f t="shared" ca="1" si="25"/>
        <v>6888.9654026358648</v>
      </c>
      <c r="I135" s="86">
        <f>IF(B135="","",IF(Simulador!$F$9="Liquidez",'Tabla Fijos'!H135*0.16,IF(Simulador!$J$9="SI",H135*0.16,0)))</f>
        <v>0</v>
      </c>
      <c r="J135" s="86">
        <f t="shared" ca="1" si="26"/>
        <v>10421.884210717657</v>
      </c>
      <c r="K135" s="86">
        <f t="shared" ca="1" si="38"/>
        <v>0</v>
      </c>
      <c r="L135" s="86">
        <f ca="1">IF(B135="","",IF(F135=0,0,IF(Sheet1!$I$10=6,'Tabla Fijos'!$C$3*'Tabla Fijos'!$F$5,$F$5*$C$5)))</f>
        <v>0</v>
      </c>
      <c r="M135" s="86">
        <f t="shared" ca="1" si="27"/>
        <v>0</v>
      </c>
      <c r="N135" s="86">
        <f ca="1">IF(B135="","",IF(F135=0,0,IF(Simulador!$N$7='Tabla Parámetros'!$C$31,AportPat!L127,IF(Simulador!$N$7='Tabla Parámetros'!$C$34,AportPatFov!G125,0))))</f>
        <v>0</v>
      </c>
      <c r="O135" s="86">
        <f>Simulador!N190</f>
        <v>0</v>
      </c>
      <c r="P135" s="86"/>
      <c r="Q135" s="86">
        <v>0</v>
      </c>
      <c r="R135" s="86">
        <f t="shared" ca="1" si="28"/>
        <v>10421.884210717657</v>
      </c>
      <c r="S135" s="86">
        <f t="shared" ca="1" si="29"/>
        <v>738102.11257616209</v>
      </c>
      <c r="U135" s="201">
        <f t="shared" ca="1" si="30"/>
        <v>3532.9188080817898</v>
      </c>
      <c r="V135" s="201">
        <f t="shared" ca="1" si="31"/>
        <v>6888.9654026358648</v>
      </c>
      <c r="W135" s="202">
        <f t="shared" ca="1" si="32"/>
        <v>10421.884210717655</v>
      </c>
      <c r="X135" s="201">
        <f t="shared" ca="1" si="33"/>
        <v>3532.9188080817885</v>
      </c>
      <c r="Y135" s="201">
        <f t="shared" ca="1" si="34"/>
        <v>6888.9654026358648</v>
      </c>
      <c r="Z135" s="201">
        <f t="shared" ca="1" si="39"/>
        <v>10421.884210717653</v>
      </c>
      <c r="AA135" s="201">
        <f t="shared" ca="1" si="35"/>
        <v>3532.9188080817921</v>
      </c>
      <c r="AB135" s="201">
        <f t="shared" ca="1" si="36"/>
        <v>6888.9654026358648</v>
      </c>
      <c r="AC135" s="201">
        <f t="shared" ca="1" si="40"/>
        <v>10421.884210717657</v>
      </c>
    </row>
    <row r="136" spans="2:29" x14ac:dyDescent="0.3">
      <c r="B136" s="84">
        <f t="shared" si="37"/>
        <v>125</v>
      </c>
      <c r="C136" s="85">
        <f ca="1">IF($B136="","",'Fecha Pago'!K128)</f>
        <v>49951</v>
      </c>
      <c r="D136" s="86">
        <f>IF($B$12="","",'Fecha Pago'!L128)</f>
        <v>30.4</v>
      </c>
      <c r="E136" s="87">
        <f t="shared" si="24"/>
        <v>0.11</v>
      </c>
      <c r="F136" s="86">
        <f t="shared" ca="1" si="41"/>
        <v>738102.11257616209</v>
      </c>
      <c r="G136" s="86">
        <f t="shared" ca="1" si="42"/>
        <v>3565.7356983435293</v>
      </c>
      <c r="H136" s="86">
        <f t="shared" ca="1" si="25"/>
        <v>6856.1485123741277</v>
      </c>
      <c r="I136" s="86">
        <f>IF(B136="","",IF(Simulador!$F$9="Liquidez",'Tabla Fijos'!H136*0.16,IF(Simulador!$J$9="SI",H136*0.16,0)))</f>
        <v>0</v>
      </c>
      <c r="J136" s="86">
        <f t="shared" ca="1" si="26"/>
        <v>10421.884210717657</v>
      </c>
      <c r="K136" s="86">
        <f t="shared" ca="1" si="38"/>
        <v>0</v>
      </c>
      <c r="L136" s="86">
        <f ca="1">IF(B136="","",IF(F136=0,0,IF(Sheet1!$I$10=6,'Tabla Fijos'!$C$3*'Tabla Fijos'!$F$5,$F$5*$C$5)))</f>
        <v>0</v>
      </c>
      <c r="M136" s="86">
        <f t="shared" ca="1" si="27"/>
        <v>0</v>
      </c>
      <c r="N136" s="86">
        <f ca="1">IF(B136="","",IF(F136=0,0,IF(Simulador!$N$7='Tabla Parámetros'!$C$31,AportPat!L128,IF(Simulador!$N$7='Tabla Parámetros'!$C$34,AportPatFov!G126,0))))</f>
        <v>0</v>
      </c>
      <c r="O136" s="86">
        <f>Simulador!N191</f>
        <v>0</v>
      </c>
      <c r="P136" s="86"/>
      <c r="Q136" s="86">
        <v>0</v>
      </c>
      <c r="R136" s="86">
        <f t="shared" ca="1" si="28"/>
        <v>10421.884210717657</v>
      </c>
      <c r="S136" s="86">
        <f t="shared" ca="1" si="29"/>
        <v>734536.37687781861</v>
      </c>
      <c r="U136" s="201">
        <f t="shared" ca="1" si="30"/>
        <v>3565.7356983435284</v>
      </c>
      <c r="V136" s="201">
        <f t="shared" ca="1" si="31"/>
        <v>6856.1485123741277</v>
      </c>
      <c r="W136" s="202">
        <f t="shared" ca="1" si="32"/>
        <v>10421.884210717657</v>
      </c>
      <c r="X136" s="201">
        <f t="shared" ca="1" si="33"/>
        <v>3565.7356983435257</v>
      </c>
      <c r="Y136" s="201">
        <f t="shared" ca="1" si="34"/>
        <v>6856.1485123741277</v>
      </c>
      <c r="Z136" s="201">
        <f t="shared" ca="1" si="39"/>
        <v>10421.884210717653</v>
      </c>
      <c r="AA136" s="201">
        <f t="shared" ca="1" si="35"/>
        <v>3565.7356983435293</v>
      </c>
      <c r="AB136" s="201">
        <f t="shared" ca="1" si="36"/>
        <v>6856.1485123741277</v>
      </c>
      <c r="AC136" s="201">
        <f t="shared" ca="1" si="40"/>
        <v>10421.884210717657</v>
      </c>
    </row>
    <row r="137" spans="2:29" x14ac:dyDescent="0.3">
      <c r="B137" s="84">
        <f t="shared" si="37"/>
        <v>126</v>
      </c>
      <c r="C137" s="85">
        <f ca="1">IF($B137="","",'Fecha Pago'!K129)</f>
        <v>49982</v>
      </c>
      <c r="D137" s="86">
        <f>IF($B$12="","",'Fecha Pago'!L129)</f>
        <v>30.4</v>
      </c>
      <c r="E137" s="87">
        <f t="shared" si="24"/>
        <v>0.11</v>
      </c>
      <c r="F137" s="86">
        <f t="shared" ca="1" si="41"/>
        <v>734536.37687781861</v>
      </c>
      <c r="G137" s="86">
        <f t="shared" ca="1" si="42"/>
        <v>3598.8574210525867</v>
      </c>
      <c r="H137" s="86">
        <f t="shared" ca="1" si="25"/>
        <v>6823.0267896650703</v>
      </c>
      <c r="I137" s="86">
        <f>IF(B137="","",IF(Simulador!$F$9="Liquidez",'Tabla Fijos'!H137*0.16,IF(Simulador!$J$9="SI",H137*0.16,0)))</f>
        <v>0</v>
      </c>
      <c r="J137" s="86">
        <f t="shared" ca="1" si="26"/>
        <v>10421.884210717657</v>
      </c>
      <c r="K137" s="86">
        <f t="shared" ca="1" si="38"/>
        <v>0</v>
      </c>
      <c r="L137" s="86">
        <f ca="1">IF(B137="","",IF(F137=0,0,IF(Sheet1!$I$10=6,'Tabla Fijos'!$C$3*'Tabla Fijos'!$F$5,$F$5*$C$5)))</f>
        <v>0</v>
      </c>
      <c r="M137" s="86">
        <f t="shared" ca="1" si="27"/>
        <v>0</v>
      </c>
      <c r="N137" s="86">
        <f ca="1">IF(B137="","",IF(F137=0,0,IF(Simulador!$N$7='Tabla Parámetros'!$C$31,AportPat!L129,IF(Simulador!$N$7='Tabla Parámetros'!$C$34,AportPatFov!G127,0))))</f>
        <v>0</v>
      </c>
      <c r="O137" s="86">
        <f>Simulador!N192</f>
        <v>0</v>
      </c>
      <c r="P137" s="86"/>
      <c r="Q137" s="86">
        <v>0</v>
      </c>
      <c r="R137" s="86">
        <f t="shared" ca="1" si="28"/>
        <v>10421.884210717657</v>
      </c>
      <c r="S137" s="86">
        <f t="shared" ca="1" si="29"/>
        <v>730937.51945676596</v>
      </c>
      <c r="U137" s="201">
        <f t="shared" ca="1" si="30"/>
        <v>3598.8574210525858</v>
      </c>
      <c r="V137" s="201">
        <f t="shared" ca="1" si="31"/>
        <v>6823.0267896650703</v>
      </c>
      <c r="W137" s="202">
        <f t="shared" ca="1" si="32"/>
        <v>10421.884210717657</v>
      </c>
      <c r="X137" s="201">
        <f t="shared" ca="1" si="33"/>
        <v>3598.857421052583</v>
      </c>
      <c r="Y137" s="201">
        <f t="shared" ca="1" si="34"/>
        <v>6823.0267896650703</v>
      </c>
      <c r="Z137" s="201">
        <f t="shared" ca="1" si="39"/>
        <v>10421.884210717653</v>
      </c>
      <c r="AA137" s="201">
        <f t="shared" ca="1" si="35"/>
        <v>3598.8574210525867</v>
      </c>
      <c r="AB137" s="201">
        <f t="shared" ca="1" si="36"/>
        <v>6823.0267896650703</v>
      </c>
      <c r="AC137" s="201">
        <f t="shared" ca="1" si="40"/>
        <v>10421.884210717657</v>
      </c>
    </row>
    <row r="138" spans="2:29" x14ac:dyDescent="0.3">
      <c r="B138" s="84">
        <f t="shared" si="37"/>
        <v>127</v>
      </c>
      <c r="C138" s="85">
        <f ca="1">IF($B138="","",'Fecha Pago'!K130)</f>
        <v>50012</v>
      </c>
      <c r="D138" s="86">
        <f>IF($B$12="","",'Fecha Pago'!L130)</f>
        <v>30.4</v>
      </c>
      <c r="E138" s="87">
        <f t="shared" si="24"/>
        <v>0.11</v>
      </c>
      <c r="F138" s="86">
        <f t="shared" ca="1" si="41"/>
        <v>730937.51945676596</v>
      </c>
      <c r="G138" s="86">
        <f t="shared" ca="1" si="42"/>
        <v>3632.286807763694</v>
      </c>
      <c r="H138" s="86">
        <f t="shared" ca="1" si="25"/>
        <v>6789.5974029539593</v>
      </c>
      <c r="I138" s="86">
        <f>IF(B138="","",IF(Simulador!$F$9="Liquidez",'Tabla Fijos'!H138*0.16,IF(Simulador!$J$9="SI",H138*0.16,0)))</f>
        <v>0</v>
      </c>
      <c r="J138" s="86">
        <f t="shared" ca="1" si="26"/>
        <v>10421.884210717653</v>
      </c>
      <c r="K138" s="86">
        <f t="shared" ca="1" si="38"/>
        <v>0</v>
      </c>
      <c r="L138" s="86">
        <f ca="1">IF(B138="","",IF(F138=0,0,IF(Sheet1!$I$10=6,'Tabla Fijos'!$C$3*'Tabla Fijos'!$F$5,$F$5*$C$5)))</f>
        <v>0</v>
      </c>
      <c r="M138" s="86">
        <f t="shared" ca="1" si="27"/>
        <v>0</v>
      </c>
      <c r="N138" s="86">
        <f ca="1">IF(B138="","",IF(F138=0,0,IF(Simulador!$N$7='Tabla Parámetros'!$C$31,AportPat!L130,IF(Simulador!$N$7='Tabla Parámetros'!$C$34,AportPatFov!G128,0))))</f>
        <v>0</v>
      </c>
      <c r="O138" s="86">
        <f>Simulador!N193</f>
        <v>0</v>
      </c>
      <c r="P138" s="86"/>
      <c r="Q138" s="86">
        <v>0</v>
      </c>
      <c r="R138" s="86">
        <f t="shared" ca="1" si="28"/>
        <v>10421.884210717653</v>
      </c>
      <c r="S138" s="86">
        <f t="shared" ca="1" si="29"/>
        <v>727305.23264900222</v>
      </c>
      <c r="U138" s="201">
        <f t="shared" ca="1" si="30"/>
        <v>3632.2868077636963</v>
      </c>
      <c r="V138" s="201">
        <f t="shared" ca="1" si="31"/>
        <v>6789.5974029539593</v>
      </c>
      <c r="W138" s="202">
        <f t="shared" ca="1" si="32"/>
        <v>10421.884210717655</v>
      </c>
      <c r="X138" s="201">
        <f t="shared" ca="1" si="33"/>
        <v>3632.286807763694</v>
      </c>
      <c r="Y138" s="201">
        <f t="shared" ca="1" si="34"/>
        <v>6789.5974029539593</v>
      </c>
      <c r="Z138" s="201">
        <f t="shared" ca="1" si="39"/>
        <v>10421.884210717653</v>
      </c>
      <c r="AA138" s="201">
        <f t="shared" ca="1" si="35"/>
        <v>3632.286807763694</v>
      </c>
      <c r="AB138" s="201">
        <f t="shared" ca="1" si="36"/>
        <v>6789.5974029539593</v>
      </c>
      <c r="AC138" s="201">
        <f t="shared" ca="1" si="40"/>
        <v>10421.884210717653</v>
      </c>
    </row>
    <row r="139" spans="2:29" x14ac:dyDescent="0.3">
      <c r="B139" s="84">
        <f t="shared" si="37"/>
        <v>128</v>
      </c>
      <c r="C139" s="85">
        <f ca="1">IF($B139="","",'Fecha Pago'!K131)</f>
        <v>50043</v>
      </c>
      <c r="D139" s="86">
        <f>IF($B$12="","",'Fecha Pago'!L131)</f>
        <v>30.4</v>
      </c>
      <c r="E139" s="87">
        <f t="shared" si="24"/>
        <v>0.11</v>
      </c>
      <c r="F139" s="86">
        <f t="shared" ca="1" si="41"/>
        <v>727305.23264900222</v>
      </c>
      <c r="G139" s="86">
        <f t="shared" ca="1" si="42"/>
        <v>3666.026716333592</v>
      </c>
      <c r="H139" s="86">
        <f t="shared" ca="1" si="25"/>
        <v>6755.8574943840649</v>
      </c>
      <c r="I139" s="86">
        <f>IF(B139="","",IF(Simulador!$F$9="Liquidez",'Tabla Fijos'!H139*0.16,IF(Simulador!$J$9="SI",H139*0.16,0)))</f>
        <v>0</v>
      </c>
      <c r="J139" s="86">
        <f t="shared" ca="1" si="26"/>
        <v>10421.884210717657</v>
      </c>
      <c r="K139" s="86">
        <f t="shared" ca="1" si="38"/>
        <v>0</v>
      </c>
      <c r="L139" s="86">
        <f ca="1">IF(B139="","",IF(F139=0,0,IF(Sheet1!$I$10=6,'Tabla Fijos'!$C$3*'Tabla Fijos'!$F$5,$F$5*$C$5)))</f>
        <v>0</v>
      </c>
      <c r="M139" s="86">
        <f t="shared" ca="1" si="27"/>
        <v>0</v>
      </c>
      <c r="N139" s="86">
        <f ca="1">IF(B139="","",IF(F139=0,0,IF(Simulador!$N$7='Tabla Parámetros'!$C$31,AportPat!L131,IF(Simulador!$N$7='Tabla Parámetros'!$C$34,AportPatFov!G129,0))))</f>
        <v>0</v>
      </c>
      <c r="O139" s="86">
        <f>Simulador!N194</f>
        <v>0</v>
      </c>
      <c r="P139" s="86"/>
      <c r="Q139" s="86">
        <v>0</v>
      </c>
      <c r="R139" s="86">
        <f t="shared" ca="1" si="28"/>
        <v>10421.884210717657</v>
      </c>
      <c r="S139" s="86">
        <f t="shared" ca="1" si="29"/>
        <v>723639.20593266864</v>
      </c>
      <c r="U139" s="201">
        <f t="shared" ca="1" si="30"/>
        <v>3666.0267163335902</v>
      </c>
      <c r="V139" s="201">
        <f t="shared" ca="1" si="31"/>
        <v>6755.8574943840649</v>
      </c>
      <c r="W139" s="202">
        <f t="shared" ca="1" si="32"/>
        <v>10421.884210717655</v>
      </c>
      <c r="X139" s="201">
        <f t="shared" ca="1" si="33"/>
        <v>3666.0267163335884</v>
      </c>
      <c r="Y139" s="201">
        <f t="shared" ca="1" si="34"/>
        <v>6755.8574943840649</v>
      </c>
      <c r="Z139" s="201">
        <f t="shared" ca="1" si="39"/>
        <v>10421.884210717653</v>
      </c>
      <c r="AA139" s="201">
        <f t="shared" ca="1" si="35"/>
        <v>3666.026716333592</v>
      </c>
      <c r="AB139" s="201">
        <f t="shared" ca="1" si="36"/>
        <v>6755.8574943840649</v>
      </c>
      <c r="AC139" s="201">
        <f t="shared" ca="1" si="40"/>
        <v>10421.884210717657</v>
      </c>
    </row>
    <row r="140" spans="2:29" x14ac:dyDescent="0.3">
      <c r="B140" s="84">
        <f t="shared" si="37"/>
        <v>129</v>
      </c>
      <c r="C140" s="85">
        <f ca="1">IF($B140="","",'Fecha Pago'!K132)</f>
        <v>50074</v>
      </c>
      <c r="D140" s="86">
        <f>IF($B$12="","",'Fecha Pago'!L132)</f>
        <v>30.4</v>
      </c>
      <c r="E140" s="87">
        <f t="shared" si="24"/>
        <v>0.11</v>
      </c>
      <c r="F140" s="86">
        <f t="shared" ca="1" si="41"/>
        <v>723639.20593266864</v>
      </c>
      <c r="G140" s="86">
        <f t="shared" ca="1" si="42"/>
        <v>3700.0800311653093</v>
      </c>
      <c r="H140" s="86">
        <f t="shared" ca="1" si="25"/>
        <v>6721.8041795523441</v>
      </c>
      <c r="I140" s="86">
        <f>IF(B140="","",IF(Simulador!$F$9="Liquidez",'Tabla Fijos'!H140*0.16,IF(Simulador!$J$9="SI",H140*0.16,0)))</f>
        <v>0</v>
      </c>
      <c r="J140" s="86">
        <f t="shared" ca="1" si="26"/>
        <v>10421.884210717653</v>
      </c>
      <c r="K140" s="86">
        <f t="shared" ca="1" si="38"/>
        <v>0</v>
      </c>
      <c r="L140" s="86">
        <f ca="1">IF(B140="","",IF(F140=0,0,IF(Sheet1!$I$10=6,'Tabla Fijos'!$C$3*'Tabla Fijos'!$F$5,$F$5*$C$5)))</f>
        <v>0</v>
      </c>
      <c r="M140" s="86">
        <f t="shared" ca="1" si="27"/>
        <v>0</v>
      </c>
      <c r="N140" s="86">
        <f ca="1">IF(B140="","",IF(F140=0,0,IF(Simulador!$N$7='Tabla Parámetros'!$C$31,AportPat!L132,IF(Simulador!$N$7='Tabla Parámetros'!$C$34,AportPatFov!G130,0))))</f>
        <v>0</v>
      </c>
      <c r="O140" s="86">
        <f>Simulador!N195</f>
        <v>0</v>
      </c>
      <c r="P140" s="86"/>
      <c r="Q140" s="86">
        <v>0</v>
      </c>
      <c r="R140" s="86">
        <f t="shared" ca="1" si="28"/>
        <v>10421.884210717653</v>
      </c>
      <c r="S140" s="86">
        <f t="shared" ca="1" si="29"/>
        <v>719939.12590150337</v>
      </c>
      <c r="U140" s="201">
        <f t="shared" ca="1" si="30"/>
        <v>3700.0800311653111</v>
      </c>
      <c r="V140" s="201">
        <f t="shared" ca="1" si="31"/>
        <v>6721.8041795523441</v>
      </c>
      <c r="W140" s="202">
        <f t="shared" ca="1" si="32"/>
        <v>10421.884210717655</v>
      </c>
      <c r="X140" s="201">
        <f t="shared" ca="1" si="33"/>
        <v>3700.0800311653093</v>
      </c>
      <c r="Y140" s="201">
        <f t="shared" ca="1" si="34"/>
        <v>6721.8041795523441</v>
      </c>
      <c r="Z140" s="201">
        <f t="shared" ca="1" si="39"/>
        <v>10421.884210717653</v>
      </c>
      <c r="AA140" s="201">
        <f t="shared" ca="1" si="35"/>
        <v>3700.0800311653093</v>
      </c>
      <c r="AB140" s="201">
        <f t="shared" ca="1" si="36"/>
        <v>6721.8041795523441</v>
      </c>
      <c r="AC140" s="201">
        <f t="shared" ca="1" si="40"/>
        <v>10421.884210717653</v>
      </c>
    </row>
    <row r="141" spans="2:29" x14ac:dyDescent="0.3">
      <c r="B141" s="84">
        <f t="shared" si="37"/>
        <v>130</v>
      </c>
      <c r="C141" s="85">
        <f ca="1">IF($B141="","",'Fecha Pago'!K133)</f>
        <v>50102</v>
      </c>
      <c r="D141" s="86">
        <f>IF($B$12="","",'Fecha Pago'!L133)</f>
        <v>30.4</v>
      </c>
      <c r="E141" s="87">
        <f t="shared" ref="E141:E204" si="43">IF(B141="","",$F$2)</f>
        <v>0.11</v>
      </c>
      <c r="F141" s="86">
        <f t="shared" ca="1" si="41"/>
        <v>719939.12590150337</v>
      </c>
      <c r="G141" s="86">
        <f t="shared" ca="1" si="42"/>
        <v>3734.4496634548004</v>
      </c>
      <c r="H141" s="86">
        <f t="shared" ref="H141:H204" ca="1" si="44">IF(C141="","",IF($S$7=$U$10,V141,IF($S$7=$X$10,Y141,IF($S$7=$AA$10,AB141,))))</f>
        <v>6687.4345472628529</v>
      </c>
      <c r="I141" s="86">
        <f>IF(B141="","",IF(Simulador!$F$9="Liquidez",'Tabla Fijos'!H141*0.16,IF(Simulador!$J$9="SI",H141*0.16,0)))</f>
        <v>0</v>
      </c>
      <c r="J141" s="86">
        <f t="shared" ref="J141:J204" ca="1" si="45">IF(D141="","",IF($S$7=$U$10,W141,IF($S$7=$X$10,Z141,IF($S$7=$AA$10,AC141,))))</f>
        <v>10421.884210717653</v>
      </c>
      <c r="K141" s="86">
        <f t="shared" ca="1" si="38"/>
        <v>0</v>
      </c>
      <c r="L141" s="86">
        <f ca="1">IF(B141="","",IF(F141=0,0,IF(Sheet1!$I$10=6,'Tabla Fijos'!$C$3*'Tabla Fijos'!$F$5,$F$5*$C$5)))</f>
        <v>0</v>
      </c>
      <c r="M141" s="86">
        <f t="shared" ref="M141:M204" ca="1" si="46">IF(B141="","",IF(F141=0,0,$J$4))</f>
        <v>0</v>
      </c>
      <c r="N141" s="86">
        <f ca="1">IF(B141="","",IF(F141=0,0,IF(Simulador!$N$7='Tabla Parámetros'!$C$31,AportPat!L133,IF(Simulador!$N$7='Tabla Parámetros'!$C$34,AportPatFov!G131,0))))</f>
        <v>0</v>
      </c>
      <c r="O141" s="86">
        <f>Simulador!N196</f>
        <v>0</v>
      </c>
      <c r="P141" s="86"/>
      <c r="Q141" s="86">
        <v>0</v>
      </c>
      <c r="R141" s="86">
        <f t="shared" ref="R141:R204" ca="1" si="47">IF(B141="","",G141+H141+K141+L141+M141)-N141</f>
        <v>10421.884210717653</v>
      </c>
      <c r="S141" s="86">
        <f t="shared" ref="S141:S204" ca="1" si="48">IF(B141="","",F141-G141)</f>
        <v>716204.67623804859</v>
      </c>
      <c r="U141" s="201">
        <f t="shared" ref="U141:U204" ca="1" si="49">IF(F141=0,0,PPMT(E141/360*30.4,B141,$C$4,-$S$11)+N141+O141+P141)</f>
        <v>3734.4496634548022</v>
      </c>
      <c r="V141" s="201">
        <f t="shared" ref="V141:V204" ca="1" si="50">(E141/360*D141)*F141</f>
        <v>6687.4345472628529</v>
      </c>
      <c r="W141" s="202">
        <f t="shared" ref="W141:W204" ca="1" si="51">U141+V141</f>
        <v>10421.884210717655</v>
      </c>
      <c r="X141" s="201">
        <f t="shared" ref="X141:X204" ca="1" si="52">Z141-Y141</f>
        <v>3734.4496634548004</v>
      </c>
      <c r="Y141" s="201">
        <f t="shared" ref="Y141:Y204" ca="1" si="53">(E141/360*D141)*F141</f>
        <v>6687.4345472628529</v>
      </c>
      <c r="Z141" s="201">
        <f t="shared" ca="1" si="39"/>
        <v>10421.884210717653</v>
      </c>
      <c r="AA141" s="201">
        <f t="shared" ref="AA141:AA204" ca="1" si="54">AC141-AB141</f>
        <v>3734.4496634548004</v>
      </c>
      <c r="AB141" s="201">
        <f t="shared" ref="AB141:AB204" ca="1" si="55">(E141/360*D141)*F141</f>
        <v>6687.4345472628529</v>
      </c>
      <c r="AC141" s="201">
        <f t="shared" ca="1" si="40"/>
        <v>10421.884210717653</v>
      </c>
    </row>
    <row r="142" spans="2:29" x14ac:dyDescent="0.3">
      <c r="B142" s="84">
        <f t="shared" ref="B142:B205" si="56">IF(B141="","",IF(B141=$C$4,"",B141+1))</f>
        <v>131</v>
      </c>
      <c r="C142" s="85">
        <f ca="1">IF($B142="","",'Fecha Pago'!K134)</f>
        <v>50133</v>
      </c>
      <c r="D142" s="86">
        <f>IF($B$12="","",'Fecha Pago'!L134)</f>
        <v>30.4</v>
      </c>
      <c r="E142" s="87">
        <f t="shared" si="43"/>
        <v>0.11</v>
      </c>
      <c r="F142" s="86">
        <f t="shared" ca="1" si="41"/>
        <v>716204.67623804859</v>
      </c>
      <c r="G142" s="86">
        <f t="shared" ca="1" si="42"/>
        <v>3769.1385514397844</v>
      </c>
      <c r="H142" s="86">
        <f t="shared" ca="1" si="44"/>
        <v>6652.7456592778726</v>
      </c>
      <c r="I142" s="86">
        <f>IF(B142="","",IF(Simulador!$F$9="Liquidez",'Tabla Fijos'!H142*0.16,IF(Simulador!$J$9="SI",H142*0.16,0)))</f>
        <v>0</v>
      </c>
      <c r="J142" s="86">
        <f t="shared" ca="1" si="45"/>
        <v>10421.884210717657</v>
      </c>
      <c r="K142" s="86">
        <f t="shared" ref="K142:K205" ca="1" si="57">IF(B142="","",IF($F$3="",0,($F$4*F142)))</f>
        <v>0</v>
      </c>
      <c r="L142" s="86">
        <f ca="1">IF(B142="","",IF(F142=0,0,IF(Sheet1!$I$10=6,'Tabla Fijos'!$C$3*'Tabla Fijos'!$F$5,$F$5*$C$5)))</f>
        <v>0</v>
      </c>
      <c r="M142" s="86">
        <f t="shared" ca="1" si="46"/>
        <v>0</v>
      </c>
      <c r="N142" s="86">
        <f ca="1">IF(B142="","",IF(F142=0,0,IF(Simulador!$N$7='Tabla Parámetros'!$C$31,AportPat!L134,IF(Simulador!$N$7='Tabla Parámetros'!$C$34,AportPatFov!G132,0))))</f>
        <v>0</v>
      </c>
      <c r="O142" s="86">
        <f>Simulador!N197</f>
        <v>0</v>
      </c>
      <c r="P142" s="86"/>
      <c r="Q142" s="86">
        <v>0</v>
      </c>
      <c r="R142" s="86">
        <f t="shared" ca="1" si="47"/>
        <v>10421.884210717657</v>
      </c>
      <c r="S142" s="86">
        <f t="shared" ca="1" si="48"/>
        <v>712435.53768660885</v>
      </c>
      <c r="U142" s="201">
        <f t="shared" ca="1" si="49"/>
        <v>3769.1385514397816</v>
      </c>
      <c r="V142" s="201">
        <f t="shared" ca="1" si="50"/>
        <v>6652.7456592778726</v>
      </c>
      <c r="W142" s="202">
        <f t="shared" ca="1" si="51"/>
        <v>10421.884210717653</v>
      </c>
      <c r="X142" s="201">
        <f t="shared" ca="1" si="52"/>
        <v>3769.1385514397807</v>
      </c>
      <c r="Y142" s="201">
        <f t="shared" ca="1" si="53"/>
        <v>6652.7456592778726</v>
      </c>
      <c r="Z142" s="201">
        <f t="shared" ref="Z142:Z205" ca="1" si="58">IF(F142=0,0,PMT($F$2/360*30.4,$C$4,-$C$3)+N142+O142+P142)</f>
        <v>10421.884210717653</v>
      </c>
      <c r="AA142" s="201">
        <f t="shared" ca="1" si="54"/>
        <v>3769.1385514397844</v>
      </c>
      <c r="AB142" s="201">
        <f t="shared" ca="1" si="55"/>
        <v>6652.7456592778726</v>
      </c>
      <c r="AC142" s="201">
        <f t="shared" ref="AC142:AC205" ca="1" si="59">PMT($F$2/360*30.4,$C$4-B141,-S141)+N142+O142+P142</f>
        <v>10421.884210717657</v>
      </c>
    </row>
    <row r="143" spans="2:29" x14ac:dyDescent="0.3">
      <c r="B143" s="84">
        <f t="shared" si="56"/>
        <v>132</v>
      </c>
      <c r="C143" s="85">
        <f ca="1">IF($B143="","",'Fecha Pago'!K135)</f>
        <v>50163</v>
      </c>
      <c r="D143" s="86">
        <f>IF($B$12="","",'Fecha Pago'!L135)</f>
        <v>30.4</v>
      </c>
      <c r="E143" s="87">
        <f t="shared" si="43"/>
        <v>0.11</v>
      </c>
      <c r="F143" s="86">
        <f t="shared" ca="1" si="41"/>
        <v>712435.53768660885</v>
      </c>
      <c r="G143" s="86">
        <f t="shared" ca="1" si="42"/>
        <v>3804.1496606509354</v>
      </c>
      <c r="H143" s="86">
        <f t="shared" ca="1" si="44"/>
        <v>6617.7345500667216</v>
      </c>
      <c r="I143" s="86">
        <f>IF(B143="","",IF(Simulador!$F$9="Liquidez",'Tabla Fijos'!H143*0.16,IF(Simulador!$J$9="SI",H143*0.16,0)))</f>
        <v>0</v>
      </c>
      <c r="J143" s="86">
        <f t="shared" ca="1" si="45"/>
        <v>10421.884210717657</v>
      </c>
      <c r="K143" s="86">
        <f t="shared" ca="1" si="57"/>
        <v>0</v>
      </c>
      <c r="L143" s="86">
        <f ca="1">IF(B143="","",IF(F143=0,0,IF(Sheet1!$I$10=6,'Tabla Fijos'!$C$3*'Tabla Fijos'!$F$5,$F$5*$C$5)))</f>
        <v>0</v>
      </c>
      <c r="M143" s="86">
        <f t="shared" ca="1" si="46"/>
        <v>0</v>
      </c>
      <c r="N143" s="86">
        <f ca="1">IF(B143="","",IF(F143=0,0,IF(Simulador!$N$7='Tabla Parámetros'!$C$31,AportPat!L135,IF(Simulador!$N$7='Tabla Parámetros'!$C$34,AportPatFov!G133,0))))</f>
        <v>0</v>
      </c>
      <c r="O143" s="86">
        <f>Simulador!N198</f>
        <v>0</v>
      </c>
      <c r="P143" s="86"/>
      <c r="Q143" s="86">
        <v>0</v>
      </c>
      <c r="R143" s="86">
        <f t="shared" ca="1" si="47"/>
        <v>10421.884210717657</v>
      </c>
      <c r="S143" s="86">
        <f t="shared" ca="1" si="48"/>
        <v>708631.38802595786</v>
      </c>
      <c r="U143" s="201">
        <f t="shared" ca="1" si="49"/>
        <v>3804.1496606509336</v>
      </c>
      <c r="V143" s="201">
        <f t="shared" ca="1" si="50"/>
        <v>6617.7345500667216</v>
      </c>
      <c r="W143" s="202">
        <f t="shared" ca="1" si="51"/>
        <v>10421.884210717655</v>
      </c>
      <c r="X143" s="201">
        <f t="shared" ca="1" si="52"/>
        <v>3804.1496606509318</v>
      </c>
      <c r="Y143" s="201">
        <f t="shared" ca="1" si="53"/>
        <v>6617.7345500667216</v>
      </c>
      <c r="Z143" s="201">
        <f t="shared" ca="1" si="58"/>
        <v>10421.884210717653</v>
      </c>
      <c r="AA143" s="201">
        <f t="shared" ca="1" si="54"/>
        <v>3804.1496606509354</v>
      </c>
      <c r="AB143" s="201">
        <f t="shared" ca="1" si="55"/>
        <v>6617.7345500667216</v>
      </c>
      <c r="AC143" s="201">
        <f t="shared" ca="1" si="59"/>
        <v>10421.884210717657</v>
      </c>
    </row>
    <row r="144" spans="2:29" x14ac:dyDescent="0.3">
      <c r="B144" s="84">
        <f t="shared" si="56"/>
        <v>133</v>
      </c>
      <c r="C144" s="85">
        <f ca="1">IF($B144="","",'Fecha Pago'!K136)</f>
        <v>50194</v>
      </c>
      <c r="D144" s="86">
        <f>IF($B$12="","",'Fecha Pago'!L136)</f>
        <v>30.4</v>
      </c>
      <c r="E144" s="87">
        <f t="shared" si="43"/>
        <v>0.11</v>
      </c>
      <c r="F144" s="86">
        <f t="shared" ca="1" si="41"/>
        <v>708631.38802595786</v>
      </c>
      <c r="G144" s="86">
        <f t="shared" ca="1" si="42"/>
        <v>3839.485984165427</v>
      </c>
      <c r="H144" s="86">
        <f t="shared" ca="1" si="44"/>
        <v>6582.39822655223</v>
      </c>
      <c r="I144" s="86">
        <f>IF(B144="","",IF(Simulador!$F$9="Liquidez",'Tabla Fijos'!H144*0.16,IF(Simulador!$J$9="SI",H144*0.16,0)))</f>
        <v>0</v>
      </c>
      <c r="J144" s="86">
        <f t="shared" ca="1" si="45"/>
        <v>10421.884210717657</v>
      </c>
      <c r="K144" s="86">
        <f t="shared" ca="1" si="57"/>
        <v>0</v>
      </c>
      <c r="L144" s="86">
        <f ca="1">IF(B144="","",IF(F144=0,0,IF(Sheet1!$I$10=6,'Tabla Fijos'!$C$3*'Tabla Fijos'!$F$5,$F$5*$C$5)))</f>
        <v>0</v>
      </c>
      <c r="M144" s="86">
        <f t="shared" ca="1" si="46"/>
        <v>0</v>
      </c>
      <c r="N144" s="86">
        <f ca="1">IF(B144="","",IF(F144=0,0,IF(Simulador!$N$7='Tabla Parámetros'!$C$31,AportPat!L136,IF(Simulador!$N$7='Tabla Parámetros'!$C$34,AportPatFov!G134,0))))</f>
        <v>0</v>
      </c>
      <c r="O144" s="86">
        <f>Simulador!N199</f>
        <v>0</v>
      </c>
      <c r="P144" s="86"/>
      <c r="Q144" s="86">
        <v>0</v>
      </c>
      <c r="R144" s="86">
        <f t="shared" ca="1" si="47"/>
        <v>10421.884210717657</v>
      </c>
      <c r="S144" s="86">
        <f t="shared" ca="1" si="48"/>
        <v>704791.9020417924</v>
      </c>
      <c r="U144" s="201">
        <f t="shared" ca="1" si="49"/>
        <v>3839.4859841654247</v>
      </c>
      <c r="V144" s="201">
        <f t="shared" ca="1" si="50"/>
        <v>6582.39822655223</v>
      </c>
      <c r="W144" s="202">
        <f t="shared" ca="1" si="51"/>
        <v>10421.884210717655</v>
      </c>
      <c r="X144" s="201">
        <f t="shared" ca="1" si="52"/>
        <v>3839.4859841654234</v>
      </c>
      <c r="Y144" s="201">
        <f t="shared" ca="1" si="53"/>
        <v>6582.39822655223</v>
      </c>
      <c r="Z144" s="201">
        <f t="shared" ca="1" si="58"/>
        <v>10421.884210717653</v>
      </c>
      <c r="AA144" s="201">
        <f t="shared" ca="1" si="54"/>
        <v>3839.485984165427</v>
      </c>
      <c r="AB144" s="201">
        <f t="shared" ca="1" si="55"/>
        <v>6582.39822655223</v>
      </c>
      <c r="AC144" s="201">
        <f t="shared" ca="1" si="59"/>
        <v>10421.884210717657</v>
      </c>
    </row>
    <row r="145" spans="2:29" x14ac:dyDescent="0.3">
      <c r="B145" s="84">
        <f t="shared" si="56"/>
        <v>134</v>
      </c>
      <c r="C145" s="85">
        <f ca="1">IF($B145="","",'Fecha Pago'!K137)</f>
        <v>50224</v>
      </c>
      <c r="D145" s="86">
        <f>IF($B$12="","",'Fecha Pago'!L137)</f>
        <v>30.4</v>
      </c>
      <c r="E145" s="87">
        <f t="shared" si="43"/>
        <v>0.11</v>
      </c>
      <c r="F145" s="86">
        <f t="shared" ca="1" si="41"/>
        <v>704791.9020417924</v>
      </c>
      <c r="G145" s="86">
        <f t="shared" ca="1" si="42"/>
        <v>3875.1505428627825</v>
      </c>
      <c r="H145" s="86">
        <f t="shared" ca="1" si="44"/>
        <v>6546.7336678548709</v>
      </c>
      <c r="I145" s="86">
        <f>IF(B145="","",IF(Simulador!$F$9="Liquidez",'Tabla Fijos'!H145*0.16,IF(Simulador!$J$9="SI",H145*0.16,0)))</f>
        <v>0</v>
      </c>
      <c r="J145" s="86">
        <f t="shared" ca="1" si="45"/>
        <v>10421.884210717653</v>
      </c>
      <c r="K145" s="86">
        <f t="shared" ca="1" si="57"/>
        <v>0</v>
      </c>
      <c r="L145" s="86">
        <f ca="1">IF(B145="","",IF(F145=0,0,IF(Sheet1!$I$10=6,'Tabla Fijos'!$C$3*'Tabla Fijos'!$F$5,$F$5*$C$5)))</f>
        <v>0</v>
      </c>
      <c r="M145" s="86">
        <f t="shared" ca="1" si="46"/>
        <v>0</v>
      </c>
      <c r="N145" s="86">
        <f ca="1">IF(B145="","",IF(F145=0,0,IF(Simulador!$N$7='Tabla Parámetros'!$C$31,AportPat!L137,IF(Simulador!$N$7='Tabla Parámetros'!$C$34,AportPatFov!G135,0))))</f>
        <v>0</v>
      </c>
      <c r="O145" s="86">
        <f>Simulador!N200</f>
        <v>0</v>
      </c>
      <c r="P145" s="86"/>
      <c r="Q145" s="86">
        <v>0</v>
      </c>
      <c r="R145" s="86">
        <f t="shared" ca="1" si="47"/>
        <v>10421.884210717653</v>
      </c>
      <c r="S145" s="86">
        <f t="shared" ca="1" si="48"/>
        <v>700916.75149892957</v>
      </c>
      <c r="U145" s="201">
        <f t="shared" ca="1" si="49"/>
        <v>3875.1505428627834</v>
      </c>
      <c r="V145" s="201">
        <f t="shared" ca="1" si="50"/>
        <v>6546.7336678548709</v>
      </c>
      <c r="W145" s="202">
        <f t="shared" ca="1" si="51"/>
        <v>10421.884210717653</v>
      </c>
      <c r="X145" s="201">
        <f t="shared" ca="1" si="52"/>
        <v>3875.1505428627825</v>
      </c>
      <c r="Y145" s="201">
        <f t="shared" ca="1" si="53"/>
        <v>6546.7336678548709</v>
      </c>
      <c r="Z145" s="201">
        <f t="shared" ca="1" si="58"/>
        <v>10421.884210717653</v>
      </c>
      <c r="AA145" s="201">
        <f t="shared" ca="1" si="54"/>
        <v>3875.1505428627825</v>
      </c>
      <c r="AB145" s="201">
        <f t="shared" ca="1" si="55"/>
        <v>6546.7336678548709</v>
      </c>
      <c r="AC145" s="201">
        <f t="shared" ca="1" si="59"/>
        <v>10421.884210717653</v>
      </c>
    </row>
    <row r="146" spans="2:29" x14ac:dyDescent="0.3">
      <c r="B146" s="84">
        <f t="shared" si="56"/>
        <v>135</v>
      </c>
      <c r="C146" s="85">
        <f ca="1">IF($B146="","",'Fecha Pago'!K138)</f>
        <v>50255</v>
      </c>
      <c r="D146" s="86">
        <f>IF($B$12="","",'Fecha Pago'!L138)</f>
        <v>30.4</v>
      </c>
      <c r="E146" s="87">
        <f t="shared" si="43"/>
        <v>0.11</v>
      </c>
      <c r="F146" s="86">
        <f t="shared" ca="1" si="41"/>
        <v>700916.75149892957</v>
      </c>
      <c r="G146" s="86">
        <f t="shared" ca="1" si="42"/>
        <v>3911.1463856831524</v>
      </c>
      <c r="H146" s="86">
        <f t="shared" ca="1" si="44"/>
        <v>6510.7378250345009</v>
      </c>
      <c r="I146" s="86">
        <f>IF(B146="","",IF(Simulador!$F$9="Liquidez",'Tabla Fijos'!H146*0.16,IF(Simulador!$J$9="SI",H146*0.16,0)))</f>
        <v>0</v>
      </c>
      <c r="J146" s="86">
        <f t="shared" ca="1" si="45"/>
        <v>10421.884210717653</v>
      </c>
      <c r="K146" s="86">
        <f t="shared" ca="1" si="57"/>
        <v>0</v>
      </c>
      <c r="L146" s="86">
        <f ca="1">IF(B146="","",IF(F146=0,0,IF(Sheet1!$I$10=6,'Tabla Fijos'!$C$3*'Tabla Fijos'!$F$5,$F$5*$C$5)))</f>
        <v>0</v>
      </c>
      <c r="M146" s="86">
        <f t="shared" ca="1" si="46"/>
        <v>0</v>
      </c>
      <c r="N146" s="86">
        <f ca="1">IF(B146="","",IF(F146=0,0,IF(Simulador!$N$7='Tabla Parámetros'!$C$31,AportPat!L138,IF(Simulador!$N$7='Tabla Parámetros'!$C$34,AportPatFov!G136,0))))</f>
        <v>0</v>
      </c>
      <c r="O146" s="86">
        <f>Simulador!N201</f>
        <v>0</v>
      </c>
      <c r="P146" s="86"/>
      <c r="Q146" s="86">
        <v>0</v>
      </c>
      <c r="R146" s="86">
        <f t="shared" ca="1" si="47"/>
        <v>10421.884210717653</v>
      </c>
      <c r="S146" s="86">
        <f t="shared" ca="1" si="48"/>
        <v>697005.60511324648</v>
      </c>
      <c r="U146" s="201">
        <f t="shared" ca="1" si="49"/>
        <v>3911.1463856831538</v>
      </c>
      <c r="V146" s="201">
        <f t="shared" ca="1" si="50"/>
        <v>6510.7378250345009</v>
      </c>
      <c r="W146" s="202">
        <f t="shared" ca="1" si="51"/>
        <v>10421.884210717655</v>
      </c>
      <c r="X146" s="201">
        <f t="shared" ca="1" si="52"/>
        <v>3911.1463856831524</v>
      </c>
      <c r="Y146" s="201">
        <f t="shared" ca="1" si="53"/>
        <v>6510.7378250345009</v>
      </c>
      <c r="Z146" s="201">
        <f t="shared" ca="1" si="58"/>
        <v>10421.884210717653</v>
      </c>
      <c r="AA146" s="201">
        <f t="shared" ca="1" si="54"/>
        <v>3911.1463856831524</v>
      </c>
      <c r="AB146" s="201">
        <f t="shared" ca="1" si="55"/>
        <v>6510.7378250345009</v>
      </c>
      <c r="AC146" s="201">
        <f t="shared" ca="1" si="59"/>
        <v>10421.884210717653</v>
      </c>
    </row>
    <row r="147" spans="2:29" x14ac:dyDescent="0.3">
      <c r="B147" s="84">
        <f t="shared" si="56"/>
        <v>136</v>
      </c>
      <c r="C147" s="85">
        <f ca="1">IF($B147="","",'Fecha Pago'!K139)</f>
        <v>50286</v>
      </c>
      <c r="D147" s="86">
        <f>IF($B$12="","",'Fecha Pago'!L139)</f>
        <v>30.4</v>
      </c>
      <c r="E147" s="87">
        <f t="shared" si="43"/>
        <v>0.11</v>
      </c>
      <c r="F147" s="86">
        <f t="shared" ca="1" si="41"/>
        <v>697005.60511324648</v>
      </c>
      <c r="G147" s="86">
        <f t="shared" ca="1" si="42"/>
        <v>3947.4765898879459</v>
      </c>
      <c r="H147" s="86">
        <f t="shared" ca="1" si="44"/>
        <v>6474.407620829711</v>
      </c>
      <c r="I147" s="86">
        <f>IF(B147="","",IF(Simulador!$F$9="Liquidez",'Tabla Fijos'!H147*0.16,IF(Simulador!$J$9="SI",H147*0.16,0)))</f>
        <v>0</v>
      </c>
      <c r="J147" s="86">
        <f t="shared" ca="1" si="45"/>
        <v>10421.884210717657</v>
      </c>
      <c r="K147" s="86">
        <f t="shared" ca="1" si="57"/>
        <v>0</v>
      </c>
      <c r="L147" s="86">
        <f ca="1">IF(B147="","",IF(F147=0,0,IF(Sheet1!$I$10=6,'Tabla Fijos'!$C$3*'Tabla Fijos'!$F$5,$F$5*$C$5)))</f>
        <v>0</v>
      </c>
      <c r="M147" s="86">
        <f t="shared" ca="1" si="46"/>
        <v>0</v>
      </c>
      <c r="N147" s="86">
        <f ca="1">IF(B147="","",IF(F147=0,0,IF(Simulador!$N$7='Tabla Parámetros'!$C$31,AportPat!L139,IF(Simulador!$N$7='Tabla Parámetros'!$C$34,AportPatFov!G137,0))))</f>
        <v>0</v>
      </c>
      <c r="O147" s="86">
        <f>Simulador!N202</f>
        <v>0</v>
      </c>
      <c r="P147" s="86"/>
      <c r="Q147" s="86">
        <v>0</v>
      </c>
      <c r="R147" s="86">
        <f t="shared" ca="1" si="47"/>
        <v>10421.884210717657</v>
      </c>
      <c r="S147" s="86">
        <f t="shared" ca="1" si="48"/>
        <v>693058.12852335849</v>
      </c>
      <c r="U147" s="201">
        <f t="shared" ca="1" si="49"/>
        <v>3947.4765898879441</v>
      </c>
      <c r="V147" s="201">
        <f t="shared" ca="1" si="50"/>
        <v>6474.407620829711</v>
      </c>
      <c r="W147" s="202">
        <f t="shared" ca="1" si="51"/>
        <v>10421.884210717655</v>
      </c>
      <c r="X147" s="201">
        <f t="shared" ca="1" si="52"/>
        <v>3947.4765898879423</v>
      </c>
      <c r="Y147" s="201">
        <f t="shared" ca="1" si="53"/>
        <v>6474.407620829711</v>
      </c>
      <c r="Z147" s="201">
        <f t="shared" ca="1" si="58"/>
        <v>10421.884210717653</v>
      </c>
      <c r="AA147" s="201">
        <f t="shared" ca="1" si="54"/>
        <v>3947.4765898879459</v>
      </c>
      <c r="AB147" s="201">
        <f t="shared" ca="1" si="55"/>
        <v>6474.407620829711</v>
      </c>
      <c r="AC147" s="201">
        <f t="shared" ca="1" si="59"/>
        <v>10421.884210717657</v>
      </c>
    </row>
    <row r="148" spans="2:29" x14ac:dyDescent="0.3">
      <c r="B148" s="84">
        <f t="shared" si="56"/>
        <v>137</v>
      </c>
      <c r="C148" s="85">
        <f ca="1">IF($B148="","",'Fecha Pago'!K140)</f>
        <v>50316</v>
      </c>
      <c r="D148" s="86">
        <f>IF($B$12="","",'Fecha Pago'!L140)</f>
        <v>30.4</v>
      </c>
      <c r="E148" s="87">
        <f t="shared" si="43"/>
        <v>0.11</v>
      </c>
      <c r="F148" s="86">
        <f t="shared" ca="1" si="41"/>
        <v>693058.12852335849</v>
      </c>
      <c r="G148" s="86">
        <f t="shared" ca="1" si="42"/>
        <v>3984.1442613229001</v>
      </c>
      <c r="H148" s="86">
        <f t="shared" ca="1" si="44"/>
        <v>6437.7399493947514</v>
      </c>
      <c r="I148" s="86">
        <f>IF(B148="","",IF(Simulador!$F$9="Liquidez",'Tabla Fijos'!H148*0.16,IF(Simulador!$J$9="SI",H148*0.16,0)))</f>
        <v>0</v>
      </c>
      <c r="J148" s="86">
        <f t="shared" ca="1" si="45"/>
        <v>10421.884210717652</v>
      </c>
      <c r="K148" s="86">
        <f t="shared" ca="1" si="57"/>
        <v>0</v>
      </c>
      <c r="L148" s="86">
        <f ca="1">IF(B148="","",IF(F148=0,0,IF(Sheet1!$I$10=6,'Tabla Fijos'!$C$3*'Tabla Fijos'!$F$5,$F$5*$C$5)))</f>
        <v>0</v>
      </c>
      <c r="M148" s="86">
        <f t="shared" ca="1" si="46"/>
        <v>0</v>
      </c>
      <c r="N148" s="86">
        <f ca="1">IF(B148="","",IF(F148=0,0,IF(Simulador!$N$7='Tabla Parámetros'!$C$31,AportPat!L140,IF(Simulador!$N$7='Tabla Parámetros'!$C$34,AportPatFov!G138,0))))</f>
        <v>0</v>
      </c>
      <c r="O148" s="86">
        <f>Simulador!N203</f>
        <v>0</v>
      </c>
      <c r="P148" s="86"/>
      <c r="Q148" s="86">
        <v>0</v>
      </c>
      <c r="R148" s="86">
        <f t="shared" ca="1" si="47"/>
        <v>10421.884210717652</v>
      </c>
      <c r="S148" s="86">
        <f t="shared" ca="1" si="48"/>
        <v>689073.98426203558</v>
      </c>
      <c r="U148" s="201">
        <f t="shared" ca="1" si="49"/>
        <v>3984.1442613229028</v>
      </c>
      <c r="V148" s="201">
        <f t="shared" ca="1" si="50"/>
        <v>6437.7399493947514</v>
      </c>
      <c r="W148" s="202">
        <f t="shared" ca="1" si="51"/>
        <v>10421.884210717653</v>
      </c>
      <c r="X148" s="201">
        <f t="shared" ca="1" si="52"/>
        <v>3984.1442613229019</v>
      </c>
      <c r="Y148" s="201">
        <f t="shared" ca="1" si="53"/>
        <v>6437.7399493947514</v>
      </c>
      <c r="Z148" s="201">
        <f t="shared" ca="1" si="58"/>
        <v>10421.884210717653</v>
      </c>
      <c r="AA148" s="201">
        <f t="shared" ca="1" si="54"/>
        <v>3984.1442613229001</v>
      </c>
      <c r="AB148" s="201">
        <f t="shared" ca="1" si="55"/>
        <v>6437.7399493947514</v>
      </c>
      <c r="AC148" s="201">
        <f t="shared" ca="1" si="59"/>
        <v>10421.884210717652</v>
      </c>
    </row>
    <row r="149" spans="2:29" x14ac:dyDescent="0.3">
      <c r="B149" s="84">
        <f t="shared" si="56"/>
        <v>138</v>
      </c>
      <c r="C149" s="85">
        <f ca="1">IF($B149="","",'Fecha Pago'!K141)</f>
        <v>50347</v>
      </c>
      <c r="D149" s="86">
        <f>IF($B$12="","",'Fecha Pago'!L141)</f>
        <v>30.4</v>
      </c>
      <c r="E149" s="87">
        <f t="shared" si="43"/>
        <v>0.11</v>
      </c>
      <c r="F149" s="86">
        <f t="shared" ca="1" si="41"/>
        <v>689073.98426203558</v>
      </c>
      <c r="G149" s="86">
        <f t="shared" ca="1" si="42"/>
        <v>4021.1525346836343</v>
      </c>
      <c r="H149" s="86">
        <f t="shared" ca="1" si="44"/>
        <v>6400.7316760340191</v>
      </c>
      <c r="I149" s="86">
        <f>IF(B149="","",IF(Simulador!$F$9="Liquidez",'Tabla Fijos'!H149*0.16,IF(Simulador!$J$9="SI",H149*0.16,0)))</f>
        <v>0</v>
      </c>
      <c r="J149" s="86">
        <f t="shared" ca="1" si="45"/>
        <v>10421.884210717653</v>
      </c>
      <c r="K149" s="86">
        <f t="shared" ca="1" si="57"/>
        <v>0</v>
      </c>
      <c r="L149" s="86">
        <f ca="1">IF(B149="","",IF(F149=0,0,IF(Sheet1!$I$10=6,'Tabla Fijos'!$C$3*'Tabla Fijos'!$F$5,$F$5*$C$5)))</f>
        <v>0</v>
      </c>
      <c r="M149" s="86">
        <f t="shared" ca="1" si="46"/>
        <v>0</v>
      </c>
      <c r="N149" s="86">
        <f ca="1">IF(B149="","",IF(F149=0,0,IF(Simulador!$N$7='Tabla Parámetros'!$C$31,AportPat!L141,IF(Simulador!$N$7='Tabla Parámetros'!$C$34,AportPatFov!G139,0))))</f>
        <v>0</v>
      </c>
      <c r="O149" s="86">
        <f>Simulador!N204</f>
        <v>0</v>
      </c>
      <c r="P149" s="86"/>
      <c r="Q149" s="86">
        <v>0</v>
      </c>
      <c r="R149" s="86">
        <f t="shared" ca="1" si="47"/>
        <v>10421.884210717653</v>
      </c>
      <c r="S149" s="86">
        <f t="shared" ca="1" si="48"/>
        <v>685052.83172735199</v>
      </c>
      <c r="U149" s="201">
        <f t="shared" ca="1" si="49"/>
        <v>4021.1525346836352</v>
      </c>
      <c r="V149" s="201">
        <f t="shared" ca="1" si="50"/>
        <v>6400.7316760340191</v>
      </c>
      <c r="W149" s="202">
        <f t="shared" ca="1" si="51"/>
        <v>10421.884210717653</v>
      </c>
      <c r="X149" s="201">
        <f t="shared" ca="1" si="52"/>
        <v>4021.1525346836343</v>
      </c>
      <c r="Y149" s="201">
        <f t="shared" ca="1" si="53"/>
        <v>6400.7316760340191</v>
      </c>
      <c r="Z149" s="201">
        <f t="shared" ca="1" si="58"/>
        <v>10421.884210717653</v>
      </c>
      <c r="AA149" s="201">
        <f t="shared" ca="1" si="54"/>
        <v>4021.1525346836343</v>
      </c>
      <c r="AB149" s="201">
        <f t="shared" ca="1" si="55"/>
        <v>6400.7316760340191</v>
      </c>
      <c r="AC149" s="201">
        <f t="shared" ca="1" si="59"/>
        <v>10421.884210717653</v>
      </c>
    </row>
    <row r="150" spans="2:29" x14ac:dyDescent="0.3">
      <c r="B150" s="84">
        <f t="shared" si="56"/>
        <v>139</v>
      </c>
      <c r="C150" s="85">
        <f ca="1">IF($B150="","",'Fecha Pago'!K142)</f>
        <v>50377</v>
      </c>
      <c r="D150" s="86">
        <f>IF($B$12="","",'Fecha Pago'!L142)</f>
        <v>30.4</v>
      </c>
      <c r="E150" s="87">
        <f t="shared" si="43"/>
        <v>0.11</v>
      </c>
      <c r="F150" s="86">
        <f t="shared" ca="1" si="41"/>
        <v>685052.83172735199</v>
      </c>
      <c r="G150" s="86">
        <f t="shared" ca="1" si="42"/>
        <v>4058.5045737835881</v>
      </c>
      <c r="H150" s="86">
        <f t="shared" ca="1" si="44"/>
        <v>6363.3796369340689</v>
      </c>
      <c r="I150" s="86">
        <f>IF(B150="","",IF(Simulador!$F$9="Liquidez",'Tabla Fijos'!H150*0.16,IF(Simulador!$J$9="SI",H150*0.16,0)))</f>
        <v>0</v>
      </c>
      <c r="J150" s="86">
        <f t="shared" ca="1" si="45"/>
        <v>10421.884210717657</v>
      </c>
      <c r="K150" s="86">
        <f t="shared" ca="1" si="57"/>
        <v>0</v>
      </c>
      <c r="L150" s="86">
        <f ca="1">IF(B150="","",IF(F150=0,0,IF(Sheet1!$I$10=6,'Tabla Fijos'!$C$3*'Tabla Fijos'!$F$5,$F$5*$C$5)))</f>
        <v>0</v>
      </c>
      <c r="M150" s="86">
        <f t="shared" ca="1" si="46"/>
        <v>0</v>
      </c>
      <c r="N150" s="86">
        <f ca="1">IF(B150="","",IF(F150=0,0,IF(Simulador!$N$7='Tabla Parámetros'!$C$31,AportPat!L142,IF(Simulador!$N$7='Tabla Parámetros'!$C$34,AportPatFov!G140,0))))</f>
        <v>0</v>
      </c>
      <c r="O150" s="86">
        <f>Simulador!N205</f>
        <v>0</v>
      </c>
      <c r="P150" s="86"/>
      <c r="Q150" s="86">
        <v>0</v>
      </c>
      <c r="R150" s="86">
        <f t="shared" ca="1" si="47"/>
        <v>10421.884210717657</v>
      </c>
      <c r="S150" s="86">
        <f t="shared" ca="1" si="48"/>
        <v>680994.32715356839</v>
      </c>
      <c r="U150" s="201">
        <f t="shared" ca="1" si="49"/>
        <v>4058.5045737835853</v>
      </c>
      <c r="V150" s="201">
        <f t="shared" ca="1" si="50"/>
        <v>6363.3796369340689</v>
      </c>
      <c r="W150" s="202">
        <f t="shared" ca="1" si="51"/>
        <v>10421.884210717653</v>
      </c>
      <c r="X150" s="201">
        <f t="shared" ca="1" si="52"/>
        <v>4058.5045737835844</v>
      </c>
      <c r="Y150" s="201">
        <f t="shared" ca="1" si="53"/>
        <v>6363.3796369340689</v>
      </c>
      <c r="Z150" s="201">
        <f t="shared" ca="1" si="58"/>
        <v>10421.884210717653</v>
      </c>
      <c r="AA150" s="201">
        <f t="shared" ca="1" si="54"/>
        <v>4058.5045737835881</v>
      </c>
      <c r="AB150" s="201">
        <f t="shared" ca="1" si="55"/>
        <v>6363.3796369340689</v>
      </c>
      <c r="AC150" s="201">
        <f t="shared" ca="1" si="59"/>
        <v>10421.884210717657</v>
      </c>
    </row>
    <row r="151" spans="2:29" x14ac:dyDescent="0.3">
      <c r="B151" s="84">
        <f t="shared" si="56"/>
        <v>140</v>
      </c>
      <c r="C151" s="85">
        <f ca="1">IF($B151="","",'Fecha Pago'!K143)</f>
        <v>50408</v>
      </c>
      <c r="D151" s="86">
        <f>IF($B$12="","",'Fecha Pago'!L143)</f>
        <v>30.4</v>
      </c>
      <c r="E151" s="87">
        <f t="shared" si="43"/>
        <v>0.11</v>
      </c>
      <c r="F151" s="86">
        <f t="shared" ca="1" si="41"/>
        <v>680994.32715356839</v>
      </c>
      <c r="G151" s="86">
        <f t="shared" ca="1" si="42"/>
        <v>4096.2035718245115</v>
      </c>
      <c r="H151" s="86">
        <f t="shared" ca="1" si="44"/>
        <v>6325.6806388931454</v>
      </c>
      <c r="I151" s="86">
        <f>IF(B151="","",IF(Simulador!$F$9="Liquidez",'Tabla Fijos'!H151*0.16,IF(Simulador!$J$9="SI",H151*0.16,0)))</f>
        <v>0</v>
      </c>
      <c r="J151" s="86">
        <f t="shared" ca="1" si="45"/>
        <v>10421.884210717657</v>
      </c>
      <c r="K151" s="86">
        <f t="shared" ca="1" si="57"/>
        <v>0</v>
      </c>
      <c r="L151" s="86">
        <f ca="1">IF(B151="","",IF(F151=0,0,IF(Sheet1!$I$10=6,'Tabla Fijos'!$C$3*'Tabla Fijos'!$F$5,$F$5*$C$5)))</f>
        <v>0</v>
      </c>
      <c r="M151" s="86">
        <f t="shared" ca="1" si="46"/>
        <v>0</v>
      </c>
      <c r="N151" s="86">
        <f ca="1">IF(B151="","",IF(F151=0,0,IF(Simulador!$N$7='Tabla Parámetros'!$C$31,AportPat!L143,IF(Simulador!$N$7='Tabla Parámetros'!$C$34,AportPatFov!G141,0))))</f>
        <v>0</v>
      </c>
      <c r="O151" s="86">
        <f>Simulador!N206</f>
        <v>0</v>
      </c>
      <c r="P151" s="86"/>
      <c r="Q151" s="86">
        <v>0</v>
      </c>
      <c r="R151" s="86">
        <f t="shared" ca="1" si="47"/>
        <v>10421.884210717657</v>
      </c>
      <c r="S151" s="86">
        <f t="shared" ca="1" si="48"/>
        <v>676898.12358174392</v>
      </c>
      <c r="U151" s="201">
        <f t="shared" ca="1" si="49"/>
        <v>4096.2035718245088</v>
      </c>
      <c r="V151" s="201">
        <f t="shared" ca="1" si="50"/>
        <v>6325.6806388931454</v>
      </c>
      <c r="W151" s="202">
        <f t="shared" ca="1" si="51"/>
        <v>10421.884210717653</v>
      </c>
      <c r="X151" s="201">
        <f t="shared" ca="1" si="52"/>
        <v>4096.2035718245079</v>
      </c>
      <c r="Y151" s="201">
        <f t="shared" ca="1" si="53"/>
        <v>6325.6806388931454</v>
      </c>
      <c r="Z151" s="201">
        <f t="shared" ca="1" si="58"/>
        <v>10421.884210717653</v>
      </c>
      <c r="AA151" s="201">
        <f t="shared" ca="1" si="54"/>
        <v>4096.2035718245115</v>
      </c>
      <c r="AB151" s="201">
        <f t="shared" ca="1" si="55"/>
        <v>6325.6806388931454</v>
      </c>
      <c r="AC151" s="201">
        <f t="shared" ca="1" si="59"/>
        <v>10421.884210717657</v>
      </c>
    </row>
    <row r="152" spans="2:29" x14ac:dyDescent="0.3">
      <c r="B152" s="84">
        <f t="shared" si="56"/>
        <v>141</v>
      </c>
      <c r="C152" s="85">
        <f ca="1">IF($B152="","",'Fecha Pago'!K144)</f>
        <v>50439</v>
      </c>
      <c r="D152" s="86">
        <f>IF($B$12="","",'Fecha Pago'!L144)</f>
        <v>30.4</v>
      </c>
      <c r="E152" s="87">
        <f t="shared" si="43"/>
        <v>0.11</v>
      </c>
      <c r="F152" s="86">
        <f t="shared" ca="1" si="41"/>
        <v>676898.12358174392</v>
      </c>
      <c r="G152" s="86">
        <f t="shared" ca="1" si="42"/>
        <v>4134.2527516694581</v>
      </c>
      <c r="H152" s="86">
        <f t="shared" ca="1" si="44"/>
        <v>6287.6314590481988</v>
      </c>
      <c r="I152" s="86">
        <f>IF(B152="","",IF(Simulador!$F$9="Liquidez",'Tabla Fijos'!H152*0.16,IF(Simulador!$J$9="SI",H152*0.16,0)))</f>
        <v>0</v>
      </c>
      <c r="J152" s="86">
        <f t="shared" ca="1" si="45"/>
        <v>10421.884210717657</v>
      </c>
      <c r="K152" s="86">
        <f t="shared" ca="1" si="57"/>
        <v>0</v>
      </c>
      <c r="L152" s="86">
        <f ca="1">IF(B152="","",IF(F152=0,0,IF(Sheet1!$I$10=6,'Tabla Fijos'!$C$3*'Tabla Fijos'!$F$5,$F$5*$C$5)))</f>
        <v>0</v>
      </c>
      <c r="M152" s="86">
        <f t="shared" ca="1" si="46"/>
        <v>0</v>
      </c>
      <c r="N152" s="86">
        <f ca="1">IF(B152="","",IF(F152=0,0,IF(Simulador!$N$7='Tabla Parámetros'!$C$31,AportPat!L144,IF(Simulador!$N$7='Tabla Parámetros'!$C$34,AportPatFov!G142,0))))</f>
        <v>0</v>
      </c>
      <c r="O152" s="86">
        <f>Simulador!N207</f>
        <v>0</v>
      </c>
      <c r="P152" s="86"/>
      <c r="Q152" s="86">
        <v>0</v>
      </c>
      <c r="R152" s="86">
        <f t="shared" ca="1" si="47"/>
        <v>10421.884210717657</v>
      </c>
      <c r="S152" s="86">
        <f t="shared" ca="1" si="48"/>
        <v>672763.87083007442</v>
      </c>
      <c r="U152" s="201">
        <f t="shared" ca="1" si="49"/>
        <v>4134.2527516694563</v>
      </c>
      <c r="V152" s="201">
        <f t="shared" ca="1" si="50"/>
        <v>6287.6314590481988</v>
      </c>
      <c r="W152" s="202">
        <f t="shared" ca="1" si="51"/>
        <v>10421.884210717655</v>
      </c>
      <c r="X152" s="201">
        <f t="shared" ca="1" si="52"/>
        <v>4134.2527516694545</v>
      </c>
      <c r="Y152" s="201">
        <f t="shared" ca="1" si="53"/>
        <v>6287.6314590481988</v>
      </c>
      <c r="Z152" s="201">
        <f t="shared" ca="1" si="58"/>
        <v>10421.884210717653</v>
      </c>
      <c r="AA152" s="201">
        <f t="shared" ca="1" si="54"/>
        <v>4134.2527516694581</v>
      </c>
      <c r="AB152" s="201">
        <f t="shared" ca="1" si="55"/>
        <v>6287.6314590481988</v>
      </c>
      <c r="AC152" s="201">
        <f t="shared" ca="1" si="59"/>
        <v>10421.884210717657</v>
      </c>
    </row>
    <row r="153" spans="2:29" x14ac:dyDescent="0.3">
      <c r="B153" s="84">
        <f t="shared" si="56"/>
        <v>142</v>
      </c>
      <c r="C153" s="85">
        <f ca="1">IF($B153="","",'Fecha Pago'!K145)</f>
        <v>50467</v>
      </c>
      <c r="D153" s="86">
        <f>IF($B$12="","",'Fecha Pago'!L145)</f>
        <v>30.4</v>
      </c>
      <c r="E153" s="87">
        <f t="shared" si="43"/>
        <v>0.11</v>
      </c>
      <c r="F153" s="86">
        <f t="shared" ca="1" si="41"/>
        <v>672763.87083007442</v>
      </c>
      <c r="G153" s="86">
        <f t="shared" ca="1" si="42"/>
        <v>4172.6553661182998</v>
      </c>
      <c r="H153" s="86">
        <f t="shared" ca="1" si="44"/>
        <v>6249.2288445993572</v>
      </c>
      <c r="I153" s="86">
        <f>IF(B153="","",IF(Simulador!$F$9="Liquidez",'Tabla Fijos'!H153*0.16,IF(Simulador!$J$9="SI",H153*0.16,0)))</f>
        <v>0</v>
      </c>
      <c r="J153" s="86">
        <f t="shared" ca="1" si="45"/>
        <v>10421.884210717657</v>
      </c>
      <c r="K153" s="86">
        <f t="shared" ca="1" si="57"/>
        <v>0</v>
      </c>
      <c r="L153" s="86">
        <f ca="1">IF(B153="","",IF(F153=0,0,IF(Sheet1!$I$10=6,'Tabla Fijos'!$C$3*'Tabla Fijos'!$F$5,$F$5*$C$5)))</f>
        <v>0</v>
      </c>
      <c r="M153" s="86">
        <f t="shared" ca="1" si="46"/>
        <v>0</v>
      </c>
      <c r="N153" s="86">
        <f ca="1">IF(B153="","",IF(F153=0,0,IF(Simulador!$N$7='Tabla Parámetros'!$C$31,AportPat!L145,IF(Simulador!$N$7='Tabla Parámetros'!$C$34,AportPatFov!G143,0))))</f>
        <v>0</v>
      </c>
      <c r="O153" s="86">
        <f>Simulador!N208</f>
        <v>0</v>
      </c>
      <c r="P153" s="86"/>
      <c r="Q153" s="86">
        <v>0</v>
      </c>
      <c r="R153" s="86">
        <f t="shared" ca="1" si="47"/>
        <v>10421.884210717657</v>
      </c>
      <c r="S153" s="86">
        <f t="shared" ca="1" si="48"/>
        <v>668591.21546395612</v>
      </c>
      <c r="U153" s="201">
        <f t="shared" ca="1" si="49"/>
        <v>4172.655366118297</v>
      </c>
      <c r="V153" s="201">
        <f t="shared" ca="1" si="50"/>
        <v>6249.2288445993572</v>
      </c>
      <c r="W153" s="202">
        <f t="shared" ca="1" si="51"/>
        <v>10421.884210717653</v>
      </c>
      <c r="X153" s="201">
        <f t="shared" ca="1" si="52"/>
        <v>4172.6553661182961</v>
      </c>
      <c r="Y153" s="201">
        <f t="shared" ca="1" si="53"/>
        <v>6249.2288445993572</v>
      </c>
      <c r="Z153" s="201">
        <f t="shared" ca="1" si="58"/>
        <v>10421.884210717653</v>
      </c>
      <c r="AA153" s="201">
        <f t="shared" ca="1" si="54"/>
        <v>4172.6553661182998</v>
      </c>
      <c r="AB153" s="201">
        <f t="shared" ca="1" si="55"/>
        <v>6249.2288445993572</v>
      </c>
      <c r="AC153" s="201">
        <f t="shared" ca="1" si="59"/>
        <v>10421.884210717657</v>
      </c>
    </row>
    <row r="154" spans="2:29" x14ac:dyDescent="0.3">
      <c r="B154" s="84">
        <f t="shared" si="56"/>
        <v>143</v>
      </c>
      <c r="C154" s="85">
        <f ca="1">IF($B154="","",'Fecha Pago'!K146)</f>
        <v>50498</v>
      </c>
      <c r="D154" s="86">
        <f>IF($B$12="","",'Fecha Pago'!L146)</f>
        <v>30.4</v>
      </c>
      <c r="E154" s="87">
        <f t="shared" si="43"/>
        <v>0.11</v>
      </c>
      <c r="F154" s="86">
        <f t="shared" ca="1" si="41"/>
        <v>668591.21546395612</v>
      </c>
      <c r="G154" s="86">
        <f t="shared" ca="1" si="42"/>
        <v>4211.4146981857948</v>
      </c>
      <c r="H154" s="86">
        <f t="shared" ca="1" si="44"/>
        <v>6210.4695125318585</v>
      </c>
      <c r="I154" s="86">
        <f>IF(B154="","",IF(Simulador!$F$9="Liquidez",'Tabla Fijos'!H154*0.16,IF(Simulador!$J$9="SI",H154*0.16,0)))</f>
        <v>0</v>
      </c>
      <c r="J154" s="86">
        <f t="shared" ca="1" si="45"/>
        <v>10421.884210717653</v>
      </c>
      <c r="K154" s="86">
        <f t="shared" ca="1" si="57"/>
        <v>0</v>
      </c>
      <c r="L154" s="86">
        <f ca="1">IF(B154="","",IF(F154=0,0,IF(Sheet1!$I$10=6,'Tabla Fijos'!$C$3*'Tabla Fijos'!$F$5,$F$5*$C$5)))</f>
        <v>0</v>
      </c>
      <c r="M154" s="86">
        <f t="shared" ca="1" si="46"/>
        <v>0</v>
      </c>
      <c r="N154" s="86">
        <f ca="1">IF(B154="","",IF(F154=0,0,IF(Simulador!$N$7='Tabla Parámetros'!$C$31,AportPat!L146,IF(Simulador!$N$7='Tabla Parámetros'!$C$34,AportPatFov!G144,0))))</f>
        <v>0</v>
      </c>
      <c r="O154" s="86">
        <f>Simulador!N209</f>
        <v>0</v>
      </c>
      <c r="P154" s="86"/>
      <c r="Q154" s="86">
        <v>0</v>
      </c>
      <c r="R154" s="86">
        <f t="shared" ca="1" si="47"/>
        <v>10421.884210717653</v>
      </c>
      <c r="S154" s="86">
        <f t="shared" ca="1" si="48"/>
        <v>664379.80076577037</v>
      </c>
      <c r="U154" s="201">
        <f t="shared" ca="1" si="49"/>
        <v>4211.4146981857957</v>
      </c>
      <c r="V154" s="201">
        <f t="shared" ca="1" si="50"/>
        <v>6210.4695125318585</v>
      </c>
      <c r="W154" s="202">
        <f t="shared" ca="1" si="51"/>
        <v>10421.884210717653</v>
      </c>
      <c r="X154" s="201">
        <f t="shared" ca="1" si="52"/>
        <v>4211.4146981857948</v>
      </c>
      <c r="Y154" s="201">
        <f t="shared" ca="1" si="53"/>
        <v>6210.4695125318585</v>
      </c>
      <c r="Z154" s="201">
        <f t="shared" ca="1" si="58"/>
        <v>10421.884210717653</v>
      </c>
      <c r="AA154" s="201">
        <f t="shared" ca="1" si="54"/>
        <v>4211.4146981857948</v>
      </c>
      <c r="AB154" s="201">
        <f t="shared" ca="1" si="55"/>
        <v>6210.4695125318585</v>
      </c>
      <c r="AC154" s="201">
        <f t="shared" ca="1" si="59"/>
        <v>10421.884210717653</v>
      </c>
    </row>
    <row r="155" spans="2:29" x14ac:dyDescent="0.3">
      <c r="B155" s="84">
        <f t="shared" si="56"/>
        <v>144</v>
      </c>
      <c r="C155" s="85">
        <f ca="1">IF($B155="","",'Fecha Pago'!K147)</f>
        <v>50528</v>
      </c>
      <c r="D155" s="86">
        <f>IF($B$12="","",'Fecha Pago'!L147)</f>
        <v>30.4</v>
      </c>
      <c r="E155" s="87">
        <f t="shared" si="43"/>
        <v>0.11</v>
      </c>
      <c r="F155" s="86">
        <f t="shared" ref="F155:F218" ca="1" si="60">IF(B155="","",F154-G154)</f>
        <v>664379.80076577037</v>
      </c>
      <c r="G155" s="86">
        <f t="shared" ca="1" si="42"/>
        <v>4250.5340613822755</v>
      </c>
      <c r="H155" s="86">
        <f t="shared" ca="1" si="44"/>
        <v>6171.3501493353779</v>
      </c>
      <c r="I155" s="86">
        <f>IF(B155="","",IF(Simulador!$F$9="Liquidez",'Tabla Fijos'!H155*0.16,IF(Simulador!$J$9="SI",H155*0.16,0)))</f>
        <v>0</v>
      </c>
      <c r="J155" s="86">
        <f t="shared" ca="1" si="45"/>
        <v>10421.884210717653</v>
      </c>
      <c r="K155" s="86">
        <f t="shared" ca="1" si="57"/>
        <v>0</v>
      </c>
      <c r="L155" s="86">
        <f ca="1">IF(B155="","",IF(F155=0,0,IF(Sheet1!$I$10=6,'Tabla Fijos'!$C$3*'Tabla Fijos'!$F$5,$F$5*$C$5)))</f>
        <v>0</v>
      </c>
      <c r="M155" s="86">
        <f t="shared" ca="1" si="46"/>
        <v>0</v>
      </c>
      <c r="N155" s="86">
        <f ca="1">IF(B155="","",IF(F155=0,0,IF(Simulador!$N$7='Tabla Parámetros'!$C$31,AportPat!L147,IF(Simulador!$N$7='Tabla Parámetros'!$C$34,AportPatFov!G145,0))))</f>
        <v>0</v>
      </c>
      <c r="O155" s="86">
        <f>Simulador!N210</f>
        <v>0</v>
      </c>
      <c r="P155" s="86"/>
      <c r="Q155" s="86">
        <v>0</v>
      </c>
      <c r="R155" s="86">
        <f t="shared" ca="1" si="47"/>
        <v>10421.884210717653</v>
      </c>
      <c r="S155" s="86">
        <f t="shared" ca="1" si="48"/>
        <v>660129.26670438808</v>
      </c>
      <c r="U155" s="201">
        <f t="shared" ca="1" si="49"/>
        <v>4250.5340613822773</v>
      </c>
      <c r="V155" s="201">
        <f t="shared" ca="1" si="50"/>
        <v>6171.3501493353779</v>
      </c>
      <c r="W155" s="202">
        <f t="shared" ca="1" si="51"/>
        <v>10421.884210717655</v>
      </c>
      <c r="X155" s="201">
        <f t="shared" ca="1" si="52"/>
        <v>4250.5340613822755</v>
      </c>
      <c r="Y155" s="201">
        <f t="shared" ca="1" si="53"/>
        <v>6171.3501493353779</v>
      </c>
      <c r="Z155" s="201">
        <f t="shared" ca="1" si="58"/>
        <v>10421.884210717653</v>
      </c>
      <c r="AA155" s="201">
        <f t="shared" ca="1" si="54"/>
        <v>4250.5340613822755</v>
      </c>
      <c r="AB155" s="201">
        <f t="shared" ca="1" si="55"/>
        <v>6171.3501493353779</v>
      </c>
      <c r="AC155" s="201">
        <f t="shared" ca="1" si="59"/>
        <v>10421.884210717653</v>
      </c>
    </row>
    <row r="156" spans="2:29" x14ac:dyDescent="0.3">
      <c r="B156" s="580">
        <f t="shared" si="56"/>
        <v>145</v>
      </c>
      <c r="C156" s="581">
        <f ca="1">IF($B156="","",'Fecha Pago'!K148)</f>
        <v>50559</v>
      </c>
      <c r="D156" s="582">
        <f>IF($B$12="","",'Fecha Pago'!L148)</f>
        <v>30.4</v>
      </c>
      <c r="E156" s="583">
        <f t="shared" si="43"/>
        <v>0.11</v>
      </c>
      <c r="F156" s="582">
        <f t="shared" ca="1" si="60"/>
        <v>660129.26670438808</v>
      </c>
      <c r="G156" s="582">
        <f t="shared" ca="1" si="42"/>
        <v>4290.0167999968971</v>
      </c>
      <c r="H156" s="582">
        <f t="shared" ca="1" si="44"/>
        <v>6131.8674107207598</v>
      </c>
      <c r="I156" s="582">
        <f>IF(B156="","",IF(Simulador!$F$9="Liquidez",'Tabla Fijos'!H156*0.16,IF(Simulador!$J$9="SI",H156*0.16,0)))</f>
        <v>0</v>
      </c>
      <c r="J156" s="582">
        <f t="shared" ca="1" si="45"/>
        <v>10421.884210717657</v>
      </c>
      <c r="K156" s="582">
        <f t="shared" ca="1" si="57"/>
        <v>0</v>
      </c>
      <c r="L156" s="582">
        <f ca="1">IF(B156="","",IF(F156=0,0,IF(Sheet1!$I$10=6,'Tabla Fijos'!$C$3*'Tabla Fijos'!$F$5,$F$5*$C$5)))</f>
        <v>0</v>
      </c>
      <c r="M156" s="582">
        <f t="shared" ca="1" si="46"/>
        <v>0</v>
      </c>
      <c r="N156" s="582">
        <f ca="1">IF(B156="","",IF(F156=0,0,IF(Simulador!$N$7='Tabla Parámetros'!$C$31,AportPat!L148,IF(Simulador!$N$7='Tabla Parámetros'!$C$34,AportPatFov!G146,0))))</f>
        <v>0</v>
      </c>
      <c r="O156" s="582">
        <f>Simulador!N211</f>
        <v>0</v>
      </c>
      <c r="P156" s="582">
        <f>IF(B156="","",IF(Sheet1!$Z$1=3,'Tabla Fijos'!$P$9,0))</f>
        <v>0</v>
      </c>
      <c r="Q156" s="582">
        <v>0</v>
      </c>
      <c r="R156" s="582">
        <f t="shared" ca="1" si="47"/>
        <v>10421.884210717657</v>
      </c>
      <c r="S156" s="582">
        <f t="shared" ca="1" si="48"/>
        <v>655839.24990439124</v>
      </c>
      <c r="U156" s="201">
        <f t="shared" ca="1" si="49"/>
        <v>4290.0167999968953</v>
      </c>
      <c r="V156" s="201">
        <f t="shared" ca="1" si="50"/>
        <v>6131.8674107207598</v>
      </c>
      <c r="W156" s="202">
        <f t="shared" ca="1" si="51"/>
        <v>10421.884210717655</v>
      </c>
      <c r="X156" s="201">
        <f t="shared" ca="1" si="52"/>
        <v>4290.0167999968935</v>
      </c>
      <c r="Y156" s="201">
        <f t="shared" ca="1" si="53"/>
        <v>6131.8674107207598</v>
      </c>
      <c r="Z156" s="201">
        <f t="shared" ca="1" si="58"/>
        <v>10421.884210717653</v>
      </c>
      <c r="AA156" s="201">
        <f t="shared" ca="1" si="54"/>
        <v>4290.0167999968971</v>
      </c>
      <c r="AB156" s="201">
        <f t="shared" ca="1" si="55"/>
        <v>6131.8674107207598</v>
      </c>
      <c r="AC156" s="201">
        <f t="shared" ca="1" si="59"/>
        <v>10421.884210717657</v>
      </c>
    </row>
    <row r="157" spans="2:29" x14ac:dyDescent="0.3">
      <c r="B157" s="84">
        <f t="shared" si="56"/>
        <v>146</v>
      </c>
      <c r="C157" s="85">
        <f ca="1">IF($B157="","",'Fecha Pago'!K149)</f>
        <v>50589</v>
      </c>
      <c r="D157" s="86">
        <f>IF($B$12="","",'Fecha Pago'!L149)</f>
        <v>30.4</v>
      </c>
      <c r="E157" s="87">
        <f t="shared" si="43"/>
        <v>0.11</v>
      </c>
      <c r="F157" s="86">
        <f t="shared" ca="1" si="60"/>
        <v>655839.24990439124</v>
      </c>
      <c r="G157" s="86">
        <f t="shared" ca="1" si="42"/>
        <v>4329.8662893835308</v>
      </c>
      <c r="H157" s="86">
        <f t="shared" ca="1" si="44"/>
        <v>6092.0179213341225</v>
      </c>
      <c r="I157" s="86">
        <f>IF(B157="","",IF(Simulador!$F$9="Liquidez",'Tabla Fijos'!H157*0.16,IF(Simulador!$J$9="SI",H157*0.16,0)))</f>
        <v>0</v>
      </c>
      <c r="J157" s="86">
        <f t="shared" ca="1" si="45"/>
        <v>10421.884210717653</v>
      </c>
      <c r="K157" s="86">
        <f t="shared" ca="1" si="57"/>
        <v>0</v>
      </c>
      <c r="L157" s="86">
        <f ca="1">IF(B157="","",IF(F157=0,0,IF(Sheet1!$I$10=6,'Tabla Fijos'!$C$3*'Tabla Fijos'!$F$5,$F$5*$C$5)))</f>
        <v>0</v>
      </c>
      <c r="M157" s="86">
        <f t="shared" ca="1" si="46"/>
        <v>0</v>
      </c>
      <c r="N157" s="86">
        <f ca="1">IF(B157="","",IF(F157=0,0,IF(Simulador!$N$7='Tabla Parámetros'!$C$31,AportPat!L149,IF(Simulador!$N$7='Tabla Parámetros'!$C$34,AportPatFov!G147,0))))</f>
        <v>0</v>
      </c>
      <c r="O157" s="86">
        <f>Simulador!N212</f>
        <v>0</v>
      </c>
      <c r="P157" s="86"/>
      <c r="Q157" s="86">
        <v>0</v>
      </c>
      <c r="R157" s="86">
        <f t="shared" ca="1" si="47"/>
        <v>10421.884210717653</v>
      </c>
      <c r="S157" s="86">
        <f t="shared" ca="1" si="48"/>
        <v>651509.38361500774</v>
      </c>
      <c r="U157" s="201">
        <f t="shared" ca="1" si="49"/>
        <v>4329.8662893835335</v>
      </c>
      <c r="V157" s="201">
        <f t="shared" ca="1" si="50"/>
        <v>6092.0179213341225</v>
      </c>
      <c r="W157" s="202">
        <f t="shared" ca="1" si="51"/>
        <v>10421.884210717657</v>
      </c>
      <c r="X157" s="201">
        <f t="shared" ca="1" si="52"/>
        <v>4329.8662893835308</v>
      </c>
      <c r="Y157" s="201">
        <f t="shared" ca="1" si="53"/>
        <v>6092.0179213341225</v>
      </c>
      <c r="Z157" s="201">
        <f t="shared" ca="1" si="58"/>
        <v>10421.884210717653</v>
      </c>
      <c r="AA157" s="201">
        <f t="shared" ca="1" si="54"/>
        <v>4329.8662893835308</v>
      </c>
      <c r="AB157" s="201">
        <f t="shared" ca="1" si="55"/>
        <v>6092.0179213341225</v>
      </c>
      <c r="AC157" s="201">
        <f t="shared" ca="1" si="59"/>
        <v>10421.884210717653</v>
      </c>
    </row>
    <row r="158" spans="2:29" x14ac:dyDescent="0.3">
      <c r="B158" s="84">
        <f t="shared" si="56"/>
        <v>147</v>
      </c>
      <c r="C158" s="85">
        <f ca="1">IF($B158="","",'Fecha Pago'!K150)</f>
        <v>50620</v>
      </c>
      <c r="D158" s="86">
        <f>IF($B$12="","",'Fecha Pago'!L150)</f>
        <v>30.4</v>
      </c>
      <c r="E158" s="87">
        <f t="shared" si="43"/>
        <v>0.11</v>
      </c>
      <c r="F158" s="86">
        <f t="shared" ca="1" si="60"/>
        <v>651509.38361500774</v>
      </c>
      <c r="G158" s="86">
        <f t="shared" ca="1" si="42"/>
        <v>4370.0859362493629</v>
      </c>
      <c r="H158" s="86">
        <f t="shared" ca="1" si="44"/>
        <v>6051.798274468294</v>
      </c>
      <c r="I158" s="86">
        <f>IF(B158="","",IF(Simulador!$F$9="Liquidez",'Tabla Fijos'!H158*0.16,IF(Simulador!$J$9="SI",H158*0.16,0)))</f>
        <v>0</v>
      </c>
      <c r="J158" s="86">
        <f t="shared" ca="1" si="45"/>
        <v>10421.884210717657</v>
      </c>
      <c r="K158" s="86">
        <f t="shared" ca="1" si="57"/>
        <v>0</v>
      </c>
      <c r="L158" s="86">
        <f ca="1">IF(B158="","",IF(F158=0,0,IF(Sheet1!$I$10=6,'Tabla Fijos'!$C$3*'Tabla Fijos'!$F$5,$F$5*$C$5)))</f>
        <v>0</v>
      </c>
      <c r="M158" s="86">
        <f t="shared" ca="1" si="46"/>
        <v>0</v>
      </c>
      <c r="N158" s="86">
        <f ca="1">IF(B158="","",IF(F158=0,0,IF(Simulador!$N$7='Tabla Parámetros'!$C$31,AportPat!L150,IF(Simulador!$N$7='Tabla Parámetros'!$C$34,AportPatFov!G148,0))))</f>
        <v>0</v>
      </c>
      <c r="O158" s="86">
        <f>Simulador!N213</f>
        <v>0</v>
      </c>
      <c r="P158" s="86"/>
      <c r="Q158" s="86">
        <v>0</v>
      </c>
      <c r="R158" s="86">
        <f t="shared" ca="1" si="47"/>
        <v>10421.884210717657</v>
      </c>
      <c r="S158" s="86">
        <f t="shared" ca="1" si="48"/>
        <v>647139.29767875839</v>
      </c>
      <c r="U158" s="201">
        <f t="shared" ca="1" si="49"/>
        <v>4370.085936249362</v>
      </c>
      <c r="V158" s="201">
        <f t="shared" ca="1" si="50"/>
        <v>6051.798274468294</v>
      </c>
      <c r="W158" s="202">
        <f t="shared" ca="1" si="51"/>
        <v>10421.884210717657</v>
      </c>
      <c r="X158" s="201">
        <f t="shared" ca="1" si="52"/>
        <v>4370.0859362493593</v>
      </c>
      <c r="Y158" s="201">
        <f t="shared" ca="1" si="53"/>
        <v>6051.798274468294</v>
      </c>
      <c r="Z158" s="201">
        <f t="shared" ca="1" si="58"/>
        <v>10421.884210717653</v>
      </c>
      <c r="AA158" s="201">
        <f t="shared" ca="1" si="54"/>
        <v>4370.0859362493629</v>
      </c>
      <c r="AB158" s="201">
        <f t="shared" ca="1" si="55"/>
        <v>6051.798274468294</v>
      </c>
      <c r="AC158" s="201">
        <f t="shared" ca="1" si="59"/>
        <v>10421.884210717657</v>
      </c>
    </row>
    <row r="159" spans="2:29" x14ac:dyDescent="0.3">
      <c r="B159" s="84">
        <f t="shared" si="56"/>
        <v>148</v>
      </c>
      <c r="C159" s="85">
        <f ca="1">IF($B159="","",'Fecha Pago'!K151)</f>
        <v>50651</v>
      </c>
      <c r="D159" s="86">
        <f>IF($B$12="","",'Fecha Pago'!L151)</f>
        <v>30.4</v>
      </c>
      <c r="E159" s="87">
        <f t="shared" si="43"/>
        <v>0.11</v>
      </c>
      <c r="F159" s="86">
        <f t="shared" ca="1" si="60"/>
        <v>647139.29767875839</v>
      </c>
      <c r="G159" s="86">
        <f t="shared" ca="1" si="42"/>
        <v>4410.6791789460794</v>
      </c>
      <c r="H159" s="86">
        <f t="shared" ca="1" si="44"/>
        <v>6011.2050317715775</v>
      </c>
      <c r="I159" s="86">
        <f>IF(B159="","",IF(Simulador!$F$9="Liquidez",'Tabla Fijos'!H159*0.16,IF(Simulador!$J$9="SI",H159*0.16,0)))</f>
        <v>0</v>
      </c>
      <c r="J159" s="86">
        <f t="shared" ca="1" si="45"/>
        <v>10421.884210717657</v>
      </c>
      <c r="K159" s="86">
        <f t="shared" ca="1" si="57"/>
        <v>0</v>
      </c>
      <c r="L159" s="86">
        <f ca="1">IF(B159="","",IF(F159=0,0,IF(Sheet1!$I$10=6,'Tabla Fijos'!$C$3*'Tabla Fijos'!$F$5,$F$5*$C$5)))</f>
        <v>0</v>
      </c>
      <c r="M159" s="86">
        <f t="shared" ca="1" si="46"/>
        <v>0</v>
      </c>
      <c r="N159" s="86">
        <f ca="1">IF(B159="","",IF(F159=0,0,IF(Simulador!$N$7='Tabla Parámetros'!$C$31,AportPat!L151,IF(Simulador!$N$7='Tabla Parámetros'!$C$34,AportPatFov!G149,0))))</f>
        <v>0</v>
      </c>
      <c r="O159" s="86">
        <f>Simulador!N214</f>
        <v>0</v>
      </c>
      <c r="P159" s="86"/>
      <c r="Q159" s="86">
        <v>0</v>
      </c>
      <c r="R159" s="86">
        <f t="shared" ca="1" si="47"/>
        <v>10421.884210717657</v>
      </c>
      <c r="S159" s="86">
        <f t="shared" ca="1" si="48"/>
        <v>642728.61849981232</v>
      </c>
      <c r="U159" s="201">
        <f t="shared" ca="1" si="49"/>
        <v>4410.6791789460785</v>
      </c>
      <c r="V159" s="201">
        <f t="shared" ca="1" si="50"/>
        <v>6011.2050317715775</v>
      </c>
      <c r="W159" s="202">
        <f t="shared" ca="1" si="51"/>
        <v>10421.884210717657</v>
      </c>
      <c r="X159" s="201">
        <f t="shared" ca="1" si="52"/>
        <v>4410.6791789460758</v>
      </c>
      <c r="Y159" s="201">
        <f t="shared" ca="1" si="53"/>
        <v>6011.2050317715775</v>
      </c>
      <c r="Z159" s="201">
        <f t="shared" ca="1" si="58"/>
        <v>10421.884210717653</v>
      </c>
      <c r="AA159" s="201">
        <f t="shared" ca="1" si="54"/>
        <v>4410.6791789460794</v>
      </c>
      <c r="AB159" s="201">
        <f t="shared" ca="1" si="55"/>
        <v>6011.2050317715775</v>
      </c>
      <c r="AC159" s="201">
        <f t="shared" ca="1" si="59"/>
        <v>10421.884210717657</v>
      </c>
    </row>
    <row r="160" spans="2:29" x14ac:dyDescent="0.3">
      <c r="B160" s="84">
        <f t="shared" si="56"/>
        <v>149</v>
      </c>
      <c r="C160" s="85">
        <f ca="1">IF($B160="","",'Fecha Pago'!K152)</f>
        <v>50681</v>
      </c>
      <c r="D160" s="86">
        <f>IF($B$12="","",'Fecha Pago'!L152)</f>
        <v>30.4</v>
      </c>
      <c r="E160" s="87">
        <f t="shared" si="43"/>
        <v>0.11</v>
      </c>
      <c r="F160" s="86">
        <f t="shared" ca="1" si="60"/>
        <v>642728.61849981232</v>
      </c>
      <c r="G160" s="86">
        <f t="shared" ca="1" si="42"/>
        <v>4451.649487763847</v>
      </c>
      <c r="H160" s="86">
        <f t="shared" ca="1" si="44"/>
        <v>5970.2347229538118</v>
      </c>
      <c r="I160" s="86">
        <f>IF(B160="","",IF(Simulador!$F$9="Liquidez",'Tabla Fijos'!H160*0.16,IF(Simulador!$J$9="SI",H160*0.16,0)))</f>
        <v>0</v>
      </c>
      <c r="J160" s="86">
        <f t="shared" ca="1" si="45"/>
        <v>10421.884210717659</v>
      </c>
      <c r="K160" s="86">
        <f t="shared" ca="1" si="57"/>
        <v>0</v>
      </c>
      <c r="L160" s="86">
        <f ca="1">IF(B160="","",IF(F160=0,0,IF(Sheet1!$I$10=6,'Tabla Fijos'!$C$3*'Tabla Fijos'!$F$5,$F$5*$C$5)))</f>
        <v>0</v>
      </c>
      <c r="M160" s="86">
        <f t="shared" ca="1" si="46"/>
        <v>0</v>
      </c>
      <c r="N160" s="86">
        <f ca="1">IF(B160="","",IF(F160=0,0,IF(Simulador!$N$7='Tabla Parámetros'!$C$31,AportPat!L152,IF(Simulador!$N$7='Tabla Parámetros'!$C$34,AportPatFov!G150,0))))</f>
        <v>0</v>
      </c>
      <c r="O160" s="86">
        <f>Simulador!N215</f>
        <v>0</v>
      </c>
      <c r="P160" s="86"/>
      <c r="Q160" s="86">
        <v>0</v>
      </c>
      <c r="R160" s="86">
        <f t="shared" ca="1" si="47"/>
        <v>10421.884210717659</v>
      </c>
      <c r="S160" s="86">
        <f t="shared" ca="1" si="48"/>
        <v>638276.96901204844</v>
      </c>
      <c r="U160" s="201">
        <f t="shared" ca="1" si="49"/>
        <v>4451.6494877638443</v>
      </c>
      <c r="V160" s="201">
        <f t="shared" ca="1" si="50"/>
        <v>5970.2347229538118</v>
      </c>
      <c r="W160" s="202">
        <f t="shared" ca="1" si="51"/>
        <v>10421.884210717657</v>
      </c>
      <c r="X160" s="201">
        <f t="shared" ca="1" si="52"/>
        <v>4451.6494877638415</v>
      </c>
      <c r="Y160" s="201">
        <f t="shared" ca="1" si="53"/>
        <v>5970.2347229538118</v>
      </c>
      <c r="Z160" s="201">
        <f t="shared" ca="1" si="58"/>
        <v>10421.884210717653</v>
      </c>
      <c r="AA160" s="201">
        <f t="shared" ca="1" si="54"/>
        <v>4451.649487763847</v>
      </c>
      <c r="AB160" s="201">
        <f t="shared" ca="1" si="55"/>
        <v>5970.2347229538118</v>
      </c>
      <c r="AC160" s="201">
        <f t="shared" ca="1" si="59"/>
        <v>10421.884210717659</v>
      </c>
    </row>
    <row r="161" spans="2:29" x14ac:dyDescent="0.3">
      <c r="B161" s="84">
        <f t="shared" si="56"/>
        <v>150</v>
      </c>
      <c r="C161" s="85">
        <f ca="1">IF($B161="","",'Fecha Pago'!K153)</f>
        <v>50712</v>
      </c>
      <c r="D161" s="86">
        <f>IF($B$12="","",'Fecha Pago'!L153)</f>
        <v>30.4</v>
      </c>
      <c r="E161" s="87">
        <f t="shared" si="43"/>
        <v>0.11</v>
      </c>
      <c r="F161" s="86">
        <f t="shared" ca="1" si="60"/>
        <v>638276.96901204844</v>
      </c>
      <c r="G161" s="86">
        <f t="shared" ca="1" si="42"/>
        <v>4493.0003652279629</v>
      </c>
      <c r="H161" s="86">
        <f t="shared" ca="1" si="44"/>
        <v>5928.8838454896941</v>
      </c>
      <c r="I161" s="86">
        <f>IF(B161="","",IF(Simulador!$F$9="Liquidez",'Tabla Fijos'!H161*0.16,IF(Simulador!$J$9="SI",H161*0.16,0)))</f>
        <v>0</v>
      </c>
      <c r="J161" s="86">
        <f t="shared" ca="1" si="45"/>
        <v>10421.884210717657</v>
      </c>
      <c r="K161" s="86">
        <f t="shared" ca="1" si="57"/>
        <v>0</v>
      </c>
      <c r="L161" s="86">
        <f ca="1">IF(B161="","",IF(F161=0,0,IF(Sheet1!$I$10=6,'Tabla Fijos'!$C$3*'Tabla Fijos'!$F$5,$F$5*$C$5)))</f>
        <v>0</v>
      </c>
      <c r="M161" s="86">
        <f t="shared" ca="1" si="46"/>
        <v>0</v>
      </c>
      <c r="N161" s="86">
        <f ca="1">IF(B161="","",IF(F161=0,0,IF(Simulador!$N$7='Tabla Parámetros'!$C$31,AportPat!L153,IF(Simulador!$N$7='Tabla Parámetros'!$C$34,AportPatFov!G151,0))))</f>
        <v>0</v>
      </c>
      <c r="O161" s="86">
        <f>Simulador!N216</f>
        <v>0</v>
      </c>
      <c r="P161" s="86"/>
      <c r="Q161" s="86">
        <v>0</v>
      </c>
      <c r="R161" s="86">
        <f t="shared" ca="1" si="47"/>
        <v>10421.884210717657</v>
      </c>
      <c r="S161" s="86">
        <f t="shared" ca="1" si="48"/>
        <v>633783.96864682052</v>
      </c>
      <c r="U161" s="201">
        <f t="shared" ca="1" si="49"/>
        <v>4493.0003652279611</v>
      </c>
      <c r="V161" s="201">
        <f t="shared" ca="1" si="50"/>
        <v>5928.8838454896941</v>
      </c>
      <c r="W161" s="202">
        <f t="shared" ca="1" si="51"/>
        <v>10421.884210717655</v>
      </c>
      <c r="X161" s="201">
        <f t="shared" ca="1" si="52"/>
        <v>4493.0003652279593</v>
      </c>
      <c r="Y161" s="201">
        <f t="shared" ca="1" si="53"/>
        <v>5928.8838454896941</v>
      </c>
      <c r="Z161" s="201">
        <f t="shared" ca="1" si="58"/>
        <v>10421.884210717653</v>
      </c>
      <c r="AA161" s="201">
        <f t="shared" ca="1" si="54"/>
        <v>4493.0003652279629</v>
      </c>
      <c r="AB161" s="201">
        <f t="shared" ca="1" si="55"/>
        <v>5928.8838454896941</v>
      </c>
      <c r="AC161" s="201">
        <f t="shared" ca="1" si="59"/>
        <v>10421.884210717657</v>
      </c>
    </row>
    <row r="162" spans="2:29" x14ac:dyDescent="0.3">
      <c r="B162" s="84">
        <f t="shared" si="56"/>
        <v>151</v>
      </c>
      <c r="C162" s="85">
        <f ca="1">IF($B162="","",'Fecha Pago'!K154)</f>
        <v>50742</v>
      </c>
      <c r="D162" s="86">
        <f>IF($B$12="","",'Fecha Pago'!L154)</f>
        <v>30.4</v>
      </c>
      <c r="E162" s="87">
        <f t="shared" si="43"/>
        <v>0.11</v>
      </c>
      <c r="F162" s="86">
        <f t="shared" ca="1" si="60"/>
        <v>633783.96864682052</v>
      </c>
      <c r="G162" s="86">
        <f t="shared" ca="1" si="42"/>
        <v>4534.7353463983027</v>
      </c>
      <c r="H162" s="86">
        <f t="shared" ca="1" si="44"/>
        <v>5887.1488643193543</v>
      </c>
      <c r="I162" s="86">
        <f>IF(B162="","",IF(Simulador!$F$9="Liquidez",'Tabla Fijos'!H162*0.16,IF(Simulador!$J$9="SI",H162*0.16,0)))</f>
        <v>0</v>
      </c>
      <c r="J162" s="86">
        <f t="shared" ca="1" si="45"/>
        <v>10421.884210717657</v>
      </c>
      <c r="K162" s="86">
        <f t="shared" ca="1" si="57"/>
        <v>0</v>
      </c>
      <c r="L162" s="86">
        <f ca="1">IF(B162="","",IF(F162=0,0,IF(Sheet1!$I$10=6,'Tabla Fijos'!$C$3*'Tabla Fijos'!$F$5,$F$5*$C$5)))</f>
        <v>0</v>
      </c>
      <c r="M162" s="86">
        <f t="shared" ca="1" si="46"/>
        <v>0</v>
      </c>
      <c r="N162" s="86">
        <f ca="1">IF(B162="","",IF(F162=0,0,IF(Simulador!$N$7='Tabla Parámetros'!$C$31,AportPat!L154,IF(Simulador!$N$7='Tabla Parámetros'!$C$34,AportPatFov!G152,0))))</f>
        <v>0</v>
      </c>
      <c r="O162" s="86">
        <f>Simulador!N217</f>
        <v>0</v>
      </c>
      <c r="P162" s="86"/>
      <c r="Q162" s="86">
        <v>0</v>
      </c>
      <c r="R162" s="86">
        <f t="shared" ca="1" si="47"/>
        <v>10421.884210717657</v>
      </c>
      <c r="S162" s="86">
        <f t="shared" ca="1" si="48"/>
        <v>629249.2333004222</v>
      </c>
      <c r="U162" s="201">
        <f t="shared" ca="1" si="49"/>
        <v>4534.7353463983018</v>
      </c>
      <c r="V162" s="201">
        <f t="shared" ca="1" si="50"/>
        <v>5887.1488643193543</v>
      </c>
      <c r="W162" s="202">
        <f t="shared" ca="1" si="51"/>
        <v>10421.884210717657</v>
      </c>
      <c r="X162" s="201">
        <f t="shared" ca="1" si="52"/>
        <v>4534.735346398299</v>
      </c>
      <c r="Y162" s="201">
        <f t="shared" ca="1" si="53"/>
        <v>5887.1488643193543</v>
      </c>
      <c r="Z162" s="201">
        <f t="shared" ca="1" si="58"/>
        <v>10421.884210717653</v>
      </c>
      <c r="AA162" s="201">
        <f t="shared" ca="1" si="54"/>
        <v>4534.7353463983027</v>
      </c>
      <c r="AB162" s="201">
        <f t="shared" ca="1" si="55"/>
        <v>5887.1488643193543</v>
      </c>
      <c r="AC162" s="201">
        <f t="shared" ca="1" si="59"/>
        <v>10421.884210717657</v>
      </c>
    </row>
    <row r="163" spans="2:29" x14ac:dyDescent="0.3">
      <c r="B163" s="84">
        <f t="shared" si="56"/>
        <v>152</v>
      </c>
      <c r="C163" s="85">
        <f ca="1">IF($B163="","",'Fecha Pago'!K155)</f>
        <v>50773</v>
      </c>
      <c r="D163" s="86">
        <f>IF($B$12="","",'Fecha Pago'!L155)</f>
        <v>30.4</v>
      </c>
      <c r="E163" s="87">
        <f t="shared" si="43"/>
        <v>0.11</v>
      </c>
      <c r="F163" s="86">
        <f t="shared" ca="1" si="60"/>
        <v>629249.2333004222</v>
      </c>
      <c r="G163" s="86">
        <f t="shared" ca="1" si="42"/>
        <v>4576.8579991715151</v>
      </c>
      <c r="H163" s="86">
        <f t="shared" ca="1" si="44"/>
        <v>5845.0262115461437</v>
      </c>
      <c r="I163" s="86">
        <f>IF(B163="","",IF(Simulador!$F$9="Liquidez",'Tabla Fijos'!H163*0.16,IF(Simulador!$J$9="SI",H163*0.16,0)))</f>
        <v>0</v>
      </c>
      <c r="J163" s="86">
        <f t="shared" ca="1" si="45"/>
        <v>10421.884210717659</v>
      </c>
      <c r="K163" s="86">
        <f t="shared" ca="1" si="57"/>
        <v>0</v>
      </c>
      <c r="L163" s="86">
        <f ca="1">IF(B163="","",IF(F163=0,0,IF(Sheet1!$I$10=6,'Tabla Fijos'!$C$3*'Tabla Fijos'!$F$5,$F$5*$C$5)))</f>
        <v>0</v>
      </c>
      <c r="M163" s="86">
        <f t="shared" ca="1" si="46"/>
        <v>0</v>
      </c>
      <c r="N163" s="86">
        <f ca="1">IF(B163="","",IF(F163=0,0,IF(Simulador!$N$7='Tabla Parámetros'!$C$31,AportPat!L155,IF(Simulador!$N$7='Tabla Parámetros'!$C$34,AportPatFov!G153,0))))</f>
        <v>0</v>
      </c>
      <c r="O163" s="86">
        <f>Simulador!N218</f>
        <v>0</v>
      </c>
      <c r="P163" s="86"/>
      <c r="Q163" s="86">
        <v>0</v>
      </c>
      <c r="R163" s="86">
        <f t="shared" ca="1" si="47"/>
        <v>10421.884210717659</v>
      </c>
      <c r="S163" s="86">
        <f t="shared" ca="1" si="48"/>
        <v>624672.37530125072</v>
      </c>
      <c r="U163" s="201">
        <f t="shared" ca="1" si="49"/>
        <v>4576.8579991715123</v>
      </c>
      <c r="V163" s="201">
        <f t="shared" ca="1" si="50"/>
        <v>5845.0262115461437</v>
      </c>
      <c r="W163" s="202">
        <f t="shared" ca="1" si="51"/>
        <v>10421.884210717657</v>
      </c>
      <c r="X163" s="201">
        <f t="shared" ca="1" si="52"/>
        <v>4576.8579991715096</v>
      </c>
      <c r="Y163" s="201">
        <f t="shared" ca="1" si="53"/>
        <v>5845.0262115461437</v>
      </c>
      <c r="Z163" s="201">
        <f t="shared" ca="1" si="58"/>
        <v>10421.884210717653</v>
      </c>
      <c r="AA163" s="201">
        <f t="shared" ca="1" si="54"/>
        <v>4576.8579991715151</v>
      </c>
      <c r="AB163" s="201">
        <f t="shared" ca="1" si="55"/>
        <v>5845.0262115461437</v>
      </c>
      <c r="AC163" s="201">
        <f t="shared" ca="1" si="59"/>
        <v>10421.884210717659</v>
      </c>
    </row>
    <row r="164" spans="2:29" x14ac:dyDescent="0.3">
      <c r="B164" s="84">
        <f t="shared" si="56"/>
        <v>153</v>
      </c>
      <c r="C164" s="85">
        <f ca="1">IF($B164="","",'Fecha Pago'!K156)</f>
        <v>50804</v>
      </c>
      <c r="D164" s="86">
        <f>IF($B$12="","",'Fecha Pago'!L156)</f>
        <v>30.4</v>
      </c>
      <c r="E164" s="87">
        <f t="shared" si="43"/>
        <v>0.11</v>
      </c>
      <c r="F164" s="86">
        <f t="shared" ca="1" si="60"/>
        <v>624672.37530125072</v>
      </c>
      <c r="G164" s="86">
        <f t="shared" ca="1" si="42"/>
        <v>4619.3719245860411</v>
      </c>
      <c r="H164" s="86">
        <f t="shared" ca="1" si="44"/>
        <v>5802.5122861316177</v>
      </c>
      <c r="I164" s="86">
        <f>IF(B164="","",IF(Simulador!$F$9="Liquidez",'Tabla Fijos'!H164*0.16,IF(Simulador!$J$9="SI",H164*0.16,0)))</f>
        <v>0</v>
      </c>
      <c r="J164" s="86">
        <f t="shared" ca="1" si="45"/>
        <v>10421.884210717659</v>
      </c>
      <c r="K164" s="86">
        <f t="shared" ca="1" si="57"/>
        <v>0</v>
      </c>
      <c r="L164" s="86">
        <f ca="1">IF(B164="","",IF(F164=0,0,IF(Sheet1!$I$10=6,'Tabla Fijos'!$C$3*'Tabla Fijos'!$F$5,$F$5*$C$5)))</f>
        <v>0</v>
      </c>
      <c r="M164" s="86">
        <f t="shared" ca="1" si="46"/>
        <v>0</v>
      </c>
      <c r="N164" s="86">
        <f ca="1">IF(B164="","",IF(F164=0,0,IF(Simulador!$N$7='Tabla Parámetros'!$C$31,AportPat!L156,IF(Simulador!$N$7='Tabla Parámetros'!$C$34,AportPatFov!G154,0))))</f>
        <v>0</v>
      </c>
      <c r="O164" s="86">
        <f>Simulador!N219</f>
        <v>0</v>
      </c>
      <c r="P164" s="86"/>
      <c r="Q164" s="86">
        <v>0</v>
      </c>
      <c r="R164" s="86">
        <f t="shared" ca="1" si="47"/>
        <v>10421.884210717659</v>
      </c>
      <c r="S164" s="86">
        <f t="shared" ca="1" si="48"/>
        <v>620053.00337666471</v>
      </c>
      <c r="U164" s="201">
        <f t="shared" ca="1" si="49"/>
        <v>4619.3719245860393</v>
      </c>
      <c r="V164" s="201">
        <f t="shared" ca="1" si="50"/>
        <v>5802.5122861316177</v>
      </c>
      <c r="W164" s="202">
        <f t="shared" ca="1" si="51"/>
        <v>10421.884210717657</v>
      </c>
      <c r="X164" s="201">
        <f t="shared" ca="1" si="52"/>
        <v>4619.3719245860357</v>
      </c>
      <c r="Y164" s="201">
        <f t="shared" ca="1" si="53"/>
        <v>5802.5122861316177</v>
      </c>
      <c r="Z164" s="201">
        <f t="shared" ca="1" si="58"/>
        <v>10421.884210717653</v>
      </c>
      <c r="AA164" s="201">
        <f t="shared" ca="1" si="54"/>
        <v>4619.3719245860411</v>
      </c>
      <c r="AB164" s="201">
        <f t="shared" ca="1" si="55"/>
        <v>5802.5122861316177</v>
      </c>
      <c r="AC164" s="201">
        <f t="shared" ca="1" si="59"/>
        <v>10421.884210717659</v>
      </c>
    </row>
    <row r="165" spans="2:29" x14ac:dyDescent="0.3">
      <c r="B165" s="84">
        <f t="shared" si="56"/>
        <v>154</v>
      </c>
      <c r="C165" s="85">
        <f ca="1">IF($B165="","",'Fecha Pago'!K157)</f>
        <v>50832</v>
      </c>
      <c r="D165" s="86">
        <f>IF($B$12="","",'Fecha Pago'!L157)</f>
        <v>30.4</v>
      </c>
      <c r="E165" s="87">
        <f t="shared" si="43"/>
        <v>0.11</v>
      </c>
      <c r="F165" s="86">
        <f t="shared" ca="1" si="60"/>
        <v>620053.00337666471</v>
      </c>
      <c r="G165" s="86">
        <f t="shared" ca="1" si="42"/>
        <v>4662.2807571299736</v>
      </c>
      <c r="H165" s="86">
        <f t="shared" ca="1" si="44"/>
        <v>5759.6034535876852</v>
      </c>
      <c r="I165" s="86">
        <f>IF(B165="","",IF(Simulador!$F$9="Liquidez",'Tabla Fijos'!H165*0.16,IF(Simulador!$J$9="SI",H165*0.16,0)))</f>
        <v>0</v>
      </c>
      <c r="J165" s="86">
        <f t="shared" ca="1" si="45"/>
        <v>10421.884210717659</v>
      </c>
      <c r="K165" s="86">
        <f t="shared" ca="1" si="57"/>
        <v>0</v>
      </c>
      <c r="L165" s="86">
        <f ca="1">IF(B165="","",IF(F165=0,0,IF(Sheet1!$I$10=6,'Tabla Fijos'!$C$3*'Tabla Fijos'!$F$5,$F$5*$C$5)))</f>
        <v>0</v>
      </c>
      <c r="M165" s="86">
        <f t="shared" ca="1" si="46"/>
        <v>0</v>
      </c>
      <c r="N165" s="86">
        <f ca="1">IF(B165="","",IF(F165=0,0,IF(Simulador!$N$7='Tabla Parámetros'!$C$31,AportPat!L157,IF(Simulador!$N$7='Tabla Parámetros'!$C$34,AportPatFov!G155,0))))</f>
        <v>0</v>
      </c>
      <c r="O165" s="86">
        <f>Simulador!N220</f>
        <v>0</v>
      </c>
      <c r="P165" s="86"/>
      <c r="Q165" s="86">
        <v>0</v>
      </c>
      <c r="R165" s="86">
        <f t="shared" ca="1" si="47"/>
        <v>10421.884210717659</v>
      </c>
      <c r="S165" s="86">
        <f t="shared" ca="1" si="48"/>
        <v>615390.7226195347</v>
      </c>
      <c r="U165" s="201">
        <f t="shared" ca="1" si="49"/>
        <v>4662.2807571299709</v>
      </c>
      <c r="V165" s="201">
        <f t="shared" ca="1" si="50"/>
        <v>5759.6034535876852</v>
      </c>
      <c r="W165" s="202">
        <f t="shared" ca="1" si="51"/>
        <v>10421.884210717657</v>
      </c>
      <c r="X165" s="201">
        <f t="shared" ca="1" si="52"/>
        <v>4662.2807571299682</v>
      </c>
      <c r="Y165" s="201">
        <f t="shared" ca="1" si="53"/>
        <v>5759.6034535876852</v>
      </c>
      <c r="Z165" s="201">
        <f t="shared" ca="1" si="58"/>
        <v>10421.884210717653</v>
      </c>
      <c r="AA165" s="201">
        <f t="shared" ca="1" si="54"/>
        <v>4662.2807571299736</v>
      </c>
      <c r="AB165" s="201">
        <f t="shared" ca="1" si="55"/>
        <v>5759.6034535876852</v>
      </c>
      <c r="AC165" s="201">
        <f t="shared" ca="1" si="59"/>
        <v>10421.884210717659</v>
      </c>
    </row>
    <row r="166" spans="2:29" x14ac:dyDescent="0.3">
      <c r="B166" s="84">
        <f t="shared" si="56"/>
        <v>155</v>
      </c>
      <c r="C166" s="85">
        <f ca="1">IF($B166="","",'Fecha Pago'!K158)</f>
        <v>50863</v>
      </c>
      <c r="D166" s="86">
        <f>IF($B$12="","",'Fecha Pago'!L158)</f>
        <v>30.4</v>
      </c>
      <c r="E166" s="87">
        <f t="shared" si="43"/>
        <v>0.11</v>
      </c>
      <c r="F166" s="86">
        <f t="shared" ca="1" si="60"/>
        <v>615390.7226195347</v>
      </c>
      <c r="G166" s="86">
        <f t="shared" ca="1" si="42"/>
        <v>4705.5881650517576</v>
      </c>
      <c r="H166" s="86">
        <f t="shared" ca="1" si="44"/>
        <v>5716.2960456658993</v>
      </c>
      <c r="I166" s="86">
        <f>IF(B166="","",IF(Simulador!$F$9="Liquidez",'Tabla Fijos'!H166*0.16,IF(Simulador!$J$9="SI",H166*0.16,0)))</f>
        <v>0</v>
      </c>
      <c r="J166" s="86">
        <f t="shared" ca="1" si="45"/>
        <v>10421.884210717657</v>
      </c>
      <c r="K166" s="86">
        <f t="shared" ca="1" si="57"/>
        <v>0</v>
      </c>
      <c r="L166" s="86">
        <f ca="1">IF(B166="","",IF(F166=0,0,IF(Sheet1!$I$10=6,'Tabla Fijos'!$C$3*'Tabla Fijos'!$F$5,$F$5*$C$5)))</f>
        <v>0</v>
      </c>
      <c r="M166" s="86">
        <f t="shared" ca="1" si="46"/>
        <v>0</v>
      </c>
      <c r="N166" s="86">
        <f ca="1">IF(B166="","",IF(F166=0,0,IF(Simulador!$N$7='Tabla Parámetros'!$C$31,AportPat!L158,IF(Simulador!$N$7='Tabla Parámetros'!$C$34,AportPatFov!G156,0))))</f>
        <v>0</v>
      </c>
      <c r="O166" s="86">
        <f>Simulador!N221</f>
        <v>0</v>
      </c>
      <c r="P166" s="86"/>
      <c r="Q166" s="86">
        <v>0</v>
      </c>
      <c r="R166" s="86">
        <f t="shared" ca="1" si="47"/>
        <v>10421.884210717657</v>
      </c>
      <c r="S166" s="86">
        <f t="shared" ca="1" si="48"/>
        <v>610685.13445448293</v>
      </c>
      <c r="U166" s="201">
        <f t="shared" ca="1" si="49"/>
        <v>4705.5881650517558</v>
      </c>
      <c r="V166" s="201">
        <f t="shared" ca="1" si="50"/>
        <v>5716.2960456658993</v>
      </c>
      <c r="W166" s="202">
        <f t="shared" ca="1" si="51"/>
        <v>10421.884210717655</v>
      </c>
      <c r="X166" s="201">
        <f t="shared" ca="1" si="52"/>
        <v>4705.588165051754</v>
      </c>
      <c r="Y166" s="201">
        <f t="shared" ca="1" si="53"/>
        <v>5716.2960456658993</v>
      </c>
      <c r="Z166" s="201">
        <f t="shared" ca="1" si="58"/>
        <v>10421.884210717653</v>
      </c>
      <c r="AA166" s="201">
        <f t="shared" ca="1" si="54"/>
        <v>4705.5881650517576</v>
      </c>
      <c r="AB166" s="201">
        <f t="shared" ca="1" si="55"/>
        <v>5716.2960456658993</v>
      </c>
      <c r="AC166" s="201">
        <f t="shared" ca="1" si="59"/>
        <v>10421.884210717657</v>
      </c>
    </row>
    <row r="167" spans="2:29" x14ac:dyDescent="0.3">
      <c r="B167" s="84">
        <f t="shared" si="56"/>
        <v>156</v>
      </c>
      <c r="C167" s="85">
        <f ca="1">IF($B167="","",'Fecha Pago'!K159)</f>
        <v>50893</v>
      </c>
      <c r="D167" s="86">
        <f>IF($B$12="","",'Fecha Pago'!L159)</f>
        <v>30.4</v>
      </c>
      <c r="E167" s="87">
        <f t="shared" si="43"/>
        <v>0.11</v>
      </c>
      <c r="F167" s="86">
        <f t="shared" ca="1" si="60"/>
        <v>610685.13445448293</v>
      </c>
      <c r="G167" s="86">
        <f t="shared" ca="1" si="42"/>
        <v>4749.2978506737954</v>
      </c>
      <c r="H167" s="86">
        <f t="shared" ca="1" si="44"/>
        <v>5672.5863600438634</v>
      </c>
      <c r="I167" s="86">
        <f>IF(B167="","",IF(Simulador!$F$9="Liquidez",'Tabla Fijos'!H167*0.16,IF(Simulador!$J$9="SI",H167*0.16,0)))</f>
        <v>0</v>
      </c>
      <c r="J167" s="86">
        <f t="shared" ca="1" si="45"/>
        <v>10421.884210717659</v>
      </c>
      <c r="K167" s="86">
        <f t="shared" ca="1" si="57"/>
        <v>0</v>
      </c>
      <c r="L167" s="86">
        <f ca="1">IF(B167="","",IF(F167=0,0,IF(Sheet1!$I$10=6,'Tabla Fijos'!$C$3*'Tabla Fijos'!$F$5,$F$5*$C$5)))</f>
        <v>0</v>
      </c>
      <c r="M167" s="86">
        <f t="shared" ca="1" si="46"/>
        <v>0</v>
      </c>
      <c r="N167" s="86">
        <f ca="1">IF(B167="","",IF(F167=0,0,IF(Simulador!$N$7='Tabla Parámetros'!$C$31,AportPat!L159,IF(Simulador!$N$7='Tabla Parámetros'!$C$34,AportPatFov!G157,0))))</f>
        <v>0</v>
      </c>
      <c r="O167" s="86">
        <f>Simulador!N222</f>
        <v>0</v>
      </c>
      <c r="P167" s="86"/>
      <c r="Q167" s="86">
        <v>0</v>
      </c>
      <c r="R167" s="86">
        <f t="shared" ca="1" si="47"/>
        <v>10421.884210717659</v>
      </c>
      <c r="S167" s="86">
        <f t="shared" ca="1" si="48"/>
        <v>605935.83660380915</v>
      </c>
      <c r="U167" s="201">
        <f t="shared" ca="1" si="49"/>
        <v>4749.2978506737927</v>
      </c>
      <c r="V167" s="201">
        <f t="shared" ca="1" si="50"/>
        <v>5672.5863600438634</v>
      </c>
      <c r="W167" s="202">
        <f t="shared" ca="1" si="51"/>
        <v>10421.884210717657</v>
      </c>
      <c r="X167" s="201">
        <f t="shared" ca="1" si="52"/>
        <v>4749.29785067379</v>
      </c>
      <c r="Y167" s="201">
        <f t="shared" ca="1" si="53"/>
        <v>5672.5863600438634</v>
      </c>
      <c r="Z167" s="201">
        <f t="shared" ca="1" si="58"/>
        <v>10421.884210717653</v>
      </c>
      <c r="AA167" s="201">
        <f t="shared" ca="1" si="54"/>
        <v>4749.2978506737954</v>
      </c>
      <c r="AB167" s="201">
        <f t="shared" ca="1" si="55"/>
        <v>5672.5863600438634</v>
      </c>
      <c r="AC167" s="201">
        <f t="shared" ca="1" si="59"/>
        <v>10421.884210717659</v>
      </c>
    </row>
    <row r="168" spans="2:29" x14ac:dyDescent="0.3">
      <c r="B168" s="84">
        <f t="shared" si="56"/>
        <v>157</v>
      </c>
      <c r="C168" s="85">
        <f ca="1">IF($B168="","",'Fecha Pago'!K160)</f>
        <v>50924</v>
      </c>
      <c r="D168" s="86">
        <f>IF($B$12="","",'Fecha Pago'!L160)</f>
        <v>30.4</v>
      </c>
      <c r="E168" s="87">
        <f t="shared" si="43"/>
        <v>0.11</v>
      </c>
      <c r="F168" s="86">
        <f t="shared" ca="1" si="60"/>
        <v>605935.83660380915</v>
      </c>
      <c r="G168" s="86">
        <f t="shared" ca="1" si="42"/>
        <v>4793.4135507089431</v>
      </c>
      <c r="H168" s="86">
        <f t="shared" ca="1" si="44"/>
        <v>5628.4706600087156</v>
      </c>
      <c r="I168" s="86">
        <f>IF(B168="","",IF(Simulador!$F$9="Liquidez",'Tabla Fijos'!H168*0.16,IF(Simulador!$J$9="SI",H168*0.16,0)))</f>
        <v>0</v>
      </c>
      <c r="J168" s="86">
        <f t="shared" ca="1" si="45"/>
        <v>10421.884210717659</v>
      </c>
      <c r="K168" s="86">
        <f t="shared" ca="1" si="57"/>
        <v>0</v>
      </c>
      <c r="L168" s="86">
        <f ca="1">IF(B168="","",IF(F168=0,0,IF(Sheet1!$I$10=6,'Tabla Fijos'!$C$3*'Tabla Fijos'!$F$5,$F$5*$C$5)))</f>
        <v>0</v>
      </c>
      <c r="M168" s="86">
        <f t="shared" ca="1" si="46"/>
        <v>0</v>
      </c>
      <c r="N168" s="86">
        <f ca="1">IF(B168="","",IF(F168=0,0,IF(Simulador!$N$7='Tabla Parámetros'!$C$31,AportPat!L160,IF(Simulador!$N$7='Tabla Parámetros'!$C$34,AportPatFov!G158,0))))</f>
        <v>0</v>
      </c>
      <c r="O168" s="86">
        <f>Simulador!N223</f>
        <v>0</v>
      </c>
      <c r="P168" s="86"/>
      <c r="Q168" s="86">
        <v>0</v>
      </c>
      <c r="R168" s="86">
        <f t="shared" ca="1" si="47"/>
        <v>10421.884210717659</v>
      </c>
      <c r="S168" s="86">
        <f t="shared" ca="1" si="48"/>
        <v>601142.42305310024</v>
      </c>
      <c r="U168" s="201">
        <f t="shared" ca="1" si="49"/>
        <v>4793.4135507089404</v>
      </c>
      <c r="V168" s="201">
        <f t="shared" ca="1" si="50"/>
        <v>5628.4706600087156</v>
      </c>
      <c r="W168" s="202">
        <f t="shared" ca="1" si="51"/>
        <v>10421.884210717657</v>
      </c>
      <c r="X168" s="201">
        <f t="shared" ca="1" si="52"/>
        <v>4793.4135507089377</v>
      </c>
      <c r="Y168" s="201">
        <f t="shared" ca="1" si="53"/>
        <v>5628.4706600087156</v>
      </c>
      <c r="Z168" s="201">
        <f t="shared" ca="1" si="58"/>
        <v>10421.884210717653</v>
      </c>
      <c r="AA168" s="201">
        <f t="shared" ca="1" si="54"/>
        <v>4793.4135507089431</v>
      </c>
      <c r="AB168" s="201">
        <f t="shared" ca="1" si="55"/>
        <v>5628.4706600087156</v>
      </c>
      <c r="AC168" s="201">
        <f t="shared" ca="1" si="59"/>
        <v>10421.884210717659</v>
      </c>
    </row>
    <row r="169" spans="2:29" x14ac:dyDescent="0.3">
      <c r="B169" s="84">
        <f t="shared" si="56"/>
        <v>158</v>
      </c>
      <c r="C169" s="85">
        <f ca="1">IF($B169="","",'Fecha Pago'!K161)</f>
        <v>50954</v>
      </c>
      <c r="D169" s="86">
        <f>IF($B$12="","",'Fecha Pago'!L161)</f>
        <v>30.4</v>
      </c>
      <c r="E169" s="87">
        <f t="shared" si="43"/>
        <v>0.11</v>
      </c>
      <c r="F169" s="86">
        <f t="shared" ca="1" si="60"/>
        <v>601142.42305310024</v>
      </c>
      <c r="G169" s="86">
        <f t="shared" ca="1" si="42"/>
        <v>4837.9390365799727</v>
      </c>
      <c r="H169" s="86">
        <f t="shared" ca="1" si="44"/>
        <v>5583.9451741376861</v>
      </c>
      <c r="I169" s="86">
        <f>IF(B169="","",IF(Simulador!$F$9="Liquidez",'Tabla Fijos'!H169*0.16,IF(Simulador!$J$9="SI",H169*0.16,0)))</f>
        <v>0</v>
      </c>
      <c r="J169" s="86">
        <f t="shared" ca="1" si="45"/>
        <v>10421.884210717659</v>
      </c>
      <c r="K169" s="86">
        <f t="shared" ca="1" si="57"/>
        <v>0</v>
      </c>
      <c r="L169" s="86">
        <f ca="1">IF(B169="","",IF(F169=0,0,IF(Sheet1!$I$10=6,'Tabla Fijos'!$C$3*'Tabla Fijos'!$F$5,$F$5*$C$5)))</f>
        <v>0</v>
      </c>
      <c r="M169" s="86">
        <f t="shared" ca="1" si="46"/>
        <v>0</v>
      </c>
      <c r="N169" s="86">
        <f ca="1">IF(B169="","",IF(F169=0,0,IF(Simulador!$N$7='Tabla Parámetros'!$C$31,AportPat!L161,IF(Simulador!$N$7='Tabla Parámetros'!$C$34,AportPatFov!G159,0))))</f>
        <v>0</v>
      </c>
      <c r="O169" s="86">
        <f>Simulador!N224</f>
        <v>0</v>
      </c>
      <c r="P169" s="86"/>
      <c r="Q169" s="86">
        <v>0</v>
      </c>
      <c r="R169" s="86">
        <f t="shared" ca="1" si="47"/>
        <v>10421.884210717659</v>
      </c>
      <c r="S169" s="86">
        <f t="shared" ca="1" si="48"/>
        <v>596304.48401652032</v>
      </c>
      <c r="U169" s="201">
        <f t="shared" ca="1" si="49"/>
        <v>4837.93903657997</v>
      </c>
      <c r="V169" s="201">
        <f t="shared" ca="1" si="50"/>
        <v>5583.9451741376861</v>
      </c>
      <c r="W169" s="202">
        <f t="shared" ca="1" si="51"/>
        <v>10421.884210717657</v>
      </c>
      <c r="X169" s="201">
        <f t="shared" ca="1" si="52"/>
        <v>4837.9390365799673</v>
      </c>
      <c r="Y169" s="201">
        <f t="shared" ca="1" si="53"/>
        <v>5583.9451741376861</v>
      </c>
      <c r="Z169" s="201">
        <f t="shared" ca="1" si="58"/>
        <v>10421.884210717653</v>
      </c>
      <c r="AA169" s="201">
        <f t="shared" ca="1" si="54"/>
        <v>4837.9390365799727</v>
      </c>
      <c r="AB169" s="201">
        <f t="shared" ca="1" si="55"/>
        <v>5583.9451741376861</v>
      </c>
      <c r="AC169" s="201">
        <f t="shared" ca="1" si="59"/>
        <v>10421.884210717659</v>
      </c>
    </row>
    <row r="170" spans="2:29" x14ac:dyDescent="0.3">
      <c r="B170" s="84">
        <f t="shared" si="56"/>
        <v>159</v>
      </c>
      <c r="C170" s="85">
        <f ca="1">IF($B170="","",'Fecha Pago'!K162)</f>
        <v>50985</v>
      </c>
      <c r="D170" s="86">
        <f>IF($B$12="","",'Fecha Pago'!L162)</f>
        <v>30.4</v>
      </c>
      <c r="E170" s="87">
        <f t="shared" si="43"/>
        <v>0.11</v>
      </c>
      <c r="F170" s="86">
        <f t="shared" ca="1" si="60"/>
        <v>596304.48401652032</v>
      </c>
      <c r="G170" s="86">
        <f t="shared" ca="1" si="42"/>
        <v>4882.8781147419813</v>
      </c>
      <c r="H170" s="86">
        <f t="shared" ca="1" si="44"/>
        <v>5539.0060959756775</v>
      </c>
      <c r="I170" s="86">
        <f>IF(B170="","",IF(Simulador!$F$9="Liquidez",'Tabla Fijos'!H170*0.16,IF(Simulador!$J$9="SI",H170*0.16,0)))</f>
        <v>0</v>
      </c>
      <c r="J170" s="86">
        <f t="shared" ca="1" si="45"/>
        <v>10421.884210717659</v>
      </c>
      <c r="K170" s="86">
        <f t="shared" ca="1" si="57"/>
        <v>0</v>
      </c>
      <c r="L170" s="86">
        <f ca="1">IF(B170="","",IF(F170=0,0,IF(Sheet1!$I$10=6,'Tabla Fijos'!$C$3*'Tabla Fijos'!$F$5,$F$5*$C$5)))</f>
        <v>0</v>
      </c>
      <c r="M170" s="86">
        <f t="shared" ca="1" si="46"/>
        <v>0</v>
      </c>
      <c r="N170" s="86">
        <f ca="1">IF(B170="","",IF(F170=0,0,IF(Simulador!$N$7='Tabla Parámetros'!$C$31,AportPat!L162,IF(Simulador!$N$7='Tabla Parámetros'!$C$34,AportPatFov!G160,0))))</f>
        <v>0</v>
      </c>
      <c r="O170" s="86">
        <f>Simulador!N225</f>
        <v>0</v>
      </c>
      <c r="P170" s="86"/>
      <c r="Q170" s="86">
        <v>0</v>
      </c>
      <c r="R170" s="86">
        <f t="shared" ca="1" si="47"/>
        <v>10421.884210717659</v>
      </c>
      <c r="S170" s="86">
        <f t="shared" ca="1" si="48"/>
        <v>591421.60590177833</v>
      </c>
      <c r="U170" s="201">
        <f t="shared" ca="1" si="49"/>
        <v>4882.8781147419804</v>
      </c>
      <c r="V170" s="201">
        <f t="shared" ca="1" si="50"/>
        <v>5539.0060959756775</v>
      </c>
      <c r="W170" s="202">
        <f t="shared" ca="1" si="51"/>
        <v>10421.884210717657</v>
      </c>
      <c r="X170" s="201">
        <f t="shared" ca="1" si="52"/>
        <v>4882.8781147419759</v>
      </c>
      <c r="Y170" s="201">
        <f t="shared" ca="1" si="53"/>
        <v>5539.0060959756775</v>
      </c>
      <c r="Z170" s="201">
        <f t="shared" ca="1" si="58"/>
        <v>10421.884210717653</v>
      </c>
      <c r="AA170" s="201">
        <f t="shared" ca="1" si="54"/>
        <v>4882.8781147419813</v>
      </c>
      <c r="AB170" s="201">
        <f t="shared" ca="1" si="55"/>
        <v>5539.0060959756775</v>
      </c>
      <c r="AC170" s="201">
        <f t="shared" ca="1" si="59"/>
        <v>10421.884210717659</v>
      </c>
    </row>
    <row r="171" spans="2:29" x14ac:dyDescent="0.3">
      <c r="B171" s="84">
        <f t="shared" si="56"/>
        <v>160</v>
      </c>
      <c r="C171" s="85">
        <f ca="1">IF($B171="","",'Fecha Pago'!K163)</f>
        <v>51016</v>
      </c>
      <c r="D171" s="86">
        <f>IF($B$12="","",'Fecha Pago'!L163)</f>
        <v>30.4</v>
      </c>
      <c r="E171" s="87">
        <f t="shared" si="43"/>
        <v>0.11</v>
      </c>
      <c r="F171" s="86">
        <f t="shared" ca="1" si="60"/>
        <v>591421.60590177833</v>
      </c>
      <c r="G171" s="86">
        <f t="shared" ca="1" si="42"/>
        <v>4928.2346270078069</v>
      </c>
      <c r="H171" s="86">
        <f t="shared" ca="1" si="44"/>
        <v>5493.6495837098519</v>
      </c>
      <c r="I171" s="86">
        <f>IF(B171="","",IF(Simulador!$F$9="Liquidez",'Tabla Fijos'!H171*0.16,IF(Simulador!$J$9="SI",H171*0.16,0)))</f>
        <v>0</v>
      </c>
      <c r="J171" s="86">
        <f t="shared" ca="1" si="45"/>
        <v>10421.884210717659</v>
      </c>
      <c r="K171" s="86">
        <f t="shared" ca="1" si="57"/>
        <v>0</v>
      </c>
      <c r="L171" s="86">
        <f ca="1">IF(B171="","",IF(F171=0,0,IF(Sheet1!$I$10=6,'Tabla Fijos'!$C$3*'Tabla Fijos'!$F$5,$F$5*$C$5)))</f>
        <v>0</v>
      </c>
      <c r="M171" s="86">
        <f t="shared" ca="1" si="46"/>
        <v>0</v>
      </c>
      <c r="N171" s="86">
        <f ca="1">IF(B171="","",IF(F171=0,0,IF(Simulador!$N$7='Tabla Parámetros'!$C$31,AportPat!L163,IF(Simulador!$N$7='Tabla Parámetros'!$C$34,AportPatFov!G161,0))))</f>
        <v>0</v>
      </c>
      <c r="O171" s="86">
        <f>Simulador!N226</f>
        <v>0</v>
      </c>
      <c r="P171" s="86"/>
      <c r="Q171" s="86">
        <v>0</v>
      </c>
      <c r="R171" s="86">
        <f t="shared" ca="1" si="47"/>
        <v>10421.884210717659</v>
      </c>
      <c r="S171" s="86">
        <f t="shared" ca="1" si="48"/>
        <v>586493.37127477047</v>
      </c>
      <c r="U171" s="201">
        <f t="shared" ca="1" si="49"/>
        <v>4928.2346270078051</v>
      </c>
      <c r="V171" s="201">
        <f t="shared" ca="1" si="50"/>
        <v>5493.6495837098519</v>
      </c>
      <c r="W171" s="202">
        <f t="shared" ca="1" si="51"/>
        <v>10421.884210717657</v>
      </c>
      <c r="X171" s="201">
        <f t="shared" ca="1" si="52"/>
        <v>4928.2346270078015</v>
      </c>
      <c r="Y171" s="201">
        <f t="shared" ca="1" si="53"/>
        <v>5493.6495837098519</v>
      </c>
      <c r="Z171" s="201">
        <f t="shared" ca="1" si="58"/>
        <v>10421.884210717653</v>
      </c>
      <c r="AA171" s="201">
        <f t="shared" ca="1" si="54"/>
        <v>4928.2346270078069</v>
      </c>
      <c r="AB171" s="201">
        <f t="shared" ca="1" si="55"/>
        <v>5493.6495837098519</v>
      </c>
      <c r="AC171" s="201">
        <f t="shared" ca="1" si="59"/>
        <v>10421.884210717659</v>
      </c>
    </row>
    <row r="172" spans="2:29" x14ac:dyDescent="0.3">
      <c r="B172" s="84">
        <f t="shared" si="56"/>
        <v>161</v>
      </c>
      <c r="C172" s="85">
        <f ca="1">IF($B172="","",'Fecha Pago'!K164)</f>
        <v>51046</v>
      </c>
      <c r="D172" s="86">
        <f>IF($B$12="","",'Fecha Pago'!L164)</f>
        <v>30.4</v>
      </c>
      <c r="E172" s="87">
        <f t="shared" si="43"/>
        <v>0.11</v>
      </c>
      <c r="F172" s="86">
        <f t="shared" ca="1" si="60"/>
        <v>586493.37127477047</v>
      </c>
      <c r="G172" s="86">
        <f t="shared" ca="1" si="42"/>
        <v>4974.0124508764584</v>
      </c>
      <c r="H172" s="86">
        <f t="shared" ca="1" si="44"/>
        <v>5447.8717598412004</v>
      </c>
      <c r="I172" s="86">
        <f>IF(B172="","",IF(Simulador!$F$9="Liquidez",'Tabla Fijos'!H172*0.16,IF(Simulador!$J$9="SI",H172*0.16,0)))</f>
        <v>0</v>
      </c>
      <c r="J172" s="86">
        <f t="shared" ca="1" si="45"/>
        <v>10421.884210717659</v>
      </c>
      <c r="K172" s="86">
        <f t="shared" ca="1" si="57"/>
        <v>0</v>
      </c>
      <c r="L172" s="86">
        <f ca="1">IF(B172="","",IF(F172=0,0,IF(Sheet1!$I$10=6,'Tabla Fijos'!$C$3*'Tabla Fijos'!$F$5,$F$5*$C$5)))</f>
        <v>0</v>
      </c>
      <c r="M172" s="86">
        <f t="shared" ca="1" si="46"/>
        <v>0</v>
      </c>
      <c r="N172" s="86">
        <f ca="1">IF(B172="","",IF(F172=0,0,IF(Simulador!$N$7='Tabla Parámetros'!$C$31,AportPat!L164,IF(Simulador!$N$7='Tabla Parámetros'!$C$34,AportPatFov!G162,0))))</f>
        <v>0</v>
      </c>
      <c r="O172" s="86">
        <f>Simulador!N227</f>
        <v>0</v>
      </c>
      <c r="P172" s="86"/>
      <c r="Q172" s="86">
        <v>0</v>
      </c>
      <c r="R172" s="86">
        <f t="shared" ca="1" si="47"/>
        <v>10421.884210717659</v>
      </c>
      <c r="S172" s="86">
        <f t="shared" ca="1" si="48"/>
        <v>581519.35882389406</v>
      </c>
      <c r="U172" s="201">
        <f t="shared" ca="1" si="49"/>
        <v>4974.0124508764557</v>
      </c>
      <c r="V172" s="201">
        <f t="shared" ca="1" si="50"/>
        <v>5447.8717598412004</v>
      </c>
      <c r="W172" s="202">
        <f t="shared" ca="1" si="51"/>
        <v>10421.884210717657</v>
      </c>
      <c r="X172" s="201">
        <f t="shared" ca="1" si="52"/>
        <v>4974.0124508764529</v>
      </c>
      <c r="Y172" s="201">
        <f t="shared" ca="1" si="53"/>
        <v>5447.8717598412004</v>
      </c>
      <c r="Z172" s="201">
        <f t="shared" ca="1" si="58"/>
        <v>10421.884210717653</v>
      </c>
      <c r="AA172" s="201">
        <f t="shared" ca="1" si="54"/>
        <v>4974.0124508764584</v>
      </c>
      <c r="AB172" s="201">
        <f t="shared" ca="1" si="55"/>
        <v>5447.8717598412004</v>
      </c>
      <c r="AC172" s="201">
        <f t="shared" ca="1" si="59"/>
        <v>10421.884210717659</v>
      </c>
    </row>
    <row r="173" spans="2:29" x14ac:dyDescent="0.3">
      <c r="B173" s="84">
        <f t="shared" si="56"/>
        <v>162</v>
      </c>
      <c r="C173" s="85">
        <f ca="1">IF($B173="","",'Fecha Pago'!K165)</f>
        <v>51077</v>
      </c>
      <c r="D173" s="86">
        <f>IF($B$12="","",'Fecha Pago'!L165)</f>
        <v>30.4</v>
      </c>
      <c r="E173" s="87">
        <f t="shared" si="43"/>
        <v>0.11</v>
      </c>
      <c r="F173" s="86">
        <f t="shared" ca="1" si="60"/>
        <v>581519.35882389406</v>
      </c>
      <c r="G173" s="86">
        <f t="shared" ca="1" si="42"/>
        <v>5020.2154998645992</v>
      </c>
      <c r="H173" s="86">
        <f t="shared" ca="1" si="44"/>
        <v>5401.6687108530596</v>
      </c>
      <c r="I173" s="86">
        <f>IF(B173="","",IF(Simulador!$F$9="Liquidez",'Tabla Fijos'!H173*0.16,IF(Simulador!$J$9="SI",H173*0.16,0)))</f>
        <v>0</v>
      </c>
      <c r="J173" s="86">
        <f t="shared" ca="1" si="45"/>
        <v>10421.884210717659</v>
      </c>
      <c r="K173" s="86">
        <f t="shared" ca="1" si="57"/>
        <v>0</v>
      </c>
      <c r="L173" s="86">
        <f ca="1">IF(B173="","",IF(F173=0,0,IF(Sheet1!$I$10=6,'Tabla Fijos'!$C$3*'Tabla Fijos'!$F$5,$F$5*$C$5)))</f>
        <v>0</v>
      </c>
      <c r="M173" s="86">
        <f t="shared" ca="1" si="46"/>
        <v>0</v>
      </c>
      <c r="N173" s="86">
        <f ca="1">IF(B173="","",IF(F173=0,0,IF(Simulador!$N$7='Tabla Parámetros'!$C$31,AportPat!L165,IF(Simulador!$N$7='Tabla Parámetros'!$C$34,AportPatFov!G163,0))))</f>
        <v>0</v>
      </c>
      <c r="O173" s="86">
        <f>Simulador!N228</f>
        <v>0</v>
      </c>
      <c r="P173" s="86"/>
      <c r="Q173" s="86">
        <v>0</v>
      </c>
      <c r="R173" s="86">
        <f t="shared" ca="1" si="47"/>
        <v>10421.884210717659</v>
      </c>
      <c r="S173" s="86">
        <f t="shared" ca="1" si="48"/>
        <v>576499.14332402952</v>
      </c>
      <c r="U173" s="201">
        <f t="shared" ca="1" si="49"/>
        <v>5020.2154998645965</v>
      </c>
      <c r="V173" s="201">
        <f t="shared" ca="1" si="50"/>
        <v>5401.6687108530596</v>
      </c>
      <c r="W173" s="202">
        <f t="shared" ca="1" si="51"/>
        <v>10421.884210717657</v>
      </c>
      <c r="X173" s="201">
        <f t="shared" ca="1" si="52"/>
        <v>5020.2154998645938</v>
      </c>
      <c r="Y173" s="201">
        <f t="shared" ca="1" si="53"/>
        <v>5401.6687108530596</v>
      </c>
      <c r="Z173" s="201">
        <f t="shared" ca="1" si="58"/>
        <v>10421.884210717653</v>
      </c>
      <c r="AA173" s="201">
        <f t="shared" ca="1" si="54"/>
        <v>5020.2154998645992</v>
      </c>
      <c r="AB173" s="201">
        <f t="shared" ca="1" si="55"/>
        <v>5401.6687108530596</v>
      </c>
      <c r="AC173" s="201">
        <f t="shared" ca="1" si="59"/>
        <v>10421.884210717659</v>
      </c>
    </row>
    <row r="174" spans="2:29" x14ac:dyDescent="0.3">
      <c r="B174" s="84">
        <f t="shared" si="56"/>
        <v>163</v>
      </c>
      <c r="C174" s="85">
        <f ca="1">IF($B174="","",'Fecha Pago'!K166)</f>
        <v>51107</v>
      </c>
      <c r="D174" s="86">
        <f>IF($B$12="","",'Fecha Pago'!L166)</f>
        <v>30.4</v>
      </c>
      <c r="E174" s="87">
        <f t="shared" si="43"/>
        <v>0.11</v>
      </c>
      <c r="F174" s="86">
        <f t="shared" ca="1" si="60"/>
        <v>576499.14332402952</v>
      </c>
      <c r="G174" s="86">
        <f t="shared" ca="1" si="42"/>
        <v>5066.8477238411206</v>
      </c>
      <c r="H174" s="86">
        <f t="shared" ca="1" si="44"/>
        <v>5355.03648687654</v>
      </c>
      <c r="I174" s="86">
        <f>IF(B174="","",IF(Simulador!$F$9="Liquidez",'Tabla Fijos'!H174*0.16,IF(Simulador!$J$9="SI",H174*0.16,0)))</f>
        <v>0</v>
      </c>
      <c r="J174" s="86">
        <f t="shared" ca="1" si="45"/>
        <v>10421.884210717661</v>
      </c>
      <c r="K174" s="86">
        <f t="shared" ca="1" si="57"/>
        <v>0</v>
      </c>
      <c r="L174" s="86">
        <f ca="1">IF(B174="","",IF(F174=0,0,IF(Sheet1!$I$10=6,'Tabla Fijos'!$C$3*'Tabla Fijos'!$F$5,$F$5*$C$5)))</f>
        <v>0</v>
      </c>
      <c r="M174" s="86">
        <f t="shared" ca="1" si="46"/>
        <v>0</v>
      </c>
      <c r="N174" s="86">
        <f ca="1">IF(B174="","",IF(F174=0,0,IF(Simulador!$N$7='Tabla Parámetros'!$C$31,AportPat!L166,IF(Simulador!$N$7='Tabla Parámetros'!$C$34,AportPatFov!G164,0))))</f>
        <v>0</v>
      </c>
      <c r="O174" s="86">
        <f>Simulador!N229</f>
        <v>0</v>
      </c>
      <c r="P174" s="86"/>
      <c r="Q174" s="86">
        <v>0</v>
      </c>
      <c r="R174" s="86">
        <f t="shared" ca="1" si="47"/>
        <v>10421.884210717661</v>
      </c>
      <c r="S174" s="86">
        <f t="shared" ca="1" si="48"/>
        <v>571432.29560018843</v>
      </c>
      <c r="U174" s="201">
        <f t="shared" ca="1" si="49"/>
        <v>5066.8477238411169</v>
      </c>
      <c r="V174" s="201">
        <f t="shared" ca="1" si="50"/>
        <v>5355.03648687654</v>
      </c>
      <c r="W174" s="202">
        <f t="shared" ca="1" si="51"/>
        <v>10421.884210717657</v>
      </c>
      <c r="X174" s="201">
        <f t="shared" ca="1" si="52"/>
        <v>5066.8477238411133</v>
      </c>
      <c r="Y174" s="201">
        <f t="shared" ca="1" si="53"/>
        <v>5355.03648687654</v>
      </c>
      <c r="Z174" s="201">
        <f t="shared" ca="1" si="58"/>
        <v>10421.884210717653</v>
      </c>
      <c r="AA174" s="201">
        <f t="shared" ca="1" si="54"/>
        <v>5066.8477238411206</v>
      </c>
      <c r="AB174" s="201">
        <f t="shared" ca="1" si="55"/>
        <v>5355.03648687654</v>
      </c>
      <c r="AC174" s="201">
        <f t="shared" ca="1" si="59"/>
        <v>10421.884210717661</v>
      </c>
    </row>
    <row r="175" spans="2:29" x14ac:dyDescent="0.3">
      <c r="B175" s="84">
        <f t="shared" si="56"/>
        <v>164</v>
      </c>
      <c r="C175" s="85">
        <f ca="1">IF($B175="","",'Fecha Pago'!K167)</f>
        <v>51138</v>
      </c>
      <c r="D175" s="86">
        <f>IF($B$12="","",'Fecha Pago'!L167)</f>
        <v>30.4</v>
      </c>
      <c r="E175" s="87">
        <f t="shared" si="43"/>
        <v>0.11</v>
      </c>
      <c r="F175" s="86">
        <f t="shared" ca="1" si="60"/>
        <v>571432.29560018843</v>
      </c>
      <c r="G175" s="86">
        <f t="shared" ca="1" si="42"/>
        <v>5113.9131093647993</v>
      </c>
      <c r="H175" s="86">
        <f t="shared" ca="1" si="44"/>
        <v>5307.9711013528613</v>
      </c>
      <c r="I175" s="86">
        <f>IF(B175="","",IF(Simulador!$F$9="Liquidez",'Tabla Fijos'!H175*0.16,IF(Simulador!$J$9="SI",H175*0.16,0)))</f>
        <v>0</v>
      </c>
      <c r="J175" s="86">
        <f t="shared" ca="1" si="45"/>
        <v>10421.884210717661</v>
      </c>
      <c r="K175" s="86">
        <f t="shared" ca="1" si="57"/>
        <v>0</v>
      </c>
      <c r="L175" s="86">
        <f ca="1">IF(B175="","",IF(F175=0,0,IF(Sheet1!$I$10=6,'Tabla Fijos'!$C$3*'Tabla Fijos'!$F$5,$F$5*$C$5)))</f>
        <v>0</v>
      </c>
      <c r="M175" s="86">
        <f t="shared" ca="1" si="46"/>
        <v>0</v>
      </c>
      <c r="N175" s="86">
        <f ca="1">IF(B175="","",IF(F175=0,0,IF(Simulador!$N$7='Tabla Parámetros'!$C$31,AportPat!L167,IF(Simulador!$N$7='Tabla Parámetros'!$C$34,AportPatFov!G165,0))))</f>
        <v>0</v>
      </c>
      <c r="O175" s="86">
        <f>Simulador!N230</f>
        <v>0</v>
      </c>
      <c r="P175" s="86"/>
      <c r="Q175" s="86">
        <v>0</v>
      </c>
      <c r="R175" s="86">
        <f t="shared" ca="1" si="47"/>
        <v>10421.884210717661</v>
      </c>
      <c r="S175" s="86">
        <f t="shared" ca="1" si="48"/>
        <v>566318.38249082363</v>
      </c>
      <c r="U175" s="201">
        <f t="shared" ca="1" si="49"/>
        <v>5113.9131093647966</v>
      </c>
      <c r="V175" s="201">
        <f t="shared" ca="1" si="50"/>
        <v>5307.9711013528613</v>
      </c>
      <c r="W175" s="202">
        <f t="shared" ca="1" si="51"/>
        <v>10421.884210717657</v>
      </c>
      <c r="X175" s="201">
        <f t="shared" ca="1" si="52"/>
        <v>5113.913109364792</v>
      </c>
      <c r="Y175" s="201">
        <f t="shared" ca="1" si="53"/>
        <v>5307.9711013528613</v>
      </c>
      <c r="Z175" s="201">
        <f t="shared" ca="1" si="58"/>
        <v>10421.884210717653</v>
      </c>
      <c r="AA175" s="201">
        <f t="shared" ca="1" si="54"/>
        <v>5113.9131093647993</v>
      </c>
      <c r="AB175" s="201">
        <f t="shared" ca="1" si="55"/>
        <v>5307.9711013528613</v>
      </c>
      <c r="AC175" s="201">
        <f t="shared" ca="1" si="59"/>
        <v>10421.884210717661</v>
      </c>
    </row>
    <row r="176" spans="2:29" x14ac:dyDescent="0.3">
      <c r="B176" s="84">
        <f t="shared" si="56"/>
        <v>165</v>
      </c>
      <c r="C176" s="85">
        <f ca="1">IF($B176="","",'Fecha Pago'!K168)</f>
        <v>51169</v>
      </c>
      <c r="D176" s="86">
        <f>IF($B$12="","",'Fecha Pago'!L168)</f>
        <v>30.4</v>
      </c>
      <c r="E176" s="87">
        <f t="shared" si="43"/>
        <v>0.11</v>
      </c>
      <c r="F176" s="86">
        <f t="shared" ca="1" si="60"/>
        <v>566318.38249082363</v>
      </c>
      <c r="G176" s="86">
        <f t="shared" ca="1" si="42"/>
        <v>5161.4156800251194</v>
      </c>
      <c r="H176" s="86">
        <f t="shared" ca="1" si="44"/>
        <v>5260.4685306925394</v>
      </c>
      <c r="I176" s="86">
        <f>IF(B176="","",IF(Simulador!$F$9="Liquidez",'Tabla Fijos'!H176*0.16,IF(Simulador!$J$9="SI",H176*0.16,0)))</f>
        <v>0</v>
      </c>
      <c r="J176" s="86">
        <f t="shared" ca="1" si="45"/>
        <v>10421.884210717659</v>
      </c>
      <c r="K176" s="86">
        <f t="shared" ca="1" si="57"/>
        <v>0</v>
      </c>
      <c r="L176" s="86">
        <f ca="1">IF(B176="","",IF(F176=0,0,IF(Sheet1!$I$10=6,'Tabla Fijos'!$C$3*'Tabla Fijos'!$F$5,$F$5*$C$5)))</f>
        <v>0</v>
      </c>
      <c r="M176" s="86">
        <f t="shared" ca="1" si="46"/>
        <v>0</v>
      </c>
      <c r="N176" s="86">
        <f ca="1">IF(B176="","",IF(F176=0,0,IF(Simulador!$N$7='Tabla Parámetros'!$C$31,AportPat!L168,IF(Simulador!$N$7='Tabla Parámetros'!$C$34,AportPatFov!G166,0))))</f>
        <v>0</v>
      </c>
      <c r="O176" s="86">
        <f>Simulador!N231</f>
        <v>0</v>
      </c>
      <c r="P176" s="86"/>
      <c r="Q176" s="86">
        <v>0</v>
      </c>
      <c r="R176" s="86">
        <f t="shared" ca="1" si="47"/>
        <v>10421.884210717659</v>
      </c>
      <c r="S176" s="86">
        <f t="shared" ca="1" si="48"/>
        <v>561156.96681079851</v>
      </c>
      <c r="U176" s="201">
        <f t="shared" ca="1" si="49"/>
        <v>5161.4156800251185</v>
      </c>
      <c r="V176" s="201">
        <f t="shared" ca="1" si="50"/>
        <v>5260.4685306925394</v>
      </c>
      <c r="W176" s="202">
        <f t="shared" ca="1" si="51"/>
        <v>10421.884210717657</v>
      </c>
      <c r="X176" s="201">
        <f t="shared" ca="1" si="52"/>
        <v>5161.4156800251139</v>
      </c>
      <c r="Y176" s="201">
        <f t="shared" ca="1" si="53"/>
        <v>5260.4685306925394</v>
      </c>
      <c r="Z176" s="201">
        <f t="shared" ca="1" si="58"/>
        <v>10421.884210717653</v>
      </c>
      <c r="AA176" s="201">
        <f t="shared" ca="1" si="54"/>
        <v>5161.4156800251194</v>
      </c>
      <c r="AB176" s="201">
        <f t="shared" ca="1" si="55"/>
        <v>5260.4685306925394</v>
      </c>
      <c r="AC176" s="201">
        <f t="shared" ca="1" si="59"/>
        <v>10421.884210717659</v>
      </c>
    </row>
    <row r="177" spans="2:29" x14ac:dyDescent="0.3">
      <c r="B177" s="84">
        <f t="shared" si="56"/>
        <v>166</v>
      </c>
      <c r="C177" s="85">
        <f ca="1">IF($B177="","",'Fecha Pago'!K169)</f>
        <v>51198</v>
      </c>
      <c r="D177" s="86">
        <f>IF($B$12="","",'Fecha Pago'!L169)</f>
        <v>30.4</v>
      </c>
      <c r="E177" s="87">
        <f t="shared" si="43"/>
        <v>0.11</v>
      </c>
      <c r="F177" s="86">
        <f t="shared" ca="1" si="60"/>
        <v>561156.96681079851</v>
      </c>
      <c r="G177" s="86">
        <f t="shared" ca="1" si="42"/>
        <v>5209.3594967862437</v>
      </c>
      <c r="H177" s="86">
        <f t="shared" ca="1" si="44"/>
        <v>5212.524713931417</v>
      </c>
      <c r="I177" s="86">
        <f>IF(B177="","",IF(Simulador!$F$9="Liquidez",'Tabla Fijos'!H177*0.16,IF(Simulador!$J$9="SI",H177*0.16,0)))</f>
        <v>0</v>
      </c>
      <c r="J177" s="86">
        <f t="shared" ca="1" si="45"/>
        <v>10421.884210717661</v>
      </c>
      <c r="K177" s="86">
        <f t="shared" ca="1" si="57"/>
        <v>0</v>
      </c>
      <c r="L177" s="86">
        <f ca="1">IF(B177="","",IF(F177=0,0,IF(Sheet1!$I$10=6,'Tabla Fijos'!$C$3*'Tabla Fijos'!$F$5,$F$5*$C$5)))</f>
        <v>0</v>
      </c>
      <c r="M177" s="86">
        <f t="shared" ca="1" si="46"/>
        <v>0</v>
      </c>
      <c r="N177" s="86">
        <f ca="1">IF(B177="","",IF(F177=0,0,IF(Simulador!$N$7='Tabla Parámetros'!$C$31,AportPat!L169,IF(Simulador!$N$7='Tabla Parámetros'!$C$34,AportPatFov!G167,0))))</f>
        <v>0</v>
      </c>
      <c r="O177" s="86">
        <f>Simulador!N232</f>
        <v>0</v>
      </c>
      <c r="P177" s="86"/>
      <c r="Q177" s="86">
        <v>0</v>
      </c>
      <c r="R177" s="86">
        <f t="shared" ca="1" si="47"/>
        <v>10421.884210717661</v>
      </c>
      <c r="S177" s="86">
        <f t="shared" ca="1" si="48"/>
        <v>555947.60731401225</v>
      </c>
      <c r="U177" s="201">
        <f t="shared" ca="1" si="49"/>
        <v>5209.3594967862409</v>
      </c>
      <c r="V177" s="201">
        <f t="shared" ca="1" si="50"/>
        <v>5212.524713931417</v>
      </c>
      <c r="W177" s="202">
        <f t="shared" ca="1" si="51"/>
        <v>10421.884210717657</v>
      </c>
      <c r="X177" s="201">
        <f t="shared" ca="1" si="52"/>
        <v>5209.3594967862364</v>
      </c>
      <c r="Y177" s="201">
        <f t="shared" ca="1" si="53"/>
        <v>5212.524713931417</v>
      </c>
      <c r="Z177" s="201">
        <f t="shared" ca="1" si="58"/>
        <v>10421.884210717653</v>
      </c>
      <c r="AA177" s="201">
        <f t="shared" ca="1" si="54"/>
        <v>5209.3594967862437</v>
      </c>
      <c r="AB177" s="201">
        <f t="shared" ca="1" si="55"/>
        <v>5212.524713931417</v>
      </c>
      <c r="AC177" s="201">
        <f t="shared" ca="1" si="59"/>
        <v>10421.884210717661</v>
      </c>
    </row>
    <row r="178" spans="2:29" x14ac:dyDescent="0.3">
      <c r="B178" s="84">
        <f t="shared" si="56"/>
        <v>167</v>
      </c>
      <c r="C178" s="85">
        <f ca="1">IF($B178="","",'Fecha Pago'!K170)</f>
        <v>51229</v>
      </c>
      <c r="D178" s="86">
        <f>IF($B$12="","",'Fecha Pago'!L170)</f>
        <v>30.4</v>
      </c>
      <c r="E178" s="87">
        <f t="shared" si="43"/>
        <v>0.11</v>
      </c>
      <c r="F178" s="86">
        <f t="shared" ca="1" si="60"/>
        <v>555947.60731401225</v>
      </c>
      <c r="G178" s="86">
        <f t="shared" ca="1" si="42"/>
        <v>5257.7486583341697</v>
      </c>
      <c r="H178" s="86">
        <f t="shared" ca="1" si="44"/>
        <v>5164.1355523834909</v>
      </c>
      <c r="I178" s="86">
        <f>IF(B178="","",IF(Simulador!$F$9="Liquidez",'Tabla Fijos'!H178*0.16,IF(Simulador!$J$9="SI",H178*0.16,0)))</f>
        <v>0</v>
      </c>
      <c r="J178" s="86">
        <f t="shared" ca="1" si="45"/>
        <v>10421.884210717661</v>
      </c>
      <c r="K178" s="86">
        <f t="shared" ca="1" si="57"/>
        <v>0</v>
      </c>
      <c r="L178" s="86">
        <f ca="1">IF(B178="","",IF(F178=0,0,IF(Sheet1!$I$10=6,'Tabla Fijos'!$C$3*'Tabla Fijos'!$F$5,$F$5*$C$5)))</f>
        <v>0</v>
      </c>
      <c r="M178" s="86">
        <f t="shared" ca="1" si="46"/>
        <v>0</v>
      </c>
      <c r="N178" s="86">
        <f ca="1">IF(B178="","",IF(F178=0,0,IF(Simulador!$N$7='Tabla Parámetros'!$C$31,AportPat!L170,IF(Simulador!$N$7='Tabla Parámetros'!$C$34,AportPatFov!G168,0))))</f>
        <v>0</v>
      </c>
      <c r="O178" s="86">
        <f>Simulador!N233</f>
        <v>0</v>
      </c>
      <c r="P178" s="86"/>
      <c r="Q178" s="86">
        <v>0</v>
      </c>
      <c r="R178" s="86">
        <f t="shared" ca="1" si="47"/>
        <v>10421.884210717661</v>
      </c>
      <c r="S178" s="86">
        <f t="shared" ca="1" si="48"/>
        <v>550689.85865567811</v>
      </c>
      <c r="U178" s="201">
        <f t="shared" ca="1" si="49"/>
        <v>5257.7486583341661</v>
      </c>
      <c r="V178" s="201">
        <f t="shared" ca="1" si="50"/>
        <v>5164.1355523834909</v>
      </c>
      <c r="W178" s="202">
        <f t="shared" ca="1" si="51"/>
        <v>10421.884210717657</v>
      </c>
      <c r="X178" s="201">
        <f t="shared" ca="1" si="52"/>
        <v>5257.7486583341624</v>
      </c>
      <c r="Y178" s="201">
        <f t="shared" ca="1" si="53"/>
        <v>5164.1355523834909</v>
      </c>
      <c r="Z178" s="201">
        <f t="shared" ca="1" si="58"/>
        <v>10421.884210717653</v>
      </c>
      <c r="AA178" s="201">
        <f t="shared" ca="1" si="54"/>
        <v>5257.7486583341697</v>
      </c>
      <c r="AB178" s="201">
        <f t="shared" ca="1" si="55"/>
        <v>5164.1355523834909</v>
      </c>
      <c r="AC178" s="201">
        <f t="shared" ca="1" si="59"/>
        <v>10421.884210717661</v>
      </c>
    </row>
    <row r="179" spans="2:29" x14ac:dyDescent="0.3">
      <c r="B179" s="84">
        <f t="shared" si="56"/>
        <v>168</v>
      </c>
      <c r="C179" s="85">
        <f ca="1">IF($B179="","",'Fecha Pago'!K171)</f>
        <v>51259</v>
      </c>
      <c r="D179" s="86">
        <f>IF($B$12="","",'Fecha Pago'!L171)</f>
        <v>30.4</v>
      </c>
      <c r="E179" s="87">
        <f t="shared" si="43"/>
        <v>0.11</v>
      </c>
      <c r="F179" s="86">
        <f t="shared" ca="1" si="60"/>
        <v>550689.85865567811</v>
      </c>
      <c r="G179" s="86">
        <f t="shared" ca="1" si="42"/>
        <v>5306.5873014271401</v>
      </c>
      <c r="H179" s="86">
        <f t="shared" ca="1" si="44"/>
        <v>5115.2969092905205</v>
      </c>
      <c r="I179" s="86">
        <f>IF(B179="","",IF(Simulador!$F$9="Liquidez",'Tabla Fijos'!H179*0.16,IF(Simulador!$J$9="SI",H179*0.16,0)))</f>
        <v>0</v>
      </c>
      <c r="J179" s="86">
        <f t="shared" ca="1" si="45"/>
        <v>10421.884210717661</v>
      </c>
      <c r="K179" s="86">
        <f t="shared" ca="1" si="57"/>
        <v>0</v>
      </c>
      <c r="L179" s="86">
        <f ca="1">IF(B179="","",IF(F179=0,0,IF(Sheet1!$I$10=6,'Tabla Fijos'!$C$3*'Tabla Fijos'!$F$5,$F$5*$C$5)))</f>
        <v>0</v>
      </c>
      <c r="M179" s="86">
        <f t="shared" ca="1" si="46"/>
        <v>0</v>
      </c>
      <c r="N179" s="86">
        <f ca="1">IF(B179="","",IF(F179=0,0,IF(Simulador!$N$7='Tabla Parámetros'!$C$31,AportPat!L171,IF(Simulador!$N$7='Tabla Parámetros'!$C$34,AportPatFov!G169,0))))</f>
        <v>0</v>
      </c>
      <c r="O179" s="86">
        <f>Simulador!N234</f>
        <v>0</v>
      </c>
      <c r="P179" s="86"/>
      <c r="Q179" s="86">
        <v>0</v>
      </c>
      <c r="R179" s="86">
        <f t="shared" ca="1" si="47"/>
        <v>10421.884210717661</v>
      </c>
      <c r="S179" s="86">
        <f t="shared" ca="1" si="48"/>
        <v>545383.27135425096</v>
      </c>
      <c r="U179" s="201">
        <f t="shared" ca="1" si="49"/>
        <v>5306.5873014271365</v>
      </c>
      <c r="V179" s="201">
        <f t="shared" ca="1" si="50"/>
        <v>5115.2969092905205</v>
      </c>
      <c r="W179" s="202">
        <f t="shared" ca="1" si="51"/>
        <v>10421.884210717657</v>
      </c>
      <c r="X179" s="201">
        <f t="shared" ca="1" si="52"/>
        <v>5306.5873014271328</v>
      </c>
      <c r="Y179" s="201">
        <f t="shared" ca="1" si="53"/>
        <v>5115.2969092905205</v>
      </c>
      <c r="Z179" s="201">
        <f t="shared" ca="1" si="58"/>
        <v>10421.884210717653</v>
      </c>
      <c r="AA179" s="201">
        <f t="shared" ca="1" si="54"/>
        <v>5306.5873014271401</v>
      </c>
      <c r="AB179" s="201">
        <f t="shared" ca="1" si="55"/>
        <v>5115.2969092905205</v>
      </c>
      <c r="AC179" s="201">
        <f t="shared" ca="1" si="59"/>
        <v>10421.884210717661</v>
      </c>
    </row>
    <row r="180" spans="2:29" x14ac:dyDescent="0.3">
      <c r="B180" s="84">
        <f t="shared" si="56"/>
        <v>169</v>
      </c>
      <c r="C180" s="85">
        <f ca="1">IF($B180="","",'Fecha Pago'!K172)</f>
        <v>51290</v>
      </c>
      <c r="D180" s="86">
        <f>IF($B$12="","",'Fecha Pago'!L172)</f>
        <v>30.4</v>
      </c>
      <c r="E180" s="87">
        <f t="shared" si="43"/>
        <v>0.11</v>
      </c>
      <c r="F180" s="86">
        <f t="shared" ca="1" si="60"/>
        <v>545383.27135425096</v>
      </c>
      <c r="G180" s="86">
        <f t="shared" ca="1" si="42"/>
        <v>5355.8796012492858</v>
      </c>
      <c r="H180" s="86">
        <f t="shared" ca="1" si="44"/>
        <v>5066.0046094683748</v>
      </c>
      <c r="I180" s="86">
        <f>IF(B180="","",IF(Simulador!$F$9="Liquidez",'Tabla Fijos'!H180*0.16,IF(Simulador!$J$9="SI",H180*0.16,0)))</f>
        <v>0</v>
      </c>
      <c r="J180" s="86">
        <f t="shared" ca="1" si="45"/>
        <v>10421.884210717661</v>
      </c>
      <c r="K180" s="86">
        <f t="shared" ca="1" si="57"/>
        <v>0</v>
      </c>
      <c r="L180" s="86">
        <f ca="1">IF(B180="","",IF(F180=0,0,IF(Sheet1!$I$10=6,'Tabla Fijos'!$C$3*'Tabla Fijos'!$F$5,$F$5*$C$5)))</f>
        <v>0</v>
      </c>
      <c r="M180" s="86">
        <f t="shared" ca="1" si="46"/>
        <v>0</v>
      </c>
      <c r="N180" s="86">
        <f ca="1">IF(B180="","",IF(F180=0,0,IF(Simulador!$N$7='Tabla Parámetros'!$C$31,AportPat!L172,IF(Simulador!$N$7='Tabla Parámetros'!$C$34,AportPatFov!G170,0))))</f>
        <v>0</v>
      </c>
      <c r="O180" s="86">
        <f>Simulador!N235</f>
        <v>0</v>
      </c>
      <c r="P180" s="86"/>
      <c r="Q180" s="86">
        <v>0</v>
      </c>
      <c r="R180" s="86">
        <f t="shared" ca="1" si="47"/>
        <v>10421.884210717661</v>
      </c>
      <c r="S180" s="86">
        <f t="shared" ca="1" si="48"/>
        <v>540027.39175300172</v>
      </c>
      <c r="U180" s="201">
        <f t="shared" ca="1" si="49"/>
        <v>5355.8796012492821</v>
      </c>
      <c r="V180" s="201">
        <f t="shared" ca="1" si="50"/>
        <v>5066.0046094683748</v>
      </c>
      <c r="W180" s="202">
        <f t="shared" ca="1" si="51"/>
        <v>10421.884210717657</v>
      </c>
      <c r="X180" s="201">
        <f t="shared" ca="1" si="52"/>
        <v>5355.8796012492785</v>
      </c>
      <c r="Y180" s="201">
        <f t="shared" ca="1" si="53"/>
        <v>5066.0046094683748</v>
      </c>
      <c r="Z180" s="201">
        <f t="shared" ca="1" si="58"/>
        <v>10421.884210717653</v>
      </c>
      <c r="AA180" s="201">
        <f t="shared" ca="1" si="54"/>
        <v>5355.8796012492858</v>
      </c>
      <c r="AB180" s="201">
        <f t="shared" ca="1" si="55"/>
        <v>5066.0046094683748</v>
      </c>
      <c r="AC180" s="201">
        <f t="shared" ca="1" si="59"/>
        <v>10421.884210717661</v>
      </c>
    </row>
    <row r="181" spans="2:29" x14ac:dyDescent="0.3">
      <c r="B181" s="84">
        <f t="shared" si="56"/>
        <v>170</v>
      </c>
      <c r="C181" s="85">
        <f ca="1">IF($B181="","",'Fecha Pago'!K173)</f>
        <v>51320</v>
      </c>
      <c r="D181" s="86">
        <f>IF($B$12="","",'Fecha Pago'!L173)</f>
        <v>30.4</v>
      </c>
      <c r="E181" s="87">
        <f t="shared" si="43"/>
        <v>0.11</v>
      </c>
      <c r="F181" s="86">
        <f t="shared" ca="1" si="60"/>
        <v>540027.39175300172</v>
      </c>
      <c r="G181" s="86">
        <f t="shared" ca="1" si="42"/>
        <v>5405.6297717675561</v>
      </c>
      <c r="H181" s="86">
        <f t="shared" ca="1" si="44"/>
        <v>5016.2544389501045</v>
      </c>
      <c r="I181" s="86">
        <f>IF(B181="","",IF(Simulador!$F$9="Liquidez",'Tabla Fijos'!H181*0.16,IF(Simulador!$J$9="SI",H181*0.16,0)))</f>
        <v>0</v>
      </c>
      <c r="J181" s="86">
        <f t="shared" ca="1" si="45"/>
        <v>10421.884210717661</v>
      </c>
      <c r="K181" s="86">
        <f t="shared" ca="1" si="57"/>
        <v>0</v>
      </c>
      <c r="L181" s="86">
        <f ca="1">IF(B181="","",IF(F181=0,0,IF(Sheet1!$I$10=6,'Tabla Fijos'!$C$3*'Tabla Fijos'!$F$5,$F$5*$C$5)))</f>
        <v>0</v>
      </c>
      <c r="M181" s="86">
        <f t="shared" ca="1" si="46"/>
        <v>0</v>
      </c>
      <c r="N181" s="86">
        <f ca="1">IF(B181="","",IF(F181=0,0,IF(Simulador!$N$7='Tabla Parámetros'!$C$31,AportPat!L173,IF(Simulador!$N$7='Tabla Parámetros'!$C$34,AportPatFov!G171,0))))</f>
        <v>0</v>
      </c>
      <c r="O181" s="86">
        <f>Simulador!N236</f>
        <v>0</v>
      </c>
      <c r="P181" s="86"/>
      <c r="Q181" s="86">
        <v>0</v>
      </c>
      <c r="R181" s="86">
        <f t="shared" ca="1" si="47"/>
        <v>10421.884210717661</v>
      </c>
      <c r="S181" s="86">
        <f t="shared" ca="1" si="48"/>
        <v>534621.76198123419</v>
      </c>
      <c r="U181" s="201">
        <f t="shared" ca="1" si="49"/>
        <v>5405.6297717675525</v>
      </c>
      <c r="V181" s="201">
        <f t="shared" ca="1" si="50"/>
        <v>5016.2544389501045</v>
      </c>
      <c r="W181" s="202">
        <f t="shared" ca="1" si="51"/>
        <v>10421.884210717657</v>
      </c>
      <c r="X181" s="201">
        <f t="shared" ca="1" si="52"/>
        <v>5405.6297717675488</v>
      </c>
      <c r="Y181" s="201">
        <f t="shared" ca="1" si="53"/>
        <v>5016.2544389501045</v>
      </c>
      <c r="Z181" s="201">
        <f t="shared" ca="1" si="58"/>
        <v>10421.884210717653</v>
      </c>
      <c r="AA181" s="201">
        <f t="shared" ca="1" si="54"/>
        <v>5405.6297717675561</v>
      </c>
      <c r="AB181" s="201">
        <f t="shared" ca="1" si="55"/>
        <v>5016.2544389501045</v>
      </c>
      <c r="AC181" s="201">
        <f t="shared" ca="1" si="59"/>
        <v>10421.884210717661</v>
      </c>
    </row>
    <row r="182" spans="2:29" x14ac:dyDescent="0.3">
      <c r="B182" s="84">
        <f t="shared" si="56"/>
        <v>171</v>
      </c>
      <c r="C182" s="85">
        <f ca="1">IF($B182="","",'Fecha Pago'!K174)</f>
        <v>51351</v>
      </c>
      <c r="D182" s="86">
        <f>IF($B$12="","",'Fecha Pago'!L174)</f>
        <v>30.4</v>
      </c>
      <c r="E182" s="87">
        <f t="shared" si="43"/>
        <v>0.11</v>
      </c>
      <c r="F182" s="86">
        <f t="shared" ca="1" si="60"/>
        <v>534621.76198123419</v>
      </c>
      <c r="G182" s="86">
        <f t="shared" ca="1" si="42"/>
        <v>5455.8420660919764</v>
      </c>
      <c r="H182" s="86">
        <f t="shared" ca="1" si="44"/>
        <v>4966.042144625686</v>
      </c>
      <c r="I182" s="86">
        <f>IF(B182="","",IF(Simulador!$F$9="Liquidez",'Tabla Fijos'!H182*0.16,IF(Simulador!$J$9="SI",H182*0.16,0)))</f>
        <v>0</v>
      </c>
      <c r="J182" s="86">
        <f t="shared" ca="1" si="45"/>
        <v>10421.884210717662</v>
      </c>
      <c r="K182" s="86">
        <f t="shared" ca="1" si="57"/>
        <v>0</v>
      </c>
      <c r="L182" s="86">
        <f ca="1">IF(B182="","",IF(F182=0,0,IF(Sheet1!$I$10=6,'Tabla Fijos'!$C$3*'Tabla Fijos'!$F$5,$F$5*$C$5)))</f>
        <v>0</v>
      </c>
      <c r="M182" s="86">
        <f t="shared" ca="1" si="46"/>
        <v>0</v>
      </c>
      <c r="N182" s="86">
        <f ca="1">IF(B182="","",IF(F182=0,0,IF(Simulador!$N$7='Tabla Parámetros'!$C$31,AportPat!L174,IF(Simulador!$N$7='Tabla Parámetros'!$C$34,AportPatFov!G172,0))))</f>
        <v>0</v>
      </c>
      <c r="O182" s="86">
        <f>Simulador!N237</f>
        <v>0</v>
      </c>
      <c r="P182" s="86"/>
      <c r="Q182" s="86">
        <v>0</v>
      </c>
      <c r="R182" s="86">
        <f t="shared" ca="1" si="47"/>
        <v>10421.884210717662</v>
      </c>
      <c r="S182" s="86">
        <f t="shared" ca="1" si="48"/>
        <v>529165.91991514224</v>
      </c>
      <c r="U182" s="201">
        <f t="shared" ca="1" si="49"/>
        <v>5455.8420660919728</v>
      </c>
      <c r="V182" s="201">
        <f t="shared" ca="1" si="50"/>
        <v>4966.042144625686</v>
      </c>
      <c r="W182" s="202">
        <f t="shared" ca="1" si="51"/>
        <v>10421.884210717659</v>
      </c>
      <c r="X182" s="201">
        <f t="shared" ca="1" si="52"/>
        <v>5455.8420660919674</v>
      </c>
      <c r="Y182" s="201">
        <f t="shared" ca="1" si="53"/>
        <v>4966.042144625686</v>
      </c>
      <c r="Z182" s="201">
        <f t="shared" ca="1" si="58"/>
        <v>10421.884210717653</v>
      </c>
      <c r="AA182" s="201">
        <f t="shared" ca="1" si="54"/>
        <v>5455.8420660919764</v>
      </c>
      <c r="AB182" s="201">
        <f t="shared" ca="1" si="55"/>
        <v>4966.042144625686</v>
      </c>
      <c r="AC182" s="201">
        <f t="shared" ca="1" si="59"/>
        <v>10421.884210717662</v>
      </c>
    </row>
    <row r="183" spans="2:29" x14ac:dyDescent="0.3">
      <c r="B183" s="84">
        <f t="shared" si="56"/>
        <v>172</v>
      </c>
      <c r="C183" s="85">
        <f ca="1">IF($B183="","",'Fecha Pago'!K175)</f>
        <v>51382</v>
      </c>
      <c r="D183" s="86">
        <f>IF($B$12="","",'Fecha Pago'!L175)</f>
        <v>30.4</v>
      </c>
      <c r="E183" s="87">
        <f t="shared" si="43"/>
        <v>0.11</v>
      </c>
      <c r="F183" s="86">
        <f t="shared" ca="1" si="60"/>
        <v>529165.91991514224</v>
      </c>
      <c r="G183" s="86">
        <f t="shared" ca="1" si="42"/>
        <v>5506.5207768392302</v>
      </c>
      <c r="H183" s="86">
        <f t="shared" ca="1" si="44"/>
        <v>4915.3634338784323</v>
      </c>
      <c r="I183" s="86">
        <f>IF(B183="","",IF(Simulador!$F$9="Liquidez",'Tabla Fijos'!H183*0.16,IF(Simulador!$J$9="SI",H183*0.16,0)))</f>
        <v>0</v>
      </c>
      <c r="J183" s="86">
        <f t="shared" ca="1" si="45"/>
        <v>10421.884210717662</v>
      </c>
      <c r="K183" s="86">
        <f t="shared" ca="1" si="57"/>
        <v>0</v>
      </c>
      <c r="L183" s="86">
        <f ca="1">IF(B183="","",IF(F183=0,0,IF(Sheet1!$I$10=6,'Tabla Fijos'!$C$3*'Tabla Fijos'!$F$5,$F$5*$C$5)))</f>
        <v>0</v>
      </c>
      <c r="M183" s="86">
        <f t="shared" ca="1" si="46"/>
        <v>0</v>
      </c>
      <c r="N183" s="86">
        <f ca="1">IF(B183="","",IF(F183=0,0,IF(Simulador!$N$7='Tabla Parámetros'!$C$31,AportPat!L175,IF(Simulador!$N$7='Tabla Parámetros'!$C$34,AportPatFov!G173,0))))</f>
        <v>0</v>
      </c>
      <c r="O183" s="86">
        <f>Simulador!N238</f>
        <v>0</v>
      </c>
      <c r="P183" s="86"/>
      <c r="Q183" s="86">
        <v>0</v>
      </c>
      <c r="R183" s="86">
        <f t="shared" ca="1" si="47"/>
        <v>10421.884210717662</v>
      </c>
      <c r="S183" s="86">
        <f t="shared" ca="1" si="48"/>
        <v>523659.39913830301</v>
      </c>
      <c r="U183" s="201">
        <f t="shared" ca="1" si="49"/>
        <v>5506.5207768392265</v>
      </c>
      <c r="V183" s="201">
        <f t="shared" ca="1" si="50"/>
        <v>4915.3634338784323</v>
      </c>
      <c r="W183" s="202">
        <f t="shared" ca="1" si="51"/>
        <v>10421.884210717659</v>
      </c>
      <c r="X183" s="201">
        <f t="shared" ca="1" si="52"/>
        <v>5506.5207768392211</v>
      </c>
      <c r="Y183" s="201">
        <f t="shared" ca="1" si="53"/>
        <v>4915.3634338784323</v>
      </c>
      <c r="Z183" s="201">
        <f t="shared" ca="1" si="58"/>
        <v>10421.884210717653</v>
      </c>
      <c r="AA183" s="201">
        <f t="shared" ca="1" si="54"/>
        <v>5506.5207768392302</v>
      </c>
      <c r="AB183" s="201">
        <f t="shared" ca="1" si="55"/>
        <v>4915.3634338784323</v>
      </c>
      <c r="AC183" s="201">
        <f t="shared" ca="1" si="59"/>
        <v>10421.884210717662</v>
      </c>
    </row>
    <row r="184" spans="2:29" x14ac:dyDescent="0.3">
      <c r="B184" s="84">
        <f t="shared" si="56"/>
        <v>173</v>
      </c>
      <c r="C184" s="85">
        <f ca="1">IF($B184="","",'Fecha Pago'!K176)</f>
        <v>51412</v>
      </c>
      <c r="D184" s="86">
        <f>IF($B$12="","",'Fecha Pago'!L176)</f>
        <v>30.4</v>
      </c>
      <c r="E184" s="87">
        <f t="shared" si="43"/>
        <v>0.11</v>
      </c>
      <c r="F184" s="86">
        <f t="shared" ca="1" si="60"/>
        <v>523659.39913830301</v>
      </c>
      <c r="G184" s="86">
        <f t="shared" ca="1" si="42"/>
        <v>5557.6702364996481</v>
      </c>
      <c r="H184" s="86">
        <f t="shared" ca="1" si="44"/>
        <v>4864.2139742180143</v>
      </c>
      <c r="I184" s="86">
        <f>IF(B184="","",IF(Simulador!$F$9="Liquidez",'Tabla Fijos'!H184*0.16,IF(Simulador!$J$9="SI",H184*0.16,0)))</f>
        <v>0</v>
      </c>
      <c r="J184" s="86">
        <f t="shared" ca="1" si="45"/>
        <v>10421.884210717662</v>
      </c>
      <c r="K184" s="86">
        <f t="shared" ca="1" si="57"/>
        <v>0</v>
      </c>
      <c r="L184" s="86">
        <f ca="1">IF(B184="","",IF(F184=0,0,IF(Sheet1!$I$10=6,'Tabla Fijos'!$C$3*'Tabla Fijos'!$F$5,$F$5*$C$5)))</f>
        <v>0</v>
      </c>
      <c r="M184" s="86">
        <f t="shared" ca="1" si="46"/>
        <v>0</v>
      </c>
      <c r="N184" s="86">
        <f ca="1">IF(B184="","",IF(F184=0,0,IF(Simulador!$N$7='Tabla Parámetros'!$C$31,AportPat!L176,IF(Simulador!$N$7='Tabla Parámetros'!$C$34,AportPatFov!G174,0))))</f>
        <v>0</v>
      </c>
      <c r="O184" s="86">
        <f>Simulador!N239</f>
        <v>0</v>
      </c>
      <c r="P184" s="86"/>
      <c r="Q184" s="86">
        <v>0</v>
      </c>
      <c r="R184" s="86">
        <f t="shared" ca="1" si="47"/>
        <v>10421.884210717662</v>
      </c>
      <c r="S184" s="86">
        <f t="shared" ca="1" si="48"/>
        <v>518101.72890180338</v>
      </c>
      <c r="U184" s="201">
        <f t="shared" ca="1" si="49"/>
        <v>5557.6702364996445</v>
      </c>
      <c r="V184" s="201">
        <f t="shared" ca="1" si="50"/>
        <v>4864.2139742180143</v>
      </c>
      <c r="W184" s="202">
        <f t="shared" ca="1" si="51"/>
        <v>10421.884210717659</v>
      </c>
      <c r="X184" s="201">
        <f t="shared" ca="1" si="52"/>
        <v>5557.670236499639</v>
      </c>
      <c r="Y184" s="201">
        <f t="shared" ca="1" si="53"/>
        <v>4864.2139742180143</v>
      </c>
      <c r="Z184" s="201">
        <f t="shared" ca="1" si="58"/>
        <v>10421.884210717653</v>
      </c>
      <c r="AA184" s="201">
        <f t="shared" ca="1" si="54"/>
        <v>5557.6702364996481</v>
      </c>
      <c r="AB184" s="201">
        <f t="shared" ca="1" si="55"/>
        <v>4864.2139742180143</v>
      </c>
      <c r="AC184" s="201">
        <f t="shared" ca="1" si="59"/>
        <v>10421.884210717662</v>
      </c>
    </row>
    <row r="185" spans="2:29" x14ac:dyDescent="0.3">
      <c r="B185" s="84">
        <f t="shared" si="56"/>
        <v>174</v>
      </c>
      <c r="C185" s="85">
        <f ca="1">IF($B185="","",'Fecha Pago'!K177)</f>
        <v>51443</v>
      </c>
      <c r="D185" s="86">
        <f>IF($B$12="","",'Fecha Pago'!L177)</f>
        <v>30.4</v>
      </c>
      <c r="E185" s="87">
        <f t="shared" si="43"/>
        <v>0.11</v>
      </c>
      <c r="F185" s="86">
        <f t="shared" ca="1" si="60"/>
        <v>518101.72890180338</v>
      </c>
      <c r="G185" s="86">
        <f t="shared" ca="1" si="42"/>
        <v>5609.2948178075767</v>
      </c>
      <c r="H185" s="86">
        <f t="shared" ca="1" si="44"/>
        <v>4812.5893929100839</v>
      </c>
      <c r="I185" s="86">
        <f>IF(B185="","",IF(Simulador!$F$9="Liquidez",'Tabla Fijos'!H185*0.16,IF(Simulador!$J$9="SI",H185*0.16,0)))</f>
        <v>0</v>
      </c>
      <c r="J185" s="86">
        <f t="shared" ca="1" si="45"/>
        <v>10421.884210717661</v>
      </c>
      <c r="K185" s="86">
        <f t="shared" ca="1" si="57"/>
        <v>0</v>
      </c>
      <c r="L185" s="86">
        <f ca="1">IF(B185="","",IF(F185=0,0,IF(Sheet1!$I$10=6,'Tabla Fijos'!$C$3*'Tabla Fijos'!$F$5,$F$5*$C$5)))</f>
        <v>0</v>
      </c>
      <c r="M185" s="86">
        <f t="shared" ca="1" si="46"/>
        <v>0</v>
      </c>
      <c r="N185" s="86">
        <f ca="1">IF(B185="","",IF(F185=0,0,IF(Simulador!$N$7='Tabla Parámetros'!$C$31,AportPat!L177,IF(Simulador!$N$7='Tabla Parámetros'!$C$34,AportPatFov!G175,0))))</f>
        <v>0</v>
      </c>
      <c r="O185" s="86">
        <f>Simulador!N240</f>
        <v>0</v>
      </c>
      <c r="P185" s="86"/>
      <c r="Q185" s="86">
        <v>0</v>
      </c>
      <c r="R185" s="86">
        <f t="shared" ca="1" si="47"/>
        <v>10421.884210717661</v>
      </c>
      <c r="S185" s="86">
        <f t="shared" ca="1" si="48"/>
        <v>512492.43408399582</v>
      </c>
      <c r="U185" s="201">
        <f t="shared" ca="1" si="49"/>
        <v>5609.294817807574</v>
      </c>
      <c r="V185" s="201">
        <f t="shared" ca="1" si="50"/>
        <v>4812.5893929100839</v>
      </c>
      <c r="W185" s="202">
        <f t="shared" ca="1" si="51"/>
        <v>10421.884210717657</v>
      </c>
      <c r="X185" s="201">
        <f t="shared" ca="1" si="52"/>
        <v>5609.2948178075694</v>
      </c>
      <c r="Y185" s="201">
        <f t="shared" ca="1" si="53"/>
        <v>4812.5893929100839</v>
      </c>
      <c r="Z185" s="201">
        <f t="shared" ca="1" si="58"/>
        <v>10421.884210717653</v>
      </c>
      <c r="AA185" s="201">
        <f t="shared" ca="1" si="54"/>
        <v>5609.2948178075767</v>
      </c>
      <c r="AB185" s="201">
        <f t="shared" ca="1" si="55"/>
        <v>4812.5893929100839</v>
      </c>
      <c r="AC185" s="201">
        <f t="shared" ca="1" si="59"/>
        <v>10421.884210717661</v>
      </c>
    </row>
    <row r="186" spans="2:29" x14ac:dyDescent="0.3">
      <c r="B186" s="84">
        <f t="shared" si="56"/>
        <v>175</v>
      </c>
      <c r="C186" s="85">
        <f ca="1">IF($B186="","",'Fecha Pago'!K178)</f>
        <v>51473</v>
      </c>
      <c r="D186" s="86">
        <f>IF($B$12="","",'Fecha Pago'!L178)</f>
        <v>30.4</v>
      </c>
      <c r="E186" s="87">
        <f t="shared" si="43"/>
        <v>0.11</v>
      </c>
      <c r="F186" s="86">
        <f t="shared" ca="1" si="60"/>
        <v>512492.43408399582</v>
      </c>
      <c r="G186" s="86">
        <f t="shared" ca="1" si="42"/>
        <v>5661.3989341152146</v>
      </c>
      <c r="H186" s="86">
        <f t="shared" ca="1" si="44"/>
        <v>4760.4852766024496</v>
      </c>
      <c r="I186" s="86">
        <f>IF(B186="","",IF(Simulador!$F$9="Liquidez",'Tabla Fijos'!H186*0.16,IF(Simulador!$J$9="SI",H186*0.16,0)))</f>
        <v>0</v>
      </c>
      <c r="J186" s="86">
        <f t="shared" ca="1" si="45"/>
        <v>10421.884210717664</v>
      </c>
      <c r="K186" s="86">
        <f t="shared" ca="1" si="57"/>
        <v>0</v>
      </c>
      <c r="L186" s="86">
        <f ca="1">IF(B186="","",IF(F186=0,0,IF(Sheet1!$I$10=6,'Tabla Fijos'!$C$3*'Tabla Fijos'!$F$5,$F$5*$C$5)))</f>
        <v>0</v>
      </c>
      <c r="M186" s="86">
        <f t="shared" ca="1" si="46"/>
        <v>0</v>
      </c>
      <c r="N186" s="86">
        <f ca="1">IF(B186="","",IF(F186=0,0,IF(Simulador!$N$7='Tabla Parámetros'!$C$31,AportPat!L178,IF(Simulador!$N$7='Tabla Parámetros'!$C$34,AportPatFov!G176,0))))</f>
        <v>0</v>
      </c>
      <c r="O186" s="86">
        <f>Simulador!N241</f>
        <v>0</v>
      </c>
      <c r="P186" s="86"/>
      <c r="Q186" s="86">
        <v>0</v>
      </c>
      <c r="R186" s="86">
        <f t="shared" ca="1" si="47"/>
        <v>10421.884210717664</v>
      </c>
      <c r="S186" s="86">
        <f t="shared" ca="1" si="48"/>
        <v>506831.03514988063</v>
      </c>
      <c r="U186" s="201">
        <f t="shared" ca="1" si="49"/>
        <v>5661.3989341152082</v>
      </c>
      <c r="V186" s="201">
        <f t="shared" ca="1" si="50"/>
        <v>4760.4852766024496</v>
      </c>
      <c r="W186" s="202">
        <f t="shared" ca="1" si="51"/>
        <v>10421.884210717657</v>
      </c>
      <c r="X186" s="201">
        <f t="shared" ca="1" si="52"/>
        <v>5661.3989341152037</v>
      </c>
      <c r="Y186" s="201">
        <f t="shared" ca="1" si="53"/>
        <v>4760.4852766024496</v>
      </c>
      <c r="Z186" s="201">
        <f t="shared" ca="1" si="58"/>
        <v>10421.884210717653</v>
      </c>
      <c r="AA186" s="201">
        <f t="shared" ca="1" si="54"/>
        <v>5661.3989341152146</v>
      </c>
      <c r="AB186" s="201">
        <f t="shared" ca="1" si="55"/>
        <v>4760.4852766024496</v>
      </c>
      <c r="AC186" s="201">
        <f t="shared" ca="1" si="59"/>
        <v>10421.884210717664</v>
      </c>
    </row>
    <row r="187" spans="2:29" x14ac:dyDescent="0.3">
      <c r="B187" s="84">
        <f t="shared" si="56"/>
        <v>176</v>
      </c>
      <c r="C187" s="85">
        <f ca="1">IF($B187="","",'Fecha Pago'!K179)</f>
        <v>51504</v>
      </c>
      <c r="D187" s="86">
        <f>IF($B$12="","",'Fecha Pago'!L179)</f>
        <v>30.4</v>
      </c>
      <c r="E187" s="87">
        <f t="shared" si="43"/>
        <v>0.11</v>
      </c>
      <c r="F187" s="86">
        <f t="shared" ca="1" si="60"/>
        <v>506831.03514988063</v>
      </c>
      <c r="G187" s="86">
        <f t="shared" ca="1" si="42"/>
        <v>5713.9870397698824</v>
      </c>
      <c r="H187" s="86">
        <f t="shared" ca="1" si="44"/>
        <v>4707.8971709477801</v>
      </c>
      <c r="I187" s="86">
        <f>IF(B187="","",IF(Simulador!$F$9="Liquidez",'Tabla Fijos'!H187*0.16,IF(Simulador!$J$9="SI",H187*0.16,0)))</f>
        <v>0</v>
      </c>
      <c r="J187" s="86">
        <f t="shared" ca="1" si="45"/>
        <v>10421.884210717662</v>
      </c>
      <c r="K187" s="86">
        <f t="shared" ca="1" si="57"/>
        <v>0</v>
      </c>
      <c r="L187" s="86">
        <f ca="1">IF(B187="","",IF(F187=0,0,IF(Sheet1!$I$10=6,'Tabla Fijos'!$C$3*'Tabla Fijos'!$F$5,$F$5*$C$5)))</f>
        <v>0</v>
      </c>
      <c r="M187" s="86">
        <f t="shared" ca="1" si="46"/>
        <v>0</v>
      </c>
      <c r="N187" s="86">
        <f ca="1">IF(B187="","",IF(F187=0,0,IF(Simulador!$N$7='Tabla Parámetros'!$C$31,AportPat!L179,IF(Simulador!$N$7='Tabla Parámetros'!$C$34,AportPatFov!G177,0))))</f>
        <v>0</v>
      </c>
      <c r="O187" s="86">
        <f>Simulador!N242</f>
        <v>0</v>
      </c>
      <c r="P187" s="86"/>
      <c r="Q187" s="86">
        <v>0</v>
      </c>
      <c r="R187" s="86">
        <f t="shared" ca="1" si="47"/>
        <v>10421.884210717662</v>
      </c>
      <c r="S187" s="86">
        <f t="shared" ca="1" si="48"/>
        <v>501117.04811011074</v>
      </c>
      <c r="U187" s="201">
        <f t="shared" ca="1" si="49"/>
        <v>5713.9870397698796</v>
      </c>
      <c r="V187" s="201">
        <f t="shared" ca="1" si="50"/>
        <v>4707.8971709477801</v>
      </c>
      <c r="W187" s="202">
        <f t="shared" ca="1" si="51"/>
        <v>10421.884210717661</v>
      </c>
      <c r="X187" s="201">
        <f t="shared" ca="1" si="52"/>
        <v>5713.9870397698733</v>
      </c>
      <c r="Y187" s="201">
        <f t="shared" ca="1" si="53"/>
        <v>4707.8971709477801</v>
      </c>
      <c r="Z187" s="201">
        <f t="shared" ca="1" si="58"/>
        <v>10421.884210717653</v>
      </c>
      <c r="AA187" s="201">
        <f t="shared" ca="1" si="54"/>
        <v>5713.9870397698824</v>
      </c>
      <c r="AB187" s="201">
        <f t="shared" ca="1" si="55"/>
        <v>4707.8971709477801</v>
      </c>
      <c r="AC187" s="201">
        <f t="shared" ca="1" si="59"/>
        <v>10421.884210717662</v>
      </c>
    </row>
    <row r="188" spans="2:29" x14ac:dyDescent="0.3">
      <c r="B188" s="84">
        <f t="shared" si="56"/>
        <v>177</v>
      </c>
      <c r="C188" s="85">
        <f ca="1">IF($B188="","",'Fecha Pago'!K180)</f>
        <v>51535</v>
      </c>
      <c r="D188" s="86">
        <f>IF($B$12="","",'Fecha Pago'!L180)</f>
        <v>30.4</v>
      </c>
      <c r="E188" s="87">
        <f t="shared" si="43"/>
        <v>0.11</v>
      </c>
      <c r="F188" s="86">
        <f t="shared" ca="1" si="60"/>
        <v>501117.04811011074</v>
      </c>
      <c r="G188" s="86">
        <f t="shared" ca="1" si="42"/>
        <v>5767.0636304948584</v>
      </c>
      <c r="H188" s="86">
        <f t="shared" ca="1" si="44"/>
        <v>4654.8205802228058</v>
      </c>
      <c r="I188" s="86">
        <f>IF(B188="","",IF(Simulador!$F$9="Liquidez",'Tabla Fijos'!H188*0.16,IF(Simulador!$J$9="SI",H188*0.16,0)))</f>
        <v>0</v>
      </c>
      <c r="J188" s="86">
        <f t="shared" ca="1" si="45"/>
        <v>10421.884210717664</v>
      </c>
      <c r="K188" s="86">
        <f t="shared" ca="1" si="57"/>
        <v>0</v>
      </c>
      <c r="L188" s="86">
        <f ca="1">IF(B188="","",IF(F188=0,0,IF(Sheet1!$I$10=6,'Tabla Fijos'!$C$3*'Tabla Fijos'!$F$5,$F$5*$C$5)))</f>
        <v>0</v>
      </c>
      <c r="M188" s="86">
        <f t="shared" ca="1" si="46"/>
        <v>0</v>
      </c>
      <c r="N188" s="86">
        <f ca="1">IF(B188="","",IF(F188=0,0,IF(Simulador!$N$7='Tabla Parámetros'!$C$31,AportPat!L180,IF(Simulador!$N$7='Tabla Parámetros'!$C$34,AportPatFov!G178,0))))</f>
        <v>0</v>
      </c>
      <c r="O188" s="86">
        <f>Simulador!N243</f>
        <v>0</v>
      </c>
      <c r="P188" s="86"/>
      <c r="Q188" s="86">
        <v>0</v>
      </c>
      <c r="R188" s="86">
        <f t="shared" ca="1" si="47"/>
        <v>10421.884210717664</v>
      </c>
      <c r="S188" s="86">
        <f t="shared" ca="1" si="48"/>
        <v>495349.98447961587</v>
      </c>
      <c r="U188" s="201">
        <f t="shared" ca="1" si="49"/>
        <v>5767.0636304948521</v>
      </c>
      <c r="V188" s="201">
        <f t="shared" ca="1" si="50"/>
        <v>4654.8205802228058</v>
      </c>
      <c r="W188" s="202">
        <f t="shared" ca="1" si="51"/>
        <v>10421.884210717657</v>
      </c>
      <c r="X188" s="201">
        <f t="shared" ca="1" si="52"/>
        <v>5767.0636304948475</v>
      </c>
      <c r="Y188" s="201">
        <f t="shared" ca="1" si="53"/>
        <v>4654.8205802228058</v>
      </c>
      <c r="Z188" s="201">
        <f t="shared" ca="1" si="58"/>
        <v>10421.884210717653</v>
      </c>
      <c r="AA188" s="201">
        <f t="shared" ca="1" si="54"/>
        <v>5767.0636304948584</v>
      </c>
      <c r="AB188" s="201">
        <f t="shared" ca="1" si="55"/>
        <v>4654.8205802228058</v>
      </c>
      <c r="AC188" s="201">
        <f t="shared" ca="1" si="59"/>
        <v>10421.884210717664</v>
      </c>
    </row>
    <row r="189" spans="2:29" x14ac:dyDescent="0.3">
      <c r="B189" s="84">
        <f t="shared" si="56"/>
        <v>178</v>
      </c>
      <c r="C189" s="85">
        <f ca="1">IF($B189="","",'Fecha Pago'!K181)</f>
        <v>51563</v>
      </c>
      <c r="D189" s="86">
        <f>IF($B$12="","",'Fecha Pago'!L181)</f>
        <v>30.4</v>
      </c>
      <c r="E189" s="87">
        <f t="shared" si="43"/>
        <v>0.11</v>
      </c>
      <c r="F189" s="86">
        <f t="shared" ca="1" si="60"/>
        <v>495349.98447961587</v>
      </c>
      <c r="G189" s="86">
        <f t="shared" ca="1" si="42"/>
        <v>5820.6332437736737</v>
      </c>
      <c r="H189" s="86">
        <f t="shared" ca="1" si="44"/>
        <v>4601.2509669439869</v>
      </c>
      <c r="I189" s="86">
        <f>IF(B189="","",IF(Simulador!$F$9="Liquidez",'Tabla Fijos'!H189*0.16,IF(Simulador!$J$9="SI",H189*0.16,0)))</f>
        <v>0</v>
      </c>
      <c r="J189" s="86">
        <f t="shared" ca="1" si="45"/>
        <v>10421.884210717661</v>
      </c>
      <c r="K189" s="86">
        <f t="shared" ca="1" si="57"/>
        <v>0</v>
      </c>
      <c r="L189" s="86">
        <f ca="1">IF(B189="","",IF(F189=0,0,IF(Sheet1!$I$10=6,'Tabla Fijos'!$C$3*'Tabla Fijos'!$F$5,$F$5*$C$5)))</f>
        <v>0</v>
      </c>
      <c r="M189" s="86">
        <f t="shared" ca="1" si="46"/>
        <v>0</v>
      </c>
      <c r="N189" s="86">
        <f ca="1">IF(B189="","",IF(F189=0,0,IF(Simulador!$N$7='Tabla Parámetros'!$C$31,AportPat!L181,IF(Simulador!$N$7='Tabla Parámetros'!$C$34,AportPatFov!G179,0))))</f>
        <v>0</v>
      </c>
      <c r="O189" s="86">
        <f>Simulador!N244</f>
        <v>0</v>
      </c>
      <c r="P189" s="86"/>
      <c r="Q189" s="86">
        <v>0</v>
      </c>
      <c r="R189" s="86">
        <f t="shared" ca="1" si="47"/>
        <v>10421.884210717661</v>
      </c>
      <c r="S189" s="86">
        <f t="shared" ca="1" si="48"/>
        <v>489529.35123584222</v>
      </c>
      <c r="U189" s="201">
        <f t="shared" ca="1" si="49"/>
        <v>5820.6332437736719</v>
      </c>
      <c r="V189" s="201">
        <f t="shared" ca="1" si="50"/>
        <v>4601.2509669439869</v>
      </c>
      <c r="W189" s="202">
        <f t="shared" ca="1" si="51"/>
        <v>10421.884210717659</v>
      </c>
      <c r="X189" s="201">
        <f t="shared" ca="1" si="52"/>
        <v>5820.6332437736664</v>
      </c>
      <c r="Y189" s="201">
        <f t="shared" ca="1" si="53"/>
        <v>4601.2509669439869</v>
      </c>
      <c r="Z189" s="201">
        <f t="shared" ca="1" si="58"/>
        <v>10421.884210717653</v>
      </c>
      <c r="AA189" s="201">
        <f t="shared" ca="1" si="54"/>
        <v>5820.6332437736737</v>
      </c>
      <c r="AB189" s="201">
        <f t="shared" ca="1" si="55"/>
        <v>4601.2509669439869</v>
      </c>
      <c r="AC189" s="201">
        <f t="shared" ca="1" si="59"/>
        <v>10421.884210717661</v>
      </c>
    </row>
    <row r="190" spans="2:29" x14ac:dyDescent="0.3">
      <c r="B190" s="84">
        <f t="shared" si="56"/>
        <v>179</v>
      </c>
      <c r="C190" s="85">
        <f ca="1">IF($B190="","",'Fecha Pago'!K182)</f>
        <v>51594</v>
      </c>
      <c r="D190" s="86">
        <f>IF($B$12="","",'Fecha Pago'!L182)</f>
        <v>30.4</v>
      </c>
      <c r="E190" s="87">
        <f t="shared" si="43"/>
        <v>0.11</v>
      </c>
      <c r="F190" s="86">
        <f t="shared" ca="1" si="60"/>
        <v>489529.35123584222</v>
      </c>
      <c r="G190" s="86">
        <f t="shared" ca="1" si="42"/>
        <v>5874.7004592380617</v>
      </c>
      <c r="H190" s="86">
        <f t="shared" ca="1" si="44"/>
        <v>4547.1837514796007</v>
      </c>
      <c r="I190" s="86">
        <f>IF(B190="","",IF(Simulador!$F$9="Liquidez",'Tabla Fijos'!H190*0.16,IF(Simulador!$J$9="SI",H190*0.16,0)))</f>
        <v>0</v>
      </c>
      <c r="J190" s="86">
        <f t="shared" ca="1" si="45"/>
        <v>10421.884210717662</v>
      </c>
      <c r="K190" s="86">
        <f t="shared" ca="1" si="57"/>
        <v>0</v>
      </c>
      <c r="L190" s="86">
        <f ca="1">IF(B190="","",IF(F190=0,0,IF(Sheet1!$I$10=6,'Tabla Fijos'!$C$3*'Tabla Fijos'!$F$5,$F$5*$C$5)))</f>
        <v>0</v>
      </c>
      <c r="M190" s="86">
        <f t="shared" ca="1" si="46"/>
        <v>0</v>
      </c>
      <c r="N190" s="86">
        <f ca="1">IF(B190="","",IF(F190=0,0,IF(Simulador!$N$7='Tabla Parámetros'!$C$31,AportPat!L182,IF(Simulador!$N$7='Tabla Parámetros'!$C$34,AportPatFov!G180,0))))</f>
        <v>0</v>
      </c>
      <c r="O190" s="86">
        <f>Simulador!N245</f>
        <v>0</v>
      </c>
      <c r="P190" s="86"/>
      <c r="Q190" s="86">
        <v>0</v>
      </c>
      <c r="R190" s="86">
        <f t="shared" ca="1" si="47"/>
        <v>10421.884210717662</v>
      </c>
      <c r="S190" s="86">
        <f t="shared" ca="1" si="48"/>
        <v>483654.65077660413</v>
      </c>
      <c r="U190" s="201">
        <f t="shared" ca="1" si="49"/>
        <v>5874.7004592380581</v>
      </c>
      <c r="V190" s="201">
        <f t="shared" ca="1" si="50"/>
        <v>4547.1837514796007</v>
      </c>
      <c r="W190" s="202">
        <f t="shared" ca="1" si="51"/>
        <v>10421.884210717659</v>
      </c>
      <c r="X190" s="201">
        <f t="shared" ca="1" si="52"/>
        <v>5874.7004592380526</v>
      </c>
      <c r="Y190" s="201">
        <f t="shared" ca="1" si="53"/>
        <v>4547.1837514796007</v>
      </c>
      <c r="Z190" s="201">
        <f t="shared" ca="1" si="58"/>
        <v>10421.884210717653</v>
      </c>
      <c r="AA190" s="201">
        <f t="shared" ca="1" si="54"/>
        <v>5874.7004592380617</v>
      </c>
      <c r="AB190" s="201">
        <f t="shared" ca="1" si="55"/>
        <v>4547.1837514796007</v>
      </c>
      <c r="AC190" s="201">
        <f t="shared" ca="1" si="59"/>
        <v>10421.884210717662</v>
      </c>
    </row>
    <row r="191" spans="2:29" x14ac:dyDescent="0.3">
      <c r="B191" s="84">
        <f t="shared" si="56"/>
        <v>180</v>
      </c>
      <c r="C191" s="85">
        <f ca="1">IF($B191="","",'Fecha Pago'!K183)</f>
        <v>51624</v>
      </c>
      <c r="D191" s="86">
        <f>IF($B$12="","",'Fecha Pago'!L183)</f>
        <v>30.4</v>
      </c>
      <c r="E191" s="87">
        <f t="shared" si="43"/>
        <v>0.11</v>
      </c>
      <c r="F191" s="86">
        <f t="shared" ca="1" si="60"/>
        <v>483654.65077660413</v>
      </c>
      <c r="G191" s="86">
        <f t="shared" ca="1" si="42"/>
        <v>5929.2698990594308</v>
      </c>
      <c r="H191" s="86">
        <f t="shared" ca="1" si="44"/>
        <v>4492.6143116582334</v>
      </c>
      <c r="I191" s="86">
        <f>IF(B191="","",IF(Simulador!$F$9="Liquidez",'Tabla Fijos'!H191*0.16,IF(Simulador!$J$9="SI",H191*0.16,0)))</f>
        <v>0</v>
      </c>
      <c r="J191" s="86">
        <f t="shared" ca="1" si="45"/>
        <v>10421.884210717664</v>
      </c>
      <c r="K191" s="86">
        <f t="shared" ca="1" si="57"/>
        <v>0</v>
      </c>
      <c r="L191" s="86">
        <f ca="1">IF(B191="","",IF(F191=0,0,IF(Sheet1!$I$10=6,'Tabla Fijos'!$C$3*'Tabla Fijos'!$F$5,$F$5*$C$5)))</f>
        <v>0</v>
      </c>
      <c r="M191" s="86">
        <f t="shared" ca="1" si="46"/>
        <v>0</v>
      </c>
      <c r="N191" s="86">
        <f ca="1">IF(B191="","",IF(F191=0,0,IF(Simulador!$N$7='Tabla Parámetros'!$C$31,AportPat!L183,IF(Simulador!$N$7='Tabla Parámetros'!$C$34,AportPatFov!G181,0))))</f>
        <v>0</v>
      </c>
      <c r="O191" s="86">
        <f>Simulador!N246</f>
        <v>0</v>
      </c>
      <c r="P191" s="86"/>
      <c r="Q191" s="86">
        <v>0</v>
      </c>
      <c r="R191" s="86">
        <f t="shared" ca="1" si="47"/>
        <v>10421.884210717664</v>
      </c>
      <c r="S191" s="86">
        <f t="shared" ca="1" si="48"/>
        <v>477725.3808775447</v>
      </c>
      <c r="U191" s="201">
        <f t="shared" ca="1" si="49"/>
        <v>5929.2698990594254</v>
      </c>
      <c r="V191" s="201">
        <f t="shared" ca="1" si="50"/>
        <v>4492.6143116582334</v>
      </c>
      <c r="W191" s="202">
        <f t="shared" ca="1" si="51"/>
        <v>10421.884210717659</v>
      </c>
      <c r="X191" s="201">
        <f t="shared" ca="1" si="52"/>
        <v>5929.2698990594199</v>
      </c>
      <c r="Y191" s="201">
        <f t="shared" ca="1" si="53"/>
        <v>4492.6143116582334</v>
      </c>
      <c r="Z191" s="201">
        <f t="shared" ca="1" si="58"/>
        <v>10421.884210717653</v>
      </c>
      <c r="AA191" s="201">
        <f t="shared" ca="1" si="54"/>
        <v>5929.2698990594308</v>
      </c>
      <c r="AB191" s="201">
        <f t="shared" ca="1" si="55"/>
        <v>4492.6143116582334</v>
      </c>
      <c r="AC191" s="201">
        <f t="shared" ca="1" si="59"/>
        <v>10421.884210717664</v>
      </c>
    </row>
    <row r="192" spans="2:29" x14ac:dyDescent="0.3">
      <c r="B192" s="580">
        <f t="shared" si="56"/>
        <v>181</v>
      </c>
      <c r="C192" s="581">
        <f ca="1">IF($B192="","",'Fecha Pago'!K184)</f>
        <v>51655</v>
      </c>
      <c r="D192" s="582">
        <f>IF($B$12="","",'Fecha Pago'!L184)</f>
        <v>30.4</v>
      </c>
      <c r="E192" s="583">
        <f t="shared" si="43"/>
        <v>0.11</v>
      </c>
      <c r="F192" s="582">
        <f t="shared" ca="1" si="60"/>
        <v>477725.3808775447</v>
      </c>
      <c r="G192" s="582">
        <f t="shared" ca="1" si="42"/>
        <v>5984.3462283440258</v>
      </c>
      <c r="H192" s="582">
        <f t="shared" ca="1" si="44"/>
        <v>4437.5379823736366</v>
      </c>
      <c r="I192" s="582">
        <f>IF(B192="","",IF(Simulador!$F$9="Liquidez",'Tabla Fijos'!H192*0.16,IF(Simulador!$J$9="SI",H192*0.16,0)))</f>
        <v>0</v>
      </c>
      <c r="J192" s="582">
        <f t="shared" ca="1" si="45"/>
        <v>10421.884210717662</v>
      </c>
      <c r="K192" s="582">
        <f t="shared" ca="1" si="57"/>
        <v>0</v>
      </c>
      <c r="L192" s="582">
        <f ca="1">IF(B192="","",IF(F192=0,0,IF(Sheet1!$I$10=6,'Tabla Fijos'!$C$3*'Tabla Fijos'!$F$5,$F$5*$C$5)))</f>
        <v>0</v>
      </c>
      <c r="M192" s="582">
        <f t="shared" ca="1" si="46"/>
        <v>0</v>
      </c>
      <c r="N192" s="582">
        <f ca="1">IF(B192="","",IF(F192=0,0,IF(Simulador!$N$7='Tabla Parámetros'!$C$31,AportPat!L184,IF(Simulador!$N$7='Tabla Parámetros'!$C$34,AportPatFov!G182,0))))</f>
        <v>0</v>
      </c>
      <c r="O192" s="582">
        <f>Simulador!N247</f>
        <v>0</v>
      </c>
      <c r="P192" s="582">
        <f>IF(B192="","",IF(Sheet1!$Z$1=3,'Tabla Fijos'!$P$9,0))</f>
        <v>0</v>
      </c>
      <c r="Q192" s="582">
        <v>0</v>
      </c>
      <c r="R192" s="582">
        <f t="shared" ca="1" si="47"/>
        <v>10421.884210717662</v>
      </c>
      <c r="S192" s="582">
        <f t="shared" ca="1" si="48"/>
        <v>471741.03464920068</v>
      </c>
      <c r="U192" s="201">
        <f t="shared" ca="1" si="49"/>
        <v>5984.3462283440222</v>
      </c>
      <c r="V192" s="201">
        <f t="shared" ca="1" si="50"/>
        <v>4437.5379823736366</v>
      </c>
      <c r="W192" s="202">
        <f t="shared" ca="1" si="51"/>
        <v>10421.884210717659</v>
      </c>
      <c r="X192" s="201">
        <f t="shared" ca="1" si="52"/>
        <v>5984.3462283440167</v>
      </c>
      <c r="Y192" s="201">
        <f t="shared" ca="1" si="53"/>
        <v>4437.5379823736366</v>
      </c>
      <c r="Z192" s="201">
        <f t="shared" ca="1" si="58"/>
        <v>10421.884210717653</v>
      </c>
      <c r="AA192" s="201">
        <f t="shared" ca="1" si="54"/>
        <v>5984.3462283440258</v>
      </c>
      <c r="AB192" s="201">
        <f t="shared" ca="1" si="55"/>
        <v>4437.5379823736366</v>
      </c>
      <c r="AC192" s="201">
        <f t="shared" ca="1" si="59"/>
        <v>10421.884210717662</v>
      </c>
    </row>
    <row r="193" spans="2:29" x14ac:dyDescent="0.3">
      <c r="B193" s="84">
        <f t="shared" si="56"/>
        <v>182</v>
      </c>
      <c r="C193" s="85">
        <f ca="1">IF($B193="","",'Fecha Pago'!K185)</f>
        <v>51685</v>
      </c>
      <c r="D193" s="86">
        <f>IF($B$12="","",'Fecha Pago'!L185)</f>
        <v>30.4</v>
      </c>
      <c r="E193" s="87">
        <f t="shared" si="43"/>
        <v>0.11</v>
      </c>
      <c r="F193" s="86">
        <f t="shared" ca="1" si="60"/>
        <v>471741.03464920068</v>
      </c>
      <c r="G193" s="86">
        <f t="shared" ca="1" si="42"/>
        <v>6039.934155531756</v>
      </c>
      <c r="H193" s="86">
        <f t="shared" ca="1" si="44"/>
        <v>4381.9500551859082</v>
      </c>
      <c r="I193" s="86">
        <f>IF(B193="","",IF(Simulador!$F$9="Liquidez",'Tabla Fijos'!H193*0.16,IF(Simulador!$J$9="SI",H193*0.16,0)))</f>
        <v>0</v>
      </c>
      <c r="J193" s="86">
        <f t="shared" ca="1" si="45"/>
        <v>10421.884210717664</v>
      </c>
      <c r="K193" s="86">
        <f t="shared" ca="1" si="57"/>
        <v>0</v>
      </c>
      <c r="L193" s="86">
        <f ca="1">IF(B193="","",IF(F193=0,0,IF(Sheet1!$I$10=6,'Tabla Fijos'!$C$3*'Tabla Fijos'!$F$5,$F$5*$C$5)))</f>
        <v>0</v>
      </c>
      <c r="M193" s="86">
        <f t="shared" ca="1" si="46"/>
        <v>0</v>
      </c>
      <c r="N193" s="86">
        <f ca="1">IF(B193="","",IF(F193=0,0,IF(Simulador!$N$7='Tabla Parámetros'!$C$31,AportPat!L185,IF(Simulador!$N$7='Tabla Parámetros'!$C$34,AportPatFov!G183,0))))</f>
        <v>0</v>
      </c>
      <c r="O193" s="86">
        <f>Simulador!N248</f>
        <v>0</v>
      </c>
      <c r="P193" s="86"/>
      <c r="Q193" s="86">
        <v>0</v>
      </c>
      <c r="R193" s="86">
        <f t="shared" ca="1" si="47"/>
        <v>10421.884210717664</v>
      </c>
      <c r="S193" s="86">
        <f t="shared" ca="1" si="48"/>
        <v>465701.10049366893</v>
      </c>
      <c r="U193" s="201">
        <f t="shared" ca="1" si="49"/>
        <v>6039.9341555317496</v>
      </c>
      <c r="V193" s="201">
        <f t="shared" ca="1" si="50"/>
        <v>4381.9500551859082</v>
      </c>
      <c r="W193" s="202">
        <f t="shared" ca="1" si="51"/>
        <v>10421.884210717657</v>
      </c>
      <c r="X193" s="201">
        <f t="shared" ca="1" si="52"/>
        <v>6039.9341555317451</v>
      </c>
      <c r="Y193" s="201">
        <f t="shared" ca="1" si="53"/>
        <v>4381.9500551859082</v>
      </c>
      <c r="Z193" s="201">
        <f t="shared" ca="1" si="58"/>
        <v>10421.884210717653</v>
      </c>
      <c r="AA193" s="201">
        <f t="shared" ca="1" si="54"/>
        <v>6039.934155531756</v>
      </c>
      <c r="AB193" s="201">
        <f t="shared" ca="1" si="55"/>
        <v>4381.9500551859082</v>
      </c>
      <c r="AC193" s="201">
        <f t="shared" ca="1" si="59"/>
        <v>10421.884210717664</v>
      </c>
    </row>
    <row r="194" spans="2:29" x14ac:dyDescent="0.3">
      <c r="B194" s="84">
        <f t="shared" si="56"/>
        <v>183</v>
      </c>
      <c r="C194" s="85">
        <f ca="1">IF($B194="","",'Fecha Pago'!K186)</f>
        <v>51716</v>
      </c>
      <c r="D194" s="86">
        <f>IF($B$12="","",'Fecha Pago'!L186)</f>
        <v>30.4</v>
      </c>
      <c r="E194" s="87">
        <f t="shared" si="43"/>
        <v>0.11</v>
      </c>
      <c r="F194" s="86">
        <f t="shared" ca="1" si="60"/>
        <v>465701.10049366893</v>
      </c>
      <c r="G194" s="86">
        <f t="shared" ca="1" si="42"/>
        <v>6096.0384327986958</v>
      </c>
      <c r="H194" s="86">
        <f t="shared" ca="1" si="44"/>
        <v>4325.8457779189685</v>
      </c>
      <c r="I194" s="86">
        <f>IF(B194="","",IF(Simulador!$F$9="Liquidez",'Tabla Fijos'!H194*0.16,IF(Simulador!$J$9="SI",H194*0.16,0)))</f>
        <v>0</v>
      </c>
      <c r="J194" s="86">
        <f t="shared" ca="1" si="45"/>
        <v>10421.884210717664</v>
      </c>
      <c r="K194" s="86">
        <f t="shared" ca="1" si="57"/>
        <v>0</v>
      </c>
      <c r="L194" s="86">
        <f ca="1">IF(B194="","",IF(F194=0,0,IF(Sheet1!$I$10=6,'Tabla Fijos'!$C$3*'Tabla Fijos'!$F$5,$F$5*$C$5)))</f>
        <v>0</v>
      </c>
      <c r="M194" s="86">
        <f t="shared" ca="1" si="46"/>
        <v>0</v>
      </c>
      <c r="N194" s="86">
        <f ca="1">IF(B194="","",IF(F194=0,0,IF(Simulador!$N$7='Tabla Parámetros'!$C$31,AportPat!L186,IF(Simulador!$N$7='Tabla Parámetros'!$C$34,AportPatFov!G184,0))))</f>
        <v>0</v>
      </c>
      <c r="O194" s="86">
        <f>Simulador!N249</f>
        <v>0</v>
      </c>
      <c r="P194" s="86"/>
      <c r="Q194" s="86">
        <v>0</v>
      </c>
      <c r="R194" s="86">
        <f t="shared" ca="1" si="47"/>
        <v>10421.884210717664</v>
      </c>
      <c r="S194" s="86">
        <f t="shared" ca="1" si="48"/>
        <v>459605.06206087023</v>
      </c>
      <c r="U194" s="201">
        <f t="shared" ca="1" si="49"/>
        <v>6096.0384327986894</v>
      </c>
      <c r="V194" s="201">
        <f t="shared" ca="1" si="50"/>
        <v>4325.8457779189685</v>
      </c>
      <c r="W194" s="202">
        <f t="shared" ca="1" si="51"/>
        <v>10421.884210717657</v>
      </c>
      <c r="X194" s="201">
        <f t="shared" ca="1" si="52"/>
        <v>6096.0384327986849</v>
      </c>
      <c r="Y194" s="201">
        <f t="shared" ca="1" si="53"/>
        <v>4325.8457779189685</v>
      </c>
      <c r="Z194" s="201">
        <f t="shared" ca="1" si="58"/>
        <v>10421.884210717653</v>
      </c>
      <c r="AA194" s="201">
        <f t="shared" ca="1" si="54"/>
        <v>6096.0384327986958</v>
      </c>
      <c r="AB194" s="201">
        <f t="shared" ca="1" si="55"/>
        <v>4325.8457779189685</v>
      </c>
      <c r="AC194" s="201">
        <f t="shared" ca="1" si="59"/>
        <v>10421.884210717664</v>
      </c>
    </row>
    <row r="195" spans="2:29" x14ac:dyDescent="0.3">
      <c r="B195" s="84">
        <f t="shared" si="56"/>
        <v>184</v>
      </c>
      <c r="C195" s="85">
        <f ca="1">IF($B195="","",'Fecha Pago'!K187)</f>
        <v>51747</v>
      </c>
      <c r="D195" s="86">
        <f>IF($B$12="","",'Fecha Pago'!L187)</f>
        <v>30.4</v>
      </c>
      <c r="E195" s="87">
        <f t="shared" si="43"/>
        <v>0.11</v>
      </c>
      <c r="F195" s="86">
        <f t="shared" ca="1" si="60"/>
        <v>459605.06206087023</v>
      </c>
      <c r="G195" s="86">
        <f t="shared" ca="1" si="42"/>
        <v>6152.6638564633568</v>
      </c>
      <c r="H195" s="86">
        <f t="shared" ca="1" si="44"/>
        <v>4269.2203542543057</v>
      </c>
      <c r="I195" s="86">
        <f>IF(B195="","",IF(Simulador!$F$9="Liquidez",'Tabla Fijos'!H195*0.16,IF(Simulador!$J$9="SI",H195*0.16,0)))</f>
        <v>0</v>
      </c>
      <c r="J195" s="86">
        <f t="shared" ca="1" si="45"/>
        <v>10421.884210717662</v>
      </c>
      <c r="K195" s="86">
        <f t="shared" ca="1" si="57"/>
        <v>0</v>
      </c>
      <c r="L195" s="86">
        <f ca="1">IF(B195="","",IF(F195=0,0,IF(Sheet1!$I$10=6,'Tabla Fijos'!$C$3*'Tabla Fijos'!$F$5,$F$5*$C$5)))</f>
        <v>0</v>
      </c>
      <c r="M195" s="86">
        <f t="shared" ca="1" si="46"/>
        <v>0</v>
      </c>
      <c r="N195" s="86">
        <f ca="1">IF(B195="","",IF(F195=0,0,IF(Simulador!$N$7='Tabla Parámetros'!$C$31,AportPat!L187,IF(Simulador!$N$7='Tabla Parámetros'!$C$34,AportPatFov!G185,0))))</f>
        <v>0</v>
      </c>
      <c r="O195" s="86">
        <f>Simulador!N250</f>
        <v>0</v>
      </c>
      <c r="P195" s="86"/>
      <c r="Q195" s="86">
        <v>0</v>
      </c>
      <c r="R195" s="86">
        <f t="shared" ca="1" si="47"/>
        <v>10421.884210717662</v>
      </c>
      <c r="S195" s="86">
        <f t="shared" ca="1" si="48"/>
        <v>453452.3982044069</v>
      </c>
      <c r="U195" s="201">
        <f t="shared" ca="1" si="49"/>
        <v>6152.6638564633531</v>
      </c>
      <c r="V195" s="201">
        <f t="shared" ca="1" si="50"/>
        <v>4269.2203542543057</v>
      </c>
      <c r="W195" s="202">
        <f t="shared" ca="1" si="51"/>
        <v>10421.884210717659</v>
      </c>
      <c r="X195" s="201">
        <f t="shared" ca="1" si="52"/>
        <v>6152.6638564633477</v>
      </c>
      <c r="Y195" s="201">
        <f t="shared" ca="1" si="53"/>
        <v>4269.2203542543057</v>
      </c>
      <c r="Z195" s="201">
        <f t="shared" ca="1" si="58"/>
        <v>10421.884210717653</v>
      </c>
      <c r="AA195" s="201">
        <f t="shared" ca="1" si="54"/>
        <v>6152.6638564633568</v>
      </c>
      <c r="AB195" s="201">
        <f t="shared" ca="1" si="55"/>
        <v>4269.2203542543057</v>
      </c>
      <c r="AC195" s="201">
        <f t="shared" ca="1" si="59"/>
        <v>10421.884210717662</v>
      </c>
    </row>
    <row r="196" spans="2:29" x14ac:dyDescent="0.3">
      <c r="B196" s="84">
        <f t="shared" si="56"/>
        <v>185</v>
      </c>
      <c r="C196" s="85">
        <f ca="1">IF($B196="","",'Fecha Pago'!K188)</f>
        <v>51777</v>
      </c>
      <c r="D196" s="86">
        <f>IF($B$12="","",'Fecha Pago'!L188)</f>
        <v>30.4</v>
      </c>
      <c r="E196" s="87">
        <f t="shared" si="43"/>
        <v>0.11</v>
      </c>
      <c r="F196" s="86">
        <f t="shared" ca="1" si="60"/>
        <v>453452.3982044069</v>
      </c>
      <c r="G196" s="86">
        <f t="shared" ca="1" si="42"/>
        <v>6209.8152673967297</v>
      </c>
      <c r="H196" s="86">
        <f t="shared" ca="1" si="44"/>
        <v>4212.0689433209345</v>
      </c>
      <c r="I196" s="86">
        <f>IF(B196="","",IF(Simulador!$F$9="Liquidez",'Tabla Fijos'!H196*0.16,IF(Simulador!$J$9="SI",H196*0.16,0)))</f>
        <v>0</v>
      </c>
      <c r="J196" s="86">
        <f t="shared" ca="1" si="45"/>
        <v>10421.884210717664</v>
      </c>
      <c r="K196" s="86">
        <f t="shared" ca="1" si="57"/>
        <v>0</v>
      </c>
      <c r="L196" s="86">
        <f ca="1">IF(B196="","",IF(F196=0,0,IF(Sheet1!$I$10=6,'Tabla Fijos'!$C$3*'Tabla Fijos'!$F$5,$F$5*$C$5)))</f>
        <v>0</v>
      </c>
      <c r="M196" s="86">
        <f t="shared" ca="1" si="46"/>
        <v>0</v>
      </c>
      <c r="N196" s="86">
        <f ca="1">IF(B196="","",IF(F196=0,0,IF(Simulador!$N$7='Tabla Parámetros'!$C$31,AportPat!L188,IF(Simulador!$N$7='Tabla Parámetros'!$C$34,AportPatFov!G186,0))))</f>
        <v>0</v>
      </c>
      <c r="O196" s="86">
        <f>Simulador!N251</f>
        <v>0</v>
      </c>
      <c r="P196" s="86"/>
      <c r="Q196" s="86">
        <v>0</v>
      </c>
      <c r="R196" s="86">
        <f t="shared" ca="1" si="47"/>
        <v>10421.884210717664</v>
      </c>
      <c r="S196" s="86">
        <f t="shared" ca="1" si="48"/>
        <v>447242.58293701016</v>
      </c>
      <c r="U196" s="201">
        <f t="shared" ca="1" si="49"/>
        <v>6209.8152673967234</v>
      </c>
      <c r="V196" s="201">
        <f t="shared" ca="1" si="50"/>
        <v>4212.0689433209345</v>
      </c>
      <c r="W196" s="202">
        <f t="shared" ca="1" si="51"/>
        <v>10421.884210717657</v>
      </c>
      <c r="X196" s="201">
        <f t="shared" ca="1" si="52"/>
        <v>6209.8152673967188</v>
      </c>
      <c r="Y196" s="201">
        <f t="shared" ca="1" si="53"/>
        <v>4212.0689433209345</v>
      </c>
      <c r="Z196" s="201">
        <f t="shared" ca="1" si="58"/>
        <v>10421.884210717653</v>
      </c>
      <c r="AA196" s="201">
        <f t="shared" ca="1" si="54"/>
        <v>6209.8152673967297</v>
      </c>
      <c r="AB196" s="201">
        <f t="shared" ca="1" si="55"/>
        <v>4212.0689433209345</v>
      </c>
      <c r="AC196" s="201">
        <f t="shared" ca="1" si="59"/>
        <v>10421.884210717664</v>
      </c>
    </row>
    <row r="197" spans="2:29" x14ac:dyDescent="0.3">
      <c r="B197" s="84">
        <f t="shared" si="56"/>
        <v>186</v>
      </c>
      <c r="C197" s="85">
        <f ca="1">IF($B197="","",'Fecha Pago'!K189)</f>
        <v>51808</v>
      </c>
      <c r="D197" s="86">
        <f>IF($B$12="","",'Fecha Pago'!L189)</f>
        <v>30.4</v>
      </c>
      <c r="E197" s="87">
        <f t="shared" si="43"/>
        <v>0.11</v>
      </c>
      <c r="F197" s="86">
        <f t="shared" ca="1" si="60"/>
        <v>447242.58293701016</v>
      </c>
      <c r="G197" s="86">
        <f t="shared" ca="1" si="42"/>
        <v>6267.4975514361031</v>
      </c>
      <c r="H197" s="86">
        <f t="shared" ca="1" si="44"/>
        <v>4154.3866592815612</v>
      </c>
      <c r="I197" s="86">
        <f>IF(B197="","",IF(Simulador!$F$9="Liquidez",'Tabla Fijos'!H197*0.16,IF(Simulador!$J$9="SI",H197*0.16,0)))</f>
        <v>0</v>
      </c>
      <c r="J197" s="86">
        <f t="shared" ca="1" si="45"/>
        <v>10421.884210717664</v>
      </c>
      <c r="K197" s="86">
        <f t="shared" ca="1" si="57"/>
        <v>0</v>
      </c>
      <c r="L197" s="86">
        <f ca="1">IF(B197="","",IF(F197=0,0,IF(Sheet1!$I$10=6,'Tabla Fijos'!$C$3*'Tabla Fijos'!$F$5,$F$5*$C$5)))</f>
        <v>0</v>
      </c>
      <c r="M197" s="86">
        <f t="shared" ca="1" si="46"/>
        <v>0</v>
      </c>
      <c r="N197" s="86">
        <f ca="1">IF(B197="","",IF(F197=0,0,IF(Simulador!$N$7='Tabla Parámetros'!$C$31,AportPat!L189,IF(Simulador!$N$7='Tabla Parámetros'!$C$34,AportPatFov!G187,0))))</f>
        <v>0</v>
      </c>
      <c r="O197" s="86">
        <f>Simulador!N252</f>
        <v>0</v>
      </c>
      <c r="P197" s="86"/>
      <c r="Q197" s="86">
        <v>0</v>
      </c>
      <c r="R197" s="86">
        <f t="shared" ca="1" si="47"/>
        <v>10421.884210717664</v>
      </c>
      <c r="S197" s="86">
        <f t="shared" ca="1" si="48"/>
        <v>440975.08538557403</v>
      </c>
      <c r="U197" s="201">
        <f t="shared" ca="1" si="49"/>
        <v>6267.4975514360976</v>
      </c>
      <c r="V197" s="201">
        <f t="shared" ca="1" si="50"/>
        <v>4154.3866592815612</v>
      </c>
      <c r="W197" s="202">
        <f t="shared" ca="1" si="51"/>
        <v>10421.884210717659</v>
      </c>
      <c r="X197" s="201">
        <f t="shared" ca="1" si="52"/>
        <v>6267.4975514360922</v>
      </c>
      <c r="Y197" s="201">
        <f t="shared" ca="1" si="53"/>
        <v>4154.3866592815612</v>
      </c>
      <c r="Z197" s="201">
        <f t="shared" ca="1" si="58"/>
        <v>10421.884210717653</v>
      </c>
      <c r="AA197" s="201">
        <f t="shared" ca="1" si="54"/>
        <v>6267.4975514361031</v>
      </c>
      <c r="AB197" s="201">
        <f t="shared" ca="1" si="55"/>
        <v>4154.3866592815612</v>
      </c>
      <c r="AC197" s="201">
        <f t="shared" ca="1" si="59"/>
        <v>10421.884210717664</v>
      </c>
    </row>
    <row r="198" spans="2:29" x14ac:dyDescent="0.3">
      <c r="B198" s="84">
        <f t="shared" si="56"/>
        <v>187</v>
      </c>
      <c r="C198" s="85">
        <f ca="1">IF($B198="","",'Fecha Pago'!K190)</f>
        <v>51838</v>
      </c>
      <c r="D198" s="86">
        <f>IF($B$12="","",'Fecha Pago'!L190)</f>
        <v>30.4</v>
      </c>
      <c r="E198" s="87">
        <f t="shared" si="43"/>
        <v>0.11</v>
      </c>
      <c r="F198" s="86">
        <f t="shared" ca="1" si="60"/>
        <v>440975.08538557403</v>
      </c>
      <c r="G198" s="86">
        <f t="shared" ref="G198:G229" ca="1" si="61">IF(B198="","",IF((J198-H198)&gt;F198,F198,IF($S$7=$U$10,U198,IF($S$7=$X$10,X198,IF($S$7=$AA$10,AA198,)))))</f>
        <v>6325.7156398027773</v>
      </c>
      <c r="H198" s="86">
        <f t="shared" ca="1" si="44"/>
        <v>4096.1685709148869</v>
      </c>
      <c r="I198" s="86">
        <f>IF(B198="","",IF(Simulador!$F$9="Liquidez",'Tabla Fijos'!H198*0.16,IF(Simulador!$J$9="SI",H198*0.16,0)))</f>
        <v>0</v>
      </c>
      <c r="J198" s="86">
        <f t="shared" ca="1" si="45"/>
        <v>10421.884210717664</v>
      </c>
      <c r="K198" s="86">
        <f t="shared" ca="1" si="57"/>
        <v>0</v>
      </c>
      <c r="L198" s="86">
        <f ca="1">IF(B198="","",IF(F198=0,0,IF(Sheet1!$I$10=6,'Tabla Fijos'!$C$3*'Tabla Fijos'!$F$5,$F$5*$C$5)))</f>
        <v>0</v>
      </c>
      <c r="M198" s="86">
        <f t="shared" ca="1" si="46"/>
        <v>0</v>
      </c>
      <c r="N198" s="86">
        <f ca="1">IF(B198="","",IF(F198=0,0,IF(Simulador!$N$7='Tabla Parámetros'!$C$31,AportPat!L190,IF(Simulador!$N$7='Tabla Parámetros'!$C$34,AportPatFov!G188,0))))</f>
        <v>0</v>
      </c>
      <c r="O198" s="86">
        <f>Simulador!N253</f>
        <v>0</v>
      </c>
      <c r="P198" s="86"/>
      <c r="Q198" s="86">
        <v>0</v>
      </c>
      <c r="R198" s="86">
        <f t="shared" ca="1" si="47"/>
        <v>10421.884210717664</v>
      </c>
      <c r="S198" s="86">
        <f t="shared" ca="1" si="48"/>
        <v>434649.36974577123</v>
      </c>
      <c r="U198" s="201">
        <f t="shared" ca="1" si="49"/>
        <v>6325.7156398027701</v>
      </c>
      <c r="V198" s="201">
        <f t="shared" ca="1" si="50"/>
        <v>4096.1685709148869</v>
      </c>
      <c r="W198" s="202">
        <f t="shared" ca="1" si="51"/>
        <v>10421.884210717657</v>
      </c>
      <c r="X198" s="201">
        <f t="shared" ca="1" si="52"/>
        <v>6325.7156398027664</v>
      </c>
      <c r="Y198" s="201">
        <f t="shared" ca="1" si="53"/>
        <v>4096.1685709148869</v>
      </c>
      <c r="Z198" s="201">
        <f t="shared" ca="1" si="58"/>
        <v>10421.884210717653</v>
      </c>
      <c r="AA198" s="201">
        <f t="shared" ca="1" si="54"/>
        <v>6325.7156398027773</v>
      </c>
      <c r="AB198" s="201">
        <f t="shared" ca="1" si="55"/>
        <v>4096.1685709148869</v>
      </c>
      <c r="AC198" s="201">
        <f t="shared" ca="1" si="59"/>
        <v>10421.884210717664</v>
      </c>
    </row>
    <row r="199" spans="2:29" x14ac:dyDescent="0.3">
      <c r="B199" s="84">
        <f t="shared" si="56"/>
        <v>188</v>
      </c>
      <c r="C199" s="85">
        <f ca="1">IF($B199="","",'Fecha Pago'!K191)</f>
        <v>51869</v>
      </c>
      <c r="D199" s="86">
        <f>IF($B$12="","",'Fecha Pago'!L191)</f>
        <v>30.4</v>
      </c>
      <c r="E199" s="87">
        <f t="shared" si="43"/>
        <v>0.11</v>
      </c>
      <c r="F199" s="86">
        <f t="shared" ca="1" si="60"/>
        <v>434649.36974577123</v>
      </c>
      <c r="G199" s="86">
        <f t="shared" ca="1" si="61"/>
        <v>6384.4745095236121</v>
      </c>
      <c r="H199" s="86">
        <f t="shared" ca="1" si="44"/>
        <v>4037.4097011940526</v>
      </c>
      <c r="I199" s="86">
        <f>IF(B199="","",IF(Simulador!$F$9="Liquidez",'Tabla Fijos'!H199*0.16,IF(Simulador!$J$9="SI",H199*0.16,0)))</f>
        <v>0</v>
      </c>
      <c r="J199" s="86">
        <f t="shared" ca="1" si="45"/>
        <v>10421.884210717664</v>
      </c>
      <c r="K199" s="86">
        <f t="shared" ca="1" si="57"/>
        <v>0</v>
      </c>
      <c r="L199" s="86">
        <f ca="1">IF(B199="","",IF(F199=0,0,IF(Sheet1!$I$10=6,'Tabla Fijos'!$C$3*'Tabla Fijos'!$F$5,$F$5*$C$5)))</f>
        <v>0</v>
      </c>
      <c r="M199" s="86">
        <f t="shared" ca="1" si="46"/>
        <v>0</v>
      </c>
      <c r="N199" s="86">
        <f ca="1">IF(B199="","",IF(F199=0,0,IF(Simulador!$N$7='Tabla Parámetros'!$C$31,AportPat!L191,IF(Simulador!$N$7='Tabla Parámetros'!$C$34,AportPatFov!G189,0))))</f>
        <v>0</v>
      </c>
      <c r="O199" s="86">
        <f>Simulador!N254</f>
        <v>0</v>
      </c>
      <c r="P199" s="86"/>
      <c r="Q199" s="86">
        <v>0</v>
      </c>
      <c r="R199" s="86">
        <f t="shared" ca="1" si="47"/>
        <v>10421.884210717664</v>
      </c>
      <c r="S199" s="86">
        <f t="shared" ca="1" si="48"/>
        <v>428264.89523624763</v>
      </c>
      <c r="U199" s="201">
        <f t="shared" ca="1" si="49"/>
        <v>6384.4745095236058</v>
      </c>
      <c r="V199" s="201">
        <f t="shared" ca="1" si="50"/>
        <v>4037.4097011940526</v>
      </c>
      <c r="W199" s="202">
        <f t="shared" ca="1" si="51"/>
        <v>10421.884210717659</v>
      </c>
      <c r="X199" s="201">
        <f t="shared" ca="1" si="52"/>
        <v>6384.4745095236012</v>
      </c>
      <c r="Y199" s="201">
        <f t="shared" ca="1" si="53"/>
        <v>4037.4097011940526</v>
      </c>
      <c r="Z199" s="201">
        <f t="shared" ca="1" si="58"/>
        <v>10421.884210717653</v>
      </c>
      <c r="AA199" s="201">
        <f t="shared" ca="1" si="54"/>
        <v>6384.4745095236121</v>
      </c>
      <c r="AB199" s="201">
        <f t="shared" ca="1" si="55"/>
        <v>4037.4097011940526</v>
      </c>
      <c r="AC199" s="201">
        <f t="shared" ca="1" si="59"/>
        <v>10421.884210717664</v>
      </c>
    </row>
    <row r="200" spans="2:29" x14ac:dyDescent="0.3">
      <c r="B200" s="84">
        <f t="shared" si="56"/>
        <v>189</v>
      </c>
      <c r="C200" s="85">
        <f ca="1">IF($B200="","",'Fecha Pago'!K192)</f>
        <v>51900</v>
      </c>
      <c r="D200" s="86">
        <f>IF($B$12="","",'Fecha Pago'!L192)</f>
        <v>30.4</v>
      </c>
      <c r="E200" s="87">
        <f t="shared" si="43"/>
        <v>0.11</v>
      </c>
      <c r="F200" s="86">
        <f t="shared" ca="1" si="60"/>
        <v>428264.89523624763</v>
      </c>
      <c r="G200" s="86">
        <f t="shared" ca="1" si="61"/>
        <v>6443.7791838565181</v>
      </c>
      <c r="H200" s="86">
        <f t="shared" ca="1" si="44"/>
        <v>3978.1050268611443</v>
      </c>
      <c r="I200" s="86">
        <f>IF(B200="","",IF(Simulador!$F$9="Liquidez",'Tabla Fijos'!H200*0.16,IF(Simulador!$J$9="SI",H200*0.16,0)))</f>
        <v>0</v>
      </c>
      <c r="J200" s="86">
        <f t="shared" ca="1" si="45"/>
        <v>10421.884210717662</v>
      </c>
      <c r="K200" s="86">
        <f t="shared" ca="1" si="57"/>
        <v>0</v>
      </c>
      <c r="L200" s="86">
        <f ca="1">IF(B200="","",IF(F200=0,0,IF(Sheet1!$I$10=6,'Tabla Fijos'!$C$3*'Tabla Fijos'!$F$5,$F$5*$C$5)))</f>
        <v>0</v>
      </c>
      <c r="M200" s="86">
        <f t="shared" ca="1" si="46"/>
        <v>0</v>
      </c>
      <c r="N200" s="86">
        <f ca="1">IF(B200="","",IF(F200=0,0,IF(Simulador!$N$7='Tabla Parámetros'!$C$31,AportPat!L192,IF(Simulador!$N$7='Tabla Parámetros'!$C$34,AportPatFov!G190,0))))</f>
        <v>0</v>
      </c>
      <c r="O200" s="86">
        <f>Simulador!N255</f>
        <v>0</v>
      </c>
      <c r="P200" s="86"/>
      <c r="Q200" s="86">
        <v>0</v>
      </c>
      <c r="R200" s="86">
        <f t="shared" ca="1" si="47"/>
        <v>10421.884210717662</v>
      </c>
      <c r="S200" s="86">
        <f t="shared" ca="1" si="48"/>
        <v>421821.11605239112</v>
      </c>
      <c r="U200" s="201">
        <f t="shared" ca="1" si="49"/>
        <v>6443.7791838565136</v>
      </c>
      <c r="V200" s="201">
        <f t="shared" ca="1" si="50"/>
        <v>3978.1050268611443</v>
      </c>
      <c r="W200" s="202">
        <f t="shared" ca="1" si="51"/>
        <v>10421.884210717657</v>
      </c>
      <c r="X200" s="201">
        <f t="shared" ca="1" si="52"/>
        <v>6443.779183856509</v>
      </c>
      <c r="Y200" s="201">
        <f t="shared" ca="1" si="53"/>
        <v>3978.1050268611443</v>
      </c>
      <c r="Z200" s="201">
        <f t="shared" ca="1" si="58"/>
        <v>10421.884210717653</v>
      </c>
      <c r="AA200" s="201">
        <f t="shared" ca="1" si="54"/>
        <v>6443.7791838565181</v>
      </c>
      <c r="AB200" s="201">
        <f t="shared" ca="1" si="55"/>
        <v>3978.1050268611443</v>
      </c>
      <c r="AC200" s="201">
        <f t="shared" ca="1" si="59"/>
        <v>10421.884210717662</v>
      </c>
    </row>
    <row r="201" spans="2:29" x14ac:dyDescent="0.3">
      <c r="B201" s="84">
        <f t="shared" si="56"/>
        <v>190</v>
      </c>
      <c r="C201" s="85">
        <f ca="1">IF($B201="","",'Fecha Pago'!K193)</f>
        <v>51928</v>
      </c>
      <c r="D201" s="86">
        <f>IF($B$12="","",'Fecha Pago'!L193)</f>
        <v>30.4</v>
      </c>
      <c r="E201" s="87">
        <f t="shared" si="43"/>
        <v>0.11</v>
      </c>
      <c r="F201" s="86">
        <f t="shared" ca="1" si="60"/>
        <v>421821.11605239112</v>
      </c>
      <c r="G201" s="86">
        <f t="shared" ca="1" si="61"/>
        <v>6503.6347327198964</v>
      </c>
      <c r="H201" s="86">
        <f t="shared" ca="1" si="44"/>
        <v>3918.249477997766</v>
      </c>
      <c r="I201" s="86">
        <f>IF(B201="","",IF(Simulador!$F$9="Liquidez",'Tabla Fijos'!H201*0.16,IF(Simulador!$J$9="SI",H201*0.16,0)))</f>
        <v>0</v>
      </c>
      <c r="J201" s="86">
        <f t="shared" ca="1" si="45"/>
        <v>10421.884210717662</v>
      </c>
      <c r="K201" s="86">
        <f t="shared" ca="1" si="57"/>
        <v>0</v>
      </c>
      <c r="L201" s="86">
        <f ca="1">IF(B201="","",IF(F201=0,0,IF(Sheet1!$I$10=6,'Tabla Fijos'!$C$3*'Tabla Fijos'!$F$5,$F$5*$C$5)))</f>
        <v>0</v>
      </c>
      <c r="M201" s="86">
        <f t="shared" ca="1" si="46"/>
        <v>0</v>
      </c>
      <c r="N201" s="86">
        <f ca="1">IF(B201="","",IF(F201=0,0,IF(Simulador!$N$7='Tabla Parámetros'!$C$31,AportPat!L193,IF(Simulador!$N$7='Tabla Parámetros'!$C$34,AportPatFov!G191,0))))</f>
        <v>0</v>
      </c>
      <c r="O201" s="86">
        <f>Simulador!N256</f>
        <v>0</v>
      </c>
      <c r="P201" s="86"/>
      <c r="Q201" s="86">
        <v>0</v>
      </c>
      <c r="R201" s="86">
        <f t="shared" ca="1" si="47"/>
        <v>10421.884210717662</v>
      </c>
      <c r="S201" s="86">
        <f t="shared" ca="1" si="48"/>
        <v>415317.48131967121</v>
      </c>
      <c r="U201" s="201">
        <f t="shared" ca="1" si="49"/>
        <v>6503.634732719891</v>
      </c>
      <c r="V201" s="201">
        <f t="shared" ca="1" si="50"/>
        <v>3918.249477997766</v>
      </c>
      <c r="W201" s="202">
        <f t="shared" ca="1" si="51"/>
        <v>10421.884210717657</v>
      </c>
      <c r="X201" s="201">
        <f t="shared" ca="1" si="52"/>
        <v>6503.6347327198873</v>
      </c>
      <c r="Y201" s="201">
        <f t="shared" ca="1" si="53"/>
        <v>3918.249477997766</v>
      </c>
      <c r="Z201" s="201">
        <f t="shared" ca="1" si="58"/>
        <v>10421.884210717653</v>
      </c>
      <c r="AA201" s="201">
        <f t="shared" ca="1" si="54"/>
        <v>6503.6347327198964</v>
      </c>
      <c r="AB201" s="201">
        <f t="shared" ca="1" si="55"/>
        <v>3918.249477997766</v>
      </c>
      <c r="AC201" s="201">
        <f t="shared" ca="1" si="59"/>
        <v>10421.884210717662</v>
      </c>
    </row>
    <row r="202" spans="2:29" x14ac:dyDescent="0.3">
      <c r="B202" s="84">
        <f t="shared" si="56"/>
        <v>191</v>
      </c>
      <c r="C202" s="85">
        <f ca="1">IF($B202="","",'Fecha Pago'!K194)</f>
        <v>51959</v>
      </c>
      <c r="D202" s="86">
        <f>IF($B$12="","",'Fecha Pago'!L194)</f>
        <v>30.4</v>
      </c>
      <c r="E202" s="87">
        <f t="shared" si="43"/>
        <v>0.11</v>
      </c>
      <c r="F202" s="86">
        <f t="shared" ca="1" si="60"/>
        <v>415317.48131967121</v>
      </c>
      <c r="G202" s="86">
        <f t="shared" ca="1" si="61"/>
        <v>6564.0462731260504</v>
      </c>
      <c r="H202" s="86">
        <f t="shared" ca="1" si="44"/>
        <v>3857.8379375916124</v>
      </c>
      <c r="I202" s="86">
        <f>IF(B202="","",IF(Simulador!$F$9="Liquidez",'Tabla Fijos'!H202*0.16,IF(Simulador!$J$9="SI",H202*0.16,0)))</f>
        <v>0</v>
      </c>
      <c r="J202" s="86">
        <f t="shared" ca="1" si="45"/>
        <v>10421.884210717662</v>
      </c>
      <c r="K202" s="86">
        <f t="shared" ca="1" si="57"/>
        <v>0</v>
      </c>
      <c r="L202" s="86">
        <f ca="1">IF(B202="","",IF(F202=0,0,IF(Sheet1!$I$10=6,'Tabla Fijos'!$C$3*'Tabla Fijos'!$F$5,$F$5*$C$5)))</f>
        <v>0</v>
      </c>
      <c r="M202" s="86">
        <f t="shared" ca="1" si="46"/>
        <v>0</v>
      </c>
      <c r="N202" s="86">
        <f ca="1">IF(B202="","",IF(F202=0,0,IF(Simulador!$N$7='Tabla Parámetros'!$C$31,AportPat!L194,IF(Simulador!$N$7='Tabla Parámetros'!$C$34,AportPatFov!G192,0))))</f>
        <v>0</v>
      </c>
      <c r="O202" s="86">
        <f>Simulador!N257</f>
        <v>0</v>
      </c>
      <c r="P202" s="86"/>
      <c r="Q202" s="86">
        <v>0</v>
      </c>
      <c r="R202" s="86">
        <f t="shared" ca="1" si="47"/>
        <v>10421.884210717662</v>
      </c>
      <c r="S202" s="86">
        <f t="shared" ca="1" si="48"/>
        <v>408753.43504654517</v>
      </c>
      <c r="U202" s="201">
        <f t="shared" ca="1" si="49"/>
        <v>6564.0462731260459</v>
      </c>
      <c r="V202" s="201">
        <f t="shared" ca="1" si="50"/>
        <v>3857.8379375916124</v>
      </c>
      <c r="W202" s="202">
        <f t="shared" ca="1" si="51"/>
        <v>10421.884210717659</v>
      </c>
      <c r="X202" s="201">
        <f t="shared" ca="1" si="52"/>
        <v>6564.0462731260413</v>
      </c>
      <c r="Y202" s="201">
        <f t="shared" ca="1" si="53"/>
        <v>3857.8379375916124</v>
      </c>
      <c r="Z202" s="201">
        <f t="shared" ca="1" si="58"/>
        <v>10421.884210717653</v>
      </c>
      <c r="AA202" s="201">
        <f t="shared" ca="1" si="54"/>
        <v>6564.0462731260504</v>
      </c>
      <c r="AB202" s="201">
        <f t="shared" ca="1" si="55"/>
        <v>3857.8379375916124</v>
      </c>
      <c r="AC202" s="201">
        <f t="shared" ca="1" si="59"/>
        <v>10421.884210717662</v>
      </c>
    </row>
    <row r="203" spans="2:29" x14ac:dyDescent="0.3">
      <c r="B203" s="84">
        <f t="shared" si="56"/>
        <v>192</v>
      </c>
      <c r="C203" s="85">
        <f ca="1">IF($B203="","",'Fecha Pago'!K195)</f>
        <v>51989</v>
      </c>
      <c r="D203" s="86">
        <f>IF($B$12="","",'Fecha Pago'!L195)</f>
        <v>30.4</v>
      </c>
      <c r="E203" s="87">
        <f t="shared" si="43"/>
        <v>0.11</v>
      </c>
      <c r="F203" s="86">
        <f t="shared" ca="1" si="60"/>
        <v>408753.43504654517</v>
      </c>
      <c r="G203" s="86">
        <f t="shared" ca="1" si="61"/>
        <v>6625.0189696186426</v>
      </c>
      <c r="H203" s="86">
        <f t="shared" ca="1" si="44"/>
        <v>3796.8652410990194</v>
      </c>
      <c r="I203" s="86">
        <f>IF(B203="","",IF(Simulador!$F$9="Liquidez",'Tabla Fijos'!H203*0.16,IF(Simulador!$J$9="SI",H203*0.16,0)))</f>
        <v>0</v>
      </c>
      <c r="J203" s="86">
        <f t="shared" ca="1" si="45"/>
        <v>10421.884210717662</v>
      </c>
      <c r="K203" s="86">
        <f t="shared" ca="1" si="57"/>
        <v>0</v>
      </c>
      <c r="L203" s="86">
        <f ca="1">IF(B203="","",IF(F203=0,0,IF(Sheet1!$I$10=6,'Tabla Fijos'!$C$3*'Tabla Fijos'!$F$5,$F$5*$C$5)))</f>
        <v>0</v>
      </c>
      <c r="M203" s="86">
        <f t="shared" ca="1" si="46"/>
        <v>0</v>
      </c>
      <c r="N203" s="86">
        <f ca="1">IF(B203="","",IF(F203=0,0,IF(Simulador!$N$7='Tabla Parámetros'!$C$31,AportPat!L195,IF(Simulador!$N$7='Tabla Parámetros'!$C$34,AportPatFov!G193,0))))</f>
        <v>0</v>
      </c>
      <c r="O203" s="86">
        <f>Simulador!N258</f>
        <v>0</v>
      </c>
      <c r="P203" s="86"/>
      <c r="Q203" s="86">
        <v>0</v>
      </c>
      <c r="R203" s="86">
        <f t="shared" ca="1" si="47"/>
        <v>10421.884210717662</v>
      </c>
      <c r="S203" s="86">
        <f t="shared" ca="1" si="48"/>
        <v>402128.41607692651</v>
      </c>
      <c r="U203" s="201">
        <f t="shared" ca="1" si="49"/>
        <v>6625.0189696186389</v>
      </c>
      <c r="V203" s="201">
        <f t="shared" ca="1" si="50"/>
        <v>3796.8652410990194</v>
      </c>
      <c r="W203" s="202">
        <f t="shared" ca="1" si="51"/>
        <v>10421.884210717659</v>
      </c>
      <c r="X203" s="201">
        <f t="shared" ca="1" si="52"/>
        <v>6625.0189696186335</v>
      </c>
      <c r="Y203" s="201">
        <f t="shared" ca="1" si="53"/>
        <v>3796.8652410990194</v>
      </c>
      <c r="Z203" s="201">
        <f t="shared" ca="1" si="58"/>
        <v>10421.884210717653</v>
      </c>
      <c r="AA203" s="201">
        <f t="shared" ca="1" si="54"/>
        <v>6625.0189696186426</v>
      </c>
      <c r="AB203" s="201">
        <f t="shared" ca="1" si="55"/>
        <v>3796.8652410990194</v>
      </c>
      <c r="AC203" s="201">
        <f t="shared" ca="1" si="59"/>
        <v>10421.884210717662</v>
      </c>
    </row>
    <row r="204" spans="2:29" x14ac:dyDescent="0.3">
      <c r="B204" s="84">
        <f t="shared" si="56"/>
        <v>193</v>
      </c>
      <c r="C204" s="85">
        <f ca="1">IF($B204="","",'Fecha Pago'!K196)</f>
        <v>52020</v>
      </c>
      <c r="D204" s="86">
        <f>IF($B$12="","",'Fecha Pago'!L196)</f>
        <v>30.4</v>
      </c>
      <c r="E204" s="87">
        <f t="shared" si="43"/>
        <v>0.11</v>
      </c>
      <c r="F204" s="86">
        <f t="shared" ca="1" si="60"/>
        <v>402128.41607692651</v>
      </c>
      <c r="G204" s="86">
        <f t="shared" ca="1" si="61"/>
        <v>6686.5580347142113</v>
      </c>
      <c r="H204" s="86">
        <f t="shared" ca="1" si="44"/>
        <v>3735.3261760034507</v>
      </c>
      <c r="I204" s="86">
        <f>IF(B204="","",IF(Simulador!$F$9="Liquidez",'Tabla Fijos'!H204*0.16,IF(Simulador!$J$9="SI",H204*0.16,0)))</f>
        <v>0</v>
      </c>
      <c r="J204" s="86">
        <f t="shared" ca="1" si="45"/>
        <v>10421.884210717662</v>
      </c>
      <c r="K204" s="86">
        <f t="shared" ca="1" si="57"/>
        <v>0</v>
      </c>
      <c r="L204" s="86">
        <f ca="1">IF(B204="","",IF(F204=0,0,IF(Sheet1!$I$10=6,'Tabla Fijos'!$C$3*'Tabla Fijos'!$F$5,$F$5*$C$5)))</f>
        <v>0</v>
      </c>
      <c r="M204" s="86">
        <f t="shared" ca="1" si="46"/>
        <v>0</v>
      </c>
      <c r="N204" s="86">
        <f ca="1">IF(B204="","",IF(F204=0,0,IF(Simulador!$N$7='Tabla Parámetros'!$C$31,AportPat!L196,IF(Simulador!$N$7='Tabla Parámetros'!$C$34,AportPatFov!G194,0))))</f>
        <v>0</v>
      </c>
      <c r="O204" s="86">
        <f>Simulador!N259</f>
        <v>0</v>
      </c>
      <c r="P204" s="86"/>
      <c r="Q204" s="86">
        <v>0</v>
      </c>
      <c r="R204" s="86">
        <f t="shared" ca="1" si="47"/>
        <v>10421.884210717662</v>
      </c>
      <c r="S204" s="86">
        <f t="shared" ca="1" si="48"/>
        <v>395441.85804221232</v>
      </c>
      <c r="U204" s="201">
        <f t="shared" ca="1" si="49"/>
        <v>6686.5580347142068</v>
      </c>
      <c r="V204" s="201">
        <f t="shared" ca="1" si="50"/>
        <v>3735.3261760034507</v>
      </c>
      <c r="W204" s="202">
        <f t="shared" ca="1" si="51"/>
        <v>10421.884210717657</v>
      </c>
      <c r="X204" s="201">
        <f t="shared" ca="1" si="52"/>
        <v>6686.5580347142022</v>
      </c>
      <c r="Y204" s="201">
        <f t="shared" ca="1" si="53"/>
        <v>3735.3261760034507</v>
      </c>
      <c r="Z204" s="201">
        <f t="shared" ca="1" si="58"/>
        <v>10421.884210717653</v>
      </c>
      <c r="AA204" s="201">
        <f t="shared" ca="1" si="54"/>
        <v>6686.5580347142113</v>
      </c>
      <c r="AB204" s="201">
        <f t="shared" ca="1" si="55"/>
        <v>3735.3261760034507</v>
      </c>
      <c r="AC204" s="201">
        <f t="shared" ca="1" si="59"/>
        <v>10421.884210717662</v>
      </c>
    </row>
    <row r="205" spans="2:29" x14ac:dyDescent="0.3">
      <c r="B205" s="84">
        <f t="shared" si="56"/>
        <v>194</v>
      </c>
      <c r="C205" s="85">
        <f ca="1">IF($B205="","",'Fecha Pago'!K197)</f>
        <v>52050</v>
      </c>
      <c r="D205" s="86">
        <f>IF($B$12="","",'Fecha Pago'!L197)</f>
        <v>30.4</v>
      </c>
      <c r="E205" s="87">
        <f t="shared" ref="E205:E281" si="62">IF(B205="","",$F$2)</f>
        <v>0.11</v>
      </c>
      <c r="F205" s="86">
        <f t="shared" ca="1" si="60"/>
        <v>395441.85804221232</v>
      </c>
      <c r="G205" s="86">
        <f t="shared" ca="1" si="61"/>
        <v>6748.6687293477789</v>
      </c>
      <c r="H205" s="86">
        <f t="shared" ref="H205:H236" ca="1" si="63">IF(C205="","",IF($S$7=$U$10,V205,IF($S$7=$X$10,Y205,IF($S$7=$AA$10,AB205,))))</f>
        <v>3673.215481369883</v>
      </c>
      <c r="I205" s="86">
        <f>IF(B205="","",IF(Simulador!$F$9="Liquidez",'Tabla Fijos'!H205*0.16,IF(Simulador!$J$9="SI",H205*0.16,0)))</f>
        <v>0</v>
      </c>
      <c r="J205" s="86">
        <f t="shared" ref="J205:J236" ca="1" si="64">IF(D205="","",IF($S$7=$U$10,W205,IF($S$7=$X$10,Z205,IF($S$7=$AA$10,AC205,))))</f>
        <v>10421.884210717662</v>
      </c>
      <c r="K205" s="86">
        <f t="shared" ca="1" si="57"/>
        <v>0</v>
      </c>
      <c r="L205" s="86">
        <f ca="1">IF(B205="","",IF(F205=0,0,IF(Sheet1!$I$10=6,'Tabla Fijos'!$C$3*'Tabla Fijos'!$F$5,$F$5*$C$5)))</f>
        <v>0</v>
      </c>
      <c r="M205" s="86">
        <f t="shared" ref="M205:M268" ca="1" si="65">IF(B205="","",IF(F205=0,0,$J$4))</f>
        <v>0</v>
      </c>
      <c r="N205" s="86">
        <f ca="1">IF(B205="","",IF(F205=0,0,IF(Simulador!$N$7='Tabla Parámetros'!$C$31,AportPat!L197,IF(Simulador!$N$7='Tabla Parámetros'!$C$34,AportPatFov!G195,0))))</f>
        <v>0</v>
      </c>
      <c r="O205" s="86">
        <f>Simulador!N260</f>
        <v>0</v>
      </c>
      <c r="P205" s="86"/>
      <c r="Q205" s="86">
        <v>0</v>
      </c>
      <c r="R205" s="86">
        <f t="shared" ref="R205:R236" ca="1" si="66">IF(B205="","",G205+H205+K205+L205+M205)-N205</f>
        <v>10421.884210717662</v>
      </c>
      <c r="S205" s="86">
        <f t="shared" ref="S205:S236" ca="1" si="67">IF(B205="","",F205-G205)</f>
        <v>388693.18931286456</v>
      </c>
      <c r="U205" s="201">
        <f t="shared" ref="U205:U268" ca="1" si="68">IF(F205=0,0,PPMT(E205/360*30.4,B205,$C$4,-$S$11)+N205+O205+P205)</f>
        <v>6748.6687293477744</v>
      </c>
      <c r="V205" s="201">
        <f t="shared" ref="V205:V250" ca="1" si="69">(E205/360*D205)*F205</f>
        <v>3673.215481369883</v>
      </c>
      <c r="W205" s="202">
        <f t="shared" ref="W205:W250" ca="1" si="70">U205+V205</f>
        <v>10421.884210717657</v>
      </c>
      <c r="X205" s="201">
        <f t="shared" ref="X205:X250" ca="1" si="71">Z205-Y205</f>
        <v>6748.6687293477698</v>
      </c>
      <c r="Y205" s="201">
        <f t="shared" ref="Y205:Y250" ca="1" si="72">(E205/360*D205)*F205</f>
        <v>3673.215481369883</v>
      </c>
      <c r="Z205" s="201">
        <f t="shared" ca="1" si="58"/>
        <v>10421.884210717653</v>
      </c>
      <c r="AA205" s="201">
        <f t="shared" ref="AA205:AA250" ca="1" si="73">AC205-AB205</f>
        <v>6748.6687293477789</v>
      </c>
      <c r="AB205" s="201">
        <f t="shared" ref="AB205:AB250" ca="1" si="74">(E205/360*D205)*F205</f>
        <v>3673.215481369883</v>
      </c>
      <c r="AC205" s="201">
        <f t="shared" ca="1" si="59"/>
        <v>10421.884210717662</v>
      </c>
    </row>
    <row r="206" spans="2:29" x14ac:dyDescent="0.3">
      <c r="B206" s="84">
        <f t="shared" ref="B206:B269" si="75">IF(B205="","",IF(B205=$C$4,"",B205+1))</f>
        <v>195</v>
      </c>
      <c r="C206" s="85">
        <f ca="1">IF($B206="","",'Fecha Pago'!K198)</f>
        <v>52081</v>
      </c>
      <c r="D206" s="86">
        <f>IF($B$12="","",'Fecha Pago'!L198)</f>
        <v>30.4</v>
      </c>
      <c r="E206" s="87">
        <f t="shared" si="62"/>
        <v>0.11</v>
      </c>
      <c r="F206" s="86">
        <f t="shared" ca="1" si="60"/>
        <v>388693.18931286456</v>
      </c>
      <c r="G206" s="86">
        <f t="shared" ca="1" si="61"/>
        <v>6811.3563633226113</v>
      </c>
      <c r="H206" s="86">
        <f t="shared" ca="1" si="63"/>
        <v>3610.527847395053</v>
      </c>
      <c r="I206" s="86">
        <f>IF(B206="","",IF(Simulador!$F$9="Liquidez",'Tabla Fijos'!H206*0.16,IF(Simulador!$J$9="SI",H206*0.16,0)))</f>
        <v>0</v>
      </c>
      <c r="J206" s="86">
        <f t="shared" ca="1" si="64"/>
        <v>10421.884210717664</v>
      </c>
      <c r="K206" s="86">
        <f t="shared" ref="K206:K281" ca="1" si="76">IF(B206="","",IF($F$3="",0,($F$4*F206)))</f>
        <v>0</v>
      </c>
      <c r="L206" s="86">
        <f ca="1">IF(B206="","",IF(F206=0,0,IF(Sheet1!$I$10=6,'Tabla Fijos'!$C$3*'Tabla Fijos'!$F$5,$F$5*$C$5)))</f>
        <v>0</v>
      </c>
      <c r="M206" s="86">
        <f t="shared" ca="1" si="65"/>
        <v>0</v>
      </c>
      <c r="N206" s="86">
        <f ca="1">IF(B206="","",IF(F206=0,0,IF(Simulador!$N$7='Tabla Parámetros'!$C$31,AportPat!L198,IF(Simulador!$N$7='Tabla Parámetros'!$C$34,AportPatFov!G196,0))))</f>
        <v>0</v>
      </c>
      <c r="O206" s="86">
        <f>Simulador!N261</f>
        <v>0</v>
      </c>
      <c r="P206" s="86"/>
      <c r="Q206" s="86">
        <v>0</v>
      </c>
      <c r="R206" s="86">
        <f t="shared" ca="1" si="66"/>
        <v>10421.884210717664</v>
      </c>
      <c r="S206" s="86">
        <f t="shared" ca="1" si="67"/>
        <v>381881.83294954197</v>
      </c>
      <c r="U206" s="201">
        <f t="shared" ca="1" si="68"/>
        <v>6811.3563633226049</v>
      </c>
      <c r="V206" s="201">
        <f t="shared" ca="1" si="69"/>
        <v>3610.527847395053</v>
      </c>
      <c r="W206" s="202">
        <f t="shared" ca="1" si="70"/>
        <v>10421.884210717657</v>
      </c>
      <c r="X206" s="201">
        <f t="shared" ca="1" si="71"/>
        <v>6811.3563633226004</v>
      </c>
      <c r="Y206" s="201">
        <f t="shared" ca="1" si="72"/>
        <v>3610.527847395053</v>
      </c>
      <c r="Z206" s="201">
        <f t="shared" ref="Z206:Z269" ca="1" si="77">IF(F206=0,0,PMT($F$2/360*30.4,$C$4,-$C$3)+N206+O206+P206)</f>
        <v>10421.884210717653</v>
      </c>
      <c r="AA206" s="201">
        <f t="shared" ca="1" si="73"/>
        <v>6811.3563633226113</v>
      </c>
      <c r="AB206" s="201">
        <f t="shared" ca="1" si="74"/>
        <v>3610.527847395053</v>
      </c>
      <c r="AC206" s="201">
        <f t="shared" ref="AC206:AC269" ca="1" si="78">PMT($F$2/360*30.4,$C$4-B205,-S205)+N206+O206+P206</f>
        <v>10421.884210717664</v>
      </c>
    </row>
    <row r="207" spans="2:29" x14ac:dyDescent="0.3">
      <c r="B207" s="84">
        <f t="shared" si="75"/>
        <v>196</v>
      </c>
      <c r="C207" s="85">
        <f ca="1">IF($B207="","",'Fecha Pago'!K199)</f>
        <v>52112</v>
      </c>
      <c r="D207" s="86">
        <f>IF($B$12="","",'Fecha Pago'!L199)</f>
        <v>30.4</v>
      </c>
      <c r="E207" s="87">
        <f t="shared" si="62"/>
        <v>0.11</v>
      </c>
      <c r="F207" s="86">
        <f t="shared" ca="1" si="60"/>
        <v>381881.83294954197</v>
      </c>
      <c r="G207" s="86">
        <f t="shared" ca="1" si="61"/>
        <v>6874.6262957641411</v>
      </c>
      <c r="H207" s="86">
        <f t="shared" ca="1" si="63"/>
        <v>3547.2579149535231</v>
      </c>
      <c r="I207" s="86">
        <f>IF(B207="","",IF(Simulador!$F$9="Liquidez",'Tabla Fijos'!H207*0.16,IF(Simulador!$J$9="SI",H207*0.16,0)))</f>
        <v>0</v>
      </c>
      <c r="J207" s="86">
        <f t="shared" ca="1" si="64"/>
        <v>10421.884210717664</v>
      </c>
      <c r="K207" s="86">
        <f t="shared" ca="1" si="76"/>
        <v>0</v>
      </c>
      <c r="L207" s="86">
        <f ca="1">IF(B207="","",IF(F207=0,0,IF(Sheet1!$I$10=6,'Tabla Fijos'!$C$3*'Tabla Fijos'!$F$5,$F$5*$C$5)))</f>
        <v>0</v>
      </c>
      <c r="M207" s="86">
        <f t="shared" ca="1" si="65"/>
        <v>0</v>
      </c>
      <c r="N207" s="86">
        <f ca="1">IF(B207="","",IF(F207=0,0,IF(Simulador!$N$7='Tabla Parámetros'!$C$31,AportPat!L199,IF(Simulador!$N$7='Tabla Parámetros'!$C$34,AportPatFov!G197,0))))</f>
        <v>0</v>
      </c>
      <c r="O207" s="86">
        <f>Simulador!N262</f>
        <v>0</v>
      </c>
      <c r="P207" s="86"/>
      <c r="Q207" s="86">
        <v>0</v>
      </c>
      <c r="R207" s="86">
        <f t="shared" ca="1" si="66"/>
        <v>10421.884210717664</v>
      </c>
      <c r="S207" s="86">
        <f t="shared" ca="1" si="67"/>
        <v>375007.20665377786</v>
      </c>
      <c r="U207" s="201">
        <f t="shared" ca="1" si="68"/>
        <v>6874.6262957641356</v>
      </c>
      <c r="V207" s="201">
        <f t="shared" ca="1" si="69"/>
        <v>3547.2579149535231</v>
      </c>
      <c r="W207" s="202">
        <f t="shared" ca="1" si="70"/>
        <v>10421.884210717659</v>
      </c>
      <c r="X207" s="201">
        <f t="shared" ca="1" si="71"/>
        <v>6874.6262957641302</v>
      </c>
      <c r="Y207" s="201">
        <f t="shared" ca="1" si="72"/>
        <v>3547.2579149535231</v>
      </c>
      <c r="Z207" s="201">
        <f t="shared" ca="1" si="77"/>
        <v>10421.884210717653</v>
      </c>
      <c r="AA207" s="201">
        <f t="shared" ca="1" si="73"/>
        <v>6874.6262957641411</v>
      </c>
      <c r="AB207" s="201">
        <f t="shared" ca="1" si="74"/>
        <v>3547.2579149535231</v>
      </c>
      <c r="AC207" s="201">
        <f t="shared" ca="1" si="78"/>
        <v>10421.884210717664</v>
      </c>
    </row>
    <row r="208" spans="2:29" x14ac:dyDescent="0.3">
      <c r="B208" s="84">
        <f t="shared" si="75"/>
        <v>197</v>
      </c>
      <c r="C208" s="85">
        <f ca="1">IF($B208="","",'Fecha Pago'!K200)</f>
        <v>52142</v>
      </c>
      <c r="D208" s="86">
        <f>IF($B$12="","",'Fecha Pago'!L200)</f>
        <v>30.4</v>
      </c>
      <c r="E208" s="87">
        <f t="shared" si="62"/>
        <v>0.11</v>
      </c>
      <c r="F208" s="86">
        <f t="shared" ca="1" si="60"/>
        <v>375007.20665377786</v>
      </c>
      <c r="G208" s="86">
        <f t="shared" ca="1" si="61"/>
        <v>6938.4839355781278</v>
      </c>
      <c r="H208" s="86">
        <f t="shared" ca="1" si="63"/>
        <v>3483.4002751395365</v>
      </c>
      <c r="I208" s="86">
        <f>IF(B208="","",IF(Simulador!$F$9="Liquidez",'Tabla Fijos'!H208*0.16,IF(Simulador!$J$9="SI",H208*0.16,0)))</f>
        <v>0</v>
      </c>
      <c r="J208" s="86">
        <f t="shared" ca="1" si="64"/>
        <v>10421.884210717664</v>
      </c>
      <c r="K208" s="86">
        <f t="shared" ca="1" si="76"/>
        <v>0</v>
      </c>
      <c r="L208" s="86">
        <f ca="1">IF(B208="","",IF(F208=0,0,IF(Sheet1!$I$10=6,'Tabla Fijos'!$C$3*'Tabla Fijos'!$F$5,$F$5*$C$5)))</f>
        <v>0</v>
      </c>
      <c r="M208" s="86">
        <f t="shared" ca="1" si="65"/>
        <v>0</v>
      </c>
      <c r="N208" s="86">
        <f ca="1">IF(B208="","",IF(F208=0,0,IF(Simulador!$N$7='Tabla Parámetros'!$C$31,AportPat!L200,IF(Simulador!$N$7='Tabla Parámetros'!$C$34,AportPatFov!G198,0))))</f>
        <v>0</v>
      </c>
      <c r="O208" s="86">
        <f>Simulador!N263</f>
        <v>0</v>
      </c>
      <c r="P208" s="86"/>
      <c r="Q208" s="86">
        <v>0</v>
      </c>
      <c r="R208" s="86">
        <f t="shared" ca="1" si="66"/>
        <v>10421.884210717664</v>
      </c>
      <c r="S208" s="86">
        <f t="shared" ca="1" si="67"/>
        <v>368068.72271819972</v>
      </c>
      <c r="U208" s="201">
        <f t="shared" ca="1" si="68"/>
        <v>6938.4839355781223</v>
      </c>
      <c r="V208" s="201">
        <f t="shared" ca="1" si="69"/>
        <v>3483.4002751395365</v>
      </c>
      <c r="W208" s="202">
        <f t="shared" ca="1" si="70"/>
        <v>10421.884210717659</v>
      </c>
      <c r="X208" s="201">
        <f t="shared" ca="1" si="71"/>
        <v>6938.4839355781169</v>
      </c>
      <c r="Y208" s="201">
        <f t="shared" ca="1" si="72"/>
        <v>3483.4002751395365</v>
      </c>
      <c r="Z208" s="201">
        <f t="shared" ca="1" si="77"/>
        <v>10421.884210717653</v>
      </c>
      <c r="AA208" s="201">
        <f t="shared" ca="1" si="73"/>
        <v>6938.4839355781278</v>
      </c>
      <c r="AB208" s="201">
        <f t="shared" ca="1" si="74"/>
        <v>3483.4002751395365</v>
      </c>
      <c r="AC208" s="201">
        <f t="shared" ca="1" si="78"/>
        <v>10421.884210717664</v>
      </c>
    </row>
    <row r="209" spans="2:29" x14ac:dyDescent="0.3">
      <c r="B209" s="84">
        <f t="shared" si="75"/>
        <v>198</v>
      </c>
      <c r="C209" s="85">
        <f ca="1">IF($B209="","",'Fecha Pago'!K201)</f>
        <v>52173</v>
      </c>
      <c r="D209" s="86">
        <f>IF($B$12="","",'Fecha Pago'!L201)</f>
        <v>30.4</v>
      </c>
      <c r="E209" s="87">
        <f t="shared" si="62"/>
        <v>0.11</v>
      </c>
      <c r="F209" s="86">
        <f t="shared" ca="1" si="60"/>
        <v>368068.72271819972</v>
      </c>
      <c r="G209" s="86">
        <f t="shared" ca="1" si="61"/>
        <v>7002.9347419130536</v>
      </c>
      <c r="H209" s="86">
        <f t="shared" ca="1" si="63"/>
        <v>3418.9494688046102</v>
      </c>
      <c r="I209" s="86">
        <f>IF(B209="","",IF(Simulador!$F$9="Liquidez",'Tabla Fijos'!H209*0.16,IF(Simulador!$J$9="SI",H209*0.16,0)))</f>
        <v>0</v>
      </c>
      <c r="J209" s="86">
        <f t="shared" ca="1" si="64"/>
        <v>10421.884210717664</v>
      </c>
      <c r="K209" s="86">
        <f t="shared" ca="1" si="76"/>
        <v>0</v>
      </c>
      <c r="L209" s="86">
        <f ca="1">IF(B209="","",IF(F209=0,0,IF(Sheet1!$I$10=6,'Tabla Fijos'!$C$3*'Tabla Fijos'!$F$5,$F$5*$C$5)))</f>
        <v>0</v>
      </c>
      <c r="M209" s="86">
        <f t="shared" ca="1" si="65"/>
        <v>0</v>
      </c>
      <c r="N209" s="86">
        <f ca="1">IF(B209="","",IF(F209=0,0,IF(Simulador!$N$7='Tabla Parámetros'!$C$31,AportPat!L201,IF(Simulador!$N$7='Tabla Parámetros'!$C$34,AportPatFov!G199,0))))</f>
        <v>0</v>
      </c>
      <c r="O209" s="86">
        <f>Simulador!N264</f>
        <v>0</v>
      </c>
      <c r="P209" s="86"/>
      <c r="Q209" s="86">
        <v>0</v>
      </c>
      <c r="R209" s="86">
        <f t="shared" ca="1" si="66"/>
        <v>10421.884210717664</v>
      </c>
      <c r="S209" s="86">
        <f t="shared" ca="1" si="67"/>
        <v>361065.78797628667</v>
      </c>
      <c r="U209" s="201">
        <f t="shared" ca="1" si="68"/>
        <v>7002.9347419130472</v>
      </c>
      <c r="V209" s="201">
        <f t="shared" ca="1" si="69"/>
        <v>3418.9494688046102</v>
      </c>
      <c r="W209" s="202">
        <f t="shared" ca="1" si="70"/>
        <v>10421.884210717657</v>
      </c>
      <c r="X209" s="201">
        <f t="shared" ca="1" si="71"/>
        <v>7002.9347419130427</v>
      </c>
      <c r="Y209" s="201">
        <f t="shared" ca="1" si="72"/>
        <v>3418.9494688046102</v>
      </c>
      <c r="Z209" s="201">
        <f t="shared" ca="1" si="77"/>
        <v>10421.884210717653</v>
      </c>
      <c r="AA209" s="201">
        <f t="shared" ca="1" si="73"/>
        <v>7002.9347419130536</v>
      </c>
      <c r="AB209" s="201">
        <f t="shared" ca="1" si="74"/>
        <v>3418.9494688046102</v>
      </c>
      <c r="AC209" s="201">
        <f t="shared" ca="1" si="78"/>
        <v>10421.884210717664</v>
      </c>
    </row>
    <row r="210" spans="2:29" x14ac:dyDescent="0.3">
      <c r="B210" s="84">
        <f t="shared" si="75"/>
        <v>199</v>
      </c>
      <c r="C210" s="85">
        <f ca="1">IF($B210="","",'Fecha Pago'!K202)</f>
        <v>52203</v>
      </c>
      <c r="D210" s="86">
        <f>IF($B$12="","",'Fecha Pago'!L202)</f>
        <v>30.4</v>
      </c>
      <c r="E210" s="87">
        <f t="shared" si="62"/>
        <v>0.11</v>
      </c>
      <c r="F210" s="86">
        <f t="shared" ca="1" si="60"/>
        <v>361065.78797628667</v>
      </c>
      <c r="G210" s="86">
        <f t="shared" ca="1" si="61"/>
        <v>7067.9842246268236</v>
      </c>
      <c r="H210" s="86">
        <f t="shared" ca="1" si="63"/>
        <v>3353.8999860908402</v>
      </c>
      <c r="I210" s="86">
        <f>IF(B210="","",IF(Simulador!$F$9="Liquidez",'Tabla Fijos'!H210*0.16,IF(Simulador!$J$9="SI",H210*0.16,0)))</f>
        <v>0</v>
      </c>
      <c r="J210" s="86">
        <f t="shared" ca="1" si="64"/>
        <v>10421.884210717664</v>
      </c>
      <c r="K210" s="86">
        <f t="shared" ca="1" si="76"/>
        <v>0</v>
      </c>
      <c r="L210" s="86">
        <f ca="1">IF(B210="","",IF(F210=0,0,IF(Sheet1!$I$10=6,'Tabla Fijos'!$C$3*'Tabla Fijos'!$F$5,$F$5*$C$5)))</f>
        <v>0</v>
      </c>
      <c r="M210" s="86">
        <f t="shared" ca="1" si="65"/>
        <v>0</v>
      </c>
      <c r="N210" s="86">
        <f ca="1">IF(B210="","",IF(F210=0,0,IF(Simulador!$N$7='Tabla Parámetros'!$C$31,AportPat!L202,IF(Simulador!$N$7='Tabla Parámetros'!$C$34,AportPatFov!G200,0))))</f>
        <v>0</v>
      </c>
      <c r="O210" s="86">
        <f>Simulador!N265</f>
        <v>0</v>
      </c>
      <c r="P210" s="86"/>
      <c r="Q210" s="86">
        <v>0</v>
      </c>
      <c r="R210" s="86">
        <f t="shared" ca="1" si="66"/>
        <v>10421.884210717664</v>
      </c>
      <c r="S210" s="86">
        <f t="shared" ca="1" si="67"/>
        <v>353997.80375165981</v>
      </c>
      <c r="U210" s="201">
        <f t="shared" ca="1" si="68"/>
        <v>7067.9842246268172</v>
      </c>
      <c r="V210" s="201">
        <f t="shared" ca="1" si="69"/>
        <v>3353.8999860908402</v>
      </c>
      <c r="W210" s="202">
        <f t="shared" ca="1" si="70"/>
        <v>10421.884210717657</v>
      </c>
      <c r="X210" s="201">
        <f t="shared" ca="1" si="71"/>
        <v>7067.9842246268126</v>
      </c>
      <c r="Y210" s="201">
        <f t="shared" ca="1" si="72"/>
        <v>3353.8999860908402</v>
      </c>
      <c r="Z210" s="201">
        <f t="shared" ca="1" si="77"/>
        <v>10421.884210717653</v>
      </c>
      <c r="AA210" s="201">
        <f t="shared" ca="1" si="73"/>
        <v>7067.9842246268236</v>
      </c>
      <c r="AB210" s="201">
        <f t="shared" ca="1" si="74"/>
        <v>3353.8999860908402</v>
      </c>
      <c r="AC210" s="201">
        <f t="shared" ca="1" si="78"/>
        <v>10421.884210717664</v>
      </c>
    </row>
    <row r="211" spans="2:29" x14ac:dyDescent="0.3">
      <c r="B211" s="84">
        <f t="shared" si="75"/>
        <v>200</v>
      </c>
      <c r="C211" s="85">
        <f ca="1">IF($B211="","",'Fecha Pago'!K203)</f>
        <v>52234</v>
      </c>
      <c r="D211" s="86">
        <f>IF($B$12="","",'Fecha Pago'!L203)</f>
        <v>30.4</v>
      </c>
      <c r="E211" s="87">
        <f t="shared" si="62"/>
        <v>0.11</v>
      </c>
      <c r="F211" s="86">
        <f t="shared" ca="1" si="60"/>
        <v>353997.80375165981</v>
      </c>
      <c r="G211" s="86">
        <f t="shared" ca="1" si="61"/>
        <v>7133.637944757802</v>
      </c>
      <c r="H211" s="86">
        <f t="shared" ca="1" si="63"/>
        <v>3288.2462659598618</v>
      </c>
      <c r="I211" s="86">
        <f>IF(B211="","",IF(Simulador!$F$9="Liquidez",'Tabla Fijos'!H211*0.16,IF(Simulador!$J$9="SI",H211*0.16,0)))</f>
        <v>0</v>
      </c>
      <c r="J211" s="86">
        <f t="shared" ca="1" si="64"/>
        <v>10421.884210717664</v>
      </c>
      <c r="K211" s="86">
        <f t="shared" ca="1" si="76"/>
        <v>0</v>
      </c>
      <c r="L211" s="86">
        <f ca="1">IF(B211="","",IF(F211=0,0,IF(Sheet1!$I$10=6,'Tabla Fijos'!$C$3*'Tabla Fijos'!$F$5,$F$5*$C$5)))</f>
        <v>0</v>
      </c>
      <c r="M211" s="86">
        <f t="shared" ca="1" si="65"/>
        <v>0</v>
      </c>
      <c r="N211" s="86">
        <f ca="1">IF(B211="","",IF(F211=0,0,IF(Simulador!$N$7='Tabla Parámetros'!$C$31,AportPat!L203,IF(Simulador!$N$7='Tabla Parámetros'!$C$34,AportPatFov!G201,0))))</f>
        <v>0</v>
      </c>
      <c r="O211" s="86">
        <f>Simulador!N266</f>
        <v>0</v>
      </c>
      <c r="P211" s="86"/>
      <c r="Q211" s="86">
        <v>0</v>
      </c>
      <c r="R211" s="86">
        <f t="shared" ca="1" si="66"/>
        <v>10421.884210717664</v>
      </c>
      <c r="S211" s="86">
        <f t="shared" ca="1" si="67"/>
        <v>346864.16580690199</v>
      </c>
      <c r="U211" s="201">
        <f t="shared" ca="1" si="68"/>
        <v>7133.6379447577956</v>
      </c>
      <c r="V211" s="201">
        <f t="shared" ca="1" si="69"/>
        <v>3288.2462659598618</v>
      </c>
      <c r="W211" s="202">
        <f t="shared" ca="1" si="70"/>
        <v>10421.884210717657</v>
      </c>
      <c r="X211" s="201">
        <f t="shared" ca="1" si="71"/>
        <v>7133.637944757791</v>
      </c>
      <c r="Y211" s="201">
        <f t="shared" ca="1" si="72"/>
        <v>3288.2462659598618</v>
      </c>
      <c r="Z211" s="201">
        <f t="shared" ca="1" si="77"/>
        <v>10421.884210717653</v>
      </c>
      <c r="AA211" s="201">
        <f t="shared" ca="1" si="73"/>
        <v>7133.637944757802</v>
      </c>
      <c r="AB211" s="201">
        <f t="shared" ca="1" si="74"/>
        <v>3288.2462659598618</v>
      </c>
      <c r="AC211" s="201">
        <f t="shared" ca="1" si="78"/>
        <v>10421.884210717664</v>
      </c>
    </row>
    <row r="212" spans="2:29" x14ac:dyDescent="0.3">
      <c r="B212" s="84">
        <f t="shared" si="75"/>
        <v>201</v>
      </c>
      <c r="C212" s="85">
        <f ca="1">IF($B212="","",'Fecha Pago'!K204)</f>
        <v>52265</v>
      </c>
      <c r="D212" s="86">
        <f>IF($B$12="","",'Fecha Pago'!L204)</f>
        <v>30.4</v>
      </c>
      <c r="E212" s="87">
        <f t="shared" si="62"/>
        <v>0.11</v>
      </c>
      <c r="F212" s="86">
        <f t="shared" ca="1" si="60"/>
        <v>346864.16580690199</v>
      </c>
      <c r="G212" s="86">
        <f t="shared" ca="1" si="61"/>
        <v>7199.9015150002178</v>
      </c>
      <c r="H212" s="86">
        <f t="shared" ca="1" si="63"/>
        <v>3221.982695717445</v>
      </c>
      <c r="I212" s="86">
        <f>IF(B212="","",IF(Simulador!$F$9="Liquidez",'Tabla Fijos'!H212*0.16,IF(Simulador!$J$9="SI",H212*0.16,0)))</f>
        <v>0</v>
      </c>
      <c r="J212" s="86">
        <f t="shared" ca="1" si="64"/>
        <v>10421.884210717662</v>
      </c>
      <c r="K212" s="86">
        <f t="shared" ca="1" si="76"/>
        <v>0</v>
      </c>
      <c r="L212" s="86">
        <f ca="1">IF(B212="","",IF(F212=0,0,IF(Sheet1!$I$10=6,'Tabla Fijos'!$C$3*'Tabla Fijos'!$F$5,$F$5*$C$5)))</f>
        <v>0</v>
      </c>
      <c r="M212" s="86">
        <f t="shared" ca="1" si="65"/>
        <v>0</v>
      </c>
      <c r="N212" s="86">
        <f ca="1">IF(B212="","",IF(F212=0,0,IF(Simulador!$N$7='Tabla Parámetros'!$C$31,AportPat!L204,IF(Simulador!$N$7='Tabla Parámetros'!$C$34,AportPatFov!G202,0))))</f>
        <v>0</v>
      </c>
      <c r="O212" s="86">
        <f>Simulador!N267</f>
        <v>0</v>
      </c>
      <c r="P212" s="86"/>
      <c r="Q212" s="86">
        <v>0</v>
      </c>
      <c r="R212" s="86">
        <f t="shared" ca="1" si="66"/>
        <v>10421.884210717662</v>
      </c>
      <c r="S212" s="86">
        <f t="shared" ca="1" si="67"/>
        <v>339664.26429190178</v>
      </c>
      <c r="U212" s="201">
        <f t="shared" ca="1" si="68"/>
        <v>7199.9015150002124</v>
      </c>
      <c r="V212" s="201">
        <f t="shared" ca="1" si="69"/>
        <v>3221.982695717445</v>
      </c>
      <c r="W212" s="202">
        <f t="shared" ca="1" si="70"/>
        <v>10421.884210717657</v>
      </c>
      <c r="X212" s="201">
        <f t="shared" ca="1" si="71"/>
        <v>7199.9015150002087</v>
      </c>
      <c r="Y212" s="201">
        <f t="shared" ca="1" si="72"/>
        <v>3221.982695717445</v>
      </c>
      <c r="Z212" s="201">
        <f t="shared" ca="1" si="77"/>
        <v>10421.884210717653</v>
      </c>
      <c r="AA212" s="201">
        <f t="shared" ca="1" si="73"/>
        <v>7199.9015150002178</v>
      </c>
      <c r="AB212" s="201">
        <f t="shared" ca="1" si="74"/>
        <v>3221.982695717445</v>
      </c>
      <c r="AC212" s="201">
        <f t="shared" ca="1" si="78"/>
        <v>10421.884210717662</v>
      </c>
    </row>
    <row r="213" spans="2:29" x14ac:dyDescent="0.3">
      <c r="B213" s="84">
        <f t="shared" si="75"/>
        <v>202</v>
      </c>
      <c r="C213" s="85">
        <f ca="1">IF($B213="","",'Fecha Pago'!K205)</f>
        <v>52293</v>
      </c>
      <c r="D213" s="86">
        <f>IF($B$12="","",'Fecha Pago'!L205)</f>
        <v>30.4</v>
      </c>
      <c r="E213" s="87">
        <f t="shared" si="62"/>
        <v>0.11</v>
      </c>
      <c r="F213" s="86">
        <f t="shared" ca="1" si="60"/>
        <v>339664.26429190178</v>
      </c>
      <c r="G213" s="86">
        <f t="shared" ca="1" si="61"/>
        <v>7266.7806001839972</v>
      </c>
      <c r="H213" s="86">
        <f t="shared" ca="1" si="63"/>
        <v>3155.1036105336652</v>
      </c>
      <c r="I213" s="86">
        <f>IF(B213="","",IF(Simulador!$F$9="Liquidez",'Tabla Fijos'!H213*0.16,IF(Simulador!$J$9="SI",H213*0.16,0)))</f>
        <v>0</v>
      </c>
      <c r="J213" s="86">
        <f t="shared" ca="1" si="64"/>
        <v>10421.884210717662</v>
      </c>
      <c r="K213" s="86">
        <f t="shared" ca="1" si="76"/>
        <v>0</v>
      </c>
      <c r="L213" s="86">
        <f ca="1">IF(B213="","",IF(F213=0,0,IF(Sheet1!$I$10=6,'Tabla Fijos'!$C$3*'Tabla Fijos'!$F$5,$F$5*$C$5)))</f>
        <v>0</v>
      </c>
      <c r="M213" s="86">
        <f t="shared" ca="1" si="65"/>
        <v>0</v>
      </c>
      <c r="N213" s="86">
        <f ca="1">IF(B213="","",IF(F213=0,0,IF(Simulador!$N$7='Tabla Parámetros'!$C$31,AportPat!L205,IF(Simulador!$N$7='Tabla Parámetros'!$C$34,AportPatFov!G203,0))))</f>
        <v>0</v>
      </c>
      <c r="O213" s="86">
        <f>Simulador!N268</f>
        <v>0</v>
      </c>
      <c r="P213" s="86"/>
      <c r="Q213" s="86">
        <v>0</v>
      </c>
      <c r="R213" s="86">
        <f t="shared" ca="1" si="66"/>
        <v>10421.884210717662</v>
      </c>
      <c r="S213" s="86">
        <f t="shared" ca="1" si="67"/>
        <v>332397.48369171779</v>
      </c>
      <c r="U213" s="201">
        <f t="shared" ca="1" si="68"/>
        <v>7266.7806001839917</v>
      </c>
      <c r="V213" s="201">
        <f t="shared" ca="1" si="69"/>
        <v>3155.1036105336652</v>
      </c>
      <c r="W213" s="202">
        <f t="shared" ca="1" si="70"/>
        <v>10421.884210717657</v>
      </c>
      <c r="X213" s="201">
        <f t="shared" ca="1" si="71"/>
        <v>7266.7806001839881</v>
      </c>
      <c r="Y213" s="201">
        <f t="shared" ca="1" si="72"/>
        <v>3155.1036105336652</v>
      </c>
      <c r="Z213" s="201">
        <f t="shared" ca="1" si="77"/>
        <v>10421.884210717653</v>
      </c>
      <c r="AA213" s="201">
        <f t="shared" ca="1" si="73"/>
        <v>7266.7806001839972</v>
      </c>
      <c r="AB213" s="201">
        <f t="shared" ca="1" si="74"/>
        <v>3155.1036105336652</v>
      </c>
      <c r="AC213" s="201">
        <f t="shared" ca="1" si="78"/>
        <v>10421.884210717662</v>
      </c>
    </row>
    <row r="214" spans="2:29" x14ac:dyDescent="0.3">
      <c r="B214" s="84">
        <f t="shared" si="75"/>
        <v>203</v>
      </c>
      <c r="C214" s="85">
        <f ca="1">IF($B214="","",'Fecha Pago'!K206)</f>
        <v>52324</v>
      </c>
      <c r="D214" s="86">
        <f>IF($B$12="","",'Fecha Pago'!L206)</f>
        <v>30.4</v>
      </c>
      <c r="E214" s="87">
        <f t="shared" si="62"/>
        <v>0.11</v>
      </c>
      <c r="F214" s="86">
        <f t="shared" ca="1" si="60"/>
        <v>332397.48369171779</v>
      </c>
      <c r="G214" s="86">
        <f t="shared" ca="1" si="61"/>
        <v>7334.2809177590416</v>
      </c>
      <c r="H214" s="86">
        <f t="shared" ca="1" si="63"/>
        <v>3087.6032929586227</v>
      </c>
      <c r="I214" s="86">
        <f>IF(B214="","",IF(Simulador!$F$9="Liquidez",'Tabla Fijos'!H214*0.16,IF(Simulador!$J$9="SI",H214*0.16,0)))</f>
        <v>0</v>
      </c>
      <c r="J214" s="86">
        <f t="shared" ca="1" si="64"/>
        <v>10421.884210717664</v>
      </c>
      <c r="K214" s="86">
        <f t="shared" ca="1" si="76"/>
        <v>0</v>
      </c>
      <c r="L214" s="86">
        <f ca="1">IF(B214="","",IF(F214=0,0,IF(Sheet1!$I$10=6,'Tabla Fijos'!$C$3*'Tabla Fijos'!$F$5,$F$5*$C$5)))</f>
        <v>0</v>
      </c>
      <c r="M214" s="86">
        <f t="shared" ca="1" si="65"/>
        <v>0</v>
      </c>
      <c r="N214" s="86">
        <f ca="1">IF(B214="","",IF(F214=0,0,IF(Simulador!$N$7='Tabla Parámetros'!$C$31,AportPat!L206,IF(Simulador!$N$7='Tabla Parámetros'!$C$34,AportPatFov!G204,0))))</f>
        <v>0</v>
      </c>
      <c r="O214" s="86">
        <f>Simulador!N269</f>
        <v>0</v>
      </c>
      <c r="P214" s="86"/>
      <c r="Q214" s="86">
        <v>0</v>
      </c>
      <c r="R214" s="86">
        <f t="shared" ca="1" si="66"/>
        <v>10421.884210717664</v>
      </c>
      <c r="S214" s="86">
        <f t="shared" ca="1" si="67"/>
        <v>325063.20277395874</v>
      </c>
      <c r="U214" s="201">
        <f t="shared" ca="1" si="68"/>
        <v>7334.2809177590343</v>
      </c>
      <c r="V214" s="201">
        <f t="shared" ca="1" si="69"/>
        <v>3087.6032929586227</v>
      </c>
      <c r="W214" s="202">
        <f t="shared" ca="1" si="70"/>
        <v>10421.884210717657</v>
      </c>
      <c r="X214" s="201">
        <f t="shared" ca="1" si="71"/>
        <v>7334.2809177590307</v>
      </c>
      <c r="Y214" s="201">
        <f t="shared" ca="1" si="72"/>
        <v>3087.6032929586227</v>
      </c>
      <c r="Z214" s="201">
        <f t="shared" ca="1" si="77"/>
        <v>10421.884210717653</v>
      </c>
      <c r="AA214" s="201">
        <f t="shared" ca="1" si="73"/>
        <v>7334.2809177590416</v>
      </c>
      <c r="AB214" s="201">
        <f t="shared" ca="1" si="74"/>
        <v>3087.6032929586227</v>
      </c>
      <c r="AC214" s="201">
        <f t="shared" ca="1" si="78"/>
        <v>10421.884210717664</v>
      </c>
    </row>
    <row r="215" spans="2:29" x14ac:dyDescent="0.3">
      <c r="B215" s="84">
        <f t="shared" si="75"/>
        <v>204</v>
      </c>
      <c r="C215" s="85">
        <f ca="1">IF($B215="","",'Fecha Pago'!K207)</f>
        <v>52354</v>
      </c>
      <c r="D215" s="86">
        <f>IF($B$12="","",'Fecha Pago'!L207)</f>
        <v>30.4</v>
      </c>
      <c r="E215" s="87">
        <f t="shared" si="62"/>
        <v>0.11</v>
      </c>
      <c r="F215" s="86">
        <f t="shared" ca="1" si="60"/>
        <v>325063.20277395874</v>
      </c>
      <c r="G215" s="86">
        <f t="shared" ca="1" si="61"/>
        <v>7402.4082382840033</v>
      </c>
      <c r="H215" s="86">
        <f t="shared" ca="1" si="63"/>
        <v>3019.4759724336609</v>
      </c>
      <c r="I215" s="86">
        <f>IF(B215="","",IF(Simulador!$F$9="Liquidez",'Tabla Fijos'!H215*0.16,IF(Simulador!$J$9="SI",H215*0.16,0)))</f>
        <v>0</v>
      </c>
      <c r="J215" s="86">
        <f t="shared" ca="1" si="64"/>
        <v>10421.884210717664</v>
      </c>
      <c r="K215" s="86">
        <f t="shared" ca="1" si="76"/>
        <v>0</v>
      </c>
      <c r="L215" s="86">
        <f ca="1">IF(B215="","",IF(F215=0,0,IF(Sheet1!$I$10=6,'Tabla Fijos'!$C$3*'Tabla Fijos'!$F$5,$F$5*$C$5)))</f>
        <v>0</v>
      </c>
      <c r="M215" s="86">
        <f t="shared" ca="1" si="65"/>
        <v>0</v>
      </c>
      <c r="N215" s="86">
        <f ca="1">IF(B215="","",IF(F215=0,0,IF(Simulador!$N$7='Tabla Parámetros'!$C$31,AportPat!L207,IF(Simulador!$N$7='Tabla Parámetros'!$C$34,AportPatFov!G205,0))))</f>
        <v>0</v>
      </c>
      <c r="O215" s="86">
        <f>Simulador!N270</f>
        <v>0</v>
      </c>
      <c r="P215" s="86"/>
      <c r="Q215" s="86">
        <v>0</v>
      </c>
      <c r="R215" s="86">
        <f t="shared" ca="1" si="66"/>
        <v>10421.884210717664</v>
      </c>
      <c r="S215" s="86">
        <f t="shared" ca="1" si="67"/>
        <v>317660.79453567474</v>
      </c>
      <c r="U215" s="201">
        <f t="shared" ca="1" si="68"/>
        <v>7402.408238283997</v>
      </c>
      <c r="V215" s="201">
        <f t="shared" ca="1" si="69"/>
        <v>3019.4759724336609</v>
      </c>
      <c r="W215" s="202">
        <f t="shared" ca="1" si="70"/>
        <v>10421.884210717657</v>
      </c>
      <c r="X215" s="201">
        <f t="shared" ca="1" si="71"/>
        <v>7402.4082382839924</v>
      </c>
      <c r="Y215" s="201">
        <f t="shared" ca="1" si="72"/>
        <v>3019.4759724336609</v>
      </c>
      <c r="Z215" s="201">
        <f t="shared" ca="1" si="77"/>
        <v>10421.884210717653</v>
      </c>
      <c r="AA215" s="201">
        <f t="shared" ca="1" si="73"/>
        <v>7402.4082382840033</v>
      </c>
      <c r="AB215" s="201">
        <f t="shared" ca="1" si="74"/>
        <v>3019.4759724336609</v>
      </c>
      <c r="AC215" s="201">
        <f t="shared" ca="1" si="78"/>
        <v>10421.884210717664</v>
      </c>
    </row>
    <row r="216" spans="2:29" x14ac:dyDescent="0.3">
      <c r="B216" s="84">
        <f t="shared" si="75"/>
        <v>205</v>
      </c>
      <c r="C216" s="85">
        <f ca="1">IF($B216="","",'Fecha Pago'!K208)</f>
        <v>52385</v>
      </c>
      <c r="D216" s="86">
        <f>IF($B$12="","",'Fecha Pago'!L208)</f>
        <v>30.4</v>
      </c>
      <c r="E216" s="87">
        <f t="shared" si="62"/>
        <v>0.11</v>
      </c>
      <c r="F216" s="86">
        <f t="shared" ca="1" si="60"/>
        <v>317660.79453567474</v>
      </c>
      <c r="G216" s="86">
        <f t="shared" ca="1" si="61"/>
        <v>7471.1683859196173</v>
      </c>
      <c r="H216" s="86">
        <f t="shared" ca="1" si="63"/>
        <v>2950.7158247980451</v>
      </c>
      <c r="I216" s="86">
        <f>IF(B216="","",IF(Simulador!$F$9="Liquidez",'Tabla Fijos'!H216*0.16,IF(Simulador!$J$9="SI",H216*0.16,0)))</f>
        <v>0</v>
      </c>
      <c r="J216" s="86">
        <f t="shared" ca="1" si="64"/>
        <v>10421.884210717662</v>
      </c>
      <c r="K216" s="86">
        <f t="shared" ca="1" si="76"/>
        <v>0</v>
      </c>
      <c r="L216" s="86">
        <f ca="1">IF(B216="","",IF(F216=0,0,IF(Sheet1!$I$10=6,'Tabla Fijos'!$C$3*'Tabla Fijos'!$F$5,$F$5*$C$5)))</f>
        <v>0</v>
      </c>
      <c r="M216" s="86">
        <f t="shared" ca="1" si="65"/>
        <v>0</v>
      </c>
      <c r="N216" s="86">
        <f ca="1">IF(B216="","",IF(F216=0,0,IF(Simulador!$N$7='Tabla Parámetros'!$C$31,AportPat!L208,IF(Simulador!$N$7='Tabla Parámetros'!$C$34,AportPatFov!G206,0))))</f>
        <v>0</v>
      </c>
      <c r="O216" s="86">
        <f>Simulador!N271</f>
        <v>0</v>
      </c>
      <c r="P216" s="86"/>
      <c r="Q216" s="86">
        <v>0</v>
      </c>
      <c r="R216" s="86">
        <f t="shared" ca="1" si="66"/>
        <v>10421.884210717662</v>
      </c>
      <c r="S216" s="86">
        <f t="shared" ca="1" si="67"/>
        <v>310189.62614975515</v>
      </c>
      <c r="U216" s="201">
        <f t="shared" ca="1" si="68"/>
        <v>7471.1683859196119</v>
      </c>
      <c r="V216" s="201">
        <f t="shared" ca="1" si="69"/>
        <v>2950.7158247980451</v>
      </c>
      <c r="W216" s="202">
        <f t="shared" ca="1" si="70"/>
        <v>10421.884210717657</v>
      </c>
      <c r="X216" s="201">
        <f t="shared" ca="1" si="71"/>
        <v>7471.1683859196082</v>
      </c>
      <c r="Y216" s="201">
        <f t="shared" ca="1" si="72"/>
        <v>2950.7158247980451</v>
      </c>
      <c r="Z216" s="201">
        <f t="shared" ca="1" si="77"/>
        <v>10421.884210717653</v>
      </c>
      <c r="AA216" s="201">
        <f t="shared" ca="1" si="73"/>
        <v>7471.1683859196173</v>
      </c>
      <c r="AB216" s="201">
        <f t="shared" ca="1" si="74"/>
        <v>2950.7158247980451</v>
      </c>
      <c r="AC216" s="201">
        <f t="shared" ca="1" si="78"/>
        <v>10421.884210717662</v>
      </c>
    </row>
    <row r="217" spans="2:29" x14ac:dyDescent="0.3">
      <c r="B217" s="84">
        <f t="shared" si="75"/>
        <v>206</v>
      </c>
      <c r="C217" s="85">
        <f ca="1">IF($B217="","",'Fecha Pago'!K209)</f>
        <v>52415</v>
      </c>
      <c r="D217" s="86">
        <f>IF($B$12="","",'Fecha Pago'!L209)</f>
        <v>30.4</v>
      </c>
      <c r="E217" s="87">
        <f t="shared" si="62"/>
        <v>0.11</v>
      </c>
      <c r="F217" s="86">
        <f t="shared" ca="1" si="60"/>
        <v>310189.62614975515</v>
      </c>
      <c r="G217" s="86">
        <f t="shared" ca="1" si="61"/>
        <v>7540.5672389266056</v>
      </c>
      <c r="H217" s="86">
        <f t="shared" ca="1" si="63"/>
        <v>2881.3169717910587</v>
      </c>
      <c r="I217" s="86">
        <f>IF(B217="","",IF(Simulador!$F$9="Liquidez",'Tabla Fijos'!H217*0.16,IF(Simulador!$J$9="SI",H217*0.16,0)))</f>
        <v>0</v>
      </c>
      <c r="J217" s="86">
        <f t="shared" ca="1" si="64"/>
        <v>10421.884210717664</v>
      </c>
      <c r="K217" s="86">
        <f t="shared" ca="1" si="76"/>
        <v>0</v>
      </c>
      <c r="L217" s="86">
        <f ca="1">IF(B217="","",IF(F217=0,0,IF(Sheet1!$I$10=6,'Tabla Fijos'!$C$3*'Tabla Fijos'!$F$5,$F$5*$C$5)))</f>
        <v>0</v>
      </c>
      <c r="M217" s="86">
        <f t="shared" ca="1" si="65"/>
        <v>0</v>
      </c>
      <c r="N217" s="86">
        <f ca="1">IF(B217="","",IF(F217=0,0,IF(Simulador!$N$7='Tabla Parámetros'!$C$31,AportPat!L209,IF(Simulador!$N$7='Tabla Parámetros'!$C$34,AportPatFov!G207,0))))</f>
        <v>0</v>
      </c>
      <c r="O217" s="86">
        <f>Simulador!N272</f>
        <v>0</v>
      </c>
      <c r="P217" s="86"/>
      <c r="Q217" s="86">
        <v>0</v>
      </c>
      <c r="R217" s="86">
        <f t="shared" ca="1" si="66"/>
        <v>10421.884210717664</v>
      </c>
      <c r="S217" s="86">
        <f t="shared" ca="1" si="67"/>
        <v>302649.05891082855</v>
      </c>
      <c r="U217" s="201">
        <f t="shared" ca="1" si="68"/>
        <v>7540.5672389265983</v>
      </c>
      <c r="V217" s="201">
        <f t="shared" ca="1" si="69"/>
        <v>2881.3169717910587</v>
      </c>
      <c r="W217" s="202">
        <f t="shared" ca="1" si="70"/>
        <v>10421.884210717657</v>
      </c>
      <c r="X217" s="201">
        <f t="shared" ca="1" si="71"/>
        <v>7540.5672389265947</v>
      </c>
      <c r="Y217" s="201">
        <f t="shared" ca="1" si="72"/>
        <v>2881.3169717910587</v>
      </c>
      <c r="Z217" s="201">
        <f t="shared" ca="1" si="77"/>
        <v>10421.884210717653</v>
      </c>
      <c r="AA217" s="201">
        <f t="shared" ca="1" si="73"/>
        <v>7540.5672389266056</v>
      </c>
      <c r="AB217" s="201">
        <f t="shared" ca="1" si="74"/>
        <v>2881.3169717910587</v>
      </c>
      <c r="AC217" s="201">
        <f t="shared" ca="1" si="78"/>
        <v>10421.884210717664</v>
      </c>
    </row>
    <row r="218" spans="2:29" x14ac:dyDescent="0.3">
      <c r="B218" s="84">
        <f t="shared" si="75"/>
        <v>207</v>
      </c>
      <c r="C218" s="85">
        <f ca="1">IF($B218="","",'Fecha Pago'!K210)</f>
        <v>52446</v>
      </c>
      <c r="D218" s="86">
        <f>IF($B$12="","",'Fecha Pago'!L210)</f>
        <v>30.4</v>
      </c>
      <c r="E218" s="87">
        <f t="shared" si="62"/>
        <v>0.11</v>
      </c>
      <c r="F218" s="86">
        <f t="shared" ca="1" si="60"/>
        <v>302649.05891082855</v>
      </c>
      <c r="G218" s="86">
        <f t="shared" ca="1" si="61"/>
        <v>7610.6107301681905</v>
      </c>
      <c r="H218" s="86">
        <f t="shared" ca="1" si="63"/>
        <v>2811.2734805494738</v>
      </c>
      <c r="I218" s="86">
        <f>IF(B218="","",IF(Simulador!$F$9="Liquidez",'Tabla Fijos'!H218*0.16,IF(Simulador!$J$9="SI",H218*0.16,0)))</f>
        <v>0</v>
      </c>
      <c r="J218" s="86">
        <f t="shared" ca="1" si="64"/>
        <v>10421.884210717664</v>
      </c>
      <c r="K218" s="86">
        <f t="shared" ca="1" si="76"/>
        <v>0</v>
      </c>
      <c r="L218" s="86">
        <f ca="1">IF(B218="","",IF(F218=0,0,IF(Sheet1!$I$10=6,'Tabla Fijos'!$C$3*'Tabla Fijos'!$F$5,$F$5*$C$5)))</f>
        <v>0</v>
      </c>
      <c r="M218" s="86">
        <f t="shared" ca="1" si="65"/>
        <v>0</v>
      </c>
      <c r="N218" s="86">
        <f ca="1">IF(B218="","",IF(F218=0,0,IF(Simulador!$N$7='Tabla Parámetros'!$C$31,AportPat!L210,IF(Simulador!$N$7='Tabla Parámetros'!$C$34,AportPatFov!G208,0))))</f>
        <v>0</v>
      </c>
      <c r="O218" s="86">
        <f>Simulador!N273</f>
        <v>0</v>
      </c>
      <c r="P218" s="86"/>
      <c r="Q218" s="86">
        <v>0</v>
      </c>
      <c r="R218" s="86">
        <f t="shared" ca="1" si="66"/>
        <v>10421.884210717664</v>
      </c>
      <c r="S218" s="86">
        <f t="shared" ca="1" si="67"/>
        <v>295038.44818066037</v>
      </c>
      <c r="U218" s="201">
        <f t="shared" ca="1" si="68"/>
        <v>7610.6107301681832</v>
      </c>
      <c r="V218" s="201">
        <f t="shared" ca="1" si="69"/>
        <v>2811.2734805494738</v>
      </c>
      <c r="W218" s="202">
        <f t="shared" ca="1" si="70"/>
        <v>10421.884210717657</v>
      </c>
      <c r="X218" s="201">
        <f t="shared" ca="1" si="71"/>
        <v>7610.6107301681795</v>
      </c>
      <c r="Y218" s="201">
        <f t="shared" ca="1" si="72"/>
        <v>2811.2734805494738</v>
      </c>
      <c r="Z218" s="201">
        <f t="shared" ca="1" si="77"/>
        <v>10421.884210717653</v>
      </c>
      <c r="AA218" s="201">
        <f t="shared" ca="1" si="73"/>
        <v>7610.6107301681905</v>
      </c>
      <c r="AB218" s="201">
        <f t="shared" ca="1" si="74"/>
        <v>2811.2734805494738</v>
      </c>
      <c r="AC218" s="201">
        <f t="shared" ca="1" si="78"/>
        <v>10421.884210717664</v>
      </c>
    </row>
    <row r="219" spans="2:29" x14ac:dyDescent="0.3">
      <c r="B219" s="84">
        <f t="shared" si="75"/>
        <v>208</v>
      </c>
      <c r="C219" s="85">
        <f ca="1">IF($B219="","",'Fecha Pago'!K211)</f>
        <v>52477</v>
      </c>
      <c r="D219" s="86">
        <f>IF($B$12="","",'Fecha Pago'!L211)</f>
        <v>30.4</v>
      </c>
      <c r="E219" s="87">
        <f t="shared" si="62"/>
        <v>0.11</v>
      </c>
      <c r="F219" s="86">
        <f t="shared" ref="F219:F281" ca="1" si="79">IF(B219="","",F218-G218)</f>
        <v>295038.44818066037</v>
      </c>
      <c r="G219" s="86">
        <f t="shared" ca="1" si="61"/>
        <v>7681.304847617308</v>
      </c>
      <c r="H219" s="86">
        <f t="shared" ca="1" si="63"/>
        <v>2740.5793631003562</v>
      </c>
      <c r="I219" s="86">
        <f>IF(B219="","",IF(Simulador!$F$9="Liquidez",'Tabla Fijos'!H219*0.16,IF(Simulador!$J$9="SI",H219*0.16,0)))</f>
        <v>0</v>
      </c>
      <c r="J219" s="86">
        <f t="shared" ca="1" si="64"/>
        <v>10421.884210717664</v>
      </c>
      <c r="K219" s="86">
        <f t="shared" ca="1" si="76"/>
        <v>0</v>
      </c>
      <c r="L219" s="86">
        <f ca="1">IF(B219="","",IF(F219=0,0,IF(Sheet1!$I$10=6,'Tabla Fijos'!$C$3*'Tabla Fijos'!$F$5,$F$5*$C$5)))</f>
        <v>0</v>
      </c>
      <c r="M219" s="86">
        <f t="shared" ca="1" si="65"/>
        <v>0</v>
      </c>
      <c r="N219" s="86">
        <f ca="1">IF(B219="","",IF(F219=0,0,IF(Simulador!$N$7='Tabla Parámetros'!$C$31,AportPat!L211,IF(Simulador!$N$7='Tabla Parámetros'!$C$34,AportPatFov!G209,0))))</f>
        <v>0</v>
      </c>
      <c r="O219" s="86">
        <f>Simulador!N274</f>
        <v>0</v>
      </c>
      <c r="P219" s="86"/>
      <c r="Q219" s="86">
        <v>0</v>
      </c>
      <c r="R219" s="86">
        <f t="shared" ca="1" si="66"/>
        <v>10421.884210717664</v>
      </c>
      <c r="S219" s="86">
        <f t="shared" ca="1" si="67"/>
        <v>287357.14333304309</v>
      </c>
      <c r="U219" s="201">
        <f t="shared" ca="1" si="68"/>
        <v>7681.3048476173017</v>
      </c>
      <c r="V219" s="201">
        <f t="shared" ca="1" si="69"/>
        <v>2740.5793631003562</v>
      </c>
      <c r="W219" s="202">
        <f t="shared" ca="1" si="70"/>
        <v>10421.884210717657</v>
      </c>
      <c r="X219" s="201">
        <f t="shared" ca="1" si="71"/>
        <v>7681.3048476172971</v>
      </c>
      <c r="Y219" s="201">
        <f t="shared" ca="1" si="72"/>
        <v>2740.5793631003562</v>
      </c>
      <c r="Z219" s="201">
        <f t="shared" ca="1" si="77"/>
        <v>10421.884210717653</v>
      </c>
      <c r="AA219" s="201">
        <f t="shared" ca="1" si="73"/>
        <v>7681.304847617308</v>
      </c>
      <c r="AB219" s="201">
        <f t="shared" ca="1" si="74"/>
        <v>2740.5793631003562</v>
      </c>
      <c r="AC219" s="201">
        <f t="shared" ca="1" si="78"/>
        <v>10421.884210717664</v>
      </c>
    </row>
    <row r="220" spans="2:29" x14ac:dyDescent="0.3">
      <c r="B220" s="84">
        <f t="shared" si="75"/>
        <v>209</v>
      </c>
      <c r="C220" s="85">
        <f ca="1">IF($B220="","",'Fecha Pago'!K212)</f>
        <v>52507</v>
      </c>
      <c r="D220" s="86">
        <f>IF($B$12="","",'Fecha Pago'!L212)</f>
        <v>30.4</v>
      </c>
      <c r="E220" s="87">
        <f t="shared" si="62"/>
        <v>0.11</v>
      </c>
      <c r="F220" s="86">
        <f t="shared" ca="1" si="79"/>
        <v>287357.14333304309</v>
      </c>
      <c r="G220" s="86">
        <f t="shared" ca="1" si="61"/>
        <v>7752.6556348685117</v>
      </c>
      <c r="H220" s="86">
        <f t="shared" ca="1" si="63"/>
        <v>2669.2285758491557</v>
      </c>
      <c r="I220" s="86">
        <f>IF(B220="","",IF(Simulador!$F$9="Liquidez",'Tabla Fijos'!H220*0.16,IF(Simulador!$J$9="SI",H220*0.16,0)))</f>
        <v>0</v>
      </c>
      <c r="J220" s="86">
        <f t="shared" ca="1" si="64"/>
        <v>10421.884210717668</v>
      </c>
      <c r="K220" s="86">
        <f t="shared" ca="1" si="76"/>
        <v>0</v>
      </c>
      <c r="L220" s="86">
        <f ca="1">IF(B220="","",IF(F220=0,0,IF(Sheet1!$I$10=6,'Tabla Fijos'!$C$3*'Tabla Fijos'!$F$5,$F$5*$C$5)))</f>
        <v>0</v>
      </c>
      <c r="M220" s="86">
        <f t="shared" ca="1" si="65"/>
        <v>0</v>
      </c>
      <c r="N220" s="86">
        <f ca="1">IF(B220="","",IF(F220=0,0,IF(Simulador!$N$7='Tabla Parámetros'!$C$31,AportPat!L212,IF(Simulador!$N$7='Tabla Parámetros'!$C$34,AportPatFov!G210,0))))</f>
        <v>0</v>
      </c>
      <c r="O220" s="86">
        <f>Simulador!N275</f>
        <v>0</v>
      </c>
      <c r="P220" s="86"/>
      <c r="Q220" s="86">
        <v>0</v>
      </c>
      <c r="R220" s="86">
        <f t="shared" ca="1" si="66"/>
        <v>10421.884210717668</v>
      </c>
      <c r="S220" s="86">
        <f t="shared" ca="1" si="67"/>
        <v>279604.48769817455</v>
      </c>
      <c r="U220" s="201">
        <f t="shared" ca="1" si="68"/>
        <v>7752.6556348685017</v>
      </c>
      <c r="V220" s="201">
        <f t="shared" ca="1" si="69"/>
        <v>2669.2285758491557</v>
      </c>
      <c r="W220" s="202">
        <f t="shared" ca="1" si="70"/>
        <v>10421.884210717657</v>
      </c>
      <c r="X220" s="201">
        <f t="shared" ca="1" si="71"/>
        <v>7752.6556348684971</v>
      </c>
      <c r="Y220" s="201">
        <f t="shared" ca="1" si="72"/>
        <v>2669.2285758491557</v>
      </c>
      <c r="Z220" s="201">
        <f t="shared" ca="1" si="77"/>
        <v>10421.884210717653</v>
      </c>
      <c r="AA220" s="201">
        <f t="shared" ca="1" si="73"/>
        <v>7752.6556348685117</v>
      </c>
      <c r="AB220" s="201">
        <f t="shared" ca="1" si="74"/>
        <v>2669.2285758491557</v>
      </c>
      <c r="AC220" s="201">
        <f t="shared" ca="1" si="78"/>
        <v>10421.884210717668</v>
      </c>
    </row>
    <row r="221" spans="2:29" x14ac:dyDescent="0.3">
      <c r="B221" s="84">
        <f t="shared" si="75"/>
        <v>210</v>
      </c>
      <c r="C221" s="85">
        <f ca="1">IF($B221="","",'Fecha Pago'!K213)</f>
        <v>52538</v>
      </c>
      <c r="D221" s="86">
        <f>IF($B$12="","",'Fecha Pago'!L213)</f>
        <v>30.4</v>
      </c>
      <c r="E221" s="87">
        <f t="shared" si="62"/>
        <v>0.11</v>
      </c>
      <c r="F221" s="86">
        <f t="shared" ca="1" si="79"/>
        <v>279604.48769817455</v>
      </c>
      <c r="G221" s="86">
        <f t="shared" ca="1" si="61"/>
        <v>7824.6691916546206</v>
      </c>
      <c r="H221" s="86">
        <f t="shared" ca="1" si="63"/>
        <v>2597.2150190630432</v>
      </c>
      <c r="I221" s="86">
        <f>IF(B221="","",IF(Simulador!$F$9="Liquidez",'Tabla Fijos'!H221*0.16,IF(Simulador!$J$9="SI",H221*0.16,0)))</f>
        <v>0</v>
      </c>
      <c r="J221" s="86">
        <f t="shared" ca="1" si="64"/>
        <v>10421.884210717664</v>
      </c>
      <c r="K221" s="86">
        <f t="shared" ca="1" si="76"/>
        <v>0</v>
      </c>
      <c r="L221" s="86">
        <f ca="1">IF(B221="","",IF(F221=0,0,IF(Sheet1!$I$10=6,'Tabla Fijos'!$C$3*'Tabla Fijos'!$F$5,$F$5*$C$5)))</f>
        <v>0</v>
      </c>
      <c r="M221" s="86">
        <f t="shared" ca="1" si="65"/>
        <v>0</v>
      </c>
      <c r="N221" s="86">
        <f ca="1">IF(B221="","",IF(F221=0,0,IF(Simulador!$N$7='Tabla Parámetros'!$C$31,AportPat!L213,IF(Simulador!$N$7='Tabla Parámetros'!$C$34,AportPatFov!G211,0))))</f>
        <v>0</v>
      </c>
      <c r="O221" s="86">
        <f>Simulador!N276</f>
        <v>0</v>
      </c>
      <c r="P221" s="86"/>
      <c r="Q221" s="86">
        <v>0</v>
      </c>
      <c r="R221" s="86">
        <f t="shared" ca="1" si="66"/>
        <v>10421.884210717664</v>
      </c>
      <c r="S221" s="86">
        <f t="shared" ca="1" si="67"/>
        <v>271779.81850651995</v>
      </c>
      <c r="U221" s="201">
        <f t="shared" ca="1" si="68"/>
        <v>7824.6691916546133</v>
      </c>
      <c r="V221" s="201">
        <f t="shared" ca="1" si="69"/>
        <v>2597.2150190630432</v>
      </c>
      <c r="W221" s="202">
        <f t="shared" ca="1" si="70"/>
        <v>10421.884210717657</v>
      </c>
      <c r="X221" s="201">
        <f t="shared" ca="1" si="71"/>
        <v>7824.6691916546097</v>
      </c>
      <c r="Y221" s="201">
        <f t="shared" ca="1" si="72"/>
        <v>2597.2150190630432</v>
      </c>
      <c r="Z221" s="201">
        <f t="shared" ca="1" si="77"/>
        <v>10421.884210717653</v>
      </c>
      <c r="AA221" s="201">
        <f t="shared" ca="1" si="73"/>
        <v>7824.6691916546206</v>
      </c>
      <c r="AB221" s="201">
        <f t="shared" ca="1" si="74"/>
        <v>2597.2150190630432</v>
      </c>
      <c r="AC221" s="201">
        <f t="shared" ca="1" si="78"/>
        <v>10421.884210717664</v>
      </c>
    </row>
    <row r="222" spans="2:29" x14ac:dyDescent="0.3">
      <c r="B222" s="84">
        <f t="shared" si="75"/>
        <v>211</v>
      </c>
      <c r="C222" s="85">
        <f ca="1">IF($B222="","",'Fecha Pago'!K214)</f>
        <v>52568</v>
      </c>
      <c r="D222" s="86">
        <f>IF($B$12="","",'Fecha Pago'!L214)</f>
        <v>30.4</v>
      </c>
      <c r="E222" s="87">
        <f t="shared" si="62"/>
        <v>0.11</v>
      </c>
      <c r="F222" s="86">
        <f t="shared" ca="1" si="79"/>
        <v>271779.81850651995</v>
      </c>
      <c r="G222" s="86">
        <f t="shared" ca="1" si="61"/>
        <v>7897.3516743682158</v>
      </c>
      <c r="H222" s="86">
        <f t="shared" ca="1" si="63"/>
        <v>2524.5325363494517</v>
      </c>
      <c r="I222" s="86">
        <f>IF(B222="","",IF(Simulador!$F$9="Liquidez",'Tabla Fijos'!H222*0.16,IF(Simulador!$J$9="SI",H222*0.16,0)))</f>
        <v>0</v>
      </c>
      <c r="J222" s="86">
        <f t="shared" ca="1" si="64"/>
        <v>10421.884210717668</v>
      </c>
      <c r="K222" s="86">
        <f t="shared" ca="1" si="76"/>
        <v>0</v>
      </c>
      <c r="L222" s="86">
        <f ca="1">IF(B222="","",IF(F222=0,0,IF(Sheet1!$I$10=6,'Tabla Fijos'!$C$3*'Tabla Fijos'!$F$5,$F$5*$C$5)))</f>
        <v>0</v>
      </c>
      <c r="M222" s="86">
        <f t="shared" ca="1" si="65"/>
        <v>0</v>
      </c>
      <c r="N222" s="86">
        <f ca="1">IF(B222="","",IF(F222=0,0,IF(Simulador!$N$7='Tabla Parámetros'!$C$31,AportPat!L214,IF(Simulador!$N$7='Tabla Parámetros'!$C$34,AportPatFov!G212,0))))</f>
        <v>0</v>
      </c>
      <c r="O222" s="86">
        <f>Simulador!N277</f>
        <v>0</v>
      </c>
      <c r="P222" s="86"/>
      <c r="Q222" s="86">
        <v>0</v>
      </c>
      <c r="R222" s="86">
        <f t="shared" ca="1" si="66"/>
        <v>10421.884210717668</v>
      </c>
      <c r="S222" s="86">
        <f t="shared" ca="1" si="67"/>
        <v>263882.46683215175</v>
      </c>
      <c r="U222" s="201">
        <f t="shared" ca="1" si="68"/>
        <v>7897.3516743682048</v>
      </c>
      <c r="V222" s="201">
        <f t="shared" ca="1" si="69"/>
        <v>2524.5325363494517</v>
      </c>
      <c r="W222" s="202">
        <f t="shared" ca="1" si="70"/>
        <v>10421.884210717657</v>
      </c>
      <c r="X222" s="201">
        <f t="shared" ca="1" si="71"/>
        <v>7897.3516743682012</v>
      </c>
      <c r="Y222" s="201">
        <f t="shared" ca="1" si="72"/>
        <v>2524.5325363494517</v>
      </c>
      <c r="Z222" s="201">
        <f t="shared" ca="1" si="77"/>
        <v>10421.884210717653</v>
      </c>
      <c r="AA222" s="201">
        <f t="shared" ca="1" si="73"/>
        <v>7897.3516743682158</v>
      </c>
      <c r="AB222" s="201">
        <f t="shared" ca="1" si="74"/>
        <v>2524.5325363494517</v>
      </c>
      <c r="AC222" s="201">
        <f t="shared" ca="1" si="78"/>
        <v>10421.884210717668</v>
      </c>
    </row>
    <row r="223" spans="2:29" x14ac:dyDescent="0.3">
      <c r="B223" s="84">
        <f t="shared" si="75"/>
        <v>212</v>
      </c>
      <c r="C223" s="85">
        <f ca="1">IF($B223="","",'Fecha Pago'!K215)</f>
        <v>52599</v>
      </c>
      <c r="D223" s="86">
        <f>IF($B$12="","",'Fecha Pago'!L215)</f>
        <v>30.4</v>
      </c>
      <c r="E223" s="87">
        <f t="shared" si="62"/>
        <v>0.11</v>
      </c>
      <c r="F223" s="86">
        <f t="shared" ca="1" si="79"/>
        <v>263882.46683215175</v>
      </c>
      <c r="G223" s="86">
        <f t="shared" ca="1" si="61"/>
        <v>7970.7092965879028</v>
      </c>
      <c r="H223" s="86">
        <f t="shared" ca="1" si="63"/>
        <v>2451.1749141297651</v>
      </c>
      <c r="I223" s="86">
        <f>IF(B223="","",IF(Simulador!$F$9="Liquidez",'Tabla Fijos'!H223*0.16,IF(Simulador!$J$9="SI",H223*0.16,0)))</f>
        <v>0</v>
      </c>
      <c r="J223" s="86">
        <f t="shared" ca="1" si="64"/>
        <v>10421.884210717668</v>
      </c>
      <c r="K223" s="86">
        <f t="shared" ca="1" si="76"/>
        <v>0</v>
      </c>
      <c r="L223" s="86">
        <f ca="1">IF(B223="","",IF(F223=0,0,IF(Sheet1!$I$10=6,'Tabla Fijos'!$C$3*'Tabla Fijos'!$F$5,$F$5*$C$5)))</f>
        <v>0</v>
      </c>
      <c r="M223" s="86">
        <f t="shared" ca="1" si="65"/>
        <v>0</v>
      </c>
      <c r="N223" s="86">
        <f ca="1">IF(B223="","",IF(F223=0,0,IF(Simulador!$N$7='Tabla Parámetros'!$C$31,AportPat!L215,IF(Simulador!$N$7='Tabla Parámetros'!$C$34,AportPatFov!G213,0))))</f>
        <v>0</v>
      </c>
      <c r="O223" s="86">
        <f>Simulador!N278</f>
        <v>0</v>
      </c>
      <c r="P223" s="86"/>
      <c r="Q223" s="86">
        <v>0</v>
      </c>
      <c r="R223" s="86">
        <f t="shared" ca="1" si="66"/>
        <v>10421.884210717668</v>
      </c>
      <c r="S223" s="86">
        <f t="shared" ca="1" si="67"/>
        <v>255911.75753556384</v>
      </c>
      <c r="U223" s="201">
        <f t="shared" ca="1" si="68"/>
        <v>7970.7092965878928</v>
      </c>
      <c r="V223" s="201">
        <f t="shared" ca="1" si="69"/>
        <v>2451.1749141297651</v>
      </c>
      <c r="W223" s="202">
        <f t="shared" ca="1" si="70"/>
        <v>10421.884210717657</v>
      </c>
      <c r="X223" s="201">
        <f t="shared" ca="1" si="71"/>
        <v>7970.7092965878883</v>
      </c>
      <c r="Y223" s="201">
        <f t="shared" ca="1" si="72"/>
        <v>2451.1749141297651</v>
      </c>
      <c r="Z223" s="201">
        <f t="shared" ca="1" si="77"/>
        <v>10421.884210717653</v>
      </c>
      <c r="AA223" s="201">
        <f t="shared" ca="1" si="73"/>
        <v>7970.7092965879028</v>
      </c>
      <c r="AB223" s="201">
        <f t="shared" ca="1" si="74"/>
        <v>2451.1749141297651</v>
      </c>
      <c r="AC223" s="201">
        <f t="shared" ca="1" si="78"/>
        <v>10421.884210717668</v>
      </c>
    </row>
    <row r="224" spans="2:29" x14ac:dyDescent="0.3">
      <c r="B224" s="84">
        <f t="shared" si="75"/>
        <v>213</v>
      </c>
      <c r="C224" s="85">
        <f ca="1">IF($B224="","",'Fecha Pago'!K216)</f>
        <v>52630</v>
      </c>
      <c r="D224" s="86">
        <f>IF($B$12="","",'Fecha Pago'!L216)</f>
        <v>30.4</v>
      </c>
      <c r="E224" s="87">
        <f t="shared" si="62"/>
        <v>0.11</v>
      </c>
      <c r="F224" s="86">
        <f t="shared" ca="1" si="79"/>
        <v>255911.75753556384</v>
      </c>
      <c r="G224" s="86">
        <f t="shared" ca="1" si="61"/>
        <v>8044.7483296095415</v>
      </c>
      <c r="H224" s="86">
        <f t="shared" ca="1" si="63"/>
        <v>2377.1358811081263</v>
      </c>
      <c r="I224" s="86">
        <f>IF(B224="","",IF(Simulador!$F$9="Liquidez",'Tabla Fijos'!H224*0.16,IF(Simulador!$J$9="SI",H224*0.16,0)))</f>
        <v>0</v>
      </c>
      <c r="J224" s="86">
        <f t="shared" ca="1" si="64"/>
        <v>10421.884210717668</v>
      </c>
      <c r="K224" s="86">
        <f t="shared" ca="1" si="76"/>
        <v>0</v>
      </c>
      <c r="L224" s="86">
        <f ca="1">IF(B224="","",IF(F224=0,0,IF(Sheet1!$I$10=6,'Tabla Fijos'!$C$3*'Tabla Fijos'!$F$5,$F$5*$C$5)))</f>
        <v>0</v>
      </c>
      <c r="M224" s="86">
        <f t="shared" ca="1" si="65"/>
        <v>0</v>
      </c>
      <c r="N224" s="86">
        <f ca="1">IF(B224="","",IF(F224=0,0,IF(Simulador!$N$7='Tabla Parámetros'!$C$31,AportPat!L216,IF(Simulador!$N$7='Tabla Parámetros'!$C$34,AportPatFov!G214,0))))</f>
        <v>0</v>
      </c>
      <c r="O224" s="86">
        <f>Simulador!N279</f>
        <v>0</v>
      </c>
      <c r="P224" s="86"/>
      <c r="Q224" s="86">
        <v>0</v>
      </c>
      <c r="R224" s="86">
        <f t="shared" ca="1" si="66"/>
        <v>10421.884210717668</v>
      </c>
      <c r="S224" s="86">
        <f t="shared" ca="1" si="67"/>
        <v>247867.00920595429</v>
      </c>
      <c r="U224" s="201">
        <f t="shared" ca="1" si="68"/>
        <v>8044.7483296095315</v>
      </c>
      <c r="V224" s="201">
        <f t="shared" ca="1" si="69"/>
        <v>2377.1358811081263</v>
      </c>
      <c r="W224" s="202">
        <f t="shared" ca="1" si="70"/>
        <v>10421.884210717657</v>
      </c>
      <c r="X224" s="201">
        <f t="shared" ca="1" si="71"/>
        <v>8044.748329609527</v>
      </c>
      <c r="Y224" s="201">
        <f t="shared" ca="1" si="72"/>
        <v>2377.1358811081263</v>
      </c>
      <c r="Z224" s="201">
        <f t="shared" ca="1" si="77"/>
        <v>10421.884210717653</v>
      </c>
      <c r="AA224" s="201">
        <f t="shared" ca="1" si="73"/>
        <v>8044.7483296095415</v>
      </c>
      <c r="AB224" s="201">
        <f t="shared" ca="1" si="74"/>
        <v>2377.1358811081263</v>
      </c>
      <c r="AC224" s="201">
        <f t="shared" ca="1" si="78"/>
        <v>10421.884210717668</v>
      </c>
    </row>
    <row r="225" spans="2:29" x14ac:dyDescent="0.3">
      <c r="B225" s="84">
        <f t="shared" si="75"/>
        <v>214</v>
      </c>
      <c r="C225" s="85">
        <f ca="1">IF($B225="","",'Fecha Pago'!K217)</f>
        <v>52659</v>
      </c>
      <c r="D225" s="86">
        <f>IF($B$12="","",'Fecha Pago'!L217)</f>
        <v>30.4</v>
      </c>
      <c r="E225" s="87">
        <f t="shared" si="62"/>
        <v>0.11</v>
      </c>
      <c r="F225" s="86">
        <f t="shared" ca="1" si="79"/>
        <v>247867.00920595429</v>
      </c>
      <c r="G225" s="86">
        <f t="shared" ca="1" si="61"/>
        <v>8119.4751029823592</v>
      </c>
      <c r="H225" s="86">
        <f t="shared" ca="1" si="63"/>
        <v>2302.4091077353087</v>
      </c>
      <c r="I225" s="86">
        <f>IF(B225="","",IF(Simulador!$F$9="Liquidez",'Tabla Fijos'!H225*0.16,IF(Simulador!$J$9="SI",H225*0.16,0)))</f>
        <v>0</v>
      </c>
      <c r="J225" s="86">
        <f t="shared" ca="1" si="64"/>
        <v>10421.884210717668</v>
      </c>
      <c r="K225" s="86">
        <f t="shared" ca="1" si="76"/>
        <v>0</v>
      </c>
      <c r="L225" s="86">
        <f ca="1">IF(B225="","",IF(F225=0,0,IF(Sheet1!$I$10=6,'Tabla Fijos'!$C$3*'Tabla Fijos'!$F$5,$F$5*$C$5)))</f>
        <v>0</v>
      </c>
      <c r="M225" s="86">
        <f t="shared" ca="1" si="65"/>
        <v>0</v>
      </c>
      <c r="N225" s="86">
        <f ca="1">IF(B225="","",IF(F225=0,0,IF(Simulador!$N$7='Tabla Parámetros'!$C$31,AportPat!L217,IF(Simulador!$N$7='Tabla Parámetros'!$C$34,AportPatFov!G215,0))))</f>
        <v>0</v>
      </c>
      <c r="O225" s="86">
        <f>Simulador!N280</f>
        <v>0</v>
      </c>
      <c r="P225" s="86"/>
      <c r="Q225" s="86">
        <v>0</v>
      </c>
      <c r="R225" s="86">
        <f t="shared" ca="1" si="66"/>
        <v>10421.884210717668</v>
      </c>
      <c r="S225" s="86">
        <f t="shared" ca="1" si="67"/>
        <v>239747.53410297193</v>
      </c>
      <c r="U225" s="201">
        <f t="shared" ca="1" si="68"/>
        <v>8119.4751029823492</v>
      </c>
      <c r="V225" s="201">
        <f t="shared" ca="1" si="69"/>
        <v>2302.4091077353087</v>
      </c>
      <c r="W225" s="202">
        <f t="shared" ca="1" si="70"/>
        <v>10421.884210717657</v>
      </c>
      <c r="X225" s="201">
        <f t="shared" ca="1" si="71"/>
        <v>8119.4751029823447</v>
      </c>
      <c r="Y225" s="201">
        <f t="shared" ca="1" si="72"/>
        <v>2302.4091077353087</v>
      </c>
      <c r="Z225" s="201">
        <f t="shared" ca="1" si="77"/>
        <v>10421.884210717653</v>
      </c>
      <c r="AA225" s="201">
        <f t="shared" ca="1" si="73"/>
        <v>8119.4751029823592</v>
      </c>
      <c r="AB225" s="201">
        <f t="shared" ca="1" si="74"/>
        <v>2302.4091077353087</v>
      </c>
      <c r="AC225" s="201">
        <f t="shared" ca="1" si="78"/>
        <v>10421.884210717668</v>
      </c>
    </row>
    <row r="226" spans="2:29" x14ac:dyDescent="0.3">
      <c r="B226" s="84">
        <f t="shared" si="75"/>
        <v>215</v>
      </c>
      <c r="C226" s="85">
        <f ca="1">IF($B226="","",'Fecha Pago'!K218)</f>
        <v>52690</v>
      </c>
      <c r="D226" s="86">
        <f>IF($B$12="","",'Fecha Pago'!L218)</f>
        <v>30.4</v>
      </c>
      <c r="E226" s="87">
        <f t="shared" si="62"/>
        <v>0.11</v>
      </c>
      <c r="F226" s="86">
        <f t="shared" ca="1" si="79"/>
        <v>239747.53410297193</v>
      </c>
      <c r="G226" s="86">
        <f t="shared" ca="1" si="61"/>
        <v>8194.8960050500627</v>
      </c>
      <c r="H226" s="86">
        <f t="shared" ca="1" si="63"/>
        <v>2226.9882056676056</v>
      </c>
      <c r="I226" s="86">
        <f>IF(B226="","",IF(Simulador!$F$9="Liquidez",'Tabla Fijos'!H226*0.16,IF(Simulador!$J$9="SI",H226*0.16,0)))</f>
        <v>0</v>
      </c>
      <c r="J226" s="86">
        <f t="shared" ca="1" si="64"/>
        <v>10421.884210717668</v>
      </c>
      <c r="K226" s="86">
        <f t="shared" ca="1" si="76"/>
        <v>0</v>
      </c>
      <c r="L226" s="86">
        <f ca="1">IF(B226="","",IF(F226=0,0,IF(Sheet1!$I$10=6,'Tabla Fijos'!$C$3*'Tabla Fijos'!$F$5,$F$5*$C$5)))</f>
        <v>0</v>
      </c>
      <c r="M226" s="86">
        <f t="shared" ca="1" si="65"/>
        <v>0</v>
      </c>
      <c r="N226" s="86">
        <f ca="1">IF(B226="","",IF(F226=0,0,IF(Simulador!$N$7='Tabla Parámetros'!$C$31,AportPat!L218,IF(Simulador!$N$7='Tabla Parámetros'!$C$34,AportPatFov!G216,0))))</f>
        <v>0</v>
      </c>
      <c r="O226" s="86">
        <f>Simulador!N281</f>
        <v>0</v>
      </c>
      <c r="P226" s="86"/>
      <c r="Q226" s="86">
        <v>0</v>
      </c>
      <c r="R226" s="86">
        <f t="shared" ca="1" si="66"/>
        <v>10421.884210717668</v>
      </c>
      <c r="S226" s="86">
        <f t="shared" ca="1" si="67"/>
        <v>231552.63809792185</v>
      </c>
      <c r="U226" s="201">
        <f t="shared" ca="1" si="68"/>
        <v>8194.89600505005</v>
      </c>
      <c r="V226" s="201">
        <f t="shared" ca="1" si="69"/>
        <v>2226.9882056676056</v>
      </c>
      <c r="W226" s="202">
        <f t="shared" ca="1" si="70"/>
        <v>10421.884210717655</v>
      </c>
      <c r="X226" s="201">
        <f t="shared" ca="1" si="71"/>
        <v>8194.8960050500482</v>
      </c>
      <c r="Y226" s="201">
        <f t="shared" ca="1" si="72"/>
        <v>2226.9882056676056</v>
      </c>
      <c r="Z226" s="201">
        <f t="shared" ca="1" si="77"/>
        <v>10421.884210717653</v>
      </c>
      <c r="AA226" s="201">
        <f t="shared" ca="1" si="73"/>
        <v>8194.8960050500627</v>
      </c>
      <c r="AB226" s="201">
        <f t="shared" ca="1" si="74"/>
        <v>2226.9882056676056</v>
      </c>
      <c r="AC226" s="201">
        <f t="shared" ca="1" si="78"/>
        <v>10421.884210717668</v>
      </c>
    </row>
    <row r="227" spans="2:29" x14ac:dyDescent="0.3">
      <c r="B227" s="84">
        <f t="shared" si="75"/>
        <v>216</v>
      </c>
      <c r="C227" s="85">
        <f ca="1">IF($B227="","",'Fecha Pago'!K219)</f>
        <v>52720</v>
      </c>
      <c r="D227" s="86">
        <f>IF($B$12="","",'Fecha Pago'!L219)</f>
        <v>30.4</v>
      </c>
      <c r="E227" s="87">
        <f t="shared" si="62"/>
        <v>0.11</v>
      </c>
      <c r="F227" s="86">
        <f t="shared" ca="1" si="79"/>
        <v>231552.63809792185</v>
      </c>
      <c r="G227" s="86">
        <f t="shared" ca="1" si="61"/>
        <v>8271.0174834969712</v>
      </c>
      <c r="H227" s="86">
        <f t="shared" ca="1" si="63"/>
        <v>2150.8667272206962</v>
      </c>
      <c r="I227" s="86">
        <f>IF(B227="","",IF(Simulador!$F$9="Liquidez",'Tabla Fijos'!H227*0.16,IF(Simulador!$J$9="SI",H227*0.16,0)))</f>
        <v>0</v>
      </c>
      <c r="J227" s="86">
        <f t="shared" ca="1" si="64"/>
        <v>10421.884210717668</v>
      </c>
      <c r="K227" s="86">
        <f t="shared" ca="1" si="76"/>
        <v>0</v>
      </c>
      <c r="L227" s="86">
        <f ca="1">IF(B227="","",IF(F227=0,0,IF(Sheet1!$I$10=6,'Tabla Fijos'!$C$3*'Tabla Fijos'!$F$5,$F$5*$C$5)))</f>
        <v>0</v>
      </c>
      <c r="M227" s="86">
        <f t="shared" ca="1" si="65"/>
        <v>0</v>
      </c>
      <c r="N227" s="86">
        <f ca="1">IF(B227="","",IF(F227=0,0,IF(Simulador!$N$7='Tabla Parámetros'!$C$31,AportPat!L219,IF(Simulador!$N$7='Tabla Parámetros'!$C$34,AportPatFov!G217,0))))</f>
        <v>0</v>
      </c>
      <c r="O227" s="86">
        <f>Simulador!N282</f>
        <v>0</v>
      </c>
      <c r="P227" s="86"/>
      <c r="Q227" s="86">
        <v>0</v>
      </c>
      <c r="R227" s="86">
        <f t="shared" ca="1" si="66"/>
        <v>10421.884210717668</v>
      </c>
      <c r="S227" s="86">
        <f t="shared" ca="1" si="67"/>
        <v>223281.62061442487</v>
      </c>
      <c r="U227" s="201">
        <f t="shared" ca="1" si="68"/>
        <v>8271.0174834969603</v>
      </c>
      <c r="V227" s="201">
        <f t="shared" ca="1" si="69"/>
        <v>2150.8667272206962</v>
      </c>
      <c r="W227" s="202">
        <f t="shared" ca="1" si="70"/>
        <v>10421.884210717657</v>
      </c>
      <c r="X227" s="201">
        <f t="shared" ca="1" si="71"/>
        <v>8271.0174834969566</v>
      </c>
      <c r="Y227" s="201">
        <f t="shared" ca="1" si="72"/>
        <v>2150.8667272206962</v>
      </c>
      <c r="Z227" s="201">
        <f t="shared" ca="1" si="77"/>
        <v>10421.884210717653</v>
      </c>
      <c r="AA227" s="201">
        <f t="shared" ca="1" si="73"/>
        <v>8271.0174834969712</v>
      </c>
      <c r="AB227" s="201">
        <f t="shared" ca="1" si="74"/>
        <v>2150.8667272206962</v>
      </c>
      <c r="AC227" s="201">
        <f t="shared" ca="1" si="78"/>
        <v>10421.884210717668</v>
      </c>
    </row>
    <row r="228" spans="2:29" x14ac:dyDescent="0.3">
      <c r="B228" s="580">
        <f t="shared" si="75"/>
        <v>217</v>
      </c>
      <c r="C228" s="581">
        <f ca="1">IF($B228="","",'Fecha Pago'!K220)</f>
        <v>52751</v>
      </c>
      <c r="D228" s="582">
        <f>IF($B$12="","",'Fecha Pago'!L220)</f>
        <v>30.4</v>
      </c>
      <c r="E228" s="583">
        <f t="shared" si="62"/>
        <v>0.11</v>
      </c>
      <c r="F228" s="582">
        <f t="shared" ca="1" si="79"/>
        <v>223281.62061442487</v>
      </c>
      <c r="G228" s="582">
        <f t="shared" ca="1" si="61"/>
        <v>8347.8460458992286</v>
      </c>
      <c r="H228" s="582">
        <f t="shared" ca="1" si="63"/>
        <v>2074.0381648184352</v>
      </c>
      <c r="I228" s="582">
        <f>IF(B228="","",IF(Simulador!$F$9="Liquidez",'Tabla Fijos'!H228*0.16,IF(Simulador!$J$9="SI",H228*0.16,0)))</f>
        <v>0</v>
      </c>
      <c r="J228" s="582">
        <f t="shared" ca="1" si="64"/>
        <v>10421.884210717664</v>
      </c>
      <c r="K228" s="582">
        <f t="shared" ca="1" si="76"/>
        <v>0</v>
      </c>
      <c r="L228" s="582">
        <f ca="1">IF(B228="","",IF(F228=0,0,IF(Sheet1!$I$10=6,'Tabla Fijos'!$C$3*'Tabla Fijos'!$F$5,$F$5*$C$5)))</f>
        <v>0</v>
      </c>
      <c r="M228" s="582">
        <f t="shared" ca="1" si="65"/>
        <v>0</v>
      </c>
      <c r="N228" s="582">
        <f ca="1">IF(B228="","",IF(F228=0,0,IF(Simulador!$N$7='Tabla Parámetros'!$C$31,AportPat!L220,IF(Simulador!$N$7='Tabla Parámetros'!$C$34,AportPatFov!G218,0))))</f>
        <v>0</v>
      </c>
      <c r="O228" s="582">
        <f>Simulador!N283</f>
        <v>0</v>
      </c>
      <c r="P228" s="582">
        <f>IF(B228="","",IF(Sheet1!$Z$1=3,'Tabla Fijos'!$P$9,0))</f>
        <v>0</v>
      </c>
      <c r="Q228" s="582">
        <v>0</v>
      </c>
      <c r="R228" s="582">
        <f t="shared" ca="1" si="66"/>
        <v>10421.884210717664</v>
      </c>
      <c r="S228" s="582">
        <f t="shared" ca="1" si="67"/>
        <v>214933.77456852564</v>
      </c>
      <c r="U228" s="201">
        <f t="shared" ca="1" si="68"/>
        <v>8347.8460458992213</v>
      </c>
      <c r="V228" s="201">
        <f t="shared" ca="1" si="69"/>
        <v>2074.0381648184352</v>
      </c>
      <c r="W228" s="202">
        <f t="shared" ca="1" si="70"/>
        <v>10421.884210717657</v>
      </c>
      <c r="X228" s="201">
        <f t="shared" ca="1" si="71"/>
        <v>8347.8460458992176</v>
      </c>
      <c r="Y228" s="201">
        <f t="shared" ca="1" si="72"/>
        <v>2074.0381648184352</v>
      </c>
      <c r="Z228" s="201">
        <f t="shared" ca="1" si="77"/>
        <v>10421.884210717653</v>
      </c>
      <c r="AA228" s="201">
        <f t="shared" ca="1" si="73"/>
        <v>8347.8460458992286</v>
      </c>
      <c r="AB228" s="201">
        <f t="shared" ca="1" si="74"/>
        <v>2074.0381648184352</v>
      </c>
      <c r="AC228" s="201">
        <f t="shared" ca="1" si="78"/>
        <v>10421.884210717664</v>
      </c>
    </row>
    <row r="229" spans="2:29" x14ac:dyDescent="0.3">
      <c r="B229" s="84">
        <f t="shared" si="75"/>
        <v>218</v>
      </c>
      <c r="C229" s="85">
        <f ca="1">IF($B229="","",'Fecha Pago'!K221)</f>
        <v>52781</v>
      </c>
      <c r="D229" s="86">
        <f>IF($B$12="","",'Fecha Pago'!L221)</f>
        <v>30.4</v>
      </c>
      <c r="E229" s="87">
        <f t="shared" si="62"/>
        <v>0.11</v>
      </c>
      <c r="F229" s="86">
        <f t="shared" ca="1" si="79"/>
        <v>214933.77456852564</v>
      </c>
      <c r="G229" s="86">
        <f t="shared" ca="1" si="61"/>
        <v>8425.3882602811373</v>
      </c>
      <c r="H229" s="86">
        <f t="shared" ca="1" si="63"/>
        <v>1996.495950436527</v>
      </c>
      <c r="I229" s="86">
        <f>IF(B229="","",IF(Simulador!$F$9="Liquidez",'Tabla Fijos'!H229*0.16,IF(Simulador!$J$9="SI",H229*0.16,0)))</f>
        <v>0</v>
      </c>
      <c r="J229" s="86">
        <f t="shared" ca="1" si="64"/>
        <v>10421.884210717664</v>
      </c>
      <c r="K229" s="86">
        <f t="shared" ca="1" si="76"/>
        <v>0</v>
      </c>
      <c r="L229" s="86">
        <f ca="1">IF(B229="","",IF(F229=0,0,IF(Sheet1!$I$10=6,'Tabla Fijos'!$C$3*'Tabla Fijos'!$F$5,$F$5*$C$5)))</f>
        <v>0</v>
      </c>
      <c r="M229" s="86">
        <f t="shared" ca="1" si="65"/>
        <v>0</v>
      </c>
      <c r="N229" s="86">
        <f ca="1">IF(B229="","",IF(F229=0,0,IF(Simulador!$N$7='Tabla Parámetros'!$C$31,AportPat!L221,IF(Simulador!$N$7='Tabla Parámetros'!$C$34,AportPatFov!G219,0))))</f>
        <v>0</v>
      </c>
      <c r="O229" s="86">
        <f>Simulador!N284</f>
        <v>0</v>
      </c>
      <c r="P229" s="86"/>
      <c r="Q229" s="86">
        <v>0</v>
      </c>
      <c r="R229" s="86">
        <f t="shared" ca="1" si="66"/>
        <v>10421.884210717664</v>
      </c>
      <c r="S229" s="86">
        <f t="shared" ca="1" si="67"/>
        <v>206508.38630824449</v>
      </c>
      <c r="U229" s="201">
        <f t="shared" ca="1" si="68"/>
        <v>8425.3882602811282</v>
      </c>
      <c r="V229" s="201">
        <f t="shared" ca="1" si="69"/>
        <v>1996.495950436527</v>
      </c>
      <c r="W229" s="202">
        <f t="shared" ca="1" si="70"/>
        <v>10421.884210717655</v>
      </c>
      <c r="X229" s="201">
        <f t="shared" ca="1" si="71"/>
        <v>8425.3882602811263</v>
      </c>
      <c r="Y229" s="201">
        <f t="shared" ca="1" si="72"/>
        <v>1996.495950436527</v>
      </c>
      <c r="Z229" s="201">
        <f t="shared" ca="1" si="77"/>
        <v>10421.884210717653</v>
      </c>
      <c r="AA229" s="201">
        <f t="shared" ca="1" si="73"/>
        <v>8425.3882602811373</v>
      </c>
      <c r="AB229" s="201">
        <f t="shared" ca="1" si="74"/>
        <v>1996.495950436527</v>
      </c>
      <c r="AC229" s="201">
        <f t="shared" ca="1" si="78"/>
        <v>10421.884210717664</v>
      </c>
    </row>
    <row r="230" spans="2:29" x14ac:dyDescent="0.3">
      <c r="B230" s="84">
        <f t="shared" si="75"/>
        <v>219</v>
      </c>
      <c r="C230" s="85">
        <f ca="1">IF($B230="","",'Fecha Pago'!K222)</f>
        <v>52812</v>
      </c>
      <c r="D230" s="86">
        <f>IF($B$12="","",'Fecha Pago'!L222)</f>
        <v>30.4</v>
      </c>
      <c r="E230" s="87">
        <f t="shared" si="62"/>
        <v>0.11</v>
      </c>
      <c r="F230" s="86">
        <f t="shared" ca="1" si="79"/>
        <v>206508.38630824449</v>
      </c>
      <c r="G230" s="86">
        <f t="shared" ref="G230:G261" ca="1" si="80">IF(B230="","",IF((J230-H230)&gt;F230,F230,IF($S$7=$U$10,U230,IF($S$7=$X$10,X230,IF($S$7=$AA$10,AA230,)))))</f>
        <v>8503.6507556766355</v>
      </c>
      <c r="H230" s="86">
        <f t="shared" ca="1" si="63"/>
        <v>1918.2334550410264</v>
      </c>
      <c r="I230" s="86">
        <f>IF(B230="","",IF(Simulador!$F$9="Liquidez",'Tabla Fijos'!H230*0.16,IF(Simulador!$J$9="SI",H230*0.16,0)))</f>
        <v>0</v>
      </c>
      <c r="J230" s="86">
        <f t="shared" ca="1" si="64"/>
        <v>10421.884210717662</v>
      </c>
      <c r="K230" s="86">
        <f t="shared" ca="1" si="76"/>
        <v>0</v>
      </c>
      <c r="L230" s="86">
        <f ca="1">IF(B230="","",IF(F230=0,0,IF(Sheet1!$I$10=6,'Tabla Fijos'!$C$3*'Tabla Fijos'!$F$5,$F$5*$C$5)))</f>
        <v>0</v>
      </c>
      <c r="M230" s="86">
        <f t="shared" ca="1" si="65"/>
        <v>0</v>
      </c>
      <c r="N230" s="86">
        <f ca="1">IF(B230="","",IF(F230=0,0,IF(Simulador!$N$7='Tabla Parámetros'!$C$31,AportPat!L222,IF(Simulador!$N$7='Tabla Parámetros'!$C$34,AportPatFov!G220,0))))</f>
        <v>0</v>
      </c>
      <c r="O230" s="86">
        <f>Simulador!N285</f>
        <v>0</v>
      </c>
      <c r="P230" s="86"/>
      <c r="Q230" s="86">
        <v>0</v>
      </c>
      <c r="R230" s="86">
        <f t="shared" ca="1" si="66"/>
        <v>10421.884210717662</v>
      </c>
      <c r="S230" s="86">
        <f t="shared" ca="1" si="67"/>
        <v>198004.73555256784</v>
      </c>
      <c r="U230" s="201">
        <f t="shared" ca="1" si="68"/>
        <v>8503.6507556766301</v>
      </c>
      <c r="V230" s="201">
        <f t="shared" ca="1" si="69"/>
        <v>1918.2334550410264</v>
      </c>
      <c r="W230" s="202">
        <f t="shared" ca="1" si="70"/>
        <v>10421.884210717657</v>
      </c>
      <c r="X230" s="201">
        <f t="shared" ca="1" si="71"/>
        <v>8503.6507556766264</v>
      </c>
      <c r="Y230" s="201">
        <f t="shared" ca="1" si="72"/>
        <v>1918.2334550410264</v>
      </c>
      <c r="Z230" s="201">
        <f t="shared" ca="1" si="77"/>
        <v>10421.884210717653</v>
      </c>
      <c r="AA230" s="201">
        <f t="shared" ca="1" si="73"/>
        <v>8503.6507556766355</v>
      </c>
      <c r="AB230" s="201">
        <f t="shared" ca="1" si="74"/>
        <v>1918.2334550410264</v>
      </c>
      <c r="AC230" s="201">
        <f t="shared" ca="1" si="78"/>
        <v>10421.884210717662</v>
      </c>
    </row>
    <row r="231" spans="2:29" x14ac:dyDescent="0.3">
      <c r="B231" s="84">
        <f t="shared" si="75"/>
        <v>220</v>
      </c>
      <c r="C231" s="85">
        <f ca="1">IF($B231="","",'Fecha Pago'!K223)</f>
        <v>52843</v>
      </c>
      <c r="D231" s="86">
        <f>IF($B$12="","",'Fecha Pago'!L223)</f>
        <v>30.4</v>
      </c>
      <c r="E231" s="87">
        <f t="shared" si="62"/>
        <v>0.11</v>
      </c>
      <c r="F231" s="86">
        <f t="shared" ca="1" si="79"/>
        <v>198004.73555256784</v>
      </c>
      <c r="G231" s="86">
        <f t="shared" ca="1" si="80"/>
        <v>8582.6402226960345</v>
      </c>
      <c r="H231" s="86">
        <f t="shared" ca="1" si="63"/>
        <v>1839.24398802163</v>
      </c>
      <c r="I231" s="86">
        <f>IF(B231="","",IF(Simulador!$F$9="Liquidez",'Tabla Fijos'!H231*0.16,IF(Simulador!$J$9="SI",H231*0.16,0)))</f>
        <v>0</v>
      </c>
      <c r="J231" s="86">
        <f t="shared" ca="1" si="64"/>
        <v>10421.884210717664</v>
      </c>
      <c r="K231" s="86">
        <f t="shared" ca="1" si="76"/>
        <v>0</v>
      </c>
      <c r="L231" s="86">
        <f ca="1">IF(B231="","",IF(F231=0,0,IF(Sheet1!$I$10=6,'Tabla Fijos'!$C$3*'Tabla Fijos'!$F$5,$F$5*$C$5)))</f>
        <v>0</v>
      </c>
      <c r="M231" s="86">
        <f t="shared" ca="1" si="65"/>
        <v>0</v>
      </c>
      <c r="N231" s="86">
        <f ca="1">IF(B231="","",IF(F231=0,0,IF(Simulador!$N$7='Tabla Parámetros'!$C$31,AportPat!L223,IF(Simulador!$N$7='Tabla Parámetros'!$C$34,AportPatFov!G221,0))))</f>
        <v>0</v>
      </c>
      <c r="O231" s="86">
        <f>Simulador!N286</f>
        <v>0</v>
      </c>
      <c r="P231" s="86"/>
      <c r="Q231" s="86">
        <v>0</v>
      </c>
      <c r="R231" s="86">
        <f t="shared" ca="1" si="66"/>
        <v>10421.884210717664</v>
      </c>
      <c r="S231" s="86">
        <f t="shared" ca="1" si="67"/>
        <v>189422.09532987181</v>
      </c>
      <c r="U231" s="201">
        <f t="shared" ca="1" si="68"/>
        <v>8582.6402226960254</v>
      </c>
      <c r="V231" s="201">
        <f t="shared" ca="1" si="69"/>
        <v>1839.24398802163</v>
      </c>
      <c r="W231" s="202">
        <f t="shared" ca="1" si="70"/>
        <v>10421.884210717655</v>
      </c>
      <c r="X231" s="201">
        <f t="shared" ca="1" si="71"/>
        <v>8582.6402226960236</v>
      </c>
      <c r="Y231" s="201">
        <f t="shared" ca="1" si="72"/>
        <v>1839.24398802163</v>
      </c>
      <c r="Z231" s="201">
        <f t="shared" ca="1" si="77"/>
        <v>10421.884210717653</v>
      </c>
      <c r="AA231" s="201">
        <f t="shared" ca="1" si="73"/>
        <v>8582.6402226960345</v>
      </c>
      <c r="AB231" s="201">
        <f t="shared" ca="1" si="74"/>
        <v>1839.24398802163</v>
      </c>
      <c r="AC231" s="201">
        <f t="shared" ca="1" si="78"/>
        <v>10421.884210717664</v>
      </c>
    </row>
    <row r="232" spans="2:29" x14ac:dyDescent="0.3">
      <c r="B232" s="84">
        <f t="shared" si="75"/>
        <v>221</v>
      </c>
      <c r="C232" s="85">
        <f ca="1">IF($B232="","",'Fecha Pago'!K224)</f>
        <v>52873</v>
      </c>
      <c r="D232" s="86">
        <f>IF($B$12="","",'Fecha Pago'!L224)</f>
        <v>30.4</v>
      </c>
      <c r="E232" s="87">
        <f t="shared" si="62"/>
        <v>0.11</v>
      </c>
      <c r="F232" s="86">
        <f t="shared" ca="1" si="79"/>
        <v>189422.09532987181</v>
      </c>
      <c r="G232" s="86">
        <f t="shared" ca="1" si="80"/>
        <v>8662.3634140979648</v>
      </c>
      <c r="H232" s="86">
        <f t="shared" ca="1" si="63"/>
        <v>1759.5207966196981</v>
      </c>
      <c r="I232" s="86">
        <f>IF(B232="","",IF(Simulador!$F$9="Liquidez",'Tabla Fijos'!H232*0.16,IF(Simulador!$J$9="SI",H232*0.16,0)))</f>
        <v>0</v>
      </c>
      <c r="J232" s="86">
        <f t="shared" ca="1" si="64"/>
        <v>10421.884210717662</v>
      </c>
      <c r="K232" s="86">
        <f t="shared" ca="1" si="76"/>
        <v>0</v>
      </c>
      <c r="L232" s="86">
        <f ca="1">IF(B232="","",IF(F232=0,0,IF(Sheet1!$I$10=6,'Tabla Fijos'!$C$3*'Tabla Fijos'!$F$5,$F$5*$C$5)))</f>
        <v>0</v>
      </c>
      <c r="M232" s="86">
        <f t="shared" ca="1" si="65"/>
        <v>0</v>
      </c>
      <c r="N232" s="86">
        <f ca="1">IF(B232="","",IF(F232=0,0,IF(Simulador!$N$7='Tabla Parámetros'!$C$31,AportPat!L224,IF(Simulador!$N$7='Tabla Parámetros'!$C$34,AportPatFov!G222,0))))</f>
        <v>0</v>
      </c>
      <c r="O232" s="86">
        <f>Simulador!N287</f>
        <v>0</v>
      </c>
      <c r="P232" s="86"/>
      <c r="Q232" s="86">
        <v>0</v>
      </c>
      <c r="R232" s="86">
        <f t="shared" ca="1" si="66"/>
        <v>10421.884210717662</v>
      </c>
      <c r="S232" s="86">
        <f t="shared" ca="1" si="67"/>
        <v>180759.73191577385</v>
      </c>
      <c r="U232" s="201">
        <f t="shared" ca="1" si="68"/>
        <v>8662.3634140979593</v>
      </c>
      <c r="V232" s="201">
        <f t="shared" ca="1" si="69"/>
        <v>1759.5207966196981</v>
      </c>
      <c r="W232" s="202">
        <f t="shared" ca="1" si="70"/>
        <v>10421.884210717657</v>
      </c>
      <c r="X232" s="201">
        <f t="shared" ca="1" si="71"/>
        <v>8662.3634140979557</v>
      </c>
      <c r="Y232" s="201">
        <f t="shared" ca="1" si="72"/>
        <v>1759.5207966196981</v>
      </c>
      <c r="Z232" s="201">
        <f t="shared" ca="1" si="77"/>
        <v>10421.884210717653</v>
      </c>
      <c r="AA232" s="201">
        <f t="shared" ca="1" si="73"/>
        <v>8662.3634140979648</v>
      </c>
      <c r="AB232" s="201">
        <f t="shared" ca="1" si="74"/>
        <v>1759.5207966196981</v>
      </c>
      <c r="AC232" s="201">
        <f t="shared" ca="1" si="78"/>
        <v>10421.884210717662</v>
      </c>
    </row>
    <row r="233" spans="2:29" x14ac:dyDescent="0.3">
      <c r="B233" s="84">
        <f t="shared" si="75"/>
        <v>222</v>
      </c>
      <c r="C233" s="85">
        <f ca="1">IF($B233="","",'Fecha Pago'!K225)</f>
        <v>52904</v>
      </c>
      <c r="D233" s="86">
        <f>IF($B$12="","",'Fecha Pago'!L225)</f>
        <v>30.4</v>
      </c>
      <c r="E233" s="87">
        <f t="shared" si="62"/>
        <v>0.11</v>
      </c>
      <c r="F233" s="86">
        <f t="shared" ca="1" si="79"/>
        <v>180759.73191577385</v>
      </c>
      <c r="G233" s="86">
        <f t="shared" ca="1" si="80"/>
        <v>8742.8271453666985</v>
      </c>
      <c r="H233" s="86">
        <f t="shared" ca="1" si="63"/>
        <v>1679.0570653509658</v>
      </c>
      <c r="I233" s="86">
        <f>IF(B233="","",IF(Simulador!$F$9="Liquidez",'Tabla Fijos'!H233*0.16,IF(Simulador!$J$9="SI",H233*0.16,0)))</f>
        <v>0</v>
      </c>
      <c r="J233" s="86">
        <f t="shared" ca="1" si="64"/>
        <v>10421.884210717664</v>
      </c>
      <c r="K233" s="86">
        <f t="shared" ca="1" si="76"/>
        <v>0</v>
      </c>
      <c r="L233" s="86">
        <f ca="1">IF(B233="","",IF(F233=0,0,IF(Sheet1!$I$10=6,'Tabla Fijos'!$C$3*'Tabla Fijos'!$F$5,$F$5*$C$5)))</f>
        <v>0</v>
      </c>
      <c r="M233" s="86">
        <f t="shared" ca="1" si="65"/>
        <v>0</v>
      </c>
      <c r="N233" s="86">
        <f ca="1">IF(B233="","",IF(F233=0,0,IF(Simulador!$N$7='Tabla Parámetros'!$C$31,AportPat!L225,IF(Simulador!$N$7='Tabla Parámetros'!$C$34,AportPatFov!G223,0))))</f>
        <v>0</v>
      </c>
      <c r="O233" s="86">
        <f>Simulador!N288</f>
        <v>0</v>
      </c>
      <c r="P233" s="86"/>
      <c r="Q233" s="86">
        <v>0</v>
      </c>
      <c r="R233" s="86">
        <f t="shared" ca="1" si="66"/>
        <v>10421.884210717664</v>
      </c>
      <c r="S233" s="86">
        <f t="shared" ca="1" si="67"/>
        <v>172016.90477040716</v>
      </c>
      <c r="U233" s="201">
        <f t="shared" ca="1" si="68"/>
        <v>8742.8271453666894</v>
      </c>
      <c r="V233" s="201">
        <f t="shared" ca="1" si="69"/>
        <v>1679.0570653509658</v>
      </c>
      <c r="W233" s="202">
        <f t="shared" ca="1" si="70"/>
        <v>10421.884210717655</v>
      </c>
      <c r="X233" s="201">
        <f t="shared" ca="1" si="71"/>
        <v>8742.8271453666875</v>
      </c>
      <c r="Y233" s="201">
        <f t="shared" ca="1" si="72"/>
        <v>1679.0570653509658</v>
      </c>
      <c r="Z233" s="201">
        <f t="shared" ca="1" si="77"/>
        <v>10421.884210717653</v>
      </c>
      <c r="AA233" s="201">
        <f t="shared" ca="1" si="73"/>
        <v>8742.8271453666985</v>
      </c>
      <c r="AB233" s="201">
        <f t="shared" ca="1" si="74"/>
        <v>1679.0570653509658</v>
      </c>
      <c r="AC233" s="201">
        <f t="shared" ca="1" si="78"/>
        <v>10421.884210717664</v>
      </c>
    </row>
    <row r="234" spans="2:29" x14ac:dyDescent="0.3">
      <c r="B234" s="84">
        <f t="shared" si="75"/>
        <v>223</v>
      </c>
      <c r="C234" s="85">
        <f ca="1">IF($B234="","",'Fecha Pago'!K226)</f>
        <v>52934</v>
      </c>
      <c r="D234" s="86">
        <f>IF($B$12="","",'Fecha Pago'!L226)</f>
        <v>30.4</v>
      </c>
      <c r="E234" s="87">
        <f t="shared" si="62"/>
        <v>0.11</v>
      </c>
      <c r="F234" s="86">
        <f t="shared" ca="1" si="79"/>
        <v>172016.90477040716</v>
      </c>
      <c r="G234" s="86">
        <f t="shared" ca="1" si="80"/>
        <v>8824.0382952947712</v>
      </c>
      <c r="H234" s="86">
        <f t="shared" ca="1" si="63"/>
        <v>1597.8459154228931</v>
      </c>
      <c r="I234" s="86">
        <f>IF(B234="","",IF(Simulador!$F$9="Liquidez",'Tabla Fijos'!H234*0.16,IF(Simulador!$J$9="SI",H234*0.16,0)))</f>
        <v>0</v>
      </c>
      <c r="J234" s="86">
        <f t="shared" ca="1" si="64"/>
        <v>10421.884210717664</v>
      </c>
      <c r="K234" s="86">
        <f t="shared" ca="1" si="76"/>
        <v>0</v>
      </c>
      <c r="L234" s="86">
        <f ca="1">IF(B234="","",IF(F234=0,0,IF(Sheet1!$I$10=6,'Tabla Fijos'!$C$3*'Tabla Fijos'!$F$5,$F$5*$C$5)))</f>
        <v>0</v>
      </c>
      <c r="M234" s="86">
        <f t="shared" ca="1" si="65"/>
        <v>0</v>
      </c>
      <c r="N234" s="86">
        <f ca="1">IF(B234="","",IF(F234=0,0,IF(Simulador!$N$7='Tabla Parámetros'!$C$31,AportPat!L226,IF(Simulador!$N$7='Tabla Parámetros'!$C$34,AportPatFov!G224,0))))</f>
        <v>0</v>
      </c>
      <c r="O234" s="86">
        <f>Simulador!N289</f>
        <v>0</v>
      </c>
      <c r="P234" s="86"/>
      <c r="Q234" s="86">
        <v>0</v>
      </c>
      <c r="R234" s="86">
        <f t="shared" ca="1" si="66"/>
        <v>10421.884210717664</v>
      </c>
      <c r="S234" s="86">
        <f t="shared" ca="1" si="67"/>
        <v>163192.86647511239</v>
      </c>
      <c r="U234" s="201">
        <f t="shared" ca="1" si="68"/>
        <v>8824.0382952947621</v>
      </c>
      <c r="V234" s="201">
        <f t="shared" ca="1" si="69"/>
        <v>1597.8459154228931</v>
      </c>
      <c r="W234" s="202">
        <f t="shared" ca="1" si="70"/>
        <v>10421.884210717655</v>
      </c>
      <c r="X234" s="201">
        <f t="shared" ca="1" si="71"/>
        <v>8824.0382952947602</v>
      </c>
      <c r="Y234" s="201">
        <f t="shared" ca="1" si="72"/>
        <v>1597.8459154228931</v>
      </c>
      <c r="Z234" s="201">
        <f t="shared" ca="1" si="77"/>
        <v>10421.884210717653</v>
      </c>
      <c r="AA234" s="201">
        <f t="shared" ca="1" si="73"/>
        <v>8824.0382952947712</v>
      </c>
      <c r="AB234" s="201">
        <f t="shared" ca="1" si="74"/>
        <v>1597.8459154228931</v>
      </c>
      <c r="AC234" s="201">
        <f t="shared" ca="1" si="78"/>
        <v>10421.884210717664</v>
      </c>
    </row>
    <row r="235" spans="2:29" x14ac:dyDescent="0.3">
      <c r="B235" s="84">
        <f t="shared" si="75"/>
        <v>224</v>
      </c>
      <c r="C235" s="85">
        <f ca="1">IF($B235="","",'Fecha Pago'!K227)</f>
        <v>52965</v>
      </c>
      <c r="D235" s="86">
        <f>IF($B$12="","",'Fecha Pago'!L227)</f>
        <v>30.4</v>
      </c>
      <c r="E235" s="87">
        <f t="shared" si="62"/>
        <v>0.11</v>
      </c>
      <c r="F235" s="86">
        <f t="shared" ca="1" si="79"/>
        <v>163192.86647511239</v>
      </c>
      <c r="G235" s="86">
        <f t="shared" ca="1" si="80"/>
        <v>8906.0038065710651</v>
      </c>
      <c r="H235" s="86">
        <f t="shared" ca="1" si="63"/>
        <v>1515.8804041465994</v>
      </c>
      <c r="I235" s="86">
        <f>IF(B235="","",IF(Simulador!$F$9="Liquidez",'Tabla Fijos'!H235*0.16,IF(Simulador!$J$9="SI",H235*0.16,0)))</f>
        <v>0</v>
      </c>
      <c r="J235" s="86">
        <f t="shared" ca="1" si="64"/>
        <v>10421.884210717664</v>
      </c>
      <c r="K235" s="86">
        <f t="shared" ca="1" si="76"/>
        <v>0</v>
      </c>
      <c r="L235" s="86">
        <f ca="1">IF(B235="","",IF(F235=0,0,IF(Sheet1!$I$10=6,'Tabla Fijos'!$C$3*'Tabla Fijos'!$F$5,$F$5*$C$5)))</f>
        <v>0</v>
      </c>
      <c r="M235" s="86">
        <f t="shared" ca="1" si="65"/>
        <v>0</v>
      </c>
      <c r="N235" s="86">
        <f ca="1">IF(B235="","",IF(F235=0,0,IF(Simulador!$N$7='Tabla Parámetros'!$C$31,AportPat!L227,IF(Simulador!$N$7='Tabla Parámetros'!$C$34,AportPatFov!G225,0))))</f>
        <v>0</v>
      </c>
      <c r="O235" s="86">
        <f>Simulador!N290</f>
        <v>0</v>
      </c>
      <c r="P235" s="86"/>
      <c r="Q235" s="86">
        <v>0</v>
      </c>
      <c r="R235" s="86">
        <f t="shared" ca="1" si="66"/>
        <v>10421.884210717664</v>
      </c>
      <c r="S235" s="86">
        <f t="shared" ca="1" si="67"/>
        <v>154286.86266854132</v>
      </c>
      <c r="U235" s="201">
        <f t="shared" ca="1" si="68"/>
        <v>8906.003806571056</v>
      </c>
      <c r="V235" s="201">
        <f t="shared" ca="1" si="69"/>
        <v>1515.8804041465994</v>
      </c>
      <c r="W235" s="202">
        <f t="shared" ca="1" si="70"/>
        <v>10421.884210717655</v>
      </c>
      <c r="X235" s="201">
        <f t="shared" ca="1" si="71"/>
        <v>8906.0038065710542</v>
      </c>
      <c r="Y235" s="201">
        <f t="shared" ca="1" si="72"/>
        <v>1515.8804041465994</v>
      </c>
      <c r="Z235" s="201">
        <f t="shared" ca="1" si="77"/>
        <v>10421.884210717653</v>
      </c>
      <c r="AA235" s="201">
        <f t="shared" ca="1" si="73"/>
        <v>8906.0038065710651</v>
      </c>
      <c r="AB235" s="201">
        <f t="shared" ca="1" si="74"/>
        <v>1515.8804041465994</v>
      </c>
      <c r="AC235" s="201">
        <f t="shared" ca="1" si="78"/>
        <v>10421.884210717664</v>
      </c>
    </row>
    <row r="236" spans="2:29" x14ac:dyDescent="0.3">
      <c r="B236" s="84">
        <f t="shared" si="75"/>
        <v>225</v>
      </c>
      <c r="C236" s="85">
        <f ca="1">IF($B236="","",'Fecha Pago'!K228)</f>
        <v>52996</v>
      </c>
      <c r="D236" s="86">
        <f>IF($B$12="","",'Fecha Pago'!L228)</f>
        <v>30.4</v>
      </c>
      <c r="E236" s="87">
        <f t="shared" si="62"/>
        <v>0.11</v>
      </c>
      <c r="F236" s="86">
        <f t="shared" ca="1" si="79"/>
        <v>154286.86266854132</v>
      </c>
      <c r="G236" s="86">
        <f t="shared" ca="1" si="80"/>
        <v>8988.7306863743252</v>
      </c>
      <c r="H236" s="86">
        <f t="shared" ca="1" si="63"/>
        <v>1433.1535243433393</v>
      </c>
      <c r="I236" s="86">
        <f>IF(B236="","",IF(Simulador!$F$9="Liquidez",'Tabla Fijos'!H236*0.16,IF(Simulador!$J$9="SI",H236*0.16,0)))</f>
        <v>0</v>
      </c>
      <c r="J236" s="86">
        <f t="shared" ca="1" si="64"/>
        <v>10421.884210717664</v>
      </c>
      <c r="K236" s="86">
        <f t="shared" ca="1" si="76"/>
        <v>0</v>
      </c>
      <c r="L236" s="86">
        <f ca="1">IF(B236="","",IF(F236=0,0,IF(Sheet1!$I$10=6,'Tabla Fijos'!$C$3*'Tabla Fijos'!$F$5,$F$5*$C$5)))</f>
        <v>0</v>
      </c>
      <c r="M236" s="86">
        <f t="shared" ca="1" si="65"/>
        <v>0</v>
      </c>
      <c r="N236" s="86">
        <f ca="1">IF(B236="","",IF(F236=0,0,IF(Simulador!$N$7='Tabla Parámetros'!$C$31,AportPat!L228,IF(Simulador!$N$7='Tabla Parámetros'!$C$34,AportPatFov!G226,0))))</f>
        <v>0</v>
      </c>
      <c r="O236" s="86">
        <f>Simulador!N291</f>
        <v>0</v>
      </c>
      <c r="P236" s="86"/>
      <c r="Q236" s="86">
        <v>0</v>
      </c>
      <c r="R236" s="86">
        <f t="shared" ca="1" si="66"/>
        <v>10421.884210717664</v>
      </c>
      <c r="S236" s="86">
        <f t="shared" ca="1" si="67"/>
        <v>145298.13198216699</v>
      </c>
      <c r="U236" s="201">
        <f t="shared" ca="1" si="68"/>
        <v>8988.7306863743161</v>
      </c>
      <c r="V236" s="201">
        <f t="shared" ca="1" si="69"/>
        <v>1433.1535243433393</v>
      </c>
      <c r="W236" s="202">
        <f t="shared" ca="1" si="70"/>
        <v>10421.884210717655</v>
      </c>
      <c r="X236" s="201">
        <f t="shared" ca="1" si="71"/>
        <v>8988.7306863743142</v>
      </c>
      <c r="Y236" s="201">
        <f t="shared" ca="1" si="72"/>
        <v>1433.1535243433393</v>
      </c>
      <c r="Z236" s="201">
        <f t="shared" ca="1" si="77"/>
        <v>10421.884210717653</v>
      </c>
      <c r="AA236" s="201">
        <f t="shared" ca="1" si="73"/>
        <v>8988.7306863743252</v>
      </c>
      <c r="AB236" s="201">
        <f t="shared" ca="1" si="74"/>
        <v>1433.1535243433393</v>
      </c>
      <c r="AC236" s="201">
        <f t="shared" ca="1" si="78"/>
        <v>10421.884210717664</v>
      </c>
    </row>
    <row r="237" spans="2:29" x14ac:dyDescent="0.3">
      <c r="B237" s="84">
        <f t="shared" si="75"/>
        <v>226</v>
      </c>
      <c r="C237" s="85">
        <f ca="1">IF($B237="","",'Fecha Pago'!K229)</f>
        <v>53024</v>
      </c>
      <c r="D237" s="86">
        <f>IF($B$12="","",'Fecha Pago'!L229)</f>
        <v>30.4</v>
      </c>
      <c r="E237" s="87">
        <f t="shared" si="62"/>
        <v>0.11</v>
      </c>
      <c r="F237" s="86">
        <f t="shared" ca="1" si="79"/>
        <v>145298.13198216699</v>
      </c>
      <c r="G237" s="86">
        <f t="shared" ca="1" si="80"/>
        <v>9072.2260069722051</v>
      </c>
      <c r="H237" s="86">
        <f t="shared" ref="H237:H268" ca="1" si="81">IF(C237="","",IF($S$7=$U$10,V237,IF($S$7=$X$10,Y237,IF($S$7=$AA$10,AB237,))))</f>
        <v>1349.6582037454621</v>
      </c>
      <c r="I237" s="86">
        <f>IF(B237="","",IF(Simulador!$F$9="Liquidez",'Tabla Fijos'!H237*0.16,IF(Simulador!$J$9="SI",H237*0.16,0)))</f>
        <v>0</v>
      </c>
      <c r="J237" s="86">
        <f t="shared" ref="J237:J268" ca="1" si="82">IF(D237="","",IF($S$7=$U$10,W237,IF($S$7=$X$10,Z237,IF($S$7=$AA$10,AC237,))))</f>
        <v>10421.884210717668</v>
      </c>
      <c r="K237" s="86">
        <f t="shared" ca="1" si="76"/>
        <v>0</v>
      </c>
      <c r="L237" s="86">
        <f ca="1">IF(B237="","",IF(F237=0,0,IF(Sheet1!$I$10=6,'Tabla Fijos'!$C$3*'Tabla Fijos'!$F$5,$F$5*$C$5)))</f>
        <v>0</v>
      </c>
      <c r="M237" s="86">
        <f t="shared" ca="1" si="65"/>
        <v>0</v>
      </c>
      <c r="N237" s="86">
        <f ca="1">IF(B237="","",IF(F237=0,0,IF(Simulador!$N$7='Tabla Parámetros'!$C$31,AportPat!L229,IF(Simulador!$N$7='Tabla Parámetros'!$C$34,AportPatFov!G227,0))))</f>
        <v>0</v>
      </c>
      <c r="O237" s="86">
        <f>Simulador!N292</f>
        <v>0</v>
      </c>
      <c r="P237" s="86"/>
      <c r="Q237" s="86">
        <v>0</v>
      </c>
      <c r="R237" s="86">
        <f t="shared" ref="R237:R268" ca="1" si="83">IF(B237="","",G237+H237+K237+L237+M237)-N237</f>
        <v>10421.884210717668</v>
      </c>
      <c r="S237" s="86">
        <f t="shared" ref="S237:S268" ca="1" si="84">IF(B237="","",F237-G237)</f>
        <v>136225.90597519479</v>
      </c>
      <c r="U237" s="201">
        <f t="shared" ca="1" si="68"/>
        <v>9072.2260069721924</v>
      </c>
      <c r="V237" s="201">
        <f t="shared" ca="1" si="69"/>
        <v>1349.6582037454621</v>
      </c>
      <c r="W237" s="202">
        <f t="shared" ca="1" si="70"/>
        <v>10421.884210717655</v>
      </c>
      <c r="X237" s="201">
        <f t="shared" ca="1" si="71"/>
        <v>9072.2260069721906</v>
      </c>
      <c r="Y237" s="201">
        <f t="shared" ca="1" si="72"/>
        <v>1349.6582037454621</v>
      </c>
      <c r="Z237" s="201">
        <f t="shared" ca="1" si="77"/>
        <v>10421.884210717653</v>
      </c>
      <c r="AA237" s="201">
        <f t="shared" ca="1" si="73"/>
        <v>9072.2260069722051</v>
      </c>
      <c r="AB237" s="201">
        <f t="shared" ca="1" si="74"/>
        <v>1349.6582037454621</v>
      </c>
      <c r="AC237" s="201">
        <f t="shared" ca="1" si="78"/>
        <v>10421.884210717668</v>
      </c>
    </row>
    <row r="238" spans="2:29" x14ac:dyDescent="0.3">
      <c r="B238" s="84">
        <f t="shared" si="75"/>
        <v>227</v>
      </c>
      <c r="C238" s="85">
        <f ca="1">IF($B238="","",'Fecha Pago'!K230)</f>
        <v>53055</v>
      </c>
      <c r="D238" s="86">
        <f>IF($B$12="","",'Fecha Pago'!L230)</f>
        <v>30.4</v>
      </c>
      <c r="E238" s="87">
        <f t="shared" si="62"/>
        <v>0.11</v>
      </c>
      <c r="F238" s="86">
        <f t="shared" ca="1" si="79"/>
        <v>136225.90597519479</v>
      </c>
      <c r="G238" s="86">
        <f t="shared" ca="1" si="80"/>
        <v>9156.4969063258577</v>
      </c>
      <c r="H238" s="86">
        <f t="shared" ca="1" si="81"/>
        <v>1265.3873043918093</v>
      </c>
      <c r="I238" s="86">
        <f>IF(B238="","",IF(Simulador!$F$9="Liquidez",'Tabla Fijos'!H238*0.16,IF(Simulador!$J$9="SI",H238*0.16,0)))</f>
        <v>0</v>
      </c>
      <c r="J238" s="86">
        <f t="shared" ca="1" si="82"/>
        <v>10421.884210717668</v>
      </c>
      <c r="K238" s="86">
        <f t="shared" ca="1" si="76"/>
        <v>0</v>
      </c>
      <c r="L238" s="86">
        <f ca="1">IF(B238="","",IF(F238=0,0,IF(Sheet1!$I$10=6,'Tabla Fijos'!$C$3*'Tabla Fijos'!$F$5,$F$5*$C$5)))</f>
        <v>0</v>
      </c>
      <c r="M238" s="86">
        <f t="shared" ca="1" si="65"/>
        <v>0</v>
      </c>
      <c r="N238" s="86">
        <f ca="1">IF(B238="","",IF(F238=0,0,IF(Simulador!$N$7='Tabla Parámetros'!$C$31,AportPat!L230,IF(Simulador!$N$7='Tabla Parámetros'!$C$34,AportPatFov!G228,0))))</f>
        <v>0</v>
      </c>
      <c r="O238" s="86">
        <f>Simulador!N293</f>
        <v>0</v>
      </c>
      <c r="P238" s="86"/>
      <c r="Q238" s="86">
        <v>0</v>
      </c>
      <c r="R238" s="86">
        <f t="shared" ca="1" si="83"/>
        <v>10421.884210717668</v>
      </c>
      <c r="S238" s="86">
        <f t="shared" ca="1" si="84"/>
        <v>127069.40906886893</v>
      </c>
      <c r="U238" s="201">
        <f t="shared" ca="1" si="68"/>
        <v>9156.4969063258468</v>
      </c>
      <c r="V238" s="201">
        <f t="shared" ca="1" si="69"/>
        <v>1265.3873043918093</v>
      </c>
      <c r="W238" s="202">
        <f t="shared" ca="1" si="70"/>
        <v>10421.884210717657</v>
      </c>
      <c r="X238" s="201">
        <f t="shared" ca="1" si="71"/>
        <v>9156.4969063258432</v>
      </c>
      <c r="Y238" s="201">
        <f t="shared" ca="1" si="72"/>
        <v>1265.3873043918093</v>
      </c>
      <c r="Z238" s="201">
        <f t="shared" ca="1" si="77"/>
        <v>10421.884210717653</v>
      </c>
      <c r="AA238" s="201">
        <f t="shared" ca="1" si="73"/>
        <v>9156.4969063258577</v>
      </c>
      <c r="AB238" s="201">
        <f t="shared" ca="1" si="74"/>
        <v>1265.3873043918093</v>
      </c>
      <c r="AC238" s="201">
        <f t="shared" ca="1" si="78"/>
        <v>10421.884210717668</v>
      </c>
    </row>
    <row r="239" spans="2:29" x14ac:dyDescent="0.3">
      <c r="B239" s="84">
        <f t="shared" si="75"/>
        <v>228</v>
      </c>
      <c r="C239" s="85">
        <f ca="1">IF($B239="","",'Fecha Pago'!K231)</f>
        <v>53085</v>
      </c>
      <c r="D239" s="86">
        <f>IF($B$12="","",'Fecha Pago'!L231)</f>
        <v>30.4</v>
      </c>
      <c r="E239" s="87">
        <f t="shared" si="62"/>
        <v>0.11</v>
      </c>
      <c r="F239" s="86">
        <f t="shared" ca="1" si="79"/>
        <v>127069.40906886893</v>
      </c>
      <c r="G239" s="86">
        <f t="shared" ca="1" si="80"/>
        <v>9241.5505887001709</v>
      </c>
      <c r="H239" s="86">
        <f t="shared" ca="1" si="81"/>
        <v>1180.3336220174936</v>
      </c>
      <c r="I239" s="86">
        <f>IF(B239="","",IF(Simulador!$F$9="Liquidez",'Tabla Fijos'!H239*0.16,IF(Simulador!$J$9="SI",H239*0.16,0)))</f>
        <v>0</v>
      </c>
      <c r="J239" s="86">
        <f t="shared" ca="1" si="82"/>
        <v>10421.884210717664</v>
      </c>
      <c r="K239" s="86">
        <f t="shared" ca="1" si="76"/>
        <v>0</v>
      </c>
      <c r="L239" s="86">
        <f ca="1">IF(B239="","",IF(F239=0,0,IF(Sheet1!$I$10=6,'Tabla Fijos'!$C$3*'Tabla Fijos'!$F$5,$F$5*$C$5)))</f>
        <v>0</v>
      </c>
      <c r="M239" s="86">
        <f t="shared" ca="1" si="65"/>
        <v>0</v>
      </c>
      <c r="N239" s="86">
        <f ca="1">IF(B239="","",IF(F239=0,0,IF(Simulador!$N$7='Tabla Parámetros'!$C$31,AportPat!L231,IF(Simulador!$N$7='Tabla Parámetros'!$C$34,AportPatFov!G229,0))))</f>
        <v>0</v>
      </c>
      <c r="O239" s="86">
        <f>Simulador!N294</f>
        <v>0</v>
      </c>
      <c r="P239" s="86"/>
      <c r="Q239" s="86">
        <v>0</v>
      </c>
      <c r="R239" s="86">
        <f t="shared" ca="1" si="83"/>
        <v>10421.884210717664</v>
      </c>
      <c r="S239" s="86">
        <f t="shared" ca="1" si="84"/>
        <v>117827.85848016877</v>
      </c>
      <c r="U239" s="201">
        <f t="shared" ca="1" si="68"/>
        <v>9241.5505887001618</v>
      </c>
      <c r="V239" s="201">
        <f t="shared" ca="1" si="69"/>
        <v>1180.3336220174936</v>
      </c>
      <c r="W239" s="202">
        <f t="shared" ca="1" si="70"/>
        <v>10421.884210717655</v>
      </c>
      <c r="X239" s="201">
        <f t="shared" ca="1" si="71"/>
        <v>9241.55058870016</v>
      </c>
      <c r="Y239" s="201">
        <f t="shared" ca="1" si="72"/>
        <v>1180.3336220174936</v>
      </c>
      <c r="Z239" s="201">
        <f t="shared" ca="1" si="77"/>
        <v>10421.884210717653</v>
      </c>
      <c r="AA239" s="201">
        <f t="shared" ca="1" si="73"/>
        <v>9241.5505887001709</v>
      </c>
      <c r="AB239" s="201">
        <f t="shared" ca="1" si="74"/>
        <v>1180.3336220174936</v>
      </c>
      <c r="AC239" s="201">
        <f t="shared" ca="1" si="78"/>
        <v>10421.884210717664</v>
      </c>
    </row>
    <row r="240" spans="2:29" x14ac:dyDescent="0.3">
      <c r="B240" s="84">
        <f t="shared" si="75"/>
        <v>229</v>
      </c>
      <c r="C240" s="85">
        <f ca="1">IF($B240="","",'Fecha Pago'!K232)</f>
        <v>53116</v>
      </c>
      <c r="D240" s="86">
        <f>IF($B$12="","",'Fecha Pago'!L232)</f>
        <v>30.4</v>
      </c>
      <c r="E240" s="87">
        <f t="shared" si="62"/>
        <v>0.11</v>
      </c>
      <c r="F240" s="86">
        <f t="shared" ca="1" si="79"/>
        <v>117827.85848016877</v>
      </c>
      <c r="G240" s="86">
        <f t="shared" ca="1" si="80"/>
        <v>9327.3943252796562</v>
      </c>
      <c r="H240" s="86">
        <f t="shared" ca="1" si="81"/>
        <v>1094.4898854380119</v>
      </c>
      <c r="I240" s="86">
        <f>IF(B240="","",IF(Simulador!$F$9="Liquidez",'Tabla Fijos'!H240*0.16,IF(Simulador!$J$9="SI",H240*0.16,0)))</f>
        <v>0</v>
      </c>
      <c r="J240" s="86">
        <f t="shared" ca="1" si="82"/>
        <v>10421.884210717668</v>
      </c>
      <c r="K240" s="86">
        <f t="shared" ca="1" si="76"/>
        <v>0</v>
      </c>
      <c r="L240" s="86">
        <f ca="1">IF(B240="","",IF(F240=0,0,IF(Sheet1!$I$10=6,'Tabla Fijos'!$C$3*'Tabla Fijos'!$F$5,$F$5*$C$5)))</f>
        <v>0</v>
      </c>
      <c r="M240" s="86">
        <f t="shared" ca="1" si="65"/>
        <v>0</v>
      </c>
      <c r="N240" s="86">
        <f ca="1">IF(B240="","",IF(F240=0,0,IF(Simulador!$N$7='Tabla Parámetros'!$C$31,AportPat!L232,IF(Simulador!$N$7='Tabla Parámetros'!$C$34,AportPatFov!G230,0))))</f>
        <v>0</v>
      </c>
      <c r="O240" s="86">
        <f>Simulador!N295</f>
        <v>0</v>
      </c>
      <c r="P240" s="86"/>
      <c r="Q240" s="86">
        <v>0</v>
      </c>
      <c r="R240" s="86">
        <f t="shared" ca="1" si="83"/>
        <v>10421.884210717668</v>
      </c>
      <c r="S240" s="86">
        <f t="shared" ca="1" si="84"/>
        <v>108500.46415488911</v>
      </c>
      <c r="U240" s="201">
        <f t="shared" ca="1" si="68"/>
        <v>9327.3943252796435</v>
      </c>
      <c r="V240" s="201">
        <f t="shared" ca="1" si="69"/>
        <v>1094.4898854380119</v>
      </c>
      <c r="W240" s="202">
        <f t="shared" ca="1" si="70"/>
        <v>10421.884210717655</v>
      </c>
      <c r="X240" s="201">
        <f t="shared" ca="1" si="71"/>
        <v>9327.3943252796416</v>
      </c>
      <c r="Y240" s="201">
        <f t="shared" ca="1" si="72"/>
        <v>1094.4898854380119</v>
      </c>
      <c r="Z240" s="201">
        <f t="shared" ca="1" si="77"/>
        <v>10421.884210717653</v>
      </c>
      <c r="AA240" s="201">
        <f t="shared" ca="1" si="73"/>
        <v>9327.3943252796562</v>
      </c>
      <c r="AB240" s="201">
        <f t="shared" ca="1" si="74"/>
        <v>1094.4898854380119</v>
      </c>
      <c r="AC240" s="201">
        <f t="shared" ca="1" si="78"/>
        <v>10421.884210717668</v>
      </c>
    </row>
    <row r="241" spans="2:29" x14ac:dyDescent="0.3">
      <c r="B241" s="84">
        <f t="shared" si="75"/>
        <v>230</v>
      </c>
      <c r="C241" s="85">
        <f ca="1">IF($B241="","",'Fecha Pago'!K233)</f>
        <v>53146</v>
      </c>
      <c r="D241" s="86">
        <f>IF($B$12="","",'Fecha Pago'!L233)</f>
        <v>30.4</v>
      </c>
      <c r="E241" s="87">
        <f t="shared" si="62"/>
        <v>0.11</v>
      </c>
      <c r="F241" s="86">
        <f t="shared" ca="1" si="79"/>
        <v>108500.46415488911</v>
      </c>
      <c r="G241" s="86">
        <f t="shared" ca="1" si="80"/>
        <v>9414.0354547900315</v>
      </c>
      <c r="H241" s="86">
        <f t="shared" ca="1" si="81"/>
        <v>1007.8487559276365</v>
      </c>
      <c r="I241" s="86">
        <f>IF(B241="","",IF(Simulador!$F$9="Liquidez",'Tabla Fijos'!H241*0.16,IF(Simulador!$J$9="SI",H241*0.16,0)))</f>
        <v>0</v>
      </c>
      <c r="J241" s="86">
        <f t="shared" ca="1" si="82"/>
        <v>10421.884210717668</v>
      </c>
      <c r="K241" s="86">
        <f t="shared" ca="1" si="76"/>
        <v>0</v>
      </c>
      <c r="L241" s="86">
        <f ca="1">IF(B241="","",IF(F241=0,0,IF(Sheet1!$I$10=6,'Tabla Fijos'!$C$3*'Tabla Fijos'!$F$5,$F$5*$C$5)))</f>
        <v>0</v>
      </c>
      <c r="M241" s="86">
        <f t="shared" ca="1" si="65"/>
        <v>0</v>
      </c>
      <c r="N241" s="86">
        <f ca="1">IF(B241="","",IF(F241=0,0,IF(Simulador!$N$7='Tabla Parámetros'!$C$31,AportPat!L233,IF(Simulador!$N$7='Tabla Parámetros'!$C$34,AportPatFov!G231,0))))</f>
        <v>0</v>
      </c>
      <c r="O241" s="86">
        <f>Simulador!N296</f>
        <v>0</v>
      </c>
      <c r="P241" s="86"/>
      <c r="Q241" s="86">
        <v>0</v>
      </c>
      <c r="R241" s="86">
        <f t="shared" ca="1" si="83"/>
        <v>10421.884210717668</v>
      </c>
      <c r="S241" s="86">
        <f t="shared" ca="1" si="84"/>
        <v>99086.428700099073</v>
      </c>
      <c r="U241" s="201">
        <f t="shared" ca="1" si="68"/>
        <v>9414.0354547900188</v>
      </c>
      <c r="V241" s="201">
        <f t="shared" ca="1" si="69"/>
        <v>1007.8487559276365</v>
      </c>
      <c r="W241" s="202">
        <f t="shared" ca="1" si="70"/>
        <v>10421.884210717655</v>
      </c>
      <c r="X241" s="201">
        <f t="shared" ca="1" si="71"/>
        <v>9414.035454790017</v>
      </c>
      <c r="Y241" s="201">
        <f t="shared" ca="1" si="72"/>
        <v>1007.8487559276365</v>
      </c>
      <c r="Z241" s="201">
        <f t="shared" ca="1" si="77"/>
        <v>10421.884210717653</v>
      </c>
      <c r="AA241" s="201">
        <f t="shared" ca="1" si="73"/>
        <v>9414.0354547900315</v>
      </c>
      <c r="AB241" s="201">
        <f t="shared" ca="1" si="74"/>
        <v>1007.8487559276365</v>
      </c>
      <c r="AC241" s="201">
        <f t="shared" ca="1" si="78"/>
        <v>10421.884210717668</v>
      </c>
    </row>
    <row r="242" spans="2:29" x14ac:dyDescent="0.3">
      <c r="B242" s="84">
        <f t="shared" si="75"/>
        <v>231</v>
      </c>
      <c r="C242" s="85">
        <f ca="1">IF($B242="","",'Fecha Pago'!K234)</f>
        <v>53177</v>
      </c>
      <c r="D242" s="86">
        <f>IF($B$12="","",'Fecha Pago'!L234)</f>
        <v>30.4</v>
      </c>
      <c r="E242" s="87">
        <f t="shared" si="62"/>
        <v>0.11</v>
      </c>
      <c r="F242" s="86">
        <f t="shared" ca="1" si="79"/>
        <v>99086.428700099073</v>
      </c>
      <c r="G242" s="86">
        <f t="shared" ca="1" si="80"/>
        <v>9501.4813841256364</v>
      </c>
      <c r="H242" s="86">
        <f t="shared" ca="1" si="81"/>
        <v>920.40282659203137</v>
      </c>
      <c r="I242" s="86">
        <f>IF(B242="","",IF(Simulador!$F$9="Liquidez",'Tabla Fijos'!H242*0.16,IF(Simulador!$J$9="SI",H242*0.16,0)))</f>
        <v>0</v>
      </c>
      <c r="J242" s="86">
        <f t="shared" ca="1" si="82"/>
        <v>10421.884210717668</v>
      </c>
      <c r="K242" s="86">
        <f t="shared" ca="1" si="76"/>
        <v>0</v>
      </c>
      <c r="L242" s="86">
        <f ca="1">IF(B242="","",IF(F242=0,0,IF(Sheet1!$I$10=6,'Tabla Fijos'!$C$3*'Tabla Fijos'!$F$5,$F$5*$C$5)))</f>
        <v>0</v>
      </c>
      <c r="M242" s="86">
        <f t="shared" ca="1" si="65"/>
        <v>0</v>
      </c>
      <c r="N242" s="86">
        <f ca="1">IF(B242="","",IF(F242=0,0,IF(Simulador!$N$7='Tabla Parámetros'!$C$31,AportPat!L234,IF(Simulador!$N$7='Tabla Parámetros'!$C$34,AportPatFov!G232,0))))</f>
        <v>0</v>
      </c>
      <c r="O242" s="86">
        <f>Simulador!N297</f>
        <v>0</v>
      </c>
      <c r="P242" s="86"/>
      <c r="Q242" s="86">
        <v>0</v>
      </c>
      <c r="R242" s="86">
        <f t="shared" ca="1" si="83"/>
        <v>10421.884210717668</v>
      </c>
      <c r="S242" s="86">
        <f t="shared" ca="1" si="84"/>
        <v>89584.947315973433</v>
      </c>
      <c r="U242" s="201">
        <f t="shared" ca="1" si="68"/>
        <v>9501.4813841256237</v>
      </c>
      <c r="V242" s="201">
        <f t="shared" ca="1" si="69"/>
        <v>920.40282659203137</v>
      </c>
      <c r="W242" s="202">
        <f t="shared" ca="1" si="70"/>
        <v>10421.884210717655</v>
      </c>
      <c r="X242" s="201">
        <f t="shared" ca="1" si="71"/>
        <v>9501.4813841256218</v>
      </c>
      <c r="Y242" s="201">
        <f t="shared" ca="1" si="72"/>
        <v>920.40282659203137</v>
      </c>
      <c r="Z242" s="201">
        <f t="shared" ca="1" si="77"/>
        <v>10421.884210717653</v>
      </c>
      <c r="AA242" s="201">
        <f t="shared" ca="1" si="73"/>
        <v>9501.4813841256364</v>
      </c>
      <c r="AB242" s="201">
        <f t="shared" ca="1" si="74"/>
        <v>920.40282659203137</v>
      </c>
      <c r="AC242" s="201">
        <f t="shared" ca="1" si="78"/>
        <v>10421.884210717668</v>
      </c>
    </row>
    <row r="243" spans="2:29" x14ac:dyDescent="0.3">
      <c r="B243" s="84">
        <f t="shared" si="75"/>
        <v>232</v>
      </c>
      <c r="C243" s="85">
        <f ca="1">IF($B243="","",'Fecha Pago'!K235)</f>
        <v>53208</v>
      </c>
      <c r="D243" s="86">
        <f>IF($B$12="","",'Fecha Pago'!L235)</f>
        <v>30.4</v>
      </c>
      <c r="E243" s="87">
        <f t="shared" si="62"/>
        <v>0.11</v>
      </c>
      <c r="F243" s="86">
        <f t="shared" ca="1" si="79"/>
        <v>89584.947315973433</v>
      </c>
      <c r="G243" s="86">
        <f t="shared" ca="1" si="80"/>
        <v>9589.7395889826221</v>
      </c>
      <c r="H243" s="86">
        <f t="shared" ca="1" si="81"/>
        <v>832.14462173504205</v>
      </c>
      <c r="I243" s="86">
        <f>IF(B243="","",IF(Simulador!$F$9="Liquidez",'Tabla Fijos'!H243*0.16,IF(Simulador!$J$9="SI",H243*0.16,0)))</f>
        <v>0</v>
      </c>
      <c r="J243" s="86">
        <f t="shared" ca="1" si="82"/>
        <v>10421.884210717664</v>
      </c>
      <c r="K243" s="86">
        <f t="shared" ca="1" si="76"/>
        <v>0</v>
      </c>
      <c r="L243" s="86">
        <f ca="1">IF(B243="","",IF(F243=0,0,IF(Sheet1!$I$10=6,'Tabla Fijos'!$C$3*'Tabla Fijos'!$F$5,$F$5*$C$5)))</f>
        <v>0</v>
      </c>
      <c r="M243" s="86">
        <f t="shared" ca="1" si="65"/>
        <v>0</v>
      </c>
      <c r="N243" s="86">
        <f ca="1">IF(B243="","",IF(F243=0,0,IF(Simulador!$N$7='Tabla Parámetros'!$C$31,AportPat!L235,IF(Simulador!$N$7='Tabla Parámetros'!$C$34,AportPatFov!G233,0))))</f>
        <v>0</v>
      </c>
      <c r="O243" s="86">
        <f>Simulador!N298</f>
        <v>0</v>
      </c>
      <c r="P243" s="86"/>
      <c r="Q243" s="86">
        <v>0</v>
      </c>
      <c r="R243" s="86">
        <f t="shared" ca="1" si="83"/>
        <v>10421.884210717664</v>
      </c>
      <c r="S243" s="86">
        <f t="shared" ca="1" si="84"/>
        <v>79995.207726990804</v>
      </c>
      <c r="U243" s="201">
        <f t="shared" ca="1" si="68"/>
        <v>9589.739588982613</v>
      </c>
      <c r="V243" s="201">
        <f t="shared" ca="1" si="69"/>
        <v>832.14462173504205</v>
      </c>
      <c r="W243" s="202">
        <f t="shared" ca="1" si="70"/>
        <v>10421.884210717655</v>
      </c>
      <c r="X243" s="201">
        <f t="shared" ca="1" si="71"/>
        <v>9589.7395889826112</v>
      </c>
      <c r="Y243" s="201">
        <f t="shared" ca="1" si="72"/>
        <v>832.14462173504205</v>
      </c>
      <c r="Z243" s="201">
        <f t="shared" ca="1" si="77"/>
        <v>10421.884210717653</v>
      </c>
      <c r="AA243" s="201">
        <f t="shared" ca="1" si="73"/>
        <v>9589.7395889826221</v>
      </c>
      <c r="AB243" s="201">
        <f t="shared" ca="1" si="74"/>
        <v>832.14462173504205</v>
      </c>
      <c r="AC243" s="201">
        <f t="shared" ca="1" si="78"/>
        <v>10421.884210717664</v>
      </c>
    </row>
    <row r="244" spans="2:29" x14ac:dyDescent="0.3">
      <c r="B244" s="84">
        <f t="shared" si="75"/>
        <v>233</v>
      </c>
      <c r="C244" s="85">
        <f ca="1">IF($B244="","",'Fecha Pago'!K236)</f>
        <v>53238</v>
      </c>
      <c r="D244" s="86">
        <f>IF($B$12="","",'Fecha Pago'!L236)</f>
        <v>30.4</v>
      </c>
      <c r="E244" s="87">
        <f t="shared" si="62"/>
        <v>0.11</v>
      </c>
      <c r="F244" s="86">
        <f t="shared" ca="1" si="79"/>
        <v>79995.207726990804</v>
      </c>
      <c r="G244" s="86">
        <f t="shared" ca="1" si="80"/>
        <v>9678.8176144980589</v>
      </c>
      <c r="H244" s="86">
        <f t="shared" ca="1" si="81"/>
        <v>743.06659621960341</v>
      </c>
      <c r="I244" s="86">
        <f>IF(B244="","",IF(Simulador!$F$9="Liquidez",'Tabla Fijos'!H244*0.16,IF(Simulador!$J$9="SI",H244*0.16,0)))</f>
        <v>0</v>
      </c>
      <c r="J244" s="86">
        <f t="shared" ca="1" si="82"/>
        <v>10421.884210717662</v>
      </c>
      <c r="K244" s="86">
        <f t="shared" ca="1" si="76"/>
        <v>0</v>
      </c>
      <c r="L244" s="86">
        <f ca="1">IF(B244="","",IF(F244=0,0,IF(Sheet1!$I$10=6,'Tabla Fijos'!$C$3*'Tabla Fijos'!$F$5,$F$5*$C$5)))</f>
        <v>0</v>
      </c>
      <c r="M244" s="86">
        <f t="shared" ca="1" si="65"/>
        <v>0</v>
      </c>
      <c r="N244" s="86">
        <f ca="1">IF(B244="","",IF(F244=0,0,IF(Simulador!$N$7='Tabla Parámetros'!$C$31,AportPat!L236,IF(Simulador!$N$7='Tabla Parámetros'!$C$34,AportPatFov!G234,0))))</f>
        <v>0</v>
      </c>
      <c r="O244" s="86">
        <f>Simulador!N299</f>
        <v>0</v>
      </c>
      <c r="P244" s="86"/>
      <c r="Q244" s="86">
        <v>0</v>
      </c>
      <c r="R244" s="86">
        <f t="shared" ca="1" si="83"/>
        <v>10421.884210717662</v>
      </c>
      <c r="S244" s="86">
        <f t="shared" ca="1" si="84"/>
        <v>70316.390112492751</v>
      </c>
      <c r="U244" s="201">
        <f t="shared" ca="1" si="68"/>
        <v>9678.8176144980516</v>
      </c>
      <c r="V244" s="201">
        <f t="shared" ca="1" si="69"/>
        <v>743.06659621960341</v>
      </c>
      <c r="W244" s="202">
        <f t="shared" ca="1" si="70"/>
        <v>10421.884210717655</v>
      </c>
      <c r="X244" s="201">
        <f t="shared" ca="1" si="71"/>
        <v>9678.8176144980498</v>
      </c>
      <c r="Y244" s="201">
        <f t="shared" ca="1" si="72"/>
        <v>743.06659621960341</v>
      </c>
      <c r="Z244" s="201">
        <f t="shared" ca="1" si="77"/>
        <v>10421.884210717653</v>
      </c>
      <c r="AA244" s="201">
        <f t="shared" ca="1" si="73"/>
        <v>9678.8176144980589</v>
      </c>
      <c r="AB244" s="201">
        <f t="shared" ca="1" si="74"/>
        <v>743.06659621960341</v>
      </c>
      <c r="AC244" s="201">
        <f t="shared" ca="1" si="78"/>
        <v>10421.884210717662</v>
      </c>
    </row>
    <row r="245" spans="2:29" x14ac:dyDescent="0.3">
      <c r="B245" s="84">
        <f t="shared" si="75"/>
        <v>234</v>
      </c>
      <c r="C245" s="85">
        <f ca="1">IF($B245="","",'Fecha Pago'!K237)</f>
        <v>53269</v>
      </c>
      <c r="D245" s="86">
        <f>IF($B$12="","",'Fecha Pago'!L237)</f>
        <v>30.4</v>
      </c>
      <c r="E245" s="87">
        <f t="shared" si="62"/>
        <v>0.11</v>
      </c>
      <c r="F245" s="86">
        <f t="shared" ca="1" si="79"/>
        <v>70316.390112492751</v>
      </c>
      <c r="G245" s="86">
        <f t="shared" ca="1" si="80"/>
        <v>9768.7230758949536</v>
      </c>
      <c r="H245" s="86">
        <f t="shared" ca="1" si="81"/>
        <v>653.16113482271044</v>
      </c>
      <c r="I245" s="86">
        <f>IF(B245="","",IF(Simulador!$F$9="Liquidez",'Tabla Fijos'!H245*0.16,IF(Simulador!$J$9="SI",H245*0.16,0)))</f>
        <v>0</v>
      </c>
      <c r="J245" s="86">
        <f t="shared" ca="1" si="82"/>
        <v>10421.884210717664</v>
      </c>
      <c r="K245" s="86">
        <f t="shared" ca="1" si="76"/>
        <v>0</v>
      </c>
      <c r="L245" s="86">
        <f ca="1">IF(B245="","",IF(F245=0,0,IF(Sheet1!$I$10=6,'Tabla Fijos'!$C$3*'Tabla Fijos'!$F$5,$F$5*$C$5)))</f>
        <v>0</v>
      </c>
      <c r="M245" s="86">
        <f t="shared" ca="1" si="65"/>
        <v>0</v>
      </c>
      <c r="N245" s="86">
        <f ca="1">IF(B245="","",IF(F245=0,0,IF(Simulador!$N$7='Tabla Parámetros'!$C$31,AportPat!L237,IF(Simulador!$N$7='Tabla Parámetros'!$C$34,AportPatFov!G235,0))))</f>
        <v>0</v>
      </c>
      <c r="O245" s="86">
        <f>Simulador!N300</f>
        <v>0</v>
      </c>
      <c r="P245" s="86"/>
      <c r="Q245" s="86">
        <v>0</v>
      </c>
      <c r="R245" s="86">
        <f t="shared" ca="1" si="83"/>
        <v>10421.884210717664</v>
      </c>
      <c r="S245" s="86">
        <f t="shared" ca="1" si="84"/>
        <v>60547.667036597799</v>
      </c>
      <c r="U245" s="201">
        <f t="shared" ca="1" si="68"/>
        <v>9768.7230758949445</v>
      </c>
      <c r="V245" s="201">
        <f t="shared" ca="1" si="69"/>
        <v>653.16113482271044</v>
      </c>
      <c r="W245" s="202">
        <f t="shared" ca="1" si="70"/>
        <v>10421.884210717655</v>
      </c>
      <c r="X245" s="201">
        <f t="shared" ca="1" si="71"/>
        <v>9768.7230758949427</v>
      </c>
      <c r="Y245" s="201">
        <f t="shared" ca="1" si="72"/>
        <v>653.16113482271044</v>
      </c>
      <c r="Z245" s="201">
        <f t="shared" ca="1" si="77"/>
        <v>10421.884210717653</v>
      </c>
      <c r="AA245" s="201">
        <f t="shared" ca="1" si="73"/>
        <v>9768.7230758949536</v>
      </c>
      <c r="AB245" s="201">
        <f t="shared" ca="1" si="74"/>
        <v>653.16113482271044</v>
      </c>
      <c r="AC245" s="201">
        <f t="shared" ca="1" si="78"/>
        <v>10421.884210717664</v>
      </c>
    </row>
    <row r="246" spans="2:29" x14ac:dyDescent="0.3">
      <c r="B246" s="84">
        <f t="shared" si="75"/>
        <v>235</v>
      </c>
      <c r="C246" s="85">
        <f ca="1">IF($B246="","",'Fecha Pago'!K238)</f>
        <v>53299</v>
      </c>
      <c r="D246" s="86">
        <f>IF($B$12="","",'Fecha Pago'!L238)</f>
        <v>30.4</v>
      </c>
      <c r="E246" s="87">
        <f t="shared" si="62"/>
        <v>0.11</v>
      </c>
      <c r="F246" s="86">
        <f t="shared" ca="1" si="79"/>
        <v>60547.667036597799</v>
      </c>
      <c r="G246" s="86">
        <f t="shared" ca="1" si="80"/>
        <v>9859.463659133271</v>
      </c>
      <c r="H246" s="86">
        <f t="shared" ca="1" si="81"/>
        <v>562.42055158439734</v>
      </c>
      <c r="I246" s="86">
        <f>IF(B246="","",IF(Simulador!$F$9="Liquidez",'Tabla Fijos'!H246*0.16,IF(Simulador!$J$9="SI",H246*0.16,0)))</f>
        <v>0</v>
      </c>
      <c r="J246" s="86">
        <f t="shared" ca="1" si="82"/>
        <v>10421.884210717668</v>
      </c>
      <c r="K246" s="86">
        <f t="shared" ca="1" si="76"/>
        <v>0</v>
      </c>
      <c r="L246" s="86">
        <f ca="1">IF(B246="","",IF(F246=0,0,IF(Sheet1!$I$10=6,'Tabla Fijos'!$C$3*'Tabla Fijos'!$F$5,$F$5*$C$5)))</f>
        <v>0</v>
      </c>
      <c r="M246" s="86">
        <f t="shared" ca="1" si="65"/>
        <v>0</v>
      </c>
      <c r="N246" s="86">
        <f ca="1">IF(B246="","",IF(F246=0,0,IF(Simulador!$N$7='Tabla Parámetros'!$C$31,AportPat!L238,IF(Simulador!$N$7='Tabla Parámetros'!$C$34,AportPatFov!G236,0))))</f>
        <v>0</v>
      </c>
      <c r="O246" s="86">
        <f>Simulador!N301</f>
        <v>0</v>
      </c>
      <c r="P246" s="86"/>
      <c r="Q246" s="86">
        <v>0</v>
      </c>
      <c r="R246" s="86">
        <f t="shared" ca="1" si="83"/>
        <v>10421.884210717668</v>
      </c>
      <c r="S246" s="86">
        <f t="shared" ca="1" si="84"/>
        <v>50688.203377464524</v>
      </c>
      <c r="U246" s="201">
        <f t="shared" ca="1" si="68"/>
        <v>9859.4636591332564</v>
      </c>
      <c r="V246" s="201">
        <f t="shared" ca="1" si="69"/>
        <v>562.42055158439734</v>
      </c>
      <c r="W246" s="202">
        <f t="shared" ca="1" si="70"/>
        <v>10421.884210717653</v>
      </c>
      <c r="X246" s="201">
        <f t="shared" ca="1" si="71"/>
        <v>9859.4636591332564</v>
      </c>
      <c r="Y246" s="201">
        <f t="shared" ca="1" si="72"/>
        <v>562.42055158439734</v>
      </c>
      <c r="Z246" s="201">
        <f t="shared" ca="1" si="77"/>
        <v>10421.884210717653</v>
      </c>
      <c r="AA246" s="201">
        <f t="shared" ca="1" si="73"/>
        <v>9859.463659133271</v>
      </c>
      <c r="AB246" s="201">
        <f t="shared" ca="1" si="74"/>
        <v>562.42055158439734</v>
      </c>
      <c r="AC246" s="201">
        <f t="shared" ca="1" si="78"/>
        <v>10421.884210717668</v>
      </c>
    </row>
    <row r="247" spans="2:29" x14ac:dyDescent="0.3">
      <c r="B247" s="84">
        <f t="shared" si="75"/>
        <v>236</v>
      </c>
      <c r="C247" s="85">
        <f ca="1">IF($B247="","",'Fecha Pago'!K239)</f>
        <v>53330</v>
      </c>
      <c r="D247" s="86">
        <f>IF($B$12="","",'Fecha Pago'!L239)</f>
        <v>30.4</v>
      </c>
      <c r="E247" s="87">
        <f t="shared" si="62"/>
        <v>0.11</v>
      </c>
      <c r="F247" s="86">
        <f t="shared" ca="1" si="79"/>
        <v>50688.203377464524</v>
      </c>
      <c r="G247" s="86">
        <f t="shared" ca="1" si="80"/>
        <v>9951.0471215669968</v>
      </c>
      <c r="H247" s="86">
        <f t="shared" ca="1" si="81"/>
        <v>470.83708915067041</v>
      </c>
      <c r="I247" s="86">
        <f>IF(B247="","",IF(Simulador!$F$9="Liquidez",'Tabla Fijos'!H247*0.16,IF(Simulador!$J$9="SI",H247*0.16,0)))</f>
        <v>0</v>
      </c>
      <c r="J247" s="86">
        <f t="shared" ca="1" si="82"/>
        <v>10421.884210717668</v>
      </c>
      <c r="K247" s="86">
        <f t="shared" ca="1" si="76"/>
        <v>0</v>
      </c>
      <c r="L247" s="86">
        <f ca="1">IF(B247="","",IF(F247=0,0,IF(Sheet1!$I$10=6,'Tabla Fijos'!$C$3*'Tabla Fijos'!$F$5,$F$5*$C$5)))</f>
        <v>0</v>
      </c>
      <c r="M247" s="86">
        <f t="shared" ca="1" si="65"/>
        <v>0</v>
      </c>
      <c r="N247" s="86">
        <f ca="1">IF(B247="","",IF(F247=0,0,IF(Simulador!$N$7='Tabla Parámetros'!$C$31,AportPat!L239,IF(Simulador!$N$7='Tabla Parámetros'!$C$34,AportPatFov!G237,0))))</f>
        <v>0</v>
      </c>
      <c r="O247" s="86">
        <f>Simulador!N302</f>
        <v>0</v>
      </c>
      <c r="P247" s="86"/>
      <c r="Q247" s="86">
        <v>0</v>
      </c>
      <c r="R247" s="86">
        <f t="shared" ca="1" si="83"/>
        <v>10421.884210717668</v>
      </c>
      <c r="S247" s="86">
        <f t="shared" ca="1" si="84"/>
        <v>40737.156255897527</v>
      </c>
      <c r="U247" s="201">
        <f t="shared" ca="1" si="68"/>
        <v>9951.0471215669841</v>
      </c>
      <c r="V247" s="201">
        <f t="shared" ca="1" si="69"/>
        <v>470.83708915067041</v>
      </c>
      <c r="W247" s="202">
        <f t="shared" ca="1" si="70"/>
        <v>10421.884210717655</v>
      </c>
      <c r="X247" s="201">
        <f t="shared" ca="1" si="71"/>
        <v>9951.0471215669822</v>
      </c>
      <c r="Y247" s="201">
        <f t="shared" ca="1" si="72"/>
        <v>470.83708915067041</v>
      </c>
      <c r="Z247" s="201">
        <f t="shared" ca="1" si="77"/>
        <v>10421.884210717653</v>
      </c>
      <c r="AA247" s="201">
        <f t="shared" ca="1" si="73"/>
        <v>9951.0471215669968</v>
      </c>
      <c r="AB247" s="201">
        <f t="shared" ca="1" si="74"/>
        <v>470.83708915067041</v>
      </c>
      <c r="AC247" s="201">
        <f t="shared" ca="1" si="78"/>
        <v>10421.884210717668</v>
      </c>
    </row>
    <row r="248" spans="2:29" x14ac:dyDescent="0.3">
      <c r="B248" s="84">
        <f t="shared" si="75"/>
        <v>237</v>
      </c>
      <c r="C248" s="85">
        <f ca="1">IF($B248="","",'Fecha Pago'!K240)</f>
        <v>53361</v>
      </c>
      <c r="D248" s="86">
        <f>IF($B$12="","",'Fecha Pago'!L240)</f>
        <v>30.4</v>
      </c>
      <c r="E248" s="87">
        <f t="shared" si="62"/>
        <v>0.11</v>
      </c>
      <c r="F248" s="86">
        <f t="shared" ca="1" si="79"/>
        <v>40737.156255897527</v>
      </c>
      <c r="G248" s="86">
        <f t="shared" ca="1" si="80"/>
        <v>10043.481292607325</v>
      </c>
      <c r="H248" s="86">
        <f t="shared" ca="1" si="81"/>
        <v>378.402918110337</v>
      </c>
      <c r="I248" s="86">
        <f>IF(B248="","",IF(Simulador!$F$9="Liquidez",'Tabla Fijos'!H248*0.16,IF(Simulador!$J$9="SI",H248*0.16,0)))</f>
        <v>0</v>
      </c>
      <c r="J248" s="86">
        <f t="shared" ca="1" si="82"/>
        <v>10421.884210717662</v>
      </c>
      <c r="K248" s="86">
        <f t="shared" ca="1" si="76"/>
        <v>0</v>
      </c>
      <c r="L248" s="86">
        <f ca="1">IF(B248="","",IF(F248=0,0,IF(Sheet1!$I$10=6,'Tabla Fijos'!$C$3*'Tabla Fijos'!$F$5,$F$5*$C$5)))</f>
        <v>0</v>
      </c>
      <c r="M248" s="86">
        <f t="shared" ca="1" si="65"/>
        <v>0</v>
      </c>
      <c r="N248" s="86">
        <f ca="1">IF(B248="","",IF(F248=0,0,IF(Simulador!$N$7='Tabla Parámetros'!$C$31,AportPat!L240,IF(Simulador!$N$7='Tabla Parámetros'!$C$34,AportPatFov!G238,0))))</f>
        <v>0</v>
      </c>
      <c r="O248" s="86">
        <f>Simulador!N303</f>
        <v>0</v>
      </c>
      <c r="P248" s="86"/>
      <c r="Q248" s="86">
        <v>0</v>
      </c>
      <c r="R248" s="86">
        <f t="shared" ca="1" si="83"/>
        <v>10421.884210717662</v>
      </c>
      <c r="S248" s="86">
        <f t="shared" ca="1" si="84"/>
        <v>30693.674963290203</v>
      </c>
      <c r="U248" s="201">
        <f t="shared" ca="1" si="68"/>
        <v>10043.481292607317</v>
      </c>
      <c r="V248" s="201">
        <f t="shared" ca="1" si="69"/>
        <v>378.402918110337</v>
      </c>
      <c r="W248" s="202">
        <f t="shared" ca="1" si="70"/>
        <v>10421.884210717655</v>
      </c>
      <c r="X248" s="201">
        <f t="shared" ca="1" si="71"/>
        <v>10043.481292607315</v>
      </c>
      <c r="Y248" s="201">
        <f t="shared" ca="1" si="72"/>
        <v>378.402918110337</v>
      </c>
      <c r="Z248" s="201">
        <f t="shared" ca="1" si="77"/>
        <v>10421.884210717653</v>
      </c>
      <c r="AA248" s="201">
        <f t="shared" ca="1" si="73"/>
        <v>10043.481292607325</v>
      </c>
      <c r="AB248" s="201">
        <f t="shared" ca="1" si="74"/>
        <v>378.402918110337</v>
      </c>
      <c r="AC248" s="201">
        <f t="shared" ca="1" si="78"/>
        <v>10421.884210717662</v>
      </c>
    </row>
    <row r="249" spans="2:29" x14ac:dyDescent="0.3">
      <c r="B249" s="84">
        <f t="shared" si="75"/>
        <v>238</v>
      </c>
      <c r="C249" s="85">
        <f ca="1">IF($B249="","",'Fecha Pago'!K241)</f>
        <v>53389</v>
      </c>
      <c r="D249" s="86">
        <f>IF($B$12="","",'Fecha Pago'!L241)</f>
        <v>30.4</v>
      </c>
      <c r="E249" s="87">
        <f t="shared" si="62"/>
        <v>0.11</v>
      </c>
      <c r="F249" s="86">
        <f t="shared" ca="1" si="79"/>
        <v>30693.674963290203</v>
      </c>
      <c r="G249" s="86">
        <f t="shared" ca="1" si="80"/>
        <v>10136.774074391991</v>
      </c>
      <c r="H249" s="86">
        <f t="shared" ca="1" si="81"/>
        <v>285.11013632567341</v>
      </c>
      <c r="I249" s="86">
        <f>IF(B249="","",IF(Simulador!$F$9="Liquidez",'Tabla Fijos'!H249*0.16,IF(Simulador!$J$9="SI",H249*0.16,0)))</f>
        <v>0</v>
      </c>
      <c r="J249" s="86">
        <f t="shared" ca="1" si="82"/>
        <v>10421.884210717664</v>
      </c>
      <c r="K249" s="86">
        <f t="shared" ca="1" si="76"/>
        <v>0</v>
      </c>
      <c r="L249" s="86">
        <f ca="1">IF(B249="","",IF(F249=0,0,IF(Sheet1!$I$10=6,'Tabla Fijos'!$C$3*'Tabla Fijos'!$F$5,$F$5*$C$5)))</f>
        <v>0</v>
      </c>
      <c r="M249" s="86">
        <f t="shared" ca="1" si="65"/>
        <v>0</v>
      </c>
      <c r="N249" s="86">
        <f ca="1">IF(B249="","",IF(F249=0,0,IF(Simulador!$N$7='Tabla Parámetros'!$C$31,AportPat!L241,IF(Simulador!$N$7='Tabla Parámetros'!$C$34,AportPatFov!G239,0))))</f>
        <v>0</v>
      </c>
      <c r="O249" s="86">
        <f>Simulador!N304</f>
        <v>0</v>
      </c>
      <c r="P249" s="86"/>
      <c r="Q249" s="86">
        <v>0</v>
      </c>
      <c r="R249" s="86">
        <f t="shared" ca="1" si="83"/>
        <v>10421.884210717664</v>
      </c>
      <c r="S249" s="86">
        <f t="shared" ca="1" si="84"/>
        <v>20556.900888898213</v>
      </c>
      <c r="U249" s="201">
        <f t="shared" ca="1" si="68"/>
        <v>10136.774074391982</v>
      </c>
      <c r="V249" s="201">
        <f t="shared" ca="1" si="69"/>
        <v>285.11013632567341</v>
      </c>
      <c r="W249" s="202">
        <f t="shared" ca="1" si="70"/>
        <v>10421.884210717655</v>
      </c>
      <c r="X249" s="201">
        <f t="shared" ca="1" si="71"/>
        <v>10136.77407439198</v>
      </c>
      <c r="Y249" s="201">
        <f t="shared" ca="1" si="72"/>
        <v>285.11013632567341</v>
      </c>
      <c r="Z249" s="201">
        <f t="shared" ca="1" si="77"/>
        <v>10421.884210717653</v>
      </c>
      <c r="AA249" s="201">
        <f t="shared" ca="1" si="73"/>
        <v>10136.774074391991</v>
      </c>
      <c r="AB249" s="201">
        <f t="shared" ca="1" si="74"/>
        <v>285.11013632567341</v>
      </c>
      <c r="AC249" s="201">
        <f t="shared" ca="1" si="78"/>
        <v>10421.884210717664</v>
      </c>
    </row>
    <row r="250" spans="2:29" x14ac:dyDescent="0.3">
      <c r="B250" s="84">
        <f t="shared" si="75"/>
        <v>239</v>
      </c>
      <c r="C250" s="85">
        <f ca="1">IF($B250="","",'Fecha Pago'!K242)</f>
        <v>53420</v>
      </c>
      <c r="D250" s="86">
        <f>IF($B$12="","",'Fecha Pago'!L242)</f>
        <v>30.4</v>
      </c>
      <c r="E250" s="87">
        <f t="shared" si="62"/>
        <v>0.11</v>
      </c>
      <c r="F250" s="86">
        <f t="shared" ca="1" si="79"/>
        <v>20556.900888898213</v>
      </c>
      <c r="G250" s="86">
        <f t="shared" ca="1" si="80"/>
        <v>10230.933442460788</v>
      </c>
      <c r="H250" s="86">
        <f t="shared" ca="1" si="81"/>
        <v>190.95076825687673</v>
      </c>
      <c r="I250" s="86">
        <f>IF(B250="","",IF(Simulador!$F$9="Liquidez",'Tabla Fijos'!H250*0.16,IF(Simulador!$J$9="SI",H250*0.16,0)))</f>
        <v>0</v>
      </c>
      <c r="J250" s="86">
        <f t="shared" ca="1" si="82"/>
        <v>10421.884210717664</v>
      </c>
      <c r="K250" s="86">
        <f t="shared" ca="1" si="76"/>
        <v>0</v>
      </c>
      <c r="L250" s="86">
        <f ca="1">IF(B250="","",IF(F250=0,0,IF(Sheet1!$I$10=6,'Tabla Fijos'!$C$3*'Tabla Fijos'!$F$5,$F$5*$C$5)))</f>
        <v>0</v>
      </c>
      <c r="M250" s="86">
        <f t="shared" ca="1" si="65"/>
        <v>0</v>
      </c>
      <c r="N250" s="86">
        <f ca="1">IF(B250="","",IF(F250=0,0,IF(Simulador!$N$7='Tabla Parámetros'!$C$31,AportPat!L242,IF(Simulador!$N$7='Tabla Parámetros'!$C$34,AportPatFov!G240,0))))</f>
        <v>0</v>
      </c>
      <c r="O250" s="86">
        <f>Simulador!N305</f>
        <v>0</v>
      </c>
      <c r="P250" s="86"/>
      <c r="Q250" s="86">
        <v>0</v>
      </c>
      <c r="R250" s="86">
        <f t="shared" ca="1" si="83"/>
        <v>10421.884210717664</v>
      </c>
      <c r="S250" s="86">
        <f t="shared" ca="1" si="84"/>
        <v>10325.967446437426</v>
      </c>
      <c r="U250" s="201">
        <f t="shared" ca="1" si="68"/>
        <v>10230.933442460777</v>
      </c>
      <c r="V250" s="201">
        <f t="shared" ca="1" si="69"/>
        <v>190.95076825687673</v>
      </c>
      <c r="W250" s="202">
        <f t="shared" ca="1" si="70"/>
        <v>10421.884210717653</v>
      </c>
      <c r="X250" s="201">
        <f t="shared" ca="1" si="71"/>
        <v>10230.933442460777</v>
      </c>
      <c r="Y250" s="201">
        <f t="shared" ca="1" si="72"/>
        <v>190.95076825687673</v>
      </c>
      <c r="Z250" s="201">
        <f t="shared" ca="1" si="77"/>
        <v>10421.884210717653</v>
      </c>
      <c r="AA250" s="201">
        <f t="shared" ca="1" si="73"/>
        <v>10230.933442460788</v>
      </c>
      <c r="AB250" s="201">
        <f t="shared" ca="1" si="74"/>
        <v>190.95076825687673</v>
      </c>
      <c r="AC250" s="201">
        <f t="shared" ca="1" si="78"/>
        <v>10421.884210717664</v>
      </c>
    </row>
    <row r="251" spans="2:29" x14ac:dyDescent="0.3">
      <c r="B251" s="84">
        <f t="shared" si="75"/>
        <v>240</v>
      </c>
      <c r="C251" s="85">
        <f ca="1">IF($B251="","",'Fecha Pago'!K243)</f>
        <v>53450</v>
      </c>
      <c r="D251" s="86">
        <f>IF($B$12="","",'Fecha Pago'!L243)</f>
        <v>30.4</v>
      </c>
      <c r="E251" s="87">
        <f t="shared" si="62"/>
        <v>0.11</v>
      </c>
      <c r="F251" s="86">
        <f t="shared" ca="1" si="79"/>
        <v>10325.967446437426</v>
      </c>
      <c r="G251" s="86">
        <f t="shared" ca="1" si="80"/>
        <v>10325.967446437427</v>
      </c>
      <c r="H251" s="86">
        <f t="shared" ca="1" si="81"/>
        <v>95.916764280240969</v>
      </c>
      <c r="I251" s="86">
        <f>IF(B251="","",IF(Simulador!$F$9="Liquidez",'Tabla Fijos'!H251*0.16,IF(Simulador!$J$9="SI",H251*0.16,0)))</f>
        <v>0</v>
      </c>
      <c r="J251" s="86">
        <f t="shared" ca="1" si="82"/>
        <v>10421.884210717668</v>
      </c>
      <c r="K251" s="86">
        <f t="shared" ca="1" si="76"/>
        <v>0</v>
      </c>
      <c r="L251" s="86">
        <f ca="1">IF(B251="","",IF(F251=0,0,IF(Sheet1!$I$10=6,'Tabla Fijos'!$C$3*'Tabla Fijos'!$F$5,$F$5*$C$5)))</f>
        <v>0</v>
      </c>
      <c r="M251" s="86">
        <f t="shared" ca="1" si="65"/>
        <v>0</v>
      </c>
      <c r="N251" s="86">
        <f ca="1">IF(B251="","",IF(F251=0,0,IF(Simulador!$N$7='Tabla Parámetros'!$C$31,AportPat!L243,IF(Simulador!$N$7='Tabla Parámetros'!$C$34,AportPatFov!G241,0))))</f>
        <v>0</v>
      </c>
      <c r="O251" s="86">
        <f>Simulador!N306</f>
        <v>0</v>
      </c>
      <c r="P251" s="86"/>
      <c r="Q251" s="86">
        <v>0</v>
      </c>
      <c r="R251" s="86">
        <f t="shared" ca="1" si="83"/>
        <v>10421.884210717668</v>
      </c>
      <c r="S251" s="86">
        <f t="shared" ca="1" si="84"/>
        <v>-1.8189894035458565E-12</v>
      </c>
      <c r="U251" s="201">
        <f t="shared" ca="1" si="68"/>
        <v>10325.967446437415</v>
      </c>
      <c r="V251" s="201">
        <f t="shared" ref="V251:V281" ca="1" si="85">(E251/360*D251)*F251</f>
        <v>95.916764280240969</v>
      </c>
      <c r="W251" s="202">
        <f t="shared" ref="W251:W281" ca="1" si="86">U251+V251</f>
        <v>10421.884210717655</v>
      </c>
      <c r="X251" s="201">
        <f t="shared" ref="X251:X281" ca="1" si="87">Z251-Y251</f>
        <v>10325.967446437413</v>
      </c>
      <c r="Y251" s="201">
        <f t="shared" ref="Y251:Y281" ca="1" si="88">(E251/360*D251)*F251</f>
        <v>95.916764280240969</v>
      </c>
      <c r="Z251" s="201">
        <f t="shared" ca="1" si="77"/>
        <v>10421.884210717653</v>
      </c>
      <c r="AA251" s="201">
        <f t="shared" ref="AA251:AA281" ca="1" si="89">AC251-AB251</f>
        <v>10325.967446437427</v>
      </c>
      <c r="AB251" s="201">
        <f t="shared" ref="AB251:AB281" ca="1" si="90">(E251/360*D251)*F251</f>
        <v>95.916764280240969</v>
      </c>
      <c r="AC251" s="201">
        <f t="shared" ca="1" si="78"/>
        <v>10421.884210717668</v>
      </c>
    </row>
    <row r="252" spans="2:29" x14ac:dyDescent="0.3">
      <c r="B252" s="84" t="str">
        <f t="shared" si="75"/>
        <v/>
      </c>
      <c r="C252" s="85" t="str">
        <f>IF($B252="","",'Fecha Pago'!K244)</f>
        <v/>
      </c>
      <c r="D252" s="86" t="str">
        <f>IF($B$12="","",'Fecha Pago'!L244)</f>
        <v/>
      </c>
      <c r="E252" s="87" t="str">
        <f t="shared" si="62"/>
        <v/>
      </c>
      <c r="F252" s="86" t="str">
        <f t="shared" si="79"/>
        <v/>
      </c>
      <c r="G252" s="86" t="str">
        <f t="shared" si="80"/>
        <v/>
      </c>
      <c r="H252" s="86" t="str">
        <f t="shared" si="81"/>
        <v/>
      </c>
      <c r="I252" s="86" t="str">
        <f>IF(B252="","",IF(Simulador!$F$9="Liquidez",'Tabla Fijos'!H252*0.16,IF(Simulador!$J$9="SI",H252*0.16,0)))</f>
        <v/>
      </c>
      <c r="J252" s="86" t="str">
        <f t="shared" si="82"/>
        <v/>
      </c>
      <c r="K252" s="86" t="str">
        <f t="shared" si="76"/>
        <v/>
      </c>
      <c r="L252" s="86" t="str">
        <f>IF(B252="","",IF(F252=0,0,IF(Sheet1!$I$10=6,'Tabla Fijos'!$C$3*'Tabla Fijos'!$F$5,$F$5*$C$5)))</f>
        <v/>
      </c>
      <c r="M252" s="86" t="str">
        <f t="shared" si="65"/>
        <v/>
      </c>
      <c r="N252" s="86" t="str">
        <f>IF(B252="","",IF(F252=0,0,IF(Simulador!$N$7='Tabla Parámetros'!$C$31,AportPat!L244,IF(Simulador!$N$7='Tabla Parámetros'!$C$34,AportPatFov!G242,0))))</f>
        <v/>
      </c>
      <c r="O252" s="86">
        <f>Simulador!N307</f>
        <v>0</v>
      </c>
      <c r="P252" s="86"/>
      <c r="Q252" s="86">
        <v>0</v>
      </c>
      <c r="R252" s="86" t="e">
        <f t="shared" si="83"/>
        <v>#VALUE!</v>
      </c>
      <c r="S252" s="86" t="str">
        <f t="shared" si="84"/>
        <v/>
      </c>
      <c r="U252" s="201" t="e">
        <f t="shared" si="68"/>
        <v>#VALUE!</v>
      </c>
      <c r="V252" s="201" t="e">
        <f t="shared" si="85"/>
        <v>#VALUE!</v>
      </c>
      <c r="W252" s="202" t="e">
        <f t="shared" si="86"/>
        <v>#VALUE!</v>
      </c>
      <c r="X252" s="201" t="e">
        <f t="shared" si="87"/>
        <v>#VALUE!</v>
      </c>
      <c r="Y252" s="201" t="e">
        <f t="shared" si="88"/>
        <v>#VALUE!</v>
      </c>
      <c r="Z252" s="201" t="e">
        <f t="shared" si="77"/>
        <v>#VALUE!</v>
      </c>
      <c r="AA252" s="201" t="e">
        <f t="shared" ca="1" si="89"/>
        <v>#NUM!</v>
      </c>
      <c r="AB252" s="201" t="e">
        <f t="shared" si="90"/>
        <v>#VALUE!</v>
      </c>
      <c r="AC252" s="201" t="e">
        <f t="shared" ca="1" si="78"/>
        <v>#NUM!</v>
      </c>
    </row>
    <row r="253" spans="2:29" x14ac:dyDescent="0.3">
      <c r="B253" s="84" t="str">
        <f t="shared" si="75"/>
        <v/>
      </c>
      <c r="C253" s="85" t="str">
        <f>IF($B253="","",'Fecha Pago'!K245)</f>
        <v/>
      </c>
      <c r="D253" s="86" t="str">
        <f>IF($B$12="","",'Fecha Pago'!L245)</f>
        <v/>
      </c>
      <c r="E253" s="87" t="str">
        <f t="shared" si="62"/>
        <v/>
      </c>
      <c r="F253" s="86" t="str">
        <f t="shared" si="79"/>
        <v/>
      </c>
      <c r="G253" s="86" t="str">
        <f t="shared" si="80"/>
        <v/>
      </c>
      <c r="H253" s="86" t="str">
        <f t="shared" si="81"/>
        <v/>
      </c>
      <c r="I253" s="86" t="str">
        <f>IF(B253="","",IF(Simulador!$F$9="Liquidez",'Tabla Fijos'!H253*0.16,IF(Simulador!$J$9="SI",H253*0.16,0)))</f>
        <v/>
      </c>
      <c r="J253" s="86" t="str">
        <f t="shared" si="82"/>
        <v/>
      </c>
      <c r="K253" s="86" t="str">
        <f t="shared" si="76"/>
        <v/>
      </c>
      <c r="L253" s="86" t="str">
        <f>IF(B253="","",IF(F253=0,0,IF(Sheet1!$I$10=6,'Tabla Fijos'!$C$3*'Tabla Fijos'!$F$5,$F$5*$C$5)))</f>
        <v/>
      </c>
      <c r="M253" s="86" t="str">
        <f t="shared" si="65"/>
        <v/>
      </c>
      <c r="N253" s="86" t="str">
        <f>IF(B253="","",IF(F253=0,0,IF(Simulador!$N$7='Tabla Parámetros'!$C$31,AportPat!L245,IF(Simulador!$N$7='Tabla Parámetros'!$C$34,AportPatFov!G243,0))))</f>
        <v/>
      </c>
      <c r="O253" s="86">
        <f>Simulador!N308</f>
        <v>0</v>
      </c>
      <c r="P253" s="86"/>
      <c r="Q253" s="86">
        <v>0</v>
      </c>
      <c r="R253" s="86" t="e">
        <f t="shared" si="83"/>
        <v>#VALUE!</v>
      </c>
      <c r="S253" s="86" t="str">
        <f t="shared" si="84"/>
        <v/>
      </c>
      <c r="U253" s="201" t="e">
        <f t="shared" si="68"/>
        <v>#VALUE!</v>
      </c>
      <c r="V253" s="201" t="e">
        <f t="shared" si="85"/>
        <v>#VALUE!</v>
      </c>
      <c r="W253" s="202" t="e">
        <f t="shared" si="86"/>
        <v>#VALUE!</v>
      </c>
      <c r="X253" s="201" t="e">
        <f t="shared" si="87"/>
        <v>#VALUE!</v>
      </c>
      <c r="Y253" s="201" t="e">
        <f t="shared" si="88"/>
        <v>#VALUE!</v>
      </c>
      <c r="Z253" s="201" t="e">
        <f t="shared" si="77"/>
        <v>#VALUE!</v>
      </c>
      <c r="AA253" s="201" t="e">
        <f t="shared" si="89"/>
        <v>#VALUE!</v>
      </c>
      <c r="AB253" s="201" t="e">
        <f t="shared" si="90"/>
        <v>#VALUE!</v>
      </c>
      <c r="AC253" s="201" t="e">
        <f t="shared" si="78"/>
        <v>#VALUE!</v>
      </c>
    </row>
    <row r="254" spans="2:29" x14ac:dyDescent="0.3">
      <c r="B254" s="84" t="str">
        <f t="shared" si="75"/>
        <v/>
      </c>
      <c r="C254" s="85" t="str">
        <f>IF($B254="","",'Fecha Pago'!K246)</f>
        <v/>
      </c>
      <c r="D254" s="86" t="str">
        <f>IF($B$12="","",'Fecha Pago'!L246)</f>
        <v/>
      </c>
      <c r="E254" s="87" t="str">
        <f t="shared" si="62"/>
        <v/>
      </c>
      <c r="F254" s="86" t="str">
        <f t="shared" si="79"/>
        <v/>
      </c>
      <c r="G254" s="86" t="str">
        <f t="shared" si="80"/>
        <v/>
      </c>
      <c r="H254" s="86" t="str">
        <f t="shared" si="81"/>
        <v/>
      </c>
      <c r="I254" s="86" t="str">
        <f>IF(B254="","",IF(Simulador!$F$9="Liquidez",'Tabla Fijos'!H254*0.16,IF(Simulador!$J$9="SI",H254*0.16,0)))</f>
        <v/>
      </c>
      <c r="J254" s="86" t="str">
        <f t="shared" si="82"/>
        <v/>
      </c>
      <c r="K254" s="86" t="str">
        <f t="shared" si="76"/>
        <v/>
      </c>
      <c r="L254" s="86" t="str">
        <f>IF(B254="","",IF(F254=0,0,IF(Sheet1!$I$10=6,'Tabla Fijos'!$C$3*'Tabla Fijos'!$F$5,$F$5*$C$5)))</f>
        <v/>
      </c>
      <c r="M254" s="86" t="str">
        <f t="shared" si="65"/>
        <v/>
      </c>
      <c r="N254" s="86" t="str">
        <f>IF(B254="","",IF(F254=0,0,IF(Simulador!$N$7='Tabla Parámetros'!$C$31,AportPat!L246,IF(Simulador!$N$7='Tabla Parámetros'!$C$34,AportPatFov!G244,0))))</f>
        <v/>
      </c>
      <c r="O254" s="86">
        <f>Simulador!N309</f>
        <v>0</v>
      </c>
      <c r="P254" s="86"/>
      <c r="Q254" s="86">
        <v>0</v>
      </c>
      <c r="R254" s="86" t="e">
        <f t="shared" si="83"/>
        <v>#VALUE!</v>
      </c>
      <c r="S254" s="86" t="str">
        <f t="shared" si="84"/>
        <v/>
      </c>
      <c r="U254" s="201" t="e">
        <f t="shared" si="68"/>
        <v>#VALUE!</v>
      </c>
      <c r="V254" s="201" t="e">
        <f t="shared" si="85"/>
        <v>#VALUE!</v>
      </c>
      <c r="W254" s="202" t="e">
        <f t="shared" si="86"/>
        <v>#VALUE!</v>
      </c>
      <c r="X254" s="201" t="e">
        <f t="shared" si="87"/>
        <v>#VALUE!</v>
      </c>
      <c r="Y254" s="201" t="e">
        <f t="shared" si="88"/>
        <v>#VALUE!</v>
      </c>
      <c r="Z254" s="201" t="e">
        <f t="shared" si="77"/>
        <v>#VALUE!</v>
      </c>
      <c r="AA254" s="201" t="e">
        <f t="shared" si="89"/>
        <v>#VALUE!</v>
      </c>
      <c r="AB254" s="201" t="e">
        <f t="shared" si="90"/>
        <v>#VALUE!</v>
      </c>
      <c r="AC254" s="201" t="e">
        <f t="shared" si="78"/>
        <v>#VALUE!</v>
      </c>
    </row>
    <row r="255" spans="2:29" x14ac:dyDescent="0.3">
      <c r="B255" s="84" t="str">
        <f t="shared" si="75"/>
        <v/>
      </c>
      <c r="C255" s="85" t="str">
        <f>IF($B255="","",'Fecha Pago'!K247)</f>
        <v/>
      </c>
      <c r="D255" s="86" t="str">
        <f>IF($B$12="","",'Fecha Pago'!L247)</f>
        <v/>
      </c>
      <c r="E255" s="87" t="str">
        <f t="shared" si="62"/>
        <v/>
      </c>
      <c r="F255" s="86" t="str">
        <f t="shared" si="79"/>
        <v/>
      </c>
      <c r="G255" s="86" t="str">
        <f t="shared" si="80"/>
        <v/>
      </c>
      <c r="H255" s="86" t="str">
        <f t="shared" si="81"/>
        <v/>
      </c>
      <c r="I255" s="86" t="str">
        <f>IF(B255="","",IF(Simulador!$F$9="Liquidez",'Tabla Fijos'!H255*0.16,IF(Simulador!$J$9="SI",H255*0.16,0)))</f>
        <v/>
      </c>
      <c r="J255" s="86" t="str">
        <f t="shared" si="82"/>
        <v/>
      </c>
      <c r="K255" s="86" t="str">
        <f t="shared" si="76"/>
        <v/>
      </c>
      <c r="L255" s="86" t="str">
        <f>IF(B255="","",IF(F255=0,0,IF(Sheet1!$I$10=6,'Tabla Fijos'!$C$3*'Tabla Fijos'!$F$5,$F$5*$C$5)))</f>
        <v/>
      </c>
      <c r="M255" s="86" t="str">
        <f t="shared" si="65"/>
        <v/>
      </c>
      <c r="N255" s="86" t="str">
        <f>IF(B255="","",IF(F255=0,0,IF(Simulador!$N$7='Tabla Parámetros'!$C$31,AportPat!L247,IF(Simulador!$N$7='Tabla Parámetros'!$C$34,AportPatFov!G245,0))))</f>
        <v/>
      </c>
      <c r="O255" s="86">
        <f>Simulador!N310</f>
        <v>0</v>
      </c>
      <c r="P255" s="86"/>
      <c r="Q255" s="86">
        <v>0</v>
      </c>
      <c r="R255" s="86" t="e">
        <f t="shared" si="83"/>
        <v>#VALUE!</v>
      </c>
      <c r="S255" s="86" t="str">
        <f t="shared" si="84"/>
        <v/>
      </c>
      <c r="U255" s="201" t="e">
        <f t="shared" si="68"/>
        <v>#VALUE!</v>
      </c>
      <c r="V255" s="201" t="e">
        <f t="shared" si="85"/>
        <v>#VALUE!</v>
      </c>
      <c r="W255" s="202" t="e">
        <f t="shared" si="86"/>
        <v>#VALUE!</v>
      </c>
      <c r="X255" s="201" t="e">
        <f t="shared" si="87"/>
        <v>#VALUE!</v>
      </c>
      <c r="Y255" s="201" t="e">
        <f t="shared" si="88"/>
        <v>#VALUE!</v>
      </c>
      <c r="Z255" s="201" t="e">
        <f t="shared" si="77"/>
        <v>#VALUE!</v>
      </c>
      <c r="AA255" s="201" t="e">
        <f t="shared" si="89"/>
        <v>#VALUE!</v>
      </c>
      <c r="AB255" s="201" t="e">
        <f t="shared" si="90"/>
        <v>#VALUE!</v>
      </c>
      <c r="AC255" s="201" t="e">
        <f t="shared" si="78"/>
        <v>#VALUE!</v>
      </c>
    </row>
    <row r="256" spans="2:29" x14ac:dyDescent="0.3">
      <c r="B256" s="84" t="str">
        <f t="shared" si="75"/>
        <v/>
      </c>
      <c r="C256" s="85" t="str">
        <f>IF($B256="","",'Fecha Pago'!K248)</f>
        <v/>
      </c>
      <c r="D256" s="86" t="str">
        <f>IF($B$12="","",'Fecha Pago'!L248)</f>
        <v/>
      </c>
      <c r="E256" s="87" t="str">
        <f t="shared" si="62"/>
        <v/>
      </c>
      <c r="F256" s="86" t="str">
        <f t="shared" si="79"/>
        <v/>
      </c>
      <c r="G256" s="86" t="str">
        <f t="shared" si="80"/>
        <v/>
      </c>
      <c r="H256" s="86" t="str">
        <f t="shared" si="81"/>
        <v/>
      </c>
      <c r="I256" s="86" t="str">
        <f>IF(B256="","",IF(Simulador!$F$9="Liquidez",'Tabla Fijos'!H256*0.16,IF(Simulador!$J$9="SI",H256*0.16,0)))</f>
        <v/>
      </c>
      <c r="J256" s="86" t="str">
        <f t="shared" si="82"/>
        <v/>
      </c>
      <c r="K256" s="86" t="str">
        <f t="shared" si="76"/>
        <v/>
      </c>
      <c r="L256" s="86" t="str">
        <f>IF(B256="","",IF(F256=0,0,IF(Sheet1!$I$10=6,'Tabla Fijos'!$C$3*'Tabla Fijos'!$F$5,$F$5*$C$5)))</f>
        <v/>
      </c>
      <c r="M256" s="86" t="str">
        <f t="shared" si="65"/>
        <v/>
      </c>
      <c r="N256" s="86" t="str">
        <f>IF(B256="","",IF(F256=0,0,IF(Simulador!$N$7='Tabla Parámetros'!$C$31,AportPat!L248,IF(Simulador!$N$7='Tabla Parámetros'!$C$34,AportPatFov!G246,0))))</f>
        <v/>
      </c>
      <c r="O256" s="86">
        <f>Simulador!N311</f>
        <v>0</v>
      </c>
      <c r="P256" s="86"/>
      <c r="Q256" s="86">
        <v>0</v>
      </c>
      <c r="R256" s="86" t="e">
        <f t="shared" si="83"/>
        <v>#VALUE!</v>
      </c>
      <c r="S256" s="86" t="str">
        <f t="shared" si="84"/>
        <v/>
      </c>
      <c r="U256" s="201" t="e">
        <f t="shared" si="68"/>
        <v>#VALUE!</v>
      </c>
      <c r="V256" s="201" t="e">
        <f t="shared" si="85"/>
        <v>#VALUE!</v>
      </c>
      <c r="W256" s="202" t="e">
        <f t="shared" si="86"/>
        <v>#VALUE!</v>
      </c>
      <c r="X256" s="201" t="e">
        <f t="shared" si="87"/>
        <v>#VALUE!</v>
      </c>
      <c r="Y256" s="201" t="e">
        <f t="shared" si="88"/>
        <v>#VALUE!</v>
      </c>
      <c r="Z256" s="201" t="e">
        <f t="shared" si="77"/>
        <v>#VALUE!</v>
      </c>
      <c r="AA256" s="201" t="e">
        <f t="shared" si="89"/>
        <v>#VALUE!</v>
      </c>
      <c r="AB256" s="201" t="e">
        <f t="shared" si="90"/>
        <v>#VALUE!</v>
      </c>
      <c r="AC256" s="201" t="e">
        <f t="shared" si="78"/>
        <v>#VALUE!</v>
      </c>
    </row>
    <row r="257" spans="2:29" x14ac:dyDescent="0.3">
      <c r="B257" s="84" t="str">
        <f t="shared" si="75"/>
        <v/>
      </c>
      <c r="C257" s="85" t="str">
        <f>IF($B257="","",'Fecha Pago'!K249)</f>
        <v/>
      </c>
      <c r="D257" s="86" t="str">
        <f>IF($B$12="","",'Fecha Pago'!L249)</f>
        <v/>
      </c>
      <c r="E257" s="87" t="str">
        <f t="shared" si="62"/>
        <v/>
      </c>
      <c r="F257" s="86" t="str">
        <f t="shared" si="79"/>
        <v/>
      </c>
      <c r="G257" s="86" t="str">
        <f t="shared" si="80"/>
        <v/>
      </c>
      <c r="H257" s="86" t="str">
        <f t="shared" si="81"/>
        <v/>
      </c>
      <c r="I257" s="86" t="str">
        <f>IF(B257="","",IF(Simulador!$F$9="Liquidez",'Tabla Fijos'!H257*0.16,IF(Simulador!$J$9="SI",H257*0.16,0)))</f>
        <v/>
      </c>
      <c r="J257" s="86" t="str">
        <f t="shared" si="82"/>
        <v/>
      </c>
      <c r="K257" s="86" t="str">
        <f t="shared" si="76"/>
        <v/>
      </c>
      <c r="L257" s="86" t="str">
        <f>IF(B257="","",IF(F257=0,0,IF(Sheet1!$I$10=6,'Tabla Fijos'!$C$3*'Tabla Fijos'!$F$5,$F$5*$C$5)))</f>
        <v/>
      </c>
      <c r="M257" s="86" t="str">
        <f t="shared" si="65"/>
        <v/>
      </c>
      <c r="N257" s="86" t="str">
        <f>IF(B257="","",IF(F257=0,0,IF(Simulador!$N$7='Tabla Parámetros'!$C$31,AportPat!L249,IF(Simulador!$N$7='Tabla Parámetros'!$C$34,AportPatFov!G247,0))))</f>
        <v/>
      </c>
      <c r="O257" s="86">
        <f>Simulador!N312</f>
        <v>0</v>
      </c>
      <c r="P257" s="86"/>
      <c r="Q257" s="86">
        <v>0</v>
      </c>
      <c r="R257" s="86" t="e">
        <f t="shared" si="83"/>
        <v>#VALUE!</v>
      </c>
      <c r="S257" s="86" t="str">
        <f t="shared" si="84"/>
        <v/>
      </c>
      <c r="U257" s="201" t="e">
        <f t="shared" si="68"/>
        <v>#VALUE!</v>
      </c>
      <c r="V257" s="201" t="e">
        <f t="shared" si="85"/>
        <v>#VALUE!</v>
      </c>
      <c r="W257" s="202" t="e">
        <f t="shared" si="86"/>
        <v>#VALUE!</v>
      </c>
      <c r="X257" s="201" t="e">
        <f t="shared" si="87"/>
        <v>#VALUE!</v>
      </c>
      <c r="Y257" s="201" t="e">
        <f t="shared" si="88"/>
        <v>#VALUE!</v>
      </c>
      <c r="Z257" s="201" t="e">
        <f t="shared" si="77"/>
        <v>#VALUE!</v>
      </c>
      <c r="AA257" s="201" t="e">
        <f t="shared" si="89"/>
        <v>#VALUE!</v>
      </c>
      <c r="AB257" s="201" t="e">
        <f t="shared" si="90"/>
        <v>#VALUE!</v>
      </c>
      <c r="AC257" s="201" t="e">
        <f t="shared" si="78"/>
        <v>#VALUE!</v>
      </c>
    </row>
    <row r="258" spans="2:29" x14ac:dyDescent="0.3">
      <c r="B258" s="84" t="str">
        <f t="shared" si="75"/>
        <v/>
      </c>
      <c r="C258" s="85" t="str">
        <f>IF($B258="","",'Fecha Pago'!K250)</f>
        <v/>
      </c>
      <c r="D258" s="86" t="str">
        <f>IF($B$12="","",'Fecha Pago'!L250)</f>
        <v/>
      </c>
      <c r="E258" s="87" t="str">
        <f t="shared" si="62"/>
        <v/>
      </c>
      <c r="F258" s="86" t="str">
        <f t="shared" si="79"/>
        <v/>
      </c>
      <c r="G258" s="86" t="str">
        <f t="shared" si="80"/>
        <v/>
      </c>
      <c r="H258" s="86" t="str">
        <f t="shared" si="81"/>
        <v/>
      </c>
      <c r="I258" s="86" t="str">
        <f>IF(B258="","",IF(Simulador!$F$9="Liquidez",'Tabla Fijos'!H258*0.16,IF(Simulador!$J$9="SI",H258*0.16,0)))</f>
        <v/>
      </c>
      <c r="J258" s="86" t="str">
        <f t="shared" si="82"/>
        <v/>
      </c>
      <c r="K258" s="86" t="str">
        <f t="shared" si="76"/>
        <v/>
      </c>
      <c r="L258" s="86" t="str">
        <f>IF(B258="","",IF(F258=0,0,IF(Sheet1!$I$10=6,'Tabla Fijos'!$C$3*'Tabla Fijos'!$F$5,$F$5*$C$5)))</f>
        <v/>
      </c>
      <c r="M258" s="86" t="str">
        <f t="shared" si="65"/>
        <v/>
      </c>
      <c r="N258" s="86" t="str">
        <f>IF(B258="","",IF(F258=0,0,IF(Simulador!$N$7='Tabla Parámetros'!$C$31,AportPat!L250,IF(Simulador!$N$7='Tabla Parámetros'!$C$34,AportPatFov!G248,0))))</f>
        <v/>
      </c>
      <c r="O258" s="86">
        <f>Simulador!N313</f>
        <v>0</v>
      </c>
      <c r="P258" s="86"/>
      <c r="Q258" s="86">
        <v>0</v>
      </c>
      <c r="R258" s="86" t="e">
        <f t="shared" si="83"/>
        <v>#VALUE!</v>
      </c>
      <c r="S258" s="86" t="str">
        <f t="shared" si="84"/>
        <v/>
      </c>
      <c r="U258" s="201" t="e">
        <f t="shared" si="68"/>
        <v>#VALUE!</v>
      </c>
      <c r="V258" s="201" t="e">
        <f t="shared" si="85"/>
        <v>#VALUE!</v>
      </c>
      <c r="W258" s="202" t="e">
        <f t="shared" si="86"/>
        <v>#VALUE!</v>
      </c>
      <c r="X258" s="201" t="e">
        <f t="shared" si="87"/>
        <v>#VALUE!</v>
      </c>
      <c r="Y258" s="201" t="e">
        <f t="shared" si="88"/>
        <v>#VALUE!</v>
      </c>
      <c r="Z258" s="201" t="e">
        <f t="shared" si="77"/>
        <v>#VALUE!</v>
      </c>
      <c r="AA258" s="201" t="e">
        <f t="shared" si="89"/>
        <v>#VALUE!</v>
      </c>
      <c r="AB258" s="201" t="e">
        <f t="shared" si="90"/>
        <v>#VALUE!</v>
      </c>
      <c r="AC258" s="201" t="e">
        <f t="shared" si="78"/>
        <v>#VALUE!</v>
      </c>
    </row>
    <row r="259" spans="2:29" x14ac:dyDescent="0.3">
      <c r="B259" s="84" t="str">
        <f t="shared" si="75"/>
        <v/>
      </c>
      <c r="C259" s="85" t="str">
        <f>IF($B259="","",'Fecha Pago'!K251)</f>
        <v/>
      </c>
      <c r="D259" s="86" t="str">
        <f>IF($B$12="","",'Fecha Pago'!L251)</f>
        <v/>
      </c>
      <c r="E259" s="87" t="str">
        <f t="shared" si="62"/>
        <v/>
      </c>
      <c r="F259" s="86" t="str">
        <f t="shared" si="79"/>
        <v/>
      </c>
      <c r="G259" s="86" t="str">
        <f t="shared" si="80"/>
        <v/>
      </c>
      <c r="H259" s="86" t="str">
        <f t="shared" si="81"/>
        <v/>
      </c>
      <c r="I259" s="86" t="str">
        <f>IF(B259="","",IF(Simulador!$F$9="Liquidez",'Tabla Fijos'!H259*0.16,IF(Simulador!$J$9="SI",H259*0.16,0)))</f>
        <v/>
      </c>
      <c r="J259" s="86" t="str">
        <f t="shared" si="82"/>
        <v/>
      </c>
      <c r="K259" s="86" t="str">
        <f t="shared" si="76"/>
        <v/>
      </c>
      <c r="L259" s="86" t="str">
        <f>IF(B259="","",IF(F259=0,0,IF(Sheet1!$I$10=6,'Tabla Fijos'!$C$3*'Tabla Fijos'!$F$5,$F$5*$C$5)))</f>
        <v/>
      </c>
      <c r="M259" s="86" t="str">
        <f t="shared" si="65"/>
        <v/>
      </c>
      <c r="N259" s="86" t="str">
        <f>IF(B259="","",IF(F259=0,0,IF(Simulador!$N$7='Tabla Parámetros'!$C$31,AportPat!L251,IF(Simulador!$N$7='Tabla Parámetros'!$C$34,AportPatFov!G249,0))))</f>
        <v/>
      </c>
      <c r="O259" s="86">
        <f>Simulador!N314</f>
        <v>0</v>
      </c>
      <c r="P259" s="86"/>
      <c r="Q259" s="86">
        <v>0</v>
      </c>
      <c r="R259" s="86" t="e">
        <f t="shared" si="83"/>
        <v>#VALUE!</v>
      </c>
      <c r="S259" s="86" t="str">
        <f t="shared" si="84"/>
        <v/>
      </c>
      <c r="U259" s="201" t="e">
        <f t="shared" si="68"/>
        <v>#VALUE!</v>
      </c>
      <c r="V259" s="201" t="e">
        <f t="shared" si="85"/>
        <v>#VALUE!</v>
      </c>
      <c r="W259" s="202" t="e">
        <f t="shared" si="86"/>
        <v>#VALUE!</v>
      </c>
      <c r="X259" s="201" t="e">
        <f t="shared" si="87"/>
        <v>#VALUE!</v>
      </c>
      <c r="Y259" s="201" t="e">
        <f t="shared" si="88"/>
        <v>#VALUE!</v>
      </c>
      <c r="Z259" s="201" t="e">
        <f t="shared" si="77"/>
        <v>#VALUE!</v>
      </c>
      <c r="AA259" s="201" t="e">
        <f t="shared" si="89"/>
        <v>#VALUE!</v>
      </c>
      <c r="AB259" s="201" t="e">
        <f t="shared" si="90"/>
        <v>#VALUE!</v>
      </c>
      <c r="AC259" s="201" t="e">
        <f t="shared" si="78"/>
        <v>#VALUE!</v>
      </c>
    </row>
    <row r="260" spans="2:29" x14ac:dyDescent="0.3">
      <c r="B260" s="84" t="str">
        <f t="shared" si="75"/>
        <v/>
      </c>
      <c r="C260" s="85" t="str">
        <f>IF($B260="","",'Fecha Pago'!K252)</f>
        <v/>
      </c>
      <c r="D260" s="86" t="str">
        <f>IF($B$12="","",'Fecha Pago'!L252)</f>
        <v/>
      </c>
      <c r="E260" s="87" t="str">
        <f t="shared" si="62"/>
        <v/>
      </c>
      <c r="F260" s="86" t="str">
        <f t="shared" si="79"/>
        <v/>
      </c>
      <c r="G260" s="86" t="str">
        <f t="shared" si="80"/>
        <v/>
      </c>
      <c r="H260" s="86" t="str">
        <f t="shared" si="81"/>
        <v/>
      </c>
      <c r="I260" s="86" t="str">
        <f>IF(B260="","",IF(Simulador!$F$9="Liquidez",'Tabla Fijos'!H260*0.16,IF(Simulador!$J$9="SI",H260*0.16,0)))</f>
        <v/>
      </c>
      <c r="J260" s="86" t="str">
        <f t="shared" si="82"/>
        <v/>
      </c>
      <c r="K260" s="86" t="str">
        <f t="shared" si="76"/>
        <v/>
      </c>
      <c r="L260" s="86" t="str">
        <f>IF(B260="","",IF(F260=0,0,IF(Sheet1!$I$10=6,'Tabla Fijos'!$C$3*'Tabla Fijos'!$F$5,$F$5*$C$5)))</f>
        <v/>
      </c>
      <c r="M260" s="86" t="str">
        <f t="shared" si="65"/>
        <v/>
      </c>
      <c r="N260" s="86" t="str">
        <f>IF(B260="","",IF(F260=0,0,IF(Simulador!$N$7='Tabla Parámetros'!$C$31,AportPat!L252,IF(Simulador!$N$7='Tabla Parámetros'!$C$34,AportPatFov!G250,0))))</f>
        <v/>
      </c>
      <c r="O260" s="86">
        <f>Simulador!N315</f>
        <v>0</v>
      </c>
      <c r="P260" s="86"/>
      <c r="Q260" s="86">
        <v>0</v>
      </c>
      <c r="R260" s="86" t="e">
        <f t="shared" si="83"/>
        <v>#VALUE!</v>
      </c>
      <c r="S260" s="86" t="str">
        <f t="shared" si="84"/>
        <v/>
      </c>
      <c r="U260" s="201" t="e">
        <f t="shared" si="68"/>
        <v>#VALUE!</v>
      </c>
      <c r="V260" s="201" t="e">
        <f t="shared" si="85"/>
        <v>#VALUE!</v>
      </c>
      <c r="W260" s="202" t="e">
        <f t="shared" si="86"/>
        <v>#VALUE!</v>
      </c>
      <c r="X260" s="201" t="e">
        <f t="shared" si="87"/>
        <v>#VALUE!</v>
      </c>
      <c r="Y260" s="201" t="e">
        <f t="shared" si="88"/>
        <v>#VALUE!</v>
      </c>
      <c r="Z260" s="201" t="e">
        <f t="shared" si="77"/>
        <v>#VALUE!</v>
      </c>
      <c r="AA260" s="201" t="e">
        <f t="shared" si="89"/>
        <v>#VALUE!</v>
      </c>
      <c r="AB260" s="201" t="e">
        <f t="shared" si="90"/>
        <v>#VALUE!</v>
      </c>
      <c r="AC260" s="201" t="e">
        <f t="shared" si="78"/>
        <v>#VALUE!</v>
      </c>
    </row>
    <row r="261" spans="2:29" x14ac:dyDescent="0.3">
      <c r="B261" s="84" t="str">
        <f t="shared" si="75"/>
        <v/>
      </c>
      <c r="C261" s="85" t="str">
        <f>IF($B261="","",'Fecha Pago'!K253)</f>
        <v/>
      </c>
      <c r="D261" s="86" t="str">
        <f>IF($B$12="","",'Fecha Pago'!L253)</f>
        <v/>
      </c>
      <c r="E261" s="87" t="str">
        <f t="shared" si="62"/>
        <v/>
      </c>
      <c r="F261" s="86" t="str">
        <f t="shared" si="79"/>
        <v/>
      </c>
      <c r="G261" s="86" t="str">
        <f t="shared" si="80"/>
        <v/>
      </c>
      <c r="H261" s="86" t="str">
        <f t="shared" si="81"/>
        <v/>
      </c>
      <c r="I261" s="86" t="str">
        <f>IF(B261="","",IF(Simulador!$F$9="Liquidez",'Tabla Fijos'!H261*0.16,IF(Simulador!$J$9="SI",H261*0.16,0)))</f>
        <v/>
      </c>
      <c r="J261" s="86" t="str">
        <f t="shared" si="82"/>
        <v/>
      </c>
      <c r="K261" s="86" t="str">
        <f t="shared" si="76"/>
        <v/>
      </c>
      <c r="L261" s="86" t="str">
        <f>IF(B261="","",IF(F261=0,0,IF(Sheet1!$I$10=6,'Tabla Fijos'!$C$3*'Tabla Fijos'!$F$5,$F$5*$C$5)))</f>
        <v/>
      </c>
      <c r="M261" s="86" t="str">
        <f t="shared" si="65"/>
        <v/>
      </c>
      <c r="N261" s="86" t="str">
        <f>IF(B261="","",IF(F261=0,0,IF(Simulador!$N$7='Tabla Parámetros'!$C$31,AportPat!L253,IF(Simulador!$N$7='Tabla Parámetros'!$C$34,AportPatFov!G251,0))))</f>
        <v/>
      </c>
      <c r="O261" s="86">
        <f>Simulador!N316</f>
        <v>0</v>
      </c>
      <c r="P261" s="86"/>
      <c r="Q261" s="86">
        <v>0</v>
      </c>
      <c r="R261" s="86" t="e">
        <f t="shared" si="83"/>
        <v>#VALUE!</v>
      </c>
      <c r="S261" s="86" t="str">
        <f t="shared" si="84"/>
        <v/>
      </c>
      <c r="U261" s="201" t="e">
        <f t="shared" si="68"/>
        <v>#VALUE!</v>
      </c>
      <c r="V261" s="201" t="e">
        <f t="shared" si="85"/>
        <v>#VALUE!</v>
      </c>
      <c r="W261" s="202" t="e">
        <f t="shared" si="86"/>
        <v>#VALUE!</v>
      </c>
      <c r="X261" s="201" t="e">
        <f t="shared" si="87"/>
        <v>#VALUE!</v>
      </c>
      <c r="Y261" s="201" t="e">
        <f t="shared" si="88"/>
        <v>#VALUE!</v>
      </c>
      <c r="Z261" s="201" t="e">
        <f t="shared" si="77"/>
        <v>#VALUE!</v>
      </c>
      <c r="AA261" s="201" t="e">
        <f t="shared" si="89"/>
        <v>#VALUE!</v>
      </c>
      <c r="AB261" s="201" t="e">
        <f t="shared" si="90"/>
        <v>#VALUE!</v>
      </c>
      <c r="AC261" s="201" t="e">
        <f t="shared" si="78"/>
        <v>#VALUE!</v>
      </c>
    </row>
    <row r="262" spans="2:29" x14ac:dyDescent="0.3">
      <c r="B262" s="84" t="str">
        <f t="shared" si="75"/>
        <v/>
      </c>
      <c r="C262" s="85" t="str">
        <f>IF($B262="","",'Fecha Pago'!K254)</f>
        <v/>
      </c>
      <c r="D262" s="86" t="str">
        <f>IF($B$12="","",'Fecha Pago'!L254)</f>
        <v/>
      </c>
      <c r="E262" s="87" t="str">
        <f t="shared" si="62"/>
        <v/>
      </c>
      <c r="F262" s="86" t="str">
        <f t="shared" si="79"/>
        <v/>
      </c>
      <c r="G262" s="86" t="str">
        <f t="shared" ref="G262:G281" si="91">IF(B262="","",IF((J262-H262)&gt;F262,F262,IF($S$7=$U$10,U262,IF($S$7=$X$10,X262,IF($S$7=$AA$10,AA262,)))))</f>
        <v/>
      </c>
      <c r="H262" s="86" t="str">
        <f t="shared" si="81"/>
        <v/>
      </c>
      <c r="I262" s="86" t="str">
        <f>IF(B262="","",IF(Simulador!$F$9="Liquidez",'Tabla Fijos'!H262*0.16,IF(Simulador!$J$9="SI",H262*0.16,0)))</f>
        <v/>
      </c>
      <c r="J262" s="86" t="str">
        <f t="shared" si="82"/>
        <v/>
      </c>
      <c r="K262" s="86" t="str">
        <f t="shared" si="76"/>
        <v/>
      </c>
      <c r="L262" s="86" t="str">
        <f>IF(B262="","",IF(F262=0,0,IF(Sheet1!$I$10=6,'Tabla Fijos'!$C$3*'Tabla Fijos'!$F$5,$F$5*$C$5)))</f>
        <v/>
      </c>
      <c r="M262" s="86" t="str">
        <f t="shared" si="65"/>
        <v/>
      </c>
      <c r="N262" s="86" t="str">
        <f>IF(B262="","",IF(F262=0,0,IF(Simulador!$N$7='Tabla Parámetros'!$C$31,AportPat!L254,IF(Simulador!$N$7='Tabla Parámetros'!$C$34,AportPatFov!G252,0))))</f>
        <v/>
      </c>
      <c r="O262" s="86">
        <f>Simulador!N317</f>
        <v>0</v>
      </c>
      <c r="P262" s="86"/>
      <c r="Q262" s="86">
        <v>0</v>
      </c>
      <c r="R262" s="86" t="e">
        <f t="shared" si="83"/>
        <v>#VALUE!</v>
      </c>
      <c r="S262" s="86" t="str">
        <f t="shared" si="84"/>
        <v/>
      </c>
      <c r="U262" s="201" t="e">
        <f t="shared" si="68"/>
        <v>#VALUE!</v>
      </c>
      <c r="V262" s="201" t="e">
        <f t="shared" si="85"/>
        <v>#VALUE!</v>
      </c>
      <c r="W262" s="202" t="e">
        <f t="shared" si="86"/>
        <v>#VALUE!</v>
      </c>
      <c r="X262" s="201" t="e">
        <f t="shared" si="87"/>
        <v>#VALUE!</v>
      </c>
      <c r="Y262" s="201" t="e">
        <f t="shared" si="88"/>
        <v>#VALUE!</v>
      </c>
      <c r="Z262" s="201" t="e">
        <f t="shared" si="77"/>
        <v>#VALUE!</v>
      </c>
      <c r="AA262" s="201" t="e">
        <f t="shared" si="89"/>
        <v>#VALUE!</v>
      </c>
      <c r="AB262" s="201" t="e">
        <f t="shared" si="90"/>
        <v>#VALUE!</v>
      </c>
      <c r="AC262" s="201" t="e">
        <f t="shared" si="78"/>
        <v>#VALUE!</v>
      </c>
    </row>
    <row r="263" spans="2:29" x14ac:dyDescent="0.3">
      <c r="B263" s="84" t="str">
        <f t="shared" si="75"/>
        <v/>
      </c>
      <c r="C263" s="85" t="str">
        <f>IF($B263="","",'Fecha Pago'!K255)</f>
        <v/>
      </c>
      <c r="D263" s="86" t="str">
        <f>IF($B$12="","",'Fecha Pago'!L255)</f>
        <v/>
      </c>
      <c r="E263" s="87" t="str">
        <f t="shared" si="62"/>
        <v/>
      </c>
      <c r="F263" s="86" t="str">
        <f t="shared" si="79"/>
        <v/>
      </c>
      <c r="G263" s="86" t="str">
        <f t="shared" si="91"/>
        <v/>
      </c>
      <c r="H263" s="86" t="str">
        <f t="shared" si="81"/>
        <v/>
      </c>
      <c r="I263" s="86" t="str">
        <f>IF(B263="","",IF(Simulador!$F$9="Liquidez",'Tabla Fijos'!H263*0.16,IF(Simulador!$J$9="SI",H263*0.16,0)))</f>
        <v/>
      </c>
      <c r="J263" s="86" t="str">
        <f t="shared" si="82"/>
        <v/>
      </c>
      <c r="K263" s="86" t="str">
        <f t="shared" si="76"/>
        <v/>
      </c>
      <c r="L263" s="86" t="str">
        <f>IF(B263="","",IF(F263=0,0,IF(Sheet1!$I$10=6,'Tabla Fijos'!$C$3*'Tabla Fijos'!$F$5,$F$5*$C$5)))</f>
        <v/>
      </c>
      <c r="M263" s="86" t="str">
        <f t="shared" si="65"/>
        <v/>
      </c>
      <c r="N263" s="86" t="str">
        <f>IF(B263="","",IF(F263=0,0,IF(Simulador!$N$7='Tabla Parámetros'!$C$31,AportPat!L255,IF(Simulador!$N$7='Tabla Parámetros'!$C$34,AportPatFov!G253,0))))</f>
        <v/>
      </c>
      <c r="O263" s="86">
        <f>Simulador!N318</f>
        <v>0</v>
      </c>
      <c r="P263" s="86"/>
      <c r="Q263" s="86">
        <v>0</v>
      </c>
      <c r="R263" s="86" t="e">
        <f t="shared" si="83"/>
        <v>#VALUE!</v>
      </c>
      <c r="S263" s="86" t="str">
        <f t="shared" si="84"/>
        <v/>
      </c>
      <c r="U263" s="201" t="e">
        <f t="shared" si="68"/>
        <v>#VALUE!</v>
      </c>
      <c r="V263" s="201" t="e">
        <f t="shared" si="85"/>
        <v>#VALUE!</v>
      </c>
      <c r="W263" s="202" t="e">
        <f t="shared" si="86"/>
        <v>#VALUE!</v>
      </c>
      <c r="X263" s="201" t="e">
        <f t="shared" si="87"/>
        <v>#VALUE!</v>
      </c>
      <c r="Y263" s="201" t="e">
        <f t="shared" si="88"/>
        <v>#VALUE!</v>
      </c>
      <c r="Z263" s="201" t="e">
        <f t="shared" si="77"/>
        <v>#VALUE!</v>
      </c>
      <c r="AA263" s="201" t="e">
        <f t="shared" si="89"/>
        <v>#VALUE!</v>
      </c>
      <c r="AB263" s="201" t="e">
        <f t="shared" si="90"/>
        <v>#VALUE!</v>
      </c>
      <c r="AC263" s="201" t="e">
        <f t="shared" si="78"/>
        <v>#VALUE!</v>
      </c>
    </row>
    <row r="264" spans="2:29" x14ac:dyDescent="0.3">
      <c r="B264" s="84" t="str">
        <f t="shared" si="75"/>
        <v/>
      </c>
      <c r="C264" s="85" t="str">
        <f>IF($B264="","",'Fecha Pago'!K256)</f>
        <v/>
      </c>
      <c r="D264" s="86" t="str">
        <f>IF($B$12="","",'Fecha Pago'!L256)</f>
        <v/>
      </c>
      <c r="E264" s="87" t="str">
        <f t="shared" si="62"/>
        <v/>
      </c>
      <c r="F264" s="86" t="str">
        <f t="shared" si="79"/>
        <v/>
      </c>
      <c r="G264" s="86" t="str">
        <f t="shared" si="91"/>
        <v/>
      </c>
      <c r="H264" s="86" t="str">
        <f t="shared" si="81"/>
        <v/>
      </c>
      <c r="I264" s="86" t="str">
        <f>IF(B264="","",IF(Simulador!$F$9="Liquidez",'Tabla Fijos'!H264*0.16,IF(Simulador!$J$9="SI",H264*0.16,0)))</f>
        <v/>
      </c>
      <c r="J264" s="86" t="str">
        <f t="shared" si="82"/>
        <v/>
      </c>
      <c r="K264" s="86" t="str">
        <f t="shared" si="76"/>
        <v/>
      </c>
      <c r="L264" s="86" t="str">
        <f>IF(B264="","",IF(F264=0,0,IF(Sheet1!$I$10=6,'Tabla Fijos'!$C$3*'Tabla Fijos'!$F$5,$F$5*$C$5)))</f>
        <v/>
      </c>
      <c r="M264" s="86" t="str">
        <f t="shared" si="65"/>
        <v/>
      </c>
      <c r="N264" s="86" t="str">
        <f>IF(B264="","",IF(F264=0,0,IF(Simulador!$N$7='Tabla Parámetros'!$C$31,AportPat!L256,IF(Simulador!$N$7='Tabla Parámetros'!$C$34,AportPatFov!G254,0))))</f>
        <v/>
      </c>
      <c r="O264" s="86">
        <f>Simulador!N319</f>
        <v>0</v>
      </c>
      <c r="P264" s="86"/>
      <c r="Q264" s="86">
        <v>0</v>
      </c>
      <c r="R264" s="86" t="e">
        <f t="shared" si="83"/>
        <v>#VALUE!</v>
      </c>
      <c r="S264" s="86" t="str">
        <f t="shared" si="84"/>
        <v/>
      </c>
      <c r="U264" s="201" t="e">
        <f t="shared" si="68"/>
        <v>#VALUE!</v>
      </c>
      <c r="V264" s="201" t="e">
        <f t="shared" si="85"/>
        <v>#VALUE!</v>
      </c>
      <c r="W264" s="202" t="e">
        <f t="shared" si="86"/>
        <v>#VALUE!</v>
      </c>
      <c r="X264" s="201" t="e">
        <f t="shared" si="87"/>
        <v>#VALUE!</v>
      </c>
      <c r="Y264" s="201" t="e">
        <f t="shared" si="88"/>
        <v>#VALUE!</v>
      </c>
      <c r="Z264" s="201" t="e">
        <f t="shared" si="77"/>
        <v>#VALUE!</v>
      </c>
      <c r="AA264" s="201" t="e">
        <f t="shared" si="89"/>
        <v>#VALUE!</v>
      </c>
      <c r="AB264" s="201" t="e">
        <f t="shared" si="90"/>
        <v>#VALUE!</v>
      </c>
      <c r="AC264" s="201" t="e">
        <f t="shared" si="78"/>
        <v>#VALUE!</v>
      </c>
    </row>
    <row r="265" spans="2:29" x14ac:dyDescent="0.3">
      <c r="B265" s="84" t="str">
        <f t="shared" si="75"/>
        <v/>
      </c>
      <c r="C265" s="85" t="str">
        <f>IF($B265="","",'Fecha Pago'!K257)</f>
        <v/>
      </c>
      <c r="D265" s="86" t="str">
        <f>IF($B$12="","",'Fecha Pago'!L257)</f>
        <v/>
      </c>
      <c r="E265" s="87" t="str">
        <f t="shared" si="62"/>
        <v/>
      </c>
      <c r="F265" s="86" t="str">
        <f t="shared" si="79"/>
        <v/>
      </c>
      <c r="G265" s="86" t="str">
        <f t="shared" si="91"/>
        <v/>
      </c>
      <c r="H265" s="86" t="str">
        <f t="shared" si="81"/>
        <v/>
      </c>
      <c r="I265" s="86" t="str">
        <f>IF(B265="","",IF(Simulador!$F$9="Liquidez",'Tabla Fijos'!H265*0.16,IF(Simulador!$J$9="SI",H265*0.16,0)))</f>
        <v/>
      </c>
      <c r="J265" s="86" t="str">
        <f t="shared" si="82"/>
        <v/>
      </c>
      <c r="K265" s="86" t="str">
        <f t="shared" si="76"/>
        <v/>
      </c>
      <c r="L265" s="86" t="str">
        <f>IF(B265="","",IF(F265=0,0,IF(Sheet1!$I$10=6,'Tabla Fijos'!$C$3*'Tabla Fijos'!$F$5,$F$5*$C$5)))</f>
        <v/>
      </c>
      <c r="M265" s="86" t="str">
        <f t="shared" si="65"/>
        <v/>
      </c>
      <c r="N265" s="86" t="str">
        <f>IF(B265="","",IF(F265=0,0,IF(Simulador!$N$7='Tabla Parámetros'!$C$31,AportPat!L257,IF(Simulador!$N$7='Tabla Parámetros'!$C$34,AportPatFov!G255,0))))</f>
        <v/>
      </c>
      <c r="O265" s="86">
        <f>Simulador!N320</f>
        <v>0</v>
      </c>
      <c r="P265" s="86"/>
      <c r="Q265" s="86">
        <v>0</v>
      </c>
      <c r="R265" s="86" t="e">
        <f t="shared" si="83"/>
        <v>#VALUE!</v>
      </c>
      <c r="S265" s="86" t="str">
        <f t="shared" si="84"/>
        <v/>
      </c>
      <c r="U265" s="201" t="e">
        <f t="shared" si="68"/>
        <v>#VALUE!</v>
      </c>
      <c r="V265" s="201" t="e">
        <f t="shared" si="85"/>
        <v>#VALUE!</v>
      </c>
      <c r="W265" s="202" t="e">
        <f t="shared" si="86"/>
        <v>#VALUE!</v>
      </c>
      <c r="X265" s="201" t="e">
        <f t="shared" si="87"/>
        <v>#VALUE!</v>
      </c>
      <c r="Y265" s="201" t="e">
        <f t="shared" si="88"/>
        <v>#VALUE!</v>
      </c>
      <c r="Z265" s="201" t="e">
        <f t="shared" si="77"/>
        <v>#VALUE!</v>
      </c>
      <c r="AA265" s="201" t="e">
        <f t="shared" si="89"/>
        <v>#VALUE!</v>
      </c>
      <c r="AB265" s="201" t="e">
        <f t="shared" si="90"/>
        <v>#VALUE!</v>
      </c>
      <c r="AC265" s="201" t="e">
        <f t="shared" si="78"/>
        <v>#VALUE!</v>
      </c>
    </row>
    <row r="266" spans="2:29" x14ac:dyDescent="0.3">
      <c r="B266" s="84" t="str">
        <f t="shared" si="75"/>
        <v/>
      </c>
      <c r="C266" s="85" t="str">
        <f>IF($B266="","",'Fecha Pago'!K258)</f>
        <v/>
      </c>
      <c r="D266" s="86" t="str">
        <f>IF($B$12="","",'Fecha Pago'!L258)</f>
        <v/>
      </c>
      <c r="E266" s="87" t="str">
        <f t="shared" si="62"/>
        <v/>
      </c>
      <c r="F266" s="86" t="str">
        <f t="shared" si="79"/>
        <v/>
      </c>
      <c r="G266" s="86" t="str">
        <f t="shared" si="91"/>
        <v/>
      </c>
      <c r="H266" s="86" t="str">
        <f t="shared" si="81"/>
        <v/>
      </c>
      <c r="I266" s="86" t="str">
        <f>IF(B266="","",IF(Simulador!$F$9="Liquidez",'Tabla Fijos'!H266*0.16,IF(Simulador!$J$9="SI",H266*0.16,0)))</f>
        <v/>
      </c>
      <c r="J266" s="86" t="str">
        <f t="shared" si="82"/>
        <v/>
      </c>
      <c r="K266" s="86" t="str">
        <f t="shared" si="76"/>
        <v/>
      </c>
      <c r="L266" s="86" t="str">
        <f>IF(B266="","",IF(F266=0,0,IF(Sheet1!$I$10=6,'Tabla Fijos'!$C$3*'Tabla Fijos'!$F$5,$F$5*$C$5)))</f>
        <v/>
      </c>
      <c r="M266" s="86" t="str">
        <f t="shared" si="65"/>
        <v/>
      </c>
      <c r="N266" s="86" t="str">
        <f>IF(B266="","",IF(F266=0,0,IF(Simulador!$N$7='Tabla Parámetros'!$C$31,AportPat!L258,IF(Simulador!$N$7='Tabla Parámetros'!$C$34,AportPatFov!G256,0))))</f>
        <v/>
      </c>
      <c r="O266" s="86">
        <f>Simulador!N321</f>
        <v>0</v>
      </c>
      <c r="P266" s="86"/>
      <c r="Q266" s="86">
        <v>0</v>
      </c>
      <c r="R266" s="86" t="e">
        <f t="shared" si="83"/>
        <v>#VALUE!</v>
      </c>
      <c r="S266" s="86" t="str">
        <f t="shared" si="84"/>
        <v/>
      </c>
      <c r="U266" s="201" t="e">
        <f t="shared" si="68"/>
        <v>#VALUE!</v>
      </c>
      <c r="V266" s="201" t="e">
        <f t="shared" si="85"/>
        <v>#VALUE!</v>
      </c>
      <c r="W266" s="202" t="e">
        <f t="shared" si="86"/>
        <v>#VALUE!</v>
      </c>
      <c r="X266" s="201" t="e">
        <f t="shared" si="87"/>
        <v>#VALUE!</v>
      </c>
      <c r="Y266" s="201" t="e">
        <f t="shared" si="88"/>
        <v>#VALUE!</v>
      </c>
      <c r="Z266" s="201" t="e">
        <f t="shared" si="77"/>
        <v>#VALUE!</v>
      </c>
      <c r="AA266" s="201" t="e">
        <f t="shared" si="89"/>
        <v>#VALUE!</v>
      </c>
      <c r="AB266" s="201" t="e">
        <f t="shared" si="90"/>
        <v>#VALUE!</v>
      </c>
      <c r="AC266" s="201" t="e">
        <f t="shared" si="78"/>
        <v>#VALUE!</v>
      </c>
    </row>
    <row r="267" spans="2:29" x14ac:dyDescent="0.3">
      <c r="B267" s="84" t="str">
        <f t="shared" si="75"/>
        <v/>
      </c>
      <c r="C267" s="85" t="str">
        <f>IF($B267="","",'Fecha Pago'!K259)</f>
        <v/>
      </c>
      <c r="D267" s="86" t="str">
        <f>IF($B$12="","",'Fecha Pago'!L259)</f>
        <v/>
      </c>
      <c r="E267" s="87" t="str">
        <f t="shared" si="62"/>
        <v/>
      </c>
      <c r="F267" s="86" t="str">
        <f t="shared" si="79"/>
        <v/>
      </c>
      <c r="G267" s="86" t="str">
        <f t="shared" si="91"/>
        <v/>
      </c>
      <c r="H267" s="86" t="str">
        <f t="shared" si="81"/>
        <v/>
      </c>
      <c r="I267" s="86" t="str">
        <f>IF(B267="","",IF(Simulador!$F$9="Liquidez",'Tabla Fijos'!H267*0.16,IF(Simulador!$J$9="SI",H267*0.16,0)))</f>
        <v/>
      </c>
      <c r="J267" s="86" t="str">
        <f t="shared" si="82"/>
        <v/>
      </c>
      <c r="K267" s="86" t="str">
        <f t="shared" si="76"/>
        <v/>
      </c>
      <c r="L267" s="86" t="str">
        <f>IF(B267="","",IF(F267=0,0,IF(Sheet1!$I$10=6,'Tabla Fijos'!$C$3*'Tabla Fijos'!$F$5,$F$5*$C$5)))</f>
        <v/>
      </c>
      <c r="M267" s="86" t="str">
        <f t="shared" si="65"/>
        <v/>
      </c>
      <c r="N267" s="86" t="str">
        <f>IF(B267="","",IF(F267=0,0,IF(Simulador!$N$7='Tabla Parámetros'!$C$31,AportPat!L259,IF(Simulador!$N$7='Tabla Parámetros'!$C$34,AportPatFov!G257,0))))</f>
        <v/>
      </c>
      <c r="O267" s="86">
        <f>Simulador!N322</f>
        <v>0</v>
      </c>
      <c r="P267" s="86"/>
      <c r="Q267" s="86">
        <v>0</v>
      </c>
      <c r="R267" s="86" t="e">
        <f t="shared" si="83"/>
        <v>#VALUE!</v>
      </c>
      <c r="S267" s="86" t="str">
        <f t="shared" si="84"/>
        <v/>
      </c>
      <c r="U267" s="201" t="e">
        <f t="shared" si="68"/>
        <v>#VALUE!</v>
      </c>
      <c r="V267" s="201" t="e">
        <f t="shared" si="85"/>
        <v>#VALUE!</v>
      </c>
      <c r="W267" s="202" t="e">
        <f t="shared" si="86"/>
        <v>#VALUE!</v>
      </c>
      <c r="X267" s="201" t="e">
        <f t="shared" si="87"/>
        <v>#VALUE!</v>
      </c>
      <c r="Y267" s="201" t="e">
        <f t="shared" si="88"/>
        <v>#VALUE!</v>
      </c>
      <c r="Z267" s="201" t="e">
        <f t="shared" si="77"/>
        <v>#VALUE!</v>
      </c>
      <c r="AA267" s="201" t="e">
        <f t="shared" si="89"/>
        <v>#VALUE!</v>
      </c>
      <c r="AB267" s="201" t="e">
        <f t="shared" si="90"/>
        <v>#VALUE!</v>
      </c>
      <c r="AC267" s="201" t="e">
        <f t="shared" si="78"/>
        <v>#VALUE!</v>
      </c>
    </row>
    <row r="268" spans="2:29" x14ac:dyDescent="0.3">
      <c r="B268" s="84" t="str">
        <f t="shared" si="75"/>
        <v/>
      </c>
      <c r="C268" s="85" t="str">
        <f>IF($B268="","",'Fecha Pago'!K260)</f>
        <v/>
      </c>
      <c r="D268" s="86" t="str">
        <f>IF($B$12="","",'Fecha Pago'!L260)</f>
        <v/>
      </c>
      <c r="E268" s="87" t="str">
        <f t="shared" si="62"/>
        <v/>
      </c>
      <c r="F268" s="86" t="str">
        <f t="shared" si="79"/>
        <v/>
      </c>
      <c r="G268" s="86" t="str">
        <f t="shared" si="91"/>
        <v/>
      </c>
      <c r="H268" s="86" t="str">
        <f t="shared" si="81"/>
        <v/>
      </c>
      <c r="I268" s="86" t="str">
        <f>IF(B268="","",IF(Simulador!$F$9="Liquidez",'Tabla Fijos'!H268*0.16,IF(Simulador!$J$9="SI",H268*0.16,0)))</f>
        <v/>
      </c>
      <c r="J268" s="86" t="str">
        <f t="shared" si="82"/>
        <v/>
      </c>
      <c r="K268" s="86" t="str">
        <f t="shared" si="76"/>
        <v/>
      </c>
      <c r="L268" s="86" t="str">
        <f>IF(B268="","",IF(F268=0,0,IF(Sheet1!$I$10=6,'Tabla Fijos'!$C$3*'Tabla Fijos'!$F$5,$F$5*$C$5)))</f>
        <v/>
      </c>
      <c r="M268" s="86" t="str">
        <f t="shared" si="65"/>
        <v/>
      </c>
      <c r="N268" s="86" t="str">
        <f>IF(B268="","",IF(F268=0,0,IF(Simulador!$N$7='Tabla Parámetros'!$C$31,AportPat!L260,IF(Simulador!$N$7='Tabla Parámetros'!$C$34,AportPatFov!G258,0))))</f>
        <v/>
      </c>
      <c r="O268" s="86">
        <f>Simulador!N323</f>
        <v>0</v>
      </c>
      <c r="P268" s="86"/>
      <c r="Q268" s="86">
        <v>0</v>
      </c>
      <c r="R268" s="86" t="e">
        <f t="shared" si="83"/>
        <v>#VALUE!</v>
      </c>
      <c r="S268" s="86" t="str">
        <f t="shared" si="84"/>
        <v/>
      </c>
      <c r="U268" s="201" t="e">
        <f t="shared" si="68"/>
        <v>#VALUE!</v>
      </c>
      <c r="V268" s="201" t="e">
        <f t="shared" si="85"/>
        <v>#VALUE!</v>
      </c>
      <c r="W268" s="202" t="e">
        <f t="shared" si="86"/>
        <v>#VALUE!</v>
      </c>
      <c r="X268" s="201" t="e">
        <f t="shared" si="87"/>
        <v>#VALUE!</v>
      </c>
      <c r="Y268" s="201" t="e">
        <f t="shared" si="88"/>
        <v>#VALUE!</v>
      </c>
      <c r="Z268" s="201" t="e">
        <f t="shared" si="77"/>
        <v>#VALUE!</v>
      </c>
      <c r="AA268" s="201" t="e">
        <f t="shared" si="89"/>
        <v>#VALUE!</v>
      </c>
      <c r="AB268" s="201" t="e">
        <f t="shared" si="90"/>
        <v>#VALUE!</v>
      </c>
      <c r="AC268" s="201" t="e">
        <f t="shared" si="78"/>
        <v>#VALUE!</v>
      </c>
    </row>
    <row r="269" spans="2:29" x14ac:dyDescent="0.3">
      <c r="B269" s="84" t="str">
        <f t="shared" si="75"/>
        <v/>
      </c>
      <c r="C269" s="85" t="str">
        <f>IF($B269="","",'Fecha Pago'!K261)</f>
        <v/>
      </c>
      <c r="D269" s="86" t="str">
        <f>IF($B$12="","",'Fecha Pago'!L261)</f>
        <v/>
      </c>
      <c r="E269" s="87" t="str">
        <f t="shared" si="62"/>
        <v/>
      </c>
      <c r="F269" s="86" t="str">
        <f t="shared" si="79"/>
        <v/>
      </c>
      <c r="G269" s="86" t="str">
        <f t="shared" si="91"/>
        <v/>
      </c>
      <c r="H269" s="86" t="str">
        <f t="shared" ref="H269:H281" si="92">IF(C269="","",IF($S$7=$U$10,V269,IF($S$7=$X$10,Y269,IF($S$7=$AA$10,AB269,))))</f>
        <v/>
      </c>
      <c r="I269" s="86" t="str">
        <f>IF(B269="","",IF(Simulador!$F$9="Liquidez",'Tabla Fijos'!H269*0.16,IF(Simulador!$J$9="SI",H269*0.16,0)))</f>
        <v/>
      </c>
      <c r="J269" s="86" t="str">
        <f t="shared" ref="J269:J281" si="93">IF(D269="","",IF($S$7=$U$10,W269,IF($S$7=$X$10,Z269,IF($S$7=$AA$10,AC269,))))</f>
        <v/>
      </c>
      <c r="K269" s="86" t="str">
        <f t="shared" si="76"/>
        <v/>
      </c>
      <c r="L269" s="86" t="str">
        <f>IF(B269="","",IF(F269=0,0,IF(Sheet1!$I$10=6,'Tabla Fijos'!$C$3*'Tabla Fijos'!$F$5,$F$5*$C$5)))</f>
        <v/>
      </c>
      <c r="M269" s="86" t="str">
        <f t="shared" ref="M269:M311" si="94">IF(B269="","",IF(F269=0,0,$J$4))</f>
        <v/>
      </c>
      <c r="N269" s="86" t="str">
        <f>IF(B269="","",IF(F269=0,0,IF(Simulador!$N$7='Tabla Parámetros'!$C$31,AportPat!L261,IF(Simulador!$N$7='Tabla Parámetros'!$C$34,AportPatFov!G259,0))))</f>
        <v/>
      </c>
      <c r="O269" s="86">
        <f>Simulador!N324</f>
        <v>0</v>
      </c>
      <c r="P269" s="86"/>
      <c r="Q269" s="86">
        <v>0</v>
      </c>
      <c r="R269" s="86" t="e">
        <f t="shared" ref="R269:R281" si="95">IF(B269="","",G269+H269+K269+L269+M269)-N269</f>
        <v>#VALUE!</v>
      </c>
      <c r="S269" s="86" t="str">
        <f t="shared" ref="S269:S281" si="96">IF(B269="","",F269-G269)</f>
        <v/>
      </c>
      <c r="U269" s="201" t="e">
        <f t="shared" ref="U269:U311" si="97">IF(F269=0,0,PPMT(E269/360*30.4,B269,$C$4,-$S$11)+N269+O269+P269)</f>
        <v>#VALUE!</v>
      </c>
      <c r="V269" s="201" t="e">
        <f t="shared" si="85"/>
        <v>#VALUE!</v>
      </c>
      <c r="W269" s="202" t="e">
        <f t="shared" si="86"/>
        <v>#VALUE!</v>
      </c>
      <c r="X269" s="201" t="e">
        <f t="shared" si="87"/>
        <v>#VALUE!</v>
      </c>
      <c r="Y269" s="201" t="e">
        <f t="shared" si="88"/>
        <v>#VALUE!</v>
      </c>
      <c r="Z269" s="201" t="e">
        <f t="shared" si="77"/>
        <v>#VALUE!</v>
      </c>
      <c r="AA269" s="201" t="e">
        <f t="shared" si="89"/>
        <v>#VALUE!</v>
      </c>
      <c r="AB269" s="201" t="e">
        <f t="shared" si="90"/>
        <v>#VALUE!</v>
      </c>
      <c r="AC269" s="201" t="e">
        <f t="shared" si="78"/>
        <v>#VALUE!</v>
      </c>
    </row>
    <row r="270" spans="2:29" x14ac:dyDescent="0.3">
      <c r="B270" s="84" t="str">
        <f t="shared" ref="B270:B311" si="98">IF(B269="","",IF(B269=$C$4,"",B269+1))</f>
        <v/>
      </c>
      <c r="C270" s="85" t="str">
        <f>IF($B270="","",'Fecha Pago'!K262)</f>
        <v/>
      </c>
      <c r="D270" s="86" t="str">
        <f>IF($B$12="","",'Fecha Pago'!L262)</f>
        <v/>
      </c>
      <c r="E270" s="87" t="str">
        <f t="shared" si="62"/>
        <v/>
      </c>
      <c r="F270" s="86" t="str">
        <f t="shared" si="79"/>
        <v/>
      </c>
      <c r="G270" s="86" t="str">
        <f t="shared" si="91"/>
        <v/>
      </c>
      <c r="H270" s="86" t="str">
        <f t="shared" si="92"/>
        <v/>
      </c>
      <c r="I270" s="86" t="str">
        <f>IF(B270="","",IF(Simulador!$F$9="Liquidez",'Tabla Fijos'!H270*0.16,IF(Simulador!$J$9="SI",H270*0.16,0)))</f>
        <v/>
      </c>
      <c r="J270" s="86" t="str">
        <f t="shared" si="93"/>
        <v/>
      </c>
      <c r="K270" s="86" t="str">
        <f t="shared" si="76"/>
        <v/>
      </c>
      <c r="L270" s="86" t="str">
        <f>IF(B270="","",IF(F270=0,0,IF(Sheet1!$I$10=6,'Tabla Fijos'!$C$3*'Tabla Fijos'!$F$5,$F$5*$C$5)))</f>
        <v/>
      </c>
      <c r="M270" s="86" t="str">
        <f t="shared" si="94"/>
        <v/>
      </c>
      <c r="N270" s="86" t="str">
        <f>IF(B270="","",IF(F270=0,0,IF(Simulador!$N$7='Tabla Parámetros'!$C$31,AportPat!L262,IF(Simulador!$N$7='Tabla Parámetros'!$C$34,AportPatFov!G260,0))))</f>
        <v/>
      </c>
      <c r="O270" s="86">
        <f>Simulador!N325</f>
        <v>0</v>
      </c>
      <c r="P270" s="86"/>
      <c r="Q270" s="86">
        <v>0</v>
      </c>
      <c r="R270" s="86" t="e">
        <f t="shared" si="95"/>
        <v>#VALUE!</v>
      </c>
      <c r="S270" s="86" t="str">
        <f t="shared" si="96"/>
        <v/>
      </c>
      <c r="U270" s="201" t="e">
        <f t="shared" si="97"/>
        <v>#VALUE!</v>
      </c>
      <c r="V270" s="201" t="e">
        <f t="shared" si="85"/>
        <v>#VALUE!</v>
      </c>
      <c r="W270" s="202" t="e">
        <f t="shared" si="86"/>
        <v>#VALUE!</v>
      </c>
      <c r="X270" s="201" t="e">
        <f t="shared" si="87"/>
        <v>#VALUE!</v>
      </c>
      <c r="Y270" s="201" t="e">
        <f t="shared" si="88"/>
        <v>#VALUE!</v>
      </c>
      <c r="Z270" s="201" t="e">
        <f t="shared" ref="Z270:Z311" si="99">IF(F270=0,0,PMT($F$2/360*30.4,$C$4,-$C$3)+N270+O270+P270)</f>
        <v>#VALUE!</v>
      </c>
      <c r="AA270" s="201" t="e">
        <f t="shared" si="89"/>
        <v>#VALUE!</v>
      </c>
      <c r="AB270" s="201" t="e">
        <f t="shared" si="90"/>
        <v>#VALUE!</v>
      </c>
      <c r="AC270" s="201" t="e">
        <f t="shared" ref="AC270:AC311" si="100">PMT($F$2/360*30.4,$C$4-B269,-S269)+N270+O270+P270</f>
        <v>#VALUE!</v>
      </c>
    </row>
    <row r="271" spans="2:29" x14ac:dyDescent="0.3">
      <c r="B271" s="84" t="str">
        <f t="shared" si="98"/>
        <v/>
      </c>
      <c r="C271" s="85" t="str">
        <f>IF($B271="","",'Fecha Pago'!K263)</f>
        <v/>
      </c>
      <c r="D271" s="86" t="str">
        <f>IF($B$12="","",'Fecha Pago'!L263)</f>
        <v/>
      </c>
      <c r="E271" s="87" t="str">
        <f t="shared" si="62"/>
        <v/>
      </c>
      <c r="F271" s="86" t="str">
        <f t="shared" si="79"/>
        <v/>
      </c>
      <c r="G271" s="86" t="str">
        <f t="shared" si="91"/>
        <v/>
      </c>
      <c r="H271" s="86" t="str">
        <f t="shared" si="92"/>
        <v/>
      </c>
      <c r="I271" s="86" t="str">
        <f>IF(B271="","",IF(Simulador!$F$9="Liquidez",'Tabla Fijos'!H271*0.16,IF(Simulador!$J$9="SI",H271*0.16,0)))</f>
        <v/>
      </c>
      <c r="J271" s="86" t="str">
        <f t="shared" si="93"/>
        <v/>
      </c>
      <c r="K271" s="86" t="str">
        <f t="shared" si="76"/>
        <v/>
      </c>
      <c r="L271" s="86" t="str">
        <f>IF(B271="","",IF(F271=0,0,IF(Sheet1!$I$10=6,'Tabla Fijos'!$C$3*'Tabla Fijos'!$F$5,$F$5*$C$5)))</f>
        <v/>
      </c>
      <c r="M271" s="86" t="str">
        <f t="shared" si="94"/>
        <v/>
      </c>
      <c r="N271" s="86" t="str">
        <f>IF(B271="","",IF(F271=0,0,IF(Simulador!$N$7='Tabla Parámetros'!$C$31,AportPat!L263,IF(Simulador!$N$7='Tabla Parámetros'!$C$34,AportPatFov!G261,0))))</f>
        <v/>
      </c>
      <c r="O271" s="86">
        <f>Simulador!N326</f>
        <v>0</v>
      </c>
      <c r="P271" s="86"/>
      <c r="Q271" s="86">
        <v>0</v>
      </c>
      <c r="R271" s="86" t="e">
        <f t="shared" si="95"/>
        <v>#VALUE!</v>
      </c>
      <c r="S271" s="86" t="str">
        <f t="shared" si="96"/>
        <v/>
      </c>
      <c r="U271" s="201" t="e">
        <f t="shared" si="97"/>
        <v>#VALUE!</v>
      </c>
      <c r="V271" s="201" t="e">
        <f t="shared" si="85"/>
        <v>#VALUE!</v>
      </c>
      <c r="W271" s="202" t="e">
        <f t="shared" si="86"/>
        <v>#VALUE!</v>
      </c>
      <c r="X271" s="201" t="e">
        <f t="shared" si="87"/>
        <v>#VALUE!</v>
      </c>
      <c r="Y271" s="201" t="e">
        <f t="shared" si="88"/>
        <v>#VALUE!</v>
      </c>
      <c r="Z271" s="201" t="e">
        <f t="shared" si="99"/>
        <v>#VALUE!</v>
      </c>
      <c r="AA271" s="201" t="e">
        <f t="shared" si="89"/>
        <v>#VALUE!</v>
      </c>
      <c r="AB271" s="201" t="e">
        <f t="shared" si="90"/>
        <v>#VALUE!</v>
      </c>
      <c r="AC271" s="201" t="e">
        <f t="shared" si="100"/>
        <v>#VALUE!</v>
      </c>
    </row>
    <row r="272" spans="2:29" x14ac:dyDescent="0.3">
      <c r="B272" s="84" t="str">
        <f t="shared" si="98"/>
        <v/>
      </c>
      <c r="C272" s="85" t="str">
        <f>IF($B272="","",'Fecha Pago'!K264)</f>
        <v/>
      </c>
      <c r="D272" s="86" t="str">
        <f>IF($B$12="","",'Fecha Pago'!L264)</f>
        <v/>
      </c>
      <c r="E272" s="87" t="str">
        <f t="shared" si="62"/>
        <v/>
      </c>
      <c r="F272" s="86" t="str">
        <f t="shared" si="79"/>
        <v/>
      </c>
      <c r="G272" s="86" t="str">
        <f t="shared" si="91"/>
        <v/>
      </c>
      <c r="H272" s="86" t="str">
        <f t="shared" si="92"/>
        <v/>
      </c>
      <c r="I272" s="86" t="str">
        <f>IF(B272="","",IF(Simulador!$F$9="Liquidez",'Tabla Fijos'!H272*0.16,IF(Simulador!$J$9="SI",H272*0.16,0)))</f>
        <v/>
      </c>
      <c r="J272" s="86" t="str">
        <f t="shared" si="93"/>
        <v/>
      </c>
      <c r="K272" s="86" t="str">
        <f t="shared" si="76"/>
        <v/>
      </c>
      <c r="L272" s="86" t="str">
        <f>IF(B272="","",IF(F272=0,0,IF(Sheet1!$I$10=6,'Tabla Fijos'!$C$3*'Tabla Fijos'!$F$5,$F$5*$C$5)))</f>
        <v/>
      </c>
      <c r="M272" s="86" t="str">
        <f t="shared" si="94"/>
        <v/>
      </c>
      <c r="N272" s="86" t="str">
        <f>IF(B272="","",IF(F272=0,0,IF(Simulador!$N$7='Tabla Parámetros'!$C$31,AportPat!L264,IF(Simulador!$N$7='Tabla Parámetros'!$C$34,AportPatFov!G262,0))))</f>
        <v/>
      </c>
      <c r="O272" s="86">
        <f>Simulador!N327</f>
        <v>0</v>
      </c>
      <c r="P272" s="86"/>
      <c r="Q272" s="86">
        <v>0</v>
      </c>
      <c r="R272" s="86" t="e">
        <f t="shared" si="95"/>
        <v>#VALUE!</v>
      </c>
      <c r="S272" s="86" t="str">
        <f t="shared" si="96"/>
        <v/>
      </c>
      <c r="U272" s="201" t="e">
        <f t="shared" si="97"/>
        <v>#VALUE!</v>
      </c>
      <c r="V272" s="201" t="e">
        <f t="shared" si="85"/>
        <v>#VALUE!</v>
      </c>
      <c r="W272" s="202" t="e">
        <f t="shared" si="86"/>
        <v>#VALUE!</v>
      </c>
      <c r="X272" s="201" t="e">
        <f t="shared" si="87"/>
        <v>#VALUE!</v>
      </c>
      <c r="Y272" s="201" t="e">
        <f t="shared" si="88"/>
        <v>#VALUE!</v>
      </c>
      <c r="Z272" s="201" t="e">
        <f t="shared" si="99"/>
        <v>#VALUE!</v>
      </c>
      <c r="AA272" s="201" t="e">
        <f t="shared" si="89"/>
        <v>#VALUE!</v>
      </c>
      <c r="AB272" s="201" t="e">
        <f t="shared" si="90"/>
        <v>#VALUE!</v>
      </c>
      <c r="AC272" s="201" t="e">
        <f t="shared" si="100"/>
        <v>#VALUE!</v>
      </c>
    </row>
    <row r="273" spans="2:29" x14ac:dyDescent="0.3">
      <c r="B273" s="84" t="str">
        <f t="shared" si="98"/>
        <v/>
      </c>
      <c r="C273" s="85" t="str">
        <f>IF($B273="","",'Fecha Pago'!K265)</f>
        <v/>
      </c>
      <c r="D273" s="86" t="str">
        <f>IF($B$12="","",'Fecha Pago'!L265)</f>
        <v/>
      </c>
      <c r="E273" s="87" t="str">
        <f t="shared" si="62"/>
        <v/>
      </c>
      <c r="F273" s="86" t="str">
        <f t="shared" si="79"/>
        <v/>
      </c>
      <c r="G273" s="86" t="str">
        <f t="shared" si="91"/>
        <v/>
      </c>
      <c r="H273" s="86" t="str">
        <f t="shared" si="92"/>
        <v/>
      </c>
      <c r="I273" s="86" t="str">
        <f>IF(B273="","",IF(Simulador!$F$9="Liquidez",'Tabla Fijos'!H273*0.16,IF(Simulador!$J$9="SI",H273*0.16,0)))</f>
        <v/>
      </c>
      <c r="J273" s="86" t="str">
        <f t="shared" si="93"/>
        <v/>
      </c>
      <c r="K273" s="86" t="str">
        <f t="shared" si="76"/>
        <v/>
      </c>
      <c r="L273" s="86" t="str">
        <f>IF(B273="","",IF(F273=0,0,IF(Sheet1!$I$10=6,'Tabla Fijos'!$C$3*'Tabla Fijos'!$F$5,$F$5*$C$5)))</f>
        <v/>
      </c>
      <c r="M273" s="86" t="str">
        <f t="shared" si="94"/>
        <v/>
      </c>
      <c r="N273" s="86" t="str">
        <f>IF(B273="","",IF(F273=0,0,IF(Simulador!$N$7='Tabla Parámetros'!$C$31,AportPat!L265,IF(Simulador!$N$7='Tabla Parámetros'!$C$34,AportPatFov!G263,0))))</f>
        <v/>
      </c>
      <c r="O273" s="86">
        <f>Simulador!N328</f>
        <v>0</v>
      </c>
      <c r="P273" s="86"/>
      <c r="Q273" s="86">
        <v>0</v>
      </c>
      <c r="R273" s="86" t="e">
        <f t="shared" si="95"/>
        <v>#VALUE!</v>
      </c>
      <c r="S273" s="86" t="str">
        <f t="shared" si="96"/>
        <v/>
      </c>
      <c r="U273" s="201" t="e">
        <f t="shared" si="97"/>
        <v>#VALUE!</v>
      </c>
      <c r="V273" s="201" t="e">
        <f t="shared" si="85"/>
        <v>#VALUE!</v>
      </c>
      <c r="W273" s="202" t="e">
        <f t="shared" si="86"/>
        <v>#VALUE!</v>
      </c>
      <c r="X273" s="201" t="e">
        <f t="shared" si="87"/>
        <v>#VALUE!</v>
      </c>
      <c r="Y273" s="201" t="e">
        <f t="shared" si="88"/>
        <v>#VALUE!</v>
      </c>
      <c r="Z273" s="201" t="e">
        <f t="shared" si="99"/>
        <v>#VALUE!</v>
      </c>
      <c r="AA273" s="201" t="e">
        <f t="shared" si="89"/>
        <v>#VALUE!</v>
      </c>
      <c r="AB273" s="201" t="e">
        <f t="shared" si="90"/>
        <v>#VALUE!</v>
      </c>
      <c r="AC273" s="201" t="e">
        <f t="shared" si="100"/>
        <v>#VALUE!</v>
      </c>
    </row>
    <row r="274" spans="2:29" x14ac:dyDescent="0.3">
      <c r="B274" s="84" t="str">
        <f t="shared" si="98"/>
        <v/>
      </c>
      <c r="C274" s="85" t="str">
        <f>IF($B274="","",'Fecha Pago'!K266)</f>
        <v/>
      </c>
      <c r="D274" s="86" t="str">
        <f>IF($B$12="","",'Fecha Pago'!L266)</f>
        <v/>
      </c>
      <c r="E274" s="87" t="str">
        <f t="shared" si="62"/>
        <v/>
      </c>
      <c r="F274" s="86" t="str">
        <f t="shared" si="79"/>
        <v/>
      </c>
      <c r="G274" s="86" t="str">
        <f t="shared" si="91"/>
        <v/>
      </c>
      <c r="H274" s="86" t="str">
        <f t="shared" si="92"/>
        <v/>
      </c>
      <c r="I274" s="86" t="str">
        <f>IF(B274="","",IF(Simulador!$F$9="Liquidez",'Tabla Fijos'!H274*0.16,IF(Simulador!$J$9="SI",H274*0.16,0)))</f>
        <v/>
      </c>
      <c r="J274" s="86" t="str">
        <f t="shared" si="93"/>
        <v/>
      </c>
      <c r="K274" s="86" t="str">
        <f t="shared" si="76"/>
        <v/>
      </c>
      <c r="L274" s="86" t="str">
        <f>IF(B274="","",IF(F274=0,0,IF(Sheet1!$I$10=6,'Tabla Fijos'!$C$3*'Tabla Fijos'!$F$5,$F$5*$C$5)))</f>
        <v/>
      </c>
      <c r="M274" s="86" t="str">
        <f t="shared" si="94"/>
        <v/>
      </c>
      <c r="N274" s="86" t="str">
        <f>IF(B274="","",IF(F274=0,0,IF(Simulador!$N$7='Tabla Parámetros'!$C$31,AportPat!L266,IF(Simulador!$N$7='Tabla Parámetros'!$C$34,AportPatFov!G264,0))))</f>
        <v/>
      </c>
      <c r="O274" s="86">
        <f>Simulador!N329</f>
        <v>0</v>
      </c>
      <c r="P274" s="86"/>
      <c r="Q274" s="86">
        <v>0</v>
      </c>
      <c r="R274" s="86" t="e">
        <f t="shared" si="95"/>
        <v>#VALUE!</v>
      </c>
      <c r="S274" s="86" t="str">
        <f t="shared" si="96"/>
        <v/>
      </c>
      <c r="U274" s="201" t="e">
        <f t="shared" si="97"/>
        <v>#VALUE!</v>
      </c>
      <c r="V274" s="201" t="e">
        <f t="shared" si="85"/>
        <v>#VALUE!</v>
      </c>
      <c r="W274" s="202" t="e">
        <f t="shared" si="86"/>
        <v>#VALUE!</v>
      </c>
      <c r="X274" s="201" t="e">
        <f t="shared" si="87"/>
        <v>#VALUE!</v>
      </c>
      <c r="Y274" s="201" t="e">
        <f t="shared" si="88"/>
        <v>#VALUE!</v>
      </c>
      <c r="Z274" s="201" t="e">
        <f t="shared" si="99"/>
        <v>#VALUE!</v>
      </c>
      <c r="AA274" s="201" t="e">
        <f t="shared" si="89"/>
        <v>#VALUE!</v>
      </c>
      <c r="AB274" s="201" t="e">
        <f t="shared" si="90"/>
        <v>#VALUE!</v>
      </c>
      <c r="AC274" s="201" t="e">
        <f t="shared" si="100"/>
        <v>#VALUE!</v>
      </c>
    </row>
    <row r="275" spans="2:29" x14ac:dyDescent="0.3">
      <c r="B275" s="84" t="str">
        <f t="shared" si="98"/>
        <v/>
      </c>
      <c r="C275" s="85" t="str">
        <f>IF($B275="","",'Fecha Pago'!K267)</f>
        <v/>
      </c>
      <c r="D275" s="86" t="str">
        <f>IF($B$12="","",'Fecha Pago'!L267)</f>
        <v/>
      </c>
      <c r="E275" s="87" t="str">
        <f t="shared" si="62"/>
        <v/>
      </c>
      <c r="F275" s="86" t="str">
        <f t="shared" si="79"/>
        <v/>
      </c>
      <c r="G275" s="86" t="str">
        <f t="shared" si="91"/>
        <v/>
      </c>
      <c r="H275" s="86" t="str">
        <f t="shared" si="92"/>
        <v/>
      </c>
      <c r="I275" s="86" t="str">
        <f>IF(B275="","",IF(Simulador!$F$9="Liquidez",'Tabla Fijos'!H275*0.16,IF(Simulador!$J$9="SI",H275*0.16,0)))</f>
        <v/>
      </c>
      <c r="J275" s="86" t="str">
        <f t="shared" si="93"/>
        <v/>
      </c>
      <c r="K275" s="86" t="str">
        <f t="shared" si="76"/>
        <v/>
      </c>
      <c r="L275" s="86" t="str">
        <f>IF(B275="","",IF(F275=0,0,IF(Sheet1!$I$10=6,'Tabla Fijos'!$C$3*'Tabla Fijos'!$F$5,$F$5*$C$5)))</f>
        <v/>
      </c>
      <c r="M275" s="86" t="str">
        <f t="shared" si="94"/>
        <v/>
      </c>
      <c r="N275" s="86" t="str">
        <f>IF(B275="","",IF(F275=0,0,IF(Simulador!$N$7='Tabla Parámetros'!$C$31,AportPat!L267,IF(Simulador!$N$7='Tabla Parámetros'!$C$34,AportPatFov!G265,0))))</f>
        <v/>
      </c>
      <c r="O275" s="86">
        <f>Simulador!N330</f>
        <v>0</v>
      </c>
      <c r="P275" s="86"/>
      <c r="Q275" s="86">
        <v>0</v>
      </c>
      <c r="R275" s="86" t="e">
        <f t="shared" si="95"/>
        <v>#VALUE!</v>
      </c>
      <c r="S275" s="86" t="str">
        <f t="shared" si="96"/>
        <v/>
      </c>
      <c r="U275" s="201" t="e">
        <f t="shared" si="97"/>
        <v>#VALUE!</v>
      </c>
      <c r="V275" s="201" t="e">
        <f t="shared" si="85"/>
        <v>#VALUE!</v>
      </c>
      <c r="W275" s="202" t="e">
        <f t="shared" si="86"/>
        <v>#VALUE!</v>
      </c>
      <c r="X275" s="201" t="e">
        <f t="shared" si="87"/>
        <v>#VALUE!</v>
      </c>
      <c r="Y275" s="201" t="e">
        <f t="shared" si="88"/>
        <v>#VALUE!</v>
      </c>
      <c r="Z275" s="201" t="e">
        <f t="shared" si="99"/>
        <v>#VALUE!</v>
      </c>
      <c r="AA275" s="201" t="e">
        <f t="shared" si="89"/>
        <v>#VALUE!</v>
      </c>
      <c r="AB275" s="201" t="e">
        <f t="shared" si="90"/>
        <v>#VALUE!</v>
      </c>
      <c r="AC275" s="201" t="e">
        <f t="shared" si="100"/>
        <v>#VALUE!</v>
      </c>
    </row>
    <row r="276" spans="2:29" x14ac:dyDescent="0.3">
      <c r="B276" s="84" t="str">
        <f t="shared" si="98"/>
        <v/>
      </c>
      <c r="C276" s="85" t="str">
        <f>IF($B276="","",'Fecha Pago'!K268)</f>
        <v/>
      </c>
      <c r="D276" s="86" t="str">
        <f>IF($B$12="","",'Fecha Pago'!L268)</f>
        <v/>
      </c>
      <c r="E276" s="87" t="str">
        <f t="shared" si="62"/>
        <v/>
      </c>
      <c r="F276" s="86" t="str">
        <f t="shared" si="79"/>
        <v/>
      </c>
      <c r="G276" s="86" t="str">
        <f t="shared" si="91"/>
        <v/>
      </c>
      <c r="H276" s="86" t="str">
        <f t="shared" si="92"/>
        <v/>
      </c>
      <c r="I276" s="86" t="str">
        <f>IF(B276="","",IF(Simulador!$F$9="Liquidez",'Tabla Fijos'!H276*0.16,IF(Simulador!$J$9="SI",H276*0.16,0)))</f>
        <v/>
      </c>
      <c r="J276" s="86" t="str">
        <f t="shared" si="93"/>
        <v/>
      </c>
      <c r="K276" s="86" t="str">
        <f t="shared" si="76"/>
        <v/>
      </c>
      <c r="L276" s="86" t="str">
        <f>IF(B276="","",IF(F276=0,0,IF(Sheet1!$I$10=6,'Tabla Fijos'!$C$3*'Tabla Fijos'!$F$5,$F$5*$C$5)))</f>
        <v/>
      </c>
      <c r="M276" s="86" t="str">
        <f t="shared" si="94"/>
        <v/>
      </c>
      <c r="N276" s="86" t="str">
        <f>IF(B276="","",IF(F276=0,0,IF(Simulador!$N$7='Tabla Parámetros'!$C$31,AportPat!L268,IF(Simulador!$N$7='Tabla Parámetros'!$C$34,AportPatFov!G266,0))))</f>
        <v/>
      </c>
      <c r="O276" s="86">
        <f>Simulador!N331</f>
        <v>0</v>
      </c>
      <c r="P276" s="86"/>
      <c r="Q276" s="86">
        <v>0</v>
      </c>
      <c r="R276" s="86" t="e">
        <f t="shared" si="95"/>
        <v>#VALUE!</v>
      </c>
      <c r="S276" s="86" t="str">
        <f t="shared" si="96"/>
        <v/>
      </c>
      <c r="U276" s="201" t="e">
        <f t="shared" si="97"/>
        <v>#VALUE!</v>
      </c>
      <c r="V276" s="201" t="e">
        <f t="shared" si="85"/>
        <v>#VALUE!</v>
      </c>
      <c r="W276" s="202" t="e">
        <f t="shared" si="86"/>
        <v>#VALUE!</v>
      </c>
      <c r="X276" s="201" t="e">
        <f t="shared" si="87"/>
        <v>#VALUE!</v>
      </c>
      <c r="Y276" s="201" t="e">
        <f t="shared" si="88"/>
        <v>#VALUE!</v>
      </c>
      <c r="Z276" s="201" t="e">
        <f t="shared" si="99"/>
        <v>#VALUE!</v>
      </c>
      <c r="AA276" s="201" t="e">
        <f t="shared" si="89"/>
        <v>#VALUE!</v>
      </c>
      <c r="AB276" s="201" t="e">
        <f t="shared" si="90"/>
        <v>#VALUE!</v>
      </c>
      <c r="AC276" s="201" t="e">
        <f t="shared" si="100"/>
        <v>#VALUE!</v>
      </c>
    </row>
    <row r="277" spans="2:29" x14ac:dyDescent="0.3">
      <c r="B277" s="84" t="str">
        <f t="shared" si="98"/>
        <v/>
      </c>
      <c r="C277" s="85" t="str">
        <f>IF($B277="","",'Fecha Pago'!K269)</f>
        <v/>
      </c>
      <c r="D277" s="86" t="str">
        <f>IF($B$12="","",'Fecha Pago'!L269)</f>
        <v/>
      </c>
      <c r="E277" s="87" t="str">
        <f t="shared" si="62"/>
        <v/>
      </c>
      <c r="F277" s="86" t="str">
        <f t="shared" si="79"/>
        <v/>
      </c>
      <c r="G277" s="86" t="str">
        <f t="shared" si="91"/>
        <v/>
      </c>
      <c r="H277" s="86" t="str">
        <f t="shared" si="92"/>
        <v/>
      </c>
      <c r="I277" s="86" t="str">
        <f>IF(B277="","",IF(Simulador!$F$9="Liquidez",'Tabla Fijos'!H277*0.16,IF(Simulador!$J$9="SI",H277*0.16,0)))</f>
        <v/>
      </c>
      <c r="J277" s="86" t="str">
        <f t="shared" si="93"/>
        <v/>
      </c>
      <c r="K277" s="86" t="str">
        <f t="shared" si="76"/>
        <v/>
      </c>
      <c r="L277" s="86" t="str">
        <f>IF(B277="","",IF(F277=0,0,IF(Sheet1!$I$10=6,'Tabla Fijos'!$C$3*'Tabla Fijos'!$F$5,$F$5*$C$5)))</f>
        <v/>
      </c>
      <c r="M277" s="86" t="str">
        <f t="shared" si="94"/>
        <v/>
      </c>
      <c r="N277" s="86" t="str">
        <f>IF(B277="","",IF(F277=0,0,IF(Simulador!$N$7='Tabla Parámetros'!$C$31,AportPat!L269,IF(Simulador!$N$7='Tabla Parámetros'!$C$34,AportPatFov!G267,0))))</f>
        <v/>
      </c>
      <c r="O277" s="86">
        <f>Simulador!N332</f>
        <v>0</v>
      </c>
      <c r="P277" s="86"/>
      <c r="Q277" s="86">
        <v>0</v>
      </c>
      <c r="R277" s="86" t="e">
        <f t="shared" si="95"/>
        <v>#VALUE!</v>
      </c>
      <c r="S277" s="86" t="str">
        <f t="shared" si="96"/>
        <v/>
      </c>
      <c r="U277" s="201" t="e">
        <f t="shared" si="97"/>
        <v>#VALUE!</v>
      </c>
      <c r="V277" s="201" t="e">
        <f t="shared" si="85"/>
        <v>#VALUE!</v>
      </c>
      <c r="W277" s="202" t="e">
        <f t="shared" si="86"/>
        <v>#VALUE!</v>
      </c>
      <c r="X277" s="201" t="e">
        <f t="shared" si="87"/>
        <v>#VALUE!</v>
      </c>
      <c r="Y277" s="201" t="e">
        <f t="shared" si="88"/>
        <v>#VALUE!</v>
      </c>
      <c r="Z277" s="201" t="e">
        <f t="shared" si="99"/>
        <v>#VALUE!</v>
      </c>
      <c r="AA277" s="201" t="e">
        <f t="shared" si="89"/>
        <v>#VALUE!</v>
      </c>
      <c r="AB277" s="201" t="e">
        <f t="shared" si="90"/>
        <v>#VALUE!</v>
      </c>
      <c r="AC277" s="201" t="e">
        <f t="shared" si="100"/>
        <v>#VALUE!</v>
      </c>
    </row>
    <row r="278" spans="2:29" x14ac:dyDescent="0.3">
      <c r="B278" s="84" t="str">
        <f t="shared" si="98"/>
        <v/>
      </c>
      <c r="C278" s="85" t="str">
        <f>IF($B278="","",'Fecha Pago'!K270)</f>
        <v/>
      </c>
      <c r="D278" s="86" t="str">
        <f>IF($B$12="","",'Fecha Pago'!L270)</f>
        <v/>
      </c>
      <c r="E278" s="87" t="str">
        <f t="shared" si="62"/>
        <v/>
      </c>
      <c r="F278" s="86" t="str">
        <f t="shared" si="79"/>
        <v/>
      </c>
      <c r="G278" s="86" t="str">
        <f t="shared" si="91"/>
        <v/>
      </c>
      <c r="H278" s="86" t="str">
        <f t="shared" si="92"/>
        <v/>
      </c>
      <c r="I278" s="86" t="str">
        <f>IF(B278="","",IF(Simulador!$F$9="Liquidez",'Tabla Fijos'!H278*0.16,IF(Simulador!$J$9="SI",H278*0.16,0)))</f>
        <v/>
      </c>
      <c r="J278" s="86" t="str">
        <f t="shared" si="93"/>
        <v/>
      </c>
      <c r="K278" s="86" t="str">
        <f t="shared" si="76"/>
        <v/>
      </c>
      <c r="L278" s="86" t="str">
        <f>IF(B278="","",IF(F278=0,0,IF(Sheet1!$I$10=6,'Tabla Fijos'!$C$3*'Tabla Fijos'!$F$5,$F$5*$C$5)))</f>
        <v/>
      </c>
      <c r="M278" s="86" t="str">
        <f t="shared" si="94"/>
        <v/>
      </c>
      <c r="N278" s="86" t="str">
        <f>IF(B278="","",IF(F278=0,0,IF(Simulador!$N$7='Tabla Parámetros'!$C$31,AportPat!L270,IF(Simulador!$N$7='Tabla Parámetros'!$C$34,AportPatFov!G268,0))))</f>
        <v/>
      </c>
      <c r="O278" s="86">
        <f>Simulador!N333</f>
        <v>0</v>
      </c>
      <c r="P278" s="86"/>
      <c r="Q278" s="86">
        <v>0</v>
      </c>
      <c r="R278" s="86" t="e">
        <f t="shared" si="95"/>
        <v>#VALUE!</v>
      </c>
      <c r="S278" s="86" t="str">
        <f t="shared" si="96"/>
        <v/>
      </c>
      <c r="U278" s="201" t="e">
        <f t="shared" si="97"/>
        <v>#VALUE!</v>
      </c>
      <c r="V278" s="201" t="e">
        <f t="shared" si="85"/>
        <v>#VALUE!</v>
      </c>
      <c r="W278" s="202" t="e">
        <f t="shared" si="86"/>
        <v>#VALUE!</v>
      </c>
      <c r="X278" s="201" t="e">
        <f t="shared" si="87"/>
        <v>#VALUE!</v>
      </c>
      <c r="Y278" s="201" t="e">
        <f t="shared" si="88"/>
        <v>#VALUE!</v>
      </c>
      <c r="Z278" s="201" t="e">
        <f t="shared" si="99"/>
        <v>#VALUE!</v>
      </c>
      <c r="AA278" s="201" t="e">
        <f t="shared" si="89"/>
        <v>#VALUE!</v>
      </c>
      <c r="AB278" s="201" t="e">
        <f t="shared" si="90"/>
        <v>#VALUE!</v>
      </c>
      <c r="AC278" s="201" t="e">
        <f t="shared" si="100"/>
        <v>#VALUE!</v>
      </c>
    </row>
    <row r="279" spans="2:29" x14ac:dyDescent="0.3">
      <c r="B279" s="84" t="str">
        <f t="shared" si="98"/>
        <v/>
      </c>
      <c r="C279" s="85" t="str">
        <f>IF($B279="","",'Fecha Pago'!K271)</f>
        <v/>
      </c>
      <c r="D279" s="86" t="str">
        <f>IF($B$12="","",'Fecha Pago'!L271)</f>
        <v/>
      </c>
      <c r="E279" s="87" t="str">
        <f t="shared" si="62"/>
        <v/>
      </c>
      <c r="F279" s="86" t="str">
        <f t="shared" si="79"/>
        <v/>
      </c>
      <c r="G279" s="86" t="str">
        <f t="shared" si="91"/>
        <v/>
      </c>
      <c r="H279" s="86" t="str">
        <f t="shared" si="92"/>
        <v/>
      </c>
      <c r="I279" s="86" t="str">
        <f>IF(B279="","",IF(Simulador!$F$9="Liquidez",'Tabla Fijos'!H279*0.16,IF(Simulador!$J$9="SI",H279*0.16,0)))</f>
        <v/>
      </c>
      <c r="J279" s="86" t="str">
        <f t="shared" si="93"/>
        <v/>
      </c>
      <c r="K279" s="86" t="str">
        <f t="shared" si="76"/>
        <v/>
      </c>
      <c r="L279" s="86" t="str">
        <f>IF(B279="","",IF(F279=0,0,IF(Sheet1!$I$10=6,'Tabla Fijos'!$C$3*'Tabla Fijos'!$F$5,$F$5*$C$5)))</f>
        <v/>
      </c>
      <c r="M279" s="86" t="str">
        <f t="shared" si="94"/>
        <v/>
      </c>
      <c r="N279" s="86" t="str">
        <f>IF(B279="","",IF(F279=0,0,IF(Simulador!$N$7='Tabla Parámetros'!$C$31,AportPat!L271,IF(Simulador!$N$7='Tabla Parámetros'!$C$34,AportPatFov!G269,0))))</f>
        <v/>
      </c>
      <c r="O279" s="86">
        <f>Simulador!N334</f>
        <v>0</v>
      </c>
      <c r="P279" s="86"/>
      <c r="Q279" s="86">
        <v>0</v>
      </c>
      <c r="R279" s="86" t="e">
        <f t="shared" si="95"/>
        <v>#VALUE!</v>
      </c>
      <c r="S279" s="86" t="str">
        <f t="shared" si="96"/>
        <v/>
      </c>
      <c r="U279" s="201" t="e">
        <f t="shared" si="97"/>
        <v>#VALUE!</v>
      </c>
      <c r="V279" s="201" t="e">
        <f t="shared" si="85"/>
        <v>#VALUE!</v>
      </c>
      <c r="W279" s="202" t="e">
        <f t="shared" si="86"/>
        <v>#VALUE!</v>
      </c>
      <c r="X279" s="201" t="e">
        <f t="shared" si="87"/>
        <v>#VALUE!</v>
      </c>
      <c r="Y279" s="201" t="e">
        <f t="shared" si="88"/>
        <v>#VALUE!</v>
      </c>
      <c r="Z279" s="201" t="e">
        <f t="shared" si="99"/>
        <v>#VALUE!</v>
      </c>
      <c r="AA279" s="201" t="e">
        <f t="shared" si="89"/>
        <v>#VALUE!</v>
      </c>
      <c r="AB279" s="201" t="e">
        <f t="shared" si="90"/>
        <v>#VALUE!</v>
      </c>
      <c r="AC279" s="201" t="e">
        <f t="shared" si="100"/>
        <v>#VALUE!</v>
      </c>
    </row>
    <row r="280" spans="2:29" x14ac:dyDescent="0.3">
      <c r="B280" s="84" t="str">
        <f t="shared" si="98"/>
        <v/>
      </c>
      <c r="C280" s="85" t="str">
        <f>IF($B280="","",'Fecha Pago'!K272)</f>
        <v/>
      </c>
      <c r="D280" s="86" t="str">
        <f>IF($B$12="","",'Fecha Pago'!L272)</f>
        <v/>
      </c>
      <c r="E280" s="87" t="str">
        <f t="shared" si="62"/>
        <v/>
      </c>
      <c r="F280" s="86" t="str">
        <f t="shared" si="79"/>
        <v/>
      </c>
      <c r="G280" s="86" t="str">
        <f t="shared" si="91"/>
        <v/>
      </c>
      <c r="H280" s="86" t="str">
        <f t="shared" si="92"/>
        <v/>
      </c>
      <c r="I280" s="86" t="str">
        <f>IF(B280="","",IF(Simulador!$F$9="Liquidez",'Tabla Fijos'!H280*0.16,IF(Simulador!$J$9="SI",H280*0.16,0)))</f>
        <v/>
      </c>
      <c r="J280" s="86" t="str">
        <f t="shared" si="93"/>
        <v/>
      </c>
      <c r="K280" s="86" t="str">
        <f t="shared" si="76"/>
        <v/>
      </c>
      <c r="L280" s="86" t="str">
        <f>IF(B280="","",IF(F280=0,0,IF(Sheet1!$I$10=6,'Tabla Fijos'!$C$3*'Tabla Fijos'!$F$5,$F$5*$C$5)))</f>
        <v/>
      </c>
      <c r="M280" s="86" t="str">
        <f t="shared" si="94"/>
        <v/>
      </c>
      <c r="N280" s="86" t="str">
        <f>IF(B280="","",IF(F280=0,0,IF(Simulador!$N$7='Tabla Parámetros'!$C$31,AportPat!L272,IF(Simulador!$N$7='Tabla Parámetros'!$C$34,AportPatFov!G270,0))))</f>
        <v/>
      </c>
      <c r="O280" s="86">
        <f>Simulador!N335</f>
        <v>0</v>
      </c>
      <c r="P280" s="86"/>
      <c r="Q280" s="86">
        <v>0</v>
      </c>
      <c r="R280" s="86" t="e">
        <f t="shared" si="95"/>
        <v>#VALUE!</v>
      </c>
      <c r="S280" s="86" t="str">
        <f t="shared" si="96"/>
        <v/>
      </c>
      <c r="U280" s="201" t="e">
        <f t="shared" si="97"/>
        <v>#VALUE!</v>
      </c>
      <c r="V280" s="201" t="e">
        <f t="shared" si="85"/>
        <v>#VALUE!</v>
      </c>
      <c r="W280" s="202" t="e">
        <f t="shared" si="86"/>
        <v>#VALUE!</v>
      </c>
      <c r="X280" s="201" t="e">
        <f t="shared" si="87"/>
        <v>#VALUE!</v>
      </c>
      <c r="Y280" s="201" t="e">
        <f t="shared" si="88"/>
        <v>#VALUE!</v>
      </c>
      <c r="Z280" s="201" t="e">
        <f t="shared" si="99"/>
        <v>#VALUE!</v>
      </c>
      <c r="AA280" s="201" t="e">
        <f t="shared" si="89"/>
        <v>#VALUE!</v>
      </c>
      <c r="AB280" s="201" t="e">
        <f t="shared" si="90"/>
        <v>#VALUE!</v>
      </c>
      <c r="AC280" s="201" t="e">
        <f t="shared" si="100"/>
        <v>#VALUE!</v>
      </c>
    </row>
    <row r="281" spans="2:29" x14ac:dyDescent="0.3">
      <c r="B281" s="84" t="str">
        <f t="shared" si="98"/>
        <v/>
      </c>
      <c r="C281" s="85" t="str">
        <f>IF($B281="","",'Fecha Pago'!K273)</f>
        <v/>
      </c>
      <c r="D281" s="86" t="str">
        <f>IF($B$12="","",'Fecha Pago'!L273)</f>
        <v/>
      </c>
      <c r="E281" s="87" t="str">
        <f t="shared" si="62"/>
        <v/>
      </c>
      <c r="F281" s="86" t="str">
        <f t="shared" si="79"/>
        <v/>
      </c>
      <c r="G281" s="86" t="str">
        <f t="shared" si="91"/>
        <v/>
      </c>
      <c r="H281" s="86" t="str">
        <f t="shared" si="92"/>
        <v/>
      </c>
      <c r="I281" s="86" t="str">
        <f>IF(B281="","",IF(Simulador!$F$9="Liquidez",'Tabla Fijos'!H281*0.16,IF(Simulador!$J$9="SI",H281*0.16,0)))</f>
        <v/>
      </c>
      <c r="J281" s="86" t="str">
        <f t="shared" si="93"/>
        <v/>
      </c>
      <c r="K281" s="86" t="str">
        <f t="shared" si="76"/>
        <v/>
      </c>
      <c r="L281" s="86" t="str">
        <f>IF(B281="","",IF(F281=0,0,IF(Sheet1!$I$10=6,'Tabla Fijos'!$C$3*'Tabla Fijos'!$F$5,$F$5*$C$5)))</f>
        <v/>
      </c>
      <c r="M281" s="86" t="str">
        <f t="shared" si="94"/>
        <v/>
      </c>
      <c r="N281" s="86" t="str">
        <f>IF(B281="","",IF(F281=0,0,IF(Simulador!$N$7='Tabla Parámetros'!$C$31,AportPat!L273,IF(Simulador!$N$7='Tabla Parámetros'!$C$34,AportPatFov!G271,0))))</f>
        <v/>
      </c>
      <c r="O281" s="86">
        <f>Simulador!N336</f>
        <v>0</v>
      </c>
      <c r="P281" s="86"/>
      <c r="Q281" s="86">
        <v>0</v>
      </c>
      <c r="R281" s="86" t="e">
        <f t="shared" si="95"/>
        <v>#VALUE!</v>
      </c>
      <c r="S281" s="86" t="str">
        <f t="shared" si="96"/>
        <v/>
      </c>
      <c r="U281" s="201" t="e">
        <f t="shared" si="97"/>
        <v>#VALUE!</v>
      </c>
      <c r="V281" s="201" t="e">
        <f t="shared" si="85"/>
        <v>#VALUE!</v>
      </c>
      <c r="W281" s="202" t="e">
        <f t="shared" si="86"/>
        <v>#VALUE!</v>
      </c>
      <c r="X281" s="201" t="e">
        <f t="shared" si="87"/>
        <v>#VALUE!</v>
      </c>
      <c r="Y281" s="201" t="e">
        <f t="shared" si="88"/>
        <v>#VALUE!</v>
      </c>
      <c r="Z281" s="201" t="e">
        <f t="shared" si="99"/>
        <v>#VALUE!</v>
      </c>
      <c r="AA281" s="201" t="e">
        <f t="shared" si="89"/>
        <v>#VALUE!</v>
      </c>
      <c r="AB281" s="201" t="e">
        <f t="shared" si="90"/>
        <v>#VALUE!</v>
      </c>
      <c r="AC281" s="201" t="e">
        <f t="shared" si="100"/>
        <v>#VALUE!</v>
      </c>
    </row>
    <row r="282" spans="2:29" x14ac:dyDescent="0.3">
      <c r="B282" s="84" t="str">
        <f t="shared" si="98"/>
        <v/>
      </c>
      <c r="C282" s="85" t="str">
        <f>IF($B282="","",'Fecha Pago'!K274)</f>
        <v/>
      </c>
      <c r="D282" s="86" t="str">
        <f>IF($B$12="","",'Fecha Pago'!L274)</f>
        <v/>
      </c>
      <c r="E282" s="87" t="str">
        <f t="shared" ref="E282:E311" si="101">IF(B282="","",$F$2)</f>
        <v/>
      </c>
      <c r="F282" s="86" t="str">
        <f t="shared" ref="F282:F311" si="102">IF(B282="","",F281-G281)</f>
        <v/>
      </c>
      <c r="G282" s="86" t="str">
        <f t="shared" ref="G282:G311" si="103">IF(B282="","",IF((J282-H282)&gt;F282,F282,IF($S$7=$U$10,U282,IF($S$7=$X$10,X282,IF($S$7=$AA$10,AA282,)))))</f>
        <v/>
      </c>
      <c r="H282" s="86" t="str">
        <f t="shared" ref="H282:H311" si="104">IF(C282="","",IF($S$7=$U$10,V282,IF($S$7=$X$10,Y282,IF($S$7=$AA$10,AB282,))))</f>
        <v/>
      </c>
      <c r="I282" s="86" t="str">
        <f>IF(B282="","",IF(Simulador!$F$9="Liquidez",'Tabla Fijos'!H282*0.16,IF(Simulador!$J$9="SI",H282*0.16,0)))</f>
        <v/>
      </c>
      <c r="J282" s="86" t="str">
        <f t="shared" ref="J282:J311" si="105">IF(D282="","",IF($S$7=$U$10,W282,IF($S$7=$X$10,Z282,IF($S$7=$AA$10,AC282,))))</f>
        <v/>
      </c>
      <c r="K282" s="86" t="str">
        <f t="shared" ref="K282:K311" si="106">IF(B282="","",IF($F$3="",0,($F$4*F282)))</f>
        <v/>
      </c>
      <c r="L282" s="86" t="str">
        <f>IF(B282="","",IF(F282=0,0,IF(Sheet1!$I$10=6,'Tabla Fijos'!$C$3*'Tabla Fijos'!$F$5,$F$5*$C$5)))</f>
        <v/>
      </c>
      <c r="M282" s="86" t="str">
        <f t="shared" si="94"/>
        <v/>
      </c>
      <c r="N282" s="86" t="str">
        <f>IF(B282="","",IF(F282=0,0,IF(Simulador!$N$7='Tabla Parámetros'!$C$31,AportPat!L274,IF(Simulador!$N$7='Tabla Parámetros'!$C$34,AportPatFov!G272,0))))</f>
        <v/>
      </c>
      <c r="O282" s="86">
        <f>Simulador!N337</f>
        <v>0</v>
      </c>
      <c r="P282" s="86"/>
      <c r="Q282" s="86">
        <v>0</v>
      </c>
      <c r="R282" s="86" t="e">
        <f t="shared" ref="R282:R311" si="107">IF(B282="","",G282+H282+K282+L282+M282)-N282</f>
        <v>#VALUE!</v>
      </c>
      <c r="S282" s="86" t="str">
        <f t="shared" ref="S282:S311" si="108">IF(B282="","",F282-G282)</f>
        <v/>
      </c>
      <c r="U282" s="201" t="e">
        <f t="shared" si="97"/>
        <v>#VALUE!</v>
      </c>
      <c r="V282" s="201" t="e">
        <f t="shared" ref="V282:V311" si="109">(E282/360*D282)*F282</f>
        <v>#VALUE!</v>
      </c>
      <c r="W282" s="202" t="e">
        <f t="shared" ref="W282:W311" si="110">U282+V282</f>
        <v>#VALUE!</v>
      </c>
      <c r="X282" s="201" t="e">
        <f t="shared" ref="X282:X311" si="111">Z282-Y282</f>
        <v>#VALUE!</v>
      </c>
      <c r="Y282" s="201" t="e">
        <f t="shared" ref="Y282:Y311" si="112">(E282/360*D282)*F282</f>
        <v>#VALUE!</v>
      </c>
      <c r="Z282" s="201" t="e">
        <f t="shared" si="99"/>
        <v>#VALUE!</v>
      </c>
      <c r="AA282" s="201" t="e">
        <f t="shared" ref="AA282:AA311" si="113">AC282-AB282</f>
        <v>#VALUE!</v>
      </c>
      <c r="AB282" s="201" t="e">
        <f t="shared" ref="AB282:AB311" si="114">(E282/360*D282)*F282</f>
        <v>#VALUE!</v>
      </c>
      <c r="AC282" s="201" t="e">
        <f t="shared" si="100"/>
        <v>#VALUE!</v>
      </c>
    </row>
    <row r="283" spans="2:29" x14ac:dyDescent="0.3">
      <c r="B283" s="84" t="str">
        <f t="shared" si="98"/>
        <v/>
      </c>
      <c r="C283" s="85" t="str">
        <f>IF($B283="","",'Fecha Pago'!K275)</f>
        <v/>
      </c>
      <c r="D283" s="86" t="str">
        <f>IF($B$12="","",'Fecha Pago'!L275)</f>
        <v/>
      </c>
      <c r="E283" s="87" t="str">
        <f t="shared" si="101"/>
        <v/>
      </c>
      <c r="F283" s="86" t="str">
        <f t="shared" si="102"/>
        <v/>
      </c>
      <c r="G283" s="86" t="str">
        <f t="shared" si="103"/>
        <v/>
      </c>
      <c r="H283" s="86" t="str">
        <f t="shared" si="104"/>
        <v/>
      </c>
      <c r="I283" s="86" t="str">
        <f>IF(B283="","",IF(Simulador!$F$9="Liquidez",'Tabla Fijos'!H283*0.16,IF(Simulador!$J$9="SI",H283*0.16,0)))</f>
        <v/>
      </c>
      <c r="J283" s="86" t="str">
        <f t="shared" si="105"/>
        <v/>
      </c>
      <c r="K283" s="86" t="str">
        <f t="shared" si="106"/>
        <v/>
      </c>
      <c r="L283" s="86" t="str">
        <f>IF(B283="","",IF(F283=0,0,IF(Sheet1!$I$10=6,'Tabla Fijos'!$C$3*'Tabla Fijos'!$F$5,$F$5*$C$5)))</f>
        <v/>
      </c>
      <c r="M283" s="86" t="str">
        <f t="shared" si="94"/>
        <v/>
      </c>
      <c r="N283" s="86" t="str">
        <f>IF(B283="","",IF(F283=0,0,IF(Simulador!$N$7='Tabla Parámetros'!$C$31,AportPat!L275,IF(Simulador!$N$7='Tabla Parámetros'!$C$34,AportPatFov!G273,0))))</f>
        <v/>
      </c>
      <c r="O283" s="86">
        <f>Simulador!N338</f>
        <v>0</v>
      </c>
      <c r="P283" s="86"/>
      <c r="Q283" s="86">
        <v>0</v>
      </c>
      <c r="R283" s="86" t="e">
        <f t="shared" si="107"/>
        <v>#VALUE!</v>
      </c>
      <c r="S283" s="86" t="str">
        <f t="shared" si="108"/>
        <v/>
      </c>
      <c r="U283" s="201" t="e">
        <f t="shared" si="97"/>
        <v>#VALUE!</v>
      </c>
      <c r="V283" s="201" t="e">
        <f t="shared" si="109"/>
        <v>#VALUE!</v>
      </c>
      <c r="W283" s="202" t="e">
        <f t="shared" si="110"/>
        <v>#VALUE!</v>
      </c>
      <c r="X283" s="201" t="e">
        <f t="shared" si="111"/>
        <v>#VALUE!</v>
      </c>
      <c r="Y283" s="201" t="e">
        <f t="shared" si="112"/>
        <v>#VALUE!</v>
      </c>
      <c r="Z283" s="201" t="e">
        <f t="shared" si="99"/>
        <v>#VALUE!</v>
      </c>
      <c r="AA283" s="201" t="e">
        <f t="shared" si="113"/>
        <v>#VALUE!</v>
      </c>
      <c r="AB283" s="201" t="e">
        <f t="shared" si="114"/>
        <v>#VALUE!</v>
      </c>
      <c r="AC283" s="201" t="e">
        <f t="shared" si="100"/>
        <v>#VALUE!</v>
      </c>
    </row>
    <row r="284" spans="2:29" x14ac:dyDescent="0.3">
      <c r="B284" s="84" t="str">
        <f t="shared" si="98"/>
        <v/>
      </c>
      <c r="C284" s="85" t="str">
        <f>IF($B284="","",'Fecha Pago'!K276)</f>
        <v/>
      </c>
      <c r="D284" s="86" t="str">
        <f>IF($B$12="","",'Fecha Pago'!L276)</f>
        <v/>
      </c>
      <c r="E284" s="87" t="str">
        <f t="shared" si="101"/>
        <v/>
      </c>
      <c r="F284" s="86" t="str">
        <f t="shared" si="102"/>
        <v/>
      </c>
      <c r="G284" s="86" t="str">
        <f t="shared" si="103"/>
        <v/>
      </c>
      <c r="H284" s="86" t="str">
        <f t="shared" si="104"/>
        <v/>
      </c>
      <c r="I284" s="86" t="str">
        <f>IF(B284="","",IF(Simulador!$F$9="Liquidez",'Tabla Fijos'!H284*0.16,IF(Simulador!$J$9="SI",H284*0.16,0)))</f>
        <v/>
      </c>
      <c r="J284" s="86" t="str">
        <f t="shared" si="105"/>
        <v/>
      </c>
      <c r="K284" s="86" t="str">
        <f t="shared" si="106"/>
        <v/>
      </c>
      <c r="L284" s="86" t="str">
        <f>IF(B284="","",IF(F284=0,0,IF(Sheet1!$I$10=6,'Tabla Fijos'!$C$3*'Tabla Fijos'!$F$5,$F$5*$C$5)))</f>
        <v/>
      </c>
      <c r="M284" s="86" t="str">
        <f t="shared" si="94"/>
        <v/>
      </c>
      <c r="N284" s="86" t="str">
        <f>IF(B284="","",IF(F284=0,0,IF(Simulador!$N$7='Tabla Parámetros'!$C$31,AportPat!L276,IF(Simulador!$N$7='Tabla Parámetros'!$C$34,AportPatFov!G274,0))))</f>
        <v/>
      </c>
      <c r="O284" s="86">
        <f>Simulador!N339</f>
        <v>0</v>
      </c>
      <c r="P284" s="86"/>
      <c r="Q284" s="86">
        <v>0</v>
      </c>
      <c r="R284" s="86" t="e">
        <f t="shared" si="107"/>
        <v>#VALUE!</v>
      </c>
      <c r="S284" s="86" t="str">
        <f t="shared" si="108"/>
        <v/>
      </c>
      <c r="U284" s="201" t="e">
        <f t="shared" si="97"/>
        <v>#VALUE!</v>
      </c>
      <c r="V284" s="201" t="e">
        <f t="shared" si="109"/>
        <v>#VALUE!</v>
      </c>
      <c r="W284" s="202" t="e">
        <f t="shared" si="110"/>
        <v>#VALUE!</v>
      </c>
      <c r="X284" s="201" t="e">
        <f t="shared" si="111"/>
        <v>#VALUE!</v>
      </c>
      <c r="Y284" s="201" t="e">
        <f t="shared" si="112"/>
        <v>#VALUE!</v>
      </c>
      <c r="Z284" s="201" t="e">
        <f t="shared" si="99"/>
        <v>#VALUE!</v>
      </c>
      <c r="AA284" s="201" t="e">
        <f t="shared" si="113"/>
        <v>#VALUE!</v>
      </c>
      <c r="AB284" s="201" t="e">
        <f t="shared" si="114"/>
        <v>#VALUE!</v>
      </c>
      <c r="AC284" s="201" t="e">
        <f t="shared" si="100"/>
        <v>#VALUE!</v>
      </c>
    </row>
    <row r="285" spans="2:29" x14ac:dyDescent="0.3">
      <c r="B285" s="84" t="str">
        <f t="shared" si="98"/>
        <v/>
      </c>
      <c r="C285" s="85" t="str">
        <f>IF($B285="","",'Fecha Pago'!K277)</f>
        <v/>
      </c>
      <c r="D285" s="86" t="str">
        <f>IF($B$12="","",'Fecha Pago'!L277)</f>
        <v/>
      </c>
      <c r="E285" s="87" t="str">
        <f t="shared" si="101"/>
        <v/>
      </c>
      <c r="F285" s="86" t="str">
        <f t="shared" si="102"/>
        <v/>
      </c>
      <c r="G285" s="86" t="str">
        <f t="shared" si="103"/>
        <v/>
      </c>
      <c r="H285" s="86" t="str">
        <f t="shared" si="104"/>
        <v/>
      </c>
      <c r="I285" s="86" t="str">
        <f>IF(B285="","",IF(Simulador!$F$9="Liquidez",'Tabla Fijos'!H285*0.16,IF(Simulador!$J$9="SI",H285*0.16,0)))</f>
        <v/>
      </c>
      <c r="J285" s="86" t="str">
        <f t="shared" si="105"/>
        <v/>
      </c>
      <c r="K285" s="86" t="str">
        <f t="shared" si="106"/>
        <v/>
      </c>
      <c r="L285" s="86" t="str">
        <f>IF(B285="","",IF(F285=0,0,IF(Sheet1!$I$10=6,'Tabla Fijos'!$C$3*'Tabla Fijos'!$F$5,$F$5*$C$5)))</f>
        <v/>
      </c>
      <c r="M285" s="86" t="str">
        <f t="shared" si="94"/>
        <v/>
      </c>
      <c r="N285" s="86" t="str">
        <f>IF(B285="","",IF(F285=0,0,IF(Simulador!$N$7='Tabla Parámetros'!$C$31,AportPat!L277,IF(Simulador!$N$7='Tabla Parámetros'!$C$34,AportPatFov!G275,0))))</f>
        <v/>
      </c>
      <c r="O285" s="86">
        <f>Simulador!N340</f>
        <v>0</v>
      </c>
      <c r="P285" s="86"/>
      <c r="Q285" s="86">
        <v>0</v>
      </c>
      <c r="R285" s="86" t="e">
        <f t="shared" si="107"/>
        <v>#VALUE!</v>
      </c>
      <c r="S285" s="86" t="str">
        <f t="shared" si="108"/>
        <v/>
      </c>
      <c r="U285" s="201" t="e">
        <f t="shared" si="97"/>
        <v>#VALUE!</v>
      </c>
      <c r="V285" s="201" t="e">
        <f t="shared" si="109"/>
        <v>#VALUE!</v>
      </c>
      <c r="W285" s="202" t="e">
        <f t="shared" si="110"/>
        <v>#VALUE!</v>
      </c>
      <c r="X285" s="201" t="e">
        <f t="shared" si="111"/>
        <v>#VALUE!</v>
      </c>
      <c r="Y285" s="201" t="e">
        <f t="shared" si="112"/>
        <v>#VALUE!</v>
      </c>
      <c r="Z285" s="201" t="e">
        <f t="shared" si="99"/>
        <v>#VALUE!</v>
      </c>
      <c r="AA285" s="201" t="e">
        <f t="shared" si="113"/>
        <v>#VALUE!</v>
      </c>
      <c r="AB285" s="201" t="e">
        <f t="shared" si="114"/>
        <v>#VALUE!</v>
      </c>
      <c r="AC285" s="201" t="e">
        <f t="shared" si="100"/>
        <v>#VALUE!</v>
      </c>
    </row>
    <row r="286" spans="2:29" x14ac:dyDescent="0.3">
      <c r="B286" s="84" t="str">
        <f t="shared" si="98"/>
        <v/>
      </c>
      <c r="C286" s="85" t="str">
        <f>IF($B286="","",'Fecha Pago'!K278)</f>
        <v/>
      </c>
      <c r="D286" s="86" t="str">
        <f>IF($B$12="","",'Fecha Pago'!L278)</f>
        <v/>
      </c>
      <c r="E286" s="87" t="str">
        <f t="shared" si="101"/>
        <v/>
      </c>
      <c r="F286" s="86" t="str">
        <f t="shared" si="102"/>
        <v/>
      </c>
      <c r="G286" s="86" t="str">
        <f t="shared" si="103"/>
        <v/>
      </c>
      <c r="H286" s="86" t="str">
        <f t="shared" si="104"/>
        <v/>
      </c>
      <c r="I286" s="86" t="str">
        <f>IF(B286="","",IF(Simulador!$F$9="Liquidez",'Tabla Fijos'!H286*0.16,IF(Simulador!$J$9="SI",H286*0.16,0)))</f>
        <v/>
      </c>
      <c r="J286" s="86" t="str">
        <f t="shared" si="105"/>
        <v/>
      </c>
      <c r="K286" s="86" t="str">
        <f t="shared" si="106"/>
        <v/>
      </c>
      <c r="L286" s="86" t="str">
        <f>IF(B286="","",IF(F286=0,0,IF(Sheet1!$I$10=6,'Tabla Fijos'!$C$3*'Tabla Fijos'!$F$5,$F$5*$C$5)))</f>
        <v/>
      </c>
      <c r="M286" s="86" t="str">
        <f t="shared" si="94"/>
        <v/>
      </c>
      <c r="N286" s="86" t="str">
        <f>IF(B286="","",IF(F286=0,0,IF(Simulador!$N$7='Tabla Parámetros'!$C$31,AportPat!L278,IF(Simulador!$N$7='Tabla Parámetros'!$C$34,AportPatFov!G276,0))))</f>
        <v/>
      </c>
      <c r="O286" s="86">
        <f>Simulador!N341</f>
        <v>0</v>
      </c>
      <c r="P286" s="86"/>
      <c r="Q286" s="86">
        <v>0</v>
      </c>
      <c r="R286" s="86" t="e">
        <f t="shared" si="107"/>
        <v>#VALUE!</v>
      </c>
      <c r="S286" s="86" t="str">
        <f t="shared" si="108"/>
        <v/>
      </c>
      <c r="U286" s="201" t="e">
        <f t="shared" si="97"/>
        <v>#VALUE!</v>
      </c>
      <c r="V286" s="201" t="e">
        <f t="shared" si="109"/>
        <v>#VALUE!</v>
      </c>
      <c r="W286" s="202" t="e">
        <f t="shared" si="110"/>
        <v>#VALUE!</v>
      </c>
      <c r="X286" s="201" t="e">
        <f t="shared" si="111"/>
        <v>#VALUE!</v>
      </c>
      <c r="Y286" s="201" t="e">
        <f t="shared" si="112"/>
        <v>#VALUE!</v>
      </c>
      <c r="Z286" s="201" t="e">
        <f t="shared" si="99"/>
        <v>#VALUE!</v>
      </c>
      <c r="AA286" s="201" t="e">
        <f t="shared" si="113"/>
        <v>#VALUE!</v>
      </c>
      <c r="AB286" s="201" t="e">
        <f t="shared" si="114"/>
        <v>#VALUE!</v>
      </c>
      <c r="AC286" s="201" t="e">
        <f t="shared" si="100"/>
        <v>#VALUE!</v>
      </c>
    </row>
    <row r="287" spans="2:29" x14ac:dyDescent="0.3">
      <c r="B287" s="84" t="str">
        <f t="shared" si="98"/>
        <v/>
      </c>
      <c r="C287" s="85" t="str">
        <f>IF($B287="","",'Fecha Pago'!K279)</f>
        <v/>
      </c>
      <c r="D287" s="86" t="str">
        <f>IF($B$12="","",'Fecha Pago'!L279)</f>
        <v/>
      </c>
      <c r="E287" s="87" t="str">
        <f t="shared" si="101"/>
        <v/>
      </c>
      <c r="F287" s="86" t="str">
        <f t="shared" si="102"/>
        <v/>
      </c>
      <c r="G287" s="86" t="str">
        <f t="shared" si="103"/>
        <v/>
      </c>
      <c r="H287" s="86" t="str">
        <f t="shared" si="104"/>
        <v/>
      </c>
      <c r="I287" s="86" t="str">
        <f>IF(B287="","",IF(Simulador!$F$9="Liquidez",'Tabla Fijos'!H287*0.16,IF(Simulador!$J$9="SI",H287*0.16,0)))</f>
        <v/>
      </c>
      <c r="J287" s="86" t="str">
        <f t="shared" si="105"/>
        <v/>
      </c>
      <c r="K287" s="86" t="str">
        <f t="shared" si="106"/>
        <v/>
      </c>
      <c r="L287" s="86" t="str">
        <f>IF(B287="","",IF(F287=0,0,IF(Sheet1!$I$10=6,'Tabla Fijos'!$C$3*'Tabla Fijos'!$F$5,$F$5*$C$5)))</f>
        <v/>
      </c>
      <c r="M287" s="86" t="str">
        <f t="shared" si="94"/>
        <v/>
      </c>
      <c r="N287" s="86" t="str">
        <f>IF(B287="","",IF(F287=0,0,IF(Simulador!$N$7='Tabla Parámetros'!$C$31,AportPat!L279,IF(Simulador!$N$7='Tabla Parámetros'!$C$34,AportPatFov!G277,0))))</f>
        <v/>
      </c>
      <c r="O287" s="86">
        <f>Simulador!N342</f>
        <v>0</v>
      </c>
      <c r="P287" s="86"/>
      <c r="Q287" s="86">
        <v>0</v>
      </c>
      <c r="R287" s="86" t="e">
        <f t="shared" si="107"/>
        <v>#VALUE!</v>
      </c>
      <c r="S287" s="86" t="str">
        <f t="shared" si="108"/>
        <v/>
      </c>
      <c r="U287" s="201" t="e">
        <f t="shared" si="97"/>
        <v>#VALUE!</v>
      </c>
      <c r="V287" s="201" t="e">
        <f t="shared" si="109"/>
        <v>#VALUE!</v>
      </c>
      <c r="W287" s="202" t="e">
        <f t="shared" si="110"/>
        <v>#VALUE!</v>
      </c>
      <c r="X287" s="201" t="e">
        <f t="shared" si="111"/>
        <v>#VALUE!</v>
      </c>
      <c r="Y287" s="201" t="e">
        <f t="shared" si="112"/>
        <v>#VALUE!</v>
      </c>
      <c r="Z287" s="201" t="e">
        <f t="shared" si="99"/>
        <v>#VALUE!</v>
      </c>
      <c r="AA287" s="201" t="e">
        <f t="shared" si="113"/>
        <v>#VALUE!</v>
      </c>
      <c r="AB287" s="201" t="e">
        <f t="shared" si="114"/>
        <v>#VALUE!</v>
      </c>
      <c r="AC287" s="201" t="e">
        <f t="shared" si="100"/>
        <v>#VALUE!</v>
      </c>
    </row>
    <row r="288" spans="2:29" x14ac:dyDescent="0.3">
      <c r="B288" s="84" t="str">
        <f t="shared" si="98"/>
        <v/>
      </c>
      <c r="C288" s="85" t="str">
        <f>IF($B288="","",'Fecha Pago'!K280)</f>
        <v/>
      </c>
      <c r="D288" s="86" t="str">
        <f>IF($B$12="","",'Fecha Pago'!L280)</f>
        <v/>
      </c>
      <c r="E288" s="87" t="str">
        <f t="shared" si="101"/>
        <v/>
      </c>
      <c r="F288" s="86" t="str">
        <f t="shared" si="102"/>
        <v/>
      </c>
      <c r="G288" s="86" t="str">
        <f t="shared" si="103"/>
        <v/>
      </c>
      <c r="H288" s="86" t="str">
        <f t="shared" si="104"/>
        <v/>
      </c>
      <c r="I288" s="86" t="str">
        <f>IF(B288="","",IF(Simulador!$F$9="Liquidez",'Tabla Fijos'!H288*0.16,IF(Simulador!$J$9="SI",H288*0.16,0)))</f>
        <v/>
      </c>
      <c r="J288" s="86" t="str">
        <f t="shared" si="105"/>
        <v/>
      </c>
      <c r="K288" s="86" t="str">
        <f t="shared" si="106"/>
        <v/>
      </c>
      <c r="L288" s="86" t="str">
        <f>IF(B288="","",IF(F288=0,0,IF(Sheet1!$I$10=6,'Tabla Fijos'!$C$3*'Tabla Fijos'!$F$5,$F$5*$C$5)))</f>
        <v/>
      </c>
      <c r="M288" s="86" t="str">
        <f t="shared" si="94"/>
        <v/>
      </c>
      <c r="N288" s="86" t="str">
        <f>IF(B288="","",IF(F288=0,0,IF(Simulador!$N$7='Tabla Parámetros'!$C$31,AportPat!L280,IF(Simulador!$N$7='Tabla Parámetros'!$C$34,AportPatFov!G278,0))))</f>
        <v/>
      </c>
      <c r="O288" s="86">
        <f>Simulador!N343</f>
        <v>0</v>
      </c>
      <c r="P288" s="86"/>
      <c r="Q288" s="86">
        <v>0</v>
      </c>
      <c r="R288" s="86" t="e">
        <f t="shared" si="107"/>
        <v>#VALUE!</v>
      </c>
      <c r="S288" s="86" t="str">
        <f t="shared" si="108"/>
        <v/>
      </c>
      <c r="U288" s="201" t="e">
        <f t="shared" si="97"/>
        <v>#VALUE!</v>
      </c>
      <c r="V288" s="201" t="e">
        <f t="shared" si="109"/>
        <v>#VALUE!</v>
      </c>
      <c r="W288" s="202" t="e">
        <f t="shared" si="110"/>
        <v>#VALUE!</v>
      </c>
      <c r="X288" s="201" t="e">
        <f t="shared" si="111"/>
        <v>#VALUE!</v>
      </c>
      <c r="Y288" s="201" t="e">
        <f t="shared" si="112"/>
        <v>#VALUE!</v>
      </c>
      <c r="Z288" s="201" t="e">
        <f t="shared" si="99"/>
        <v>#VALUE!</v>
      </c>
      <c r="AA288" s="201" t="e">
        <f t="shared" si="113"/>
        <v>#VALUE!</v>
      </c>
      <c r="AB288" s="201" t="e">
        <f t="shared" si="114"/>
        <v>#VALUE!</v>
      </c>
      <c r="AC288" s="201" t="e">
        <f t="shared" si="100"/>
        <v>#VALUE!</v>
      </c>
    </row>
    <row r="289" spans="2:29" x14ac:dyDescent="0.3">
      <c r="B289" s="84" t="str">
        <f t="shared" si="98"/>
        <v/>
      </c>
      <c r="C289" s="85" t="str">
        <f>IF($B289="","",'Fecha Pago'!K281)</f>
        <v/>
      </c>
      <c r="D289" s="86" t="str">
        <f>IF($B$12="","",'Fecha Pago'!L281)</f>
        <v/>
      </c>
      <c r="E289" s="87" t="str">
        <f t="shared" si="101"/>
        <v/>
      </c>
      <c r="F289" s="86" t="str">
        <f t="shared" si="102"/>
        <v/>
      </c>
      <c r="G289" s="86" t="str">
        <f t="shared" si="103"/>
        <v/>
      </c>
      <c r="H289" s="86" t="str">
        <f t="shared" si="104"/>
        <v/>
      </c>
      <c r="I289" s="86" t="str">
        <f>IF(B289="","",IF(Simulador!$F$9="Liquidez",'Tabla Fijos'!H289*0.16,IF(Simulador!$J$9="SI",H289*0.16,0)))</f>
        <v/>
      </c>
      <c r="J289" s="86" t="str">
        <f t="shared" si="105"/>
        <v/>
      </c>
      <c r="K289" s="86" t="str">
        <f t="shared" si="106"/>
        <v/>
      </c>
      <c r="L289" s="86" t="str">
        <f>IF(B289="","",IF(F289=0,0,IF(Sheet1!$I$10=6,'Tabla Fijos'!$C$3*'Tabla Fijos'!$F$5,$F$5*$C$5)))</f>
        <v/>
      </c>
      <c r="M289" s="86" t="str">
        <f t="shared" si="94"/>
        <v/>
      </c>
      <c r="N289" s="86" t="str">
        <f>IF(B289="","",IF(F289=0,0,IF(Simulador!$N$7='Tabla Parámetros'!$C$31,AportPat!L281,IF(Simulador!$N$7='Tabla Parámetros'!$C$34,AportPatFov!G279,0))))</f>
        <v/>
      </c>
      <c r="O289" s="86">
        <f>Simulador!N344</f>
        <v>0</v>
      </c>
      <c r="P289" s="86"/>
      <c r="Q289" s="86">
        <v>0</v>
      </c>
      <c r="R289" s="86" t="e">
        <f t="shared" si="107"/>
        <v>#VALUE!</v>
      </c>
      <c r="S289" s="86" t="str">
        <f t="shared" si="108"/>
        <v/>
      </c>
      <c r="U289" s="201" t="e">
        <f t="shared" si="97"/>
        <v>#VALUE!</v>
      </c>
      <c r="V289" s="201" t="e">
        <f t="shared" si="109"/>
        <v>#VALUE!</v>
      </c>
      <c r="W289" s="202" t="e">
        <f t="shared" si="110"/>
        <v>#VALUE!</v>
      </c>
      <c r="X289" s="201" t="e">
        <f t="shared" si="111"/>
        <v>#VALUE!</v>
      </c>
      <c r="Y289" s="201" t="e">
        <f t="shared" si="112"/>
        <v>#VALUE!</v>
      </c>
      <c r="Z289" s="201" t="e">
        <f t="shared" si="99"/>
        <v>#VALUE!</v>
      </c>
      <c r="AA289" s="201" t="e">
        <f t="shared" si="113"/>
        <v>#VALUE!</v>
      </c>
      <c r="AB289" s="201" t="e">
        <f t="shared" si="114"/>
        <v>#VALUE!</v>
      </c>
      <c r="AC289" s="201" t="e">
        <f t="shared" si="100"/>
        <v>#VALUE!</v>
      </c>
    </row>
    <row r="290" spans="2:29" x14ac:dyDescent="0.3">
      <c r="B290" s="84" t="str">
        <f t="shared" si="98"/>
        <v/>
      </c>
      <c r="C290" s="85" t="str">
        <f>IF($B290="","",'Fecha Pago'!K282)</f>
        <v/>
      </c>
      <c r="D290" s="86" t="str">
        <f>IF($B$12="","",'Fecha Pago'!L282)</f>
        <v/>
      </c>
      <c r="E290" s="87" t="str">
        <f t="shared" si="101"/>
        <v/>
      </c>
      <c r="F290" s="86" t="str">
        <f t="shared" si="102"/>
        <v/>
      </c>
      <c r="G290" s="86" t="str">
        <f t="shared" si="103"/>
        <v/>
      </c>
      <c r="H290" s="86" t="str">
        <f t="shared" si="104"/>
        <v/>
      </c>
      <c r="I290" s="86" t="str">
        <f>IF(B290="","",IF(Simulador!$F$9="Liquidez",'Tabla Fijos'!H290*0.16,IF(Simulador!$J$9="SI",H290*0.16,0)))</f>
        <v/>
      </c>
      <c r="J290" s="86" t="str">
        <f t="shared" si="105"/>
        <v/>
      </c>
      <c r="K290" s="86" t="str">
        <f t="shared" si="106"/>
        <v/>
      </c>
      <c r="L290" s="86" t="str">
        <f>IF(B290="","",IF(F290=0,0,IF(Sheet1!$I$10=6,'Tabla Fijos'!$C$3*'Tabla Fijos'!$F$5,$F$5*$C$5)))</f>
        <v/>
      </c>
      <c r="M290" s="86" t="str">
        <f t="shared" si="94"/>
        <v/>
      </c>
      <c r="N290" s="86" t="str">
        <f>IF(B290="","",IF(F290=0,0,IF(Simulador!$N$7='Tabla Parámetros'!$C$31,AportPat!L282,IF(Simulador!$N$7='Tabla Parámetros'!$C$34,AportPatFov!G280,0))))</f>
        <v/>
      </c>
      <c r="O290" s="86">
        <f>Simulador!N345</f>
        <v>0</v>
      </c>
      <c r="P290" s="86"/>
      <c r="Q290" s="86">
        <v>0</v>
      </c>
      <c r="R290" s="86" t="e">
        <f t="shared" si="107"/>
        <v>#VALUE!</v>
      </c>
      <c r="S290" s="86" t="str">
        <f t="shared" si="108"/>
        <v/>
      </c>
      <c r="U290" s="201" t="e">
        <f t="shared" si="97"/>
        <v>#VALUE!</v>
      </c>
      <c r="V290" s="201" t="e">
        <f t="shared" si="109"/>
        <v>#VALUE!</v>
      </c>
      <c r="W290" s="202" t="e">
        <f t="shared" si="110"/>
        <v>#VALUE!</v>
      </c>
      <c r="X290" s="201" t="e">
        <f t="shared" si="111"/>
        <v>#VALUE!</v>
      </c>
      <c r="Y290" s="201" t="e">
        <f t="shared" si="112"/>
        <v>#VALUE!</v>
      </c>
      <c r="Z290" s="201" t="e">
        <f t="shared" si="99"/>
        <v>#VALUE!</v>
      </c>
      <c r="AA290" s="201" t="e">
        <f t="shared" si="113"/>
        <v>#VALUE!</v>
      </c>
      <c r="AB290" s="201" t="e">
        <f t="shared" si="114"/>
        <v>#VALUE!</v>
      </c>
      <c r="AC290" s="201" t="e">
        <f t="shared" si="100"/>
        <v>#VALUE!</v>
      </c>
    </row>
    <row r="291" spans="2:29" x14ac:dyDescent="0.3">
      <c r="B291" s="84" t="str">
        <f t="shared" si="98"/>
        <v/>
      </c>
      <c r="C291" s="85" t="str">
        <f>IF($B291="","",'Fecha Pago'!K283)</f>
        <v/>
      </c>
      <c r="D291" s="86" t="str">
        <f>IF($B$12="","",'Fecha Pago'!L283)</f>
        <v/>
      </c>
      <c r="E291" s="87" t="str">
        <f t="shared" si="101"/>
        <v/>
      </c>
      <c r="F291" s="86" t="str">
        <f t="shared" si="102"/>
        <v/>
      </c>
      <c r="G291" s="86" t="str">
        <f t="shared" si="103"/>
        <v/>
      </c>
      <c r="H291" s="86" t="str">
        <f t="shared" si="104"/>
        <v/>
      </c>
      <c r="I291" s="86" t="str">
        <f>IF(B291="","",IF(Simulador!$F$9="Liquidez",'Tabla Fijos'!H291*0.16,IF(Simulador!$J$9="SI",H291*0.16,0)))</f>
        <v/>
      </c>
      <c r="J291" s="86" t="str">
        <f t="shared" si="105"/>
        <v/>
      </c>
      <c r="K291" s="86" t="str">
        <f t="shared" si="106"/>
        <v/>
      </c>
      <c r="L291" s="86" t="str">
        <f>IF(B291="","",IF(F291=0,0,IF(Sheet1!$I$10=6,'Tabla Fijos'!$C$3*'Tabla Fijos'!$F$5,$F$5*$C$5)))</f>
        <v/>
      </c>
      <c r="M291" s="86" t="str">
        <f t="shared" si="94"/>
        <v/>
      </c>
      <c r="N291" s="86" t="str">
        <f>IF(B291="","",IF(F291=0,0,IF(Simulador!$N$7='Tabla Parámetros'!$C$31,AportPat!L283,IF(Simulador!$N$7='Tabla Parámetros'!$C$34,AportPatFov!G281,0))))</f>
        <v/>
      </c>
      <c r="O291" s="86">
        <f>Simulador!N346</f>
        <v>0</v>
      </c>
      <c r="P291" s="86"/>
      <c r="Q291" s="86">
        <v>0</v>
      </c>
      <c r="R291" s="86" t="e">
        <f t="shared" si="107"/>
        <v>#VALUE!</v>
      </c>
      <c r="S291" s="86" t="str">
        <f t="shared" si="108"/>
        <v/>
      </c>
      <c r="U291" s="201" t="e">
        <f t="shared" si="97"/>
        <v>#VALUE!</v>
      </c>
      <c r="V291" s="201" t="e">
        <f t="shared" si="109"/>
        <v>#VALUE!</v>
      </c>
      <c r="W291" s="202" t="e">
        <f t="shared" si="110"/>
        <v>#VALUE!</v>
      </c>
      <c r="X291" s="201" t="e">
        <f t="shared" si="111"/>
        <v>#VALUE!</v>
      </c>
      <c r="Y291" s="201" t="e">
        <f t="shared" si="112"/>
        <v>#VALUE!</v>
      </c>
      <c r="Z291" s="201" t="e">
        <f t="shared" si="99"/>
        <v>#VALUE!</v>
      </c>
      <c r="AA291" s="201" t="e">
        <f t="shared" si="113"/>
        <v>#VALUE!</v>
      </c>
      <c r="AB291" s="201" t="e">
        <f t="shared" si="114"/>
        <v>#VALUE!</v>
      </c>
      <c r="AC291" s="201" t="e">
        <f t="shared" si="100"/>
        <v>#VALUE!</v>
      </c>
    </row>
    <row r="292" spans="2:29" x14ac:dyDescent="0.3">
      <c r="B292" s="84" t="str">
        <f t="shared" si="98"/>
        <v/>
      </c>
      <c r="C292" s="85" t="str">
        <f>IF($B292="","",'Fecha Pago'!K284)</f>
        <v/>
      </c>
      <c r="D292" s="86" t="str">
        <f>IF($B$12="","",'Fecha Pago'!L284)</f>
        <v/>
      </c>
      <c r="E292" s="87" t="str">
        <f t="shared" si="101"/>
        <v/>
      </c>
      <c r="F292" s="86" t="str">
        <f t="shared" si="102"/>
        <v/>
      </c>
      <c r="G292" s="86" t="str">
        <f t="shared" si="103"/>
        <v/>
      </c>
      <c r="H292" s="86" t="str">
        <f t="shared" si="104"/>
        <v/>
      </c>
      <c r="I292" s="86" t="str">
        <f>IF(B292="","",IF(Simulador!$F$9="Liquidez",'Tabla Fijos'!H292*0.16,IF(Simulador!$J$9="SI",H292*0.16,0)))</f>
        <v/>
      </c>
      <c r="J292" s="86" t="str">
        <f t="shared" si="105"/>
        <v/>
      </c>
      <c r="K292" s="86" t="str">
        <f t="shared" si="106"/>
        <v/>
      </c>
      <c r="L292" s="86" t="str">
        <f>IF(B292="","",IF(F292=0,0,IF(Sheet1!$I$10=6,'Tabla Fijos'!$C$3*'Tabla Fijos'!$F$5,$F$5*$C$5)))</f>
        <v/>
      </c>
      <c r="M292" s="86" t="str">
        <f t="shared" si="94"/>
        <v/>
      </c>
      <c r="N292" s="86" t="str">
        <f>IF(B292="","",IF(F292=0,0,IF(Simulador!$N$7='Tabla Parámetros'!$C$31,AportPat!L284,IF(Simulador!$N$7='Tabla Parámetros'!$C$34,AportPatFov!G282,0))))</f>
        <v/>
      </c>
      <c r="O292" s="86">
        <f>Simulador!N347</f>
        <v>0</v>
      </c>
      <c r="P292" s="86"/>
      <c r="Q292" s="86">
        <v>0</v>
      </c>
      <c r="R292" s="86" t="e">
        <f t="shared" si="107"/>
        <v>#VALUE!</v>
      </c>
      <c r="S292" s="86" t="str">
        <f t="shared" si="108"/>
        <v/>
      </c>
      <c r="U292" s="201" t="e">
        <f t="shared" si="97"/>
        <v>#VALUE!</v>
      </c>
      <c r="V292" s="201" t="e">
        <f t="shared" si="109"/>
        <v>#VALUE!</v>
      </c>
      <c r="W292" s="202" t="e">
        <f t="shared" si="110"/>
        <v>#VALUE!</v>
      </c>
      <c r="X292" s="201" t="e">
        <f t="shared" si="111"/>
        <v>#VALUE!</v>
      </c>
      <c r="Y292" s="201" t="e">
        <f t="shared" si="112"/>
        <v>#VALUE!</v>
      </c>
      <c r="Z292" s="201" t="e">
        <f t="shared" si="99"/>
        <v>#VALUE!</v>
      </c>
      <c r="AA292" s="201" t="e">
        <f t="shared" si="113"/>
        <v>#VALUE!</v>
      </c>
      <c r="AB292" s="201" t="e">
        <f t="shared" si="114"/>
        <v>#VALUE!</v>
      </c>
      <c r="AC292" s="201" t="e">
        <f t="shared" si="100"/>
        <v>#VALUE!</v>
      </c>
    </row>
    <row r="293" spans="2:29" x14ac:dyDescent="0.3">
      <c r="B293" s="84" t="str">
        <f t="shared" si="98"/>
        <v/>
      </c>
      <c r="C293" s="85" t="str">
        <f>IF($B293="","",'Fecha Pago'!K285)</f>
        <v/>
      </c>
      <c r="D293" s="86" t="str">
        <f>IF($B$12="","",'Fecha Pago'!L285)</f>
        <v/>
      </c>
      <c r="E293" s="87" t="str">
        <f t="shared" si="101"/>
        <v/>
      </c>
      <c r="F293" s="86" t="str">
        <f t="shared" si="102"/>
        <v/>
      </c>
      <c r="G293" s="86" t="str">
        <f t="shared" si="103"/>
        <v/>
      </c>
      <c r="H293" s="86" t="str">
        <f t="shared" si="104"/>
        <v/>
      </c>
      <c r="I293" s="86" t="str">
        <f>IF(B293="","",IF(Simulador!$F$9="Liquidez",'Tabla Fijos'!H293*0.16,IF(Simulador!$J$9="SI",H293*0.16,0)))</f>
        <v/>
      </c>
      <c r="J293" s="86" t="str">
        <f t="shared" si="105"/>
        <v/>
      </c>
      <c r="K293" s="86" t="str">
        <f t="shared" si="106"/>
        <v/>
      </c>
      <c r="L293" s="86" t="str">
        <f>IF(B293="","",IF(F293=0,0,IF(Sheet1!$I$10=6,'Tabla Fijos'!$C$3*'Tabla Fijos'!$F$5,$F$5*$C$5)))</f>
        <v/>
      </c>
      <c r="M293" s="86" t="str">
        <f t="shared" si="94"/>
        <v/>
      </c>
      <c r="N293" s="86" t="str">
        <f>IF(B293="","",IF(F293=0,0,IF(Simulador!$N$7='Tabla Parámetros'!$C$31,AportPat!L285,IF(Simulador!$N$7='Tabla Parámetros'!$C$34,AportPatFov!G283,0))))</f>
        <v/>
      </c>
      <c r="O293" s="86">
        <f>Simulador!N348</f>
        <v>0</v>
      </c>
      <c r="P293" s="86"/>
      <c r="Q293" s="86">
        <v>0</v>
      </c>
      <c r="R293" s="86" t="e">
        <f t="shared" si="107"/>
        <v>#VALUE!</v>
      </c>
      <c r="S293" s="86" t="str">
        <f t="shared" si="108"/>
        <v/>
      </c>
      <c r="U293" s="201" t="e">
        <f t="shared" si="97"/>
        <v>#VALUE!</v>
      </c>
      <c r="V293" s="201" t="e">
        <f t="shared" si="109"/>
        <v>#VALUE!</v>
      </c>
      <c r="W293" s="202" t="e">
        <f t="shared" si="110"/>
        <v>#VALUE!</v>
      </c>
      <c r="X293" s="201" t="e">
        <f t="shared" si="111"/>
        <v>#VALUE!</v>
      </c>
      <c r="Y293" s="201" t="e">
        <f t="shared" si="112"/>
        <v>#VALUE!</v>
      </c>
      <c r="Z293" s="201" t="e">
        <f t="shared" si="99"/>
        <v>#VALUE!</v>
      </c>
      <c r="AA293" s="201" t="e">
        <f t="shared" si="113"/>
        <v>#VALUE!</v>
      </c>
      <c r="AB293" s="201" t="e">
        <f t="shared" si="114"/>
        <v>#VALUE!</v>
      </c>
      <c r="AC293" s="201" t="e">
        <f t="shared" si="100"/>
        <v>#VALUE!</v>
      </c>
    </row>
    <row r="294" spans="2:29" x14ac:dyDescent="0.3">
      <c r="B294" s="84" t="str">
        <f t="shared" si="98"/>
        <v/>
      </c>
      <c r="C294" s="85" t="str">
        <f>IF($B294="","",'Fecha Pago'!K286)</f>
        <v/>
      </c>
      <c r="D294" s="86" t="str">
        <f>IF($B$12="","",'Fecha Pago'!L286)</f>
        <v/>
      </c>
      <c r="E294" s="87" t="str">
        <f t="shared" si="101"/>
        <v/>
      </c>
      <c r="F294" s="86" t="str">
        <f t="shared" si="102"/>
        <v/>
      </c>
      <c r="G294" s="86" t="str">
        <f t="shared" si="103"/>
        <v/>
      </c>
      <c r="H294" s="86" t="str">
        <f t="shared" si="104"/>
        <v/>
      </c>
      <c r="I294" s="86" t="str">
        <f>IF(B294="","",IF(Simulador!$F$9="Liquidez",'Tabla Fijos'!H294*0.16,IF(Simulador!$J$9="SI",H294*0.16,0)))</f>
        <v/>
      </c>
      <c r="J294" s="86" t="str">
        <f t="shared" si="105"/>
        <v/>
      </c>
      <c r="K294" s="86" t="str">
        <f t="shared" si="106"/>
        <v/>
      </c>
      <c r="L294" s="86" t="str">
        <f>IF(B294="","",IF(F294=0,0,IF(Sheet1!$I$10=6,'Tabla Fijos'!$C$3*'Tabla Fijos'!$F$5,$F$5*$C$5)))</f>
        <v/>
      </c>
      <c r="M294" s="86" t="str">
        <f t="shared" si="94"/>
        <v/>
      </c>
      <c r="N294" s="86" t="str">
        <f>IF(B294="","",IF(F294=0,0,IF(Simulador!$N$7='Tabla Parámetros'!$C$31,AportPat!L286,IF(Simulador!$N$7='Tabla Parámetros'!$C$34,AportPatFov!G284,0))))</f>
        <v/>
      </c>
      <c r="O294" s="86">
        <f>Simulador!N349</f>
        <v>0</v>
      </c>
      <c r="P294" s="86"/>
      <c r="Q294" s="86">
        <v>0</v>
      </c>
      <c r="R294" s="86" t="e">
        <f t="shared" si="107"/>
        <v>#VALUE!</v>
      </c>
      <c r="S294" s="86" t="str">
        <f t="shared" si="108"/>
        <v/>
      </c>
      <c r="U294" s="201" t="e">
        <f t="shared" si="97"/>
        <v>#VALUE!</v>
      </c>
      <c r="V294" s="201" t="e">
        <f t="shared" si="109"/>
        <v>#VALUE!</v>
      </c>
      <c r="W294" s="202" t="e">
        <f t="shared" si="110"/>
        <v>#VALUE!</v>
      </c>
      <c r="X294" s="201" t="e">
        <f t="shared" si="111"/>
        <v>#VALUE!</v>
      </c>
      <c r="Y294" s="201" t="e">
        <f t="shared" si="112"/>
        <v>#VALUE!</v>
      </c>
      <c r="Z294" s="201" t="e">
        <f t="shared" si="99"/>
        <v>#VALUE!</v>
      </c>
      <c r="AA294" s="201" t="e">
        <f t="shared" si="113"/>
        <v>#VALUE!</v>
      </c>
      <c r="AB294" s="201" t="e">
        <f t="shared" si="114"/>
        <v>#VALUE!</v>
      </c>
      <c r="AC294" s="201" t="e">
        <f t="shared" si="100"/>
        <v>#VALUE!</v>
      </c>
    </row>
    <row r="295" spans="2:29" x14ac:dyDescent="0.3">
      <c r="B295" s="84" t="str">
        <f t="shared" si="98"/>
        <v/>
      </c>
      <c r="C295" s="85" t="str">
        <f>IF($B295="","",'Fecha Pago'!K287)</f>
        <v/>
      </c>
      <c r="D295" s="86" t="str">
        <f>IF($B$12="","",'Fecha Pago'!L287)</f>
        <v/>
      </c>
      <c r="E295" s="87" t="str">
        <f t="shared" si="101"/>
        <v/>
      </c>
      <c r="F295" s="86" t="str">
        <f t="shared" si="102"/>
        <v/>
      </c>
      <c r="G295" s="86" t="str">
        <f t="shared" si="103"/>
        <v/>
      </c>
      <c r="H295" s="86" t="str">
        <f t="shared" si="104"/>
        <v/>
      </c>
      <c r="I295" s="86" t="str">
        <f>IF(B295="","",IF(Simulador!$F$9="Liquidez",'Tabla Fijos'!H295*0.16,IF(Simulador!$J$9="SI",H295*0.16,0)))</f>
        <v/>
      </c>
      <c r="J295" s="86" t="str">
        <f t="shared" si="105"/>
        <v/>
      </c>
      <c r="K295" s="86" t="str">
        <f t="shared" si="106"/>
        <v/>
      </c>
      <c r="L295" s="86" t="str">
        <f>IF(B295="","",IF(F295=0,0,IF(Sheet1!$I$10=6,'Tabla Fijos'!$C$3*'Tabla Fijos'!$F$5,$F$5*$C$5)))</f>
        <v/>
      </c>
      <c r="M295" s="86" t="str">
        <f t="shared" si="94"/>
        <v/>
      </c>
      <c r="N295" s="86" t="str">
        <f>IF(B295="","",IF(F295=0,0,IF(Simulador!$N$7='Tabla Parámetros'!$C$31,AportPat!L287,IF(Simulador!$N$7='Tabla Parámetros'!$C$34,AportPatFov!G285,0))))</f>
        <v/>
      </c>
      <c r="O295" s="86">
        <f>Simulador!N350</f>
        <v>0</v>
      </c>
      <c r="P295" s="86"/>
      <c r="Q295" s="86">
        <v>0</v>
      </c>
      <c r="R295" s="86" t="e">
        <f t="shared" si="107"/>
        <v>#VALUE!</v>
      </c>
      <c r="S295" s="86" t="str">
        <f t="shared" si="108"/>
        <v/>
      </c>
      <c r="U295" s="201" t="e">
        <f t="shared" si="97"/>
        <v>#VALUE!</v>
      </c>
      <c r="V295" s="201" t="e">
        <f t="shared" si="109"/>
        <v>#VALUE!</v>
      </c>
      <c r="W295" s="202" t="e">
        <f t="shared" si="110"/>
        <v>#VALUE!</v>
      </c>
      <c r="X295" s="201" t="e">
        <f t="shared" si="111"/>
        <v>#VALUE!</v>
      </c>
      <c r="Y295" s="201" t="e">
        <f t="shared" si="112"/>
        <v>#VALUE!</v>
      </c>
      <c r="Z295" s="201" t="e">
        <f t="shared" si="99"/>
        <v>#VALUE!</v>
      </c>
      <c r="AA295" s="201" t="e">
        <f t="shared" si="113"/>
        <v>#VALUE!</v>
      </c>
      <c r="AB295" s="201" t="e">
        <f t="shared" si="114"/>
        <v>#VALUE!</v>
      </c>
      <c r="AC295" s="201" t="e">
        <f t="shared" si="100"/>
        <v>#VALUE!</v>
      </c>
    </row>
    <row r="296" spans="2:29" x14ac:dyDescent="0.3">
      <c r="B296" s="84" t="str">
        <f t="shared" si="98"/>
        <v/>
      </c>
      <c r="C296" s="85" t="str">
        <f>IF($B296="","",'Fecha Pago'!K288)</f>
        <v/>
      </c>
      <c r="D296" s="86" t="str">
        <f>IF($B$12="","",'Fecha Pago'!L288)</f>
        <v/>
      </c>
      <c r="E296" s="87" t="str">
        <f t="shared" si="101"/>
        <v/>
      </c>
      <c r="F296" s="86" t="str">
        <f t="shared" si="102"/>
        <v/>
      </c>
      <c r="G296" s="86" t="str">
        <f t="shared" si="103"/>
        <v/>
      </c>
      <c r="H296" s="86" t="str">
        <f t="shared" si="104"/>
        <v/>
      </c>
      <c r="I296" s="86" t="str">
        <f>IF(B296="","",IF(Simulador!$F$9="Liquidez",'Tabla Fijos'!H296*0.16,IF(Simulador!$J$9="SI",H296*0.16,0)))</f>
        <v/>
      </c>
      <c r="J296" s="86" t="str">
        <f t="shared" si="105"/>
        <v/>
      </c>
      <c r="K296" s="86" t="str">
        <f t="shared" si="106"/>
        <v/>
      </c>
      <c r="L296" s="86" t="str">
        <f>IF(B296="","",IF(F296=0,0,IF(Sheet1!$I$10=6,'Tabla Fijos'!$C$3*'Tabla Fijos'!$F$5,$F$5*$C$5)))</f>
        <v/>
      </c>
      <c r="M296" s="86" t="str">
        <f t="shared" si="94"/>
        <v/>
      </c>
      <c r="N296" s="86" t="str">
        <f>IF(B296="","",IF(F296=0,0,IF(Simulador!$N$7='Tabla Parámetros'!$C$31,AportPat!L288,IF(Simulador!$N$7='Tabla Parámetros'!$C$34,AportPatFov!G286,0))))</f>
        <v/>
      </c>
      <c r="O296" s="86">
        <f>Simulador!N351</f>
        <v>0</v>
      </c>
      <c r="P296" s="86"/>
      <c r="Q296" s="86">
        <v>0</v>
      </c>
      <c r="R296" s="86" t="e">
        <f t="shared" si="107"/>
        <v>#VALUE!</v>
      </c>
      <c r="S296" s="86" t="str">
        <f t="shared" si="108"/>
        <v/>
      </c>
      <c r="U296" s="201" t="e">
        <f t="shared" si="97"/>
        <v>#VALUE!</v>
      </c>
      <c r="V296" s="201" t="e">
        <f t="shared" si="109"/>
        <v>#VALUE!</v>
      </c>
      <c r="W296" s="202" t="e">
        <f t="shared" si="110"/>
        <v>#VALUE!</v>
      </c>
      <c r="X296" s="201" t="e">
        <f t="shared" si="111"/>
        <v>#VALUE!</v>
      </c>
      <c r="Y296" s="201" t="e">
        <f t="shared" si="112"/>
        <v>#VALUE!</v>
      </c>
      <c r="Z296" s="201" t="e">
        <f t="shared" si="99"/>
        <v>#VALUE!</v>
      </c>
      <c r="AA296" s="201" t="e">
        <f t="shared" si="113"/>
        <v>#VALUE!</v>
      </c>
      <c r="AB296" s="201" t="e">
        <f t="shared" si="114"/>
        <v>#VALUE!</v>
      </c>
      <c r="AC296" s="201" t="e">
        <f t="shared" si="100"/>
        <v>#VALUE!</v>
      </c>
    </row>
    <row r="297" spans="2:29" x14ac:dyDescent="0.3">
      <c r="B297" s="84" t="str">
        <f t="shared" si="98"/>
        <v/>
      </c>
      <c r="C297" s="85" t="str">
        <f>IF($B297="","",'Fecha Pago'!K289)</f>
        <v/>
      </c>
      <c r="D297" s="86" t="str">
        <f>IF($B$12="","",'Fecha Pago'!L289)</f>
        <v/>
      </c>
      <c r="E297" s="87" t="str">
        <f t="shared" si="101"/>
        <v/>
      </c>
      <c r="F297" s="86" t="str">
        <f t="shared" si="102"/>
        <v/>
      </c>
      <c r="G297" s="86" t="str">
        <f t="shared" si="103"/>
        <v/>
      </c>
      <c r="H297" s="86" t="str">
        <f t="shared" si="104"/>
        <v/>
      </c>
      <c r="I297" s="86" t="str">
        <f>IF(B297="","",IF(Simulador!$F$9="Liquidez",'Tabla Fijos'!H297*0.16,IF(Simulador!$J$9="SI",H297*0.16,0)))</f>
        <v/>
      </c>
      <c r="J297" s="86" t="str">
        <f t="shared" si="105"/>
        <v/>
      </c>
      <c r="K297" s="86" t="str">
        <f t="shared" si="106"/>
        <v/>
      </c>
      <c r="L297" s="86" t="str">
        <f>IF(B297="","",IF(F297=0,0,IF(Sheet1!$I$10=6,'Tabla Fijos'!$C$3*'Tabla Fijos'!$F$5,$F$5*$C$5)))</f>
        <v/>
      </c>
      <c r="M297" s="86" t="str">
        <f t="shared" si="94"/>
        <v/>
      </c>
      <c r="N297" s="86" t="str">
        <f>IF(B297="","",IF(F297=0,0,IF(Simulador!$N$7='Tabla Parámetros'!$C$31,AportPat!L289,IF(Simulador!$N$7='Tabla Parámetros'!$C$34,AportPatFov!G287,0))))</f>
        <v/>
      </c>
      <c r="O297" s="86">
        <f>Simulador!N352</f>
        <v>0</v>
      </c>
      <c r="P297" s="86"/>
      <c r="Q297" s="86">
        <v>0</v>
      </c>
      <c r="R297" s="86" t="e">
        <f t="shared" si="107"/>
        <v>#VALUE!</v>
      </c>
      <c r="S297" s="86" t="str">
        <f t="shared" si="108"/>
        <v/>
      </c>
      <c r="U297" s="201" t="e">
        <f t="shared" si="97"/>
        <v>#VALUE!</v>
      </c>
      <c r="V297" s="201" t="e">
        <f t="shared" si="109"/>
        <v>#VALUE!</v>
      </c>
      <c r="W297" s="202" t="e">
        <f t="shared" si="110"/>
        <v>#VALUE!</v>
      </c>
      <c r="X297" s="201" t="e">
        <f t="shared" si="111"/>
        <v>#VALUE!</v>
      </c>
      <c r="Y297" s="201" t="e">
        <f t="shared" si="112"/>
        <v>#VALUE!</v>
      </c>
      <c r="Z297" s="201" t="e">
        <f t="shared" si="99"/>
        <v>#VALUE!</v>
      </c>
      <c r="AA297" s="201" t="e">
        <f t="shared" si="113"/>
        <v>#VALUE!</v>
      </c>
      <c r="AB297" s="201" t="e">
        <f t="shared" si="114"/>
        <v>#VALUE!</v>
      </c>
      <c r="AC297" s="201" t="e">
        <f t="shared" si="100"/>
        <v>#VALUE!</v>
      </c>
    </row>
    <row r="298" spans="2:29" x14ac:dyDescent="0.3">
      <c r="B298" s="84" t="str">
        <f t="shared" si="98"/>
        <v/>
      </c>
      <c r="C298" s="85" t="str">
        <f>IF($B298="","",'Fecha Pago'!K290)</f>
        <v/>
      </c>
      <c r="D298" s="86" t="str">
        <f>IF($B$12="","",'Fecha Pago'!L290)</f>
        <v/>
      </c>
      <c r="E298" s="87" t="str">
        <f t="shared" si="101"/>
        <v/>
      </c>
      <c r="F298" s="86" t="str">
        <f t="shared" si="102"/>
        <v/>
      </c>
      <c r="G298" s="86" t="str">
        <f t="shared" si="103"/>
        <v/>
      </c>
      <c r="H298" s="86" t="str">
        <f t="shared" si="104"/>
        <v/>
      </c>
      <c r="I298" s="86" t="str">
        <f>IF(B298="","",IF(Simulador!$F$9="Liquidez",'Tabla Fijos'!H298*0.16,IF(Simulador!$J$9="SI",H298*0.16,0)))</f>
        <v/>
      </c>
      <c r="J298" s="86" t="str">
        <f t="shared" si="105"/>
        <v/>
      </c>
      <c r="K298" s="86" t="str">
        <f t="shared" si="106"/>
        <v/>
      </c>
      <c r="L298" s="86" t="str">
        <f>IF(B298="","",IF(F298=0,0,IF(Sheet1!$I$10=6,'Tabla Fijos'!$C$3*'Tabla Fijos'!$F$5,$F$5*$C$5)))</f>
        <v/>
      </c>
      <c r="M298" s="86" t="str">
        <f t="shared" si="94"/>
        <v/>
      </c>
      <c r="N298" s="86" t="str">
        <f>IF(B298="","",IF(F298=0,0,IF(Simulador!$N$7='Tabla Parámetros'!$C$31,AportPat!L290,IF(Simulador!$N$7='Tabla Parámetros'!$C$34,AportPatFov!G288,0))))</f>
        <v/>
      </c>
      <c r="O298" s="86">
        <f>Simulador!N353</f>
        <v>0</v>
      </c>
      <c r="P298" s="86"/>
      <c r="Q298" s="86">
        <v>0</v>
      </c>
      <c r="R298" s="86" t="e">
        <f t="shared" si="107"/>
        <v>#VALUE!</v>
      </c>
      <c r="S298" s="86" t="str">
        <f t="shared" si="108"/>
        <v/>
      </c>
      <c r="U298" s="201" t="e">
        <f t="shared" si="97"/>
        <v>#VALUE!</v>
      </c>
      <c r="V298" s="201" t="e">
        <f t="shared" si="109"/>
        <v>#VALUE!</v>
      </c>
      <c r="W298" s="202" t="e">
        <f t="shared" si="110"/>
        <v>#VALUE!</v>
      </c>
      <c r="X298" s="201" t="e">
        <f t="shared" si="111"/>
        <v>#VALUE!</v>
      </c>
      <c r="Y298" s="201" t="e">
        <f t="shared" si="112"/>
        <v>#VALUE!</v>
      </c>
      <c r="Z298" s="201" t="e">
        <f t="shared" si="99"/>
        <v>#VALUE!</v>
      </c>
      <c r="AA298" s="201" t="e">
        <f t="shared" si="113"/>
        <v>#VALUE!</v>
      </c>
      <c r="AB298" s="201" t="e">
        <f t="shared" si="114"/>
        <v>#VALUE!</v>
      </c>
      <c r="AC298" s="201" t="e">
        <f t="shared" si="100"/>
        <v>#VALUE!</v>
      </c>
    </row>
    <row r="299" spans="2:29" x14ac:dyDescent="0.3">
      <c r="B299" s="84" t="str">
        <f t="shared" si="98"/>
        <v/>
      </c>
      <c r="C299" s="85" t="str">
        <f>IF($B299="","",'Fecha Pago'!K291)</f>
        <v/>
      </c>
      <c r="D299" s="86" t="str">
        <f>IF($B$12="","",'Fecha Pago'!L291)</f>
        <v/>
      </c>
      <c r="E299" s="87" t="str">
        <f t="shared" si="101"/>
        <v/>
      </c>
      <c r="F299" s="86" t="str">
        <f t="shared" si="102"/>
        <v/>
      </c>
      <c r="G299" s="86" t="str">
        <f t="shared" si="103"/>
        <v/>
      </c>
      <c r="H299" s="86" t="str">
        <f t="shared" si="104"/>
        <v/>
      </c>
      <c r="I299" s="86" t="str">
        <f>IF(B299="","",IF(Simulador!$F$9="Liquidez",'Tabla Fijos'!H299*0.16,IF(Simulador!$J$9="SI",H299*0.16,0)))</f>
        <v/>
      </c>
      <c r="J299" s="86" t="str">
        <f t="shared" si="105"/>
        <v/>
      </c>
      <c r="K299" s="86" t="str">
        <f t="shared" si="106"/>
        <v/>
      </c>
      <c r="L299" s="86" t="str">
        <f>IF(B299="","",IF(F299=0,0,IF(Sheet1!$I$10=6,'Tabla Fijos'!$C$3*'Tabla Fijos'!$F$5,$F$5*$C$5)))</f>
        <v/>
      </c>
      <c r="M299" s="86" t="str">
        <f t="shared" si="94"/>
        <v/>
      </c>
      <c r="N299" s="86" t="str">
        <f>IF(B299="","",IF(F299=0,0,IF(Simulador!$N$7='Tabla Parámetros'!$C$31,AportPat!L291,IF(Simulador!$N$7='Tabla Parámetros'!$C$34,AportPatFov!G289,0))))</f>
        <v/>
      </c>
      <c r="O299" s="86">
        <f>Simulador!N354</f>
        <v>0</v>
      </c>
      <c r="P299" s="86"/>
      <c r="Q299" s="86">
        <v>0</v>
      </c>
      <c r="R299" s="86" t="e">
        <f t="shared" si="107"/>
        <v>#VALUE!</v>
      </c>
      <c r="S299" s="86" t="str">
        <f t="shared" si="108"/>
        <v/>
      </c>
      <c r="U299" s="201" t="e">
        <f t="shared" si="97"/>
        <v>#VALUE!</v>
      </c>
      <c r="V299" s="201" t="e">
        <f t="shared" si="109"/>
        <v>#VALUE!</v>
      </c>
      <c r="W299" s="202" t="e">
        <f t="shared" si="110"/>
        <v>#VALUE!</v>
      </c>
      <c r="X299" s="201" t="e">
        <f t="shared" si="111"/>
        <v>#VALUE!</v>
      </c>
      <c r="Y299" s="201" t="e">
        <f t="shared" si="112"/>
        <v>#VALUE!</v>
      </c>
      <c r="Z299" s="201" t="e">
        <f t="shared" si="99"/>
        <v>#VALUE!</v>
      </c>
      <c r="AA299" s="201" t="e">
        <f t="shared" si="113"/>
        <v>#VALUE!</v>
      </c>
      <c r="AB299" s="201" t="e">
        <f t="shared" si="114"/>
        <v>#VALUE!</v>
      </c>
      <c r="AC299" s="201" t="e">
        <f t="shared" si="100"/>
        <v>#VALUE!</v>
      </c>
    </row>
    <row r="300" spans="2:29" x14ac:dyDescent="0.3">
      <c r="B300" s="84" t="str">
        <f t="shared" si="98"/>
        <v/>
      </c>
      <c r="C300" s="85" t="str">
        <f>IF($B300="","",'Fecha Pago'!K292)</f>
        <v/>
      </c>
      <c r="D300" s="86" t="str">
        <f>IF($B$12="","",'Fecha Pago'!L292)</f>
        <v/>
      </c>
      <c r="E300" s="87" t="str">
        <f t="shared" si="101"/>
        <v/>
      </c>
      <c r="F300" s="86" t="str">
        <f t="shared" si="102"/>
        <v/>
      </c>
      <c r="G300" s="86" t="str">
        <f t="shared" si="103"/>
        <v/>
      </c>
      <c r="H300" s="86" t="str">
        <f t="shared" si="104"/>
        <v/>
      </c>
      <c r="I300" s="86" t="str">
        <f>IF(B300="","",IF(Simulador!$F$9="Liquidez",'Tabla Fijos'!H300*0.16,IF(Simulador!$J$9="SI",H300*0.16,0)))</f>
        <v/>
      </c>
      <c r="J300" s="86" t="str">
        <f t="shared" si="105"/>
        <v/>
      </c>
      <c r="K300" s="86" t="str">
        <f t="shared" si="106"/>
        <v/>
      </c>
      <c r="L300" s="86" t="str">
        <f>IF(B300="","",IF(F300=0,0,IF(Sheet1!$I$10=6,'Tabla Fijos'!$C$3*'Tabla Fijos'!$F$5,$F$5*$C$5)))</f>
        <v/>
      </c>
      <c r="M300" s="86" t="str">
        <f t="shared" si="94"/>
        <v/>
      </c>
      <c r="N300" s="86" t="str">
        <f>IF(B300="","",IF(F300=0,0,IF(Simulador!$N$7='Tabla Parámetros'!$C$31,AportPat!L292,IF(Simulador!$N$7='Tabla Parámetros'!$C$34,AportPatFov!G290,0))))</f>
        <v/>
      </c>
      <c r="O300" s="86">
        <f>Simulador!N355</f>
        <v>0</v>
      </c>
      <c r="P300" s="86"/>
      <c r="Q300" s="86">
        <v>0</v>
      </c>
      <c r="R300" s="86" t="e">
        <f t="shared" si="107"/>
        <v>#VALUE!</v>
      </c>
      <c r="S300" s="86" t="str">
        <f t="shared" si="108"/>
        <v/>
      </c>
      <c r="U300" s="201" t="e">
        <f t="shared" si="97"/>
        <v>#VALUE!</v>
      </c>
      <c r="V300" s="201" t="e">
        <f t="shared" si="109"/>
        <v>#VALUE!</v>
      </c>
      <c r="W300" s="202" t="e">
        <f t="shared" si="110"/>
        <v>#VALUE!</v>
      </c>
      <c r="X300" s="201" t="e">
        <f t="shared" si="111"/>
        <v>#VALUE!</v>
      </c>
      <c r="Y300" s="201" t="e">
        <f t="shared" si="112"/>
        <v>#VALUE!</v>
      </c>
      <c r="Z300" s="201" t="e">
        <f t="shared" si="99"/>
        <v>#VALUE!</v>
      </c>
      <c r="AA300" s="201" t="e">
        <f t="shared" si="113"/>
        <v>#VALUE!</v>
      </c>
      <c r="AB300" s="201" t="e">
        <f t="shared" si="114"/>
        <v>#VALUE!</v>
      </c>
      <c r="AC300" s="201" t="e">
        <f t="shared" si="100"/>
        <v>#VALUE!</v>
      </c>
    </row>
    <row r="301" spans="2:29" x14ac:dyDescent="0.3">
      <c r="B301" s="84" t="str">
        <f t="shared" si="98"/>
        <v/>
      </c>
      <c r="C301" s="85" t="str">
        <f>IF($B301="","",'Fecha Pago'!K293)</f>
        <v/>
      </c>
      <c r="D301" s="86" t="str">
        <f>IF($B$12="","",'Fecha Pago'!L293)</f>
        <v/>
      </c>
      <c r="E301" s="87" t="str">
        <f t="shared" si="101"/>
        <v/>
      </c>
      <c r="F301" s="86" t="str">
        <f t="shared" si="102"/>
        <v/>
      </c>
      <c r="G301" s="86" t="str">
        <f t="shared" si="103"/>
        <v/>
      </c>
      <c r="H301" s="86" t="str">
        <f t="shared" si="104"/>
        <v/>
      </c>
      <c r="I301" s="86" t="str">
        <f>IF(B301="","",IF(Simulador!$F$9="Liquidez",'Tabla Fijos'!H301*0.16,IF(Simulador!$J$9="SI",H301*0.16,0)))</f>
        <v/>
      </c>
      <c r="J301" s="86" t="str">
        <f t="shared" si="105"/>
        <v/>
      </c>
      <c r="K301" s="86" t="str">
        <f t="shared" si="106"/>
        <v/>
      </c>
      <c r="L301" s="86" t="str">
        <f>IF(B301="","",IF(F301=0,0,IF(Sheet1!$I$10=6,'Tabla Fijos'!$C$3*'Tabla Fijos'!$F$5,$F$5*$C$5)))</f>
        <v/>
      </c>
      <c r="M301" s="86" t="str">
        <f t="shared" si="94"/>
        <v/>
      </c>
      <c r="N301" s="86" t="str">
        <f>IF(B301="","",IF(F301=0,0,IF(Simulador!$N$7='Tabla Parámetros'!$C$31,AportPat!L293,IF(Simulador!$N$7='Tabla Parámetros'!$C$34,AportPatFov!G291,0))))</f>
        <v/>
      </c>
      <c r="O301" s="86">
        <f>Simulador!N356</f>
        <v>0</v>
      </c>
      <c r="P301" s="86"/>
      <c r="Q301" s="86">
        <v>0</v>
      </c>
      <c r="R301" s="86" t="e">
        <f t="shared" si="107"/>
        <v>#VALUE!</v>
      </c>
      <c r="S301" s="86" t="str">
        <f t="shared" si="108"/>
        <v/>
      </c>
      <c r="U301" s="201" t="e">
        <f t="shared" si="97"/>
        <v>#VALUE!</v>
      </c>
      <c r="V301" s="201" t="e">
        <f t="shared" si="109"/>
        <v>#VALUE!</v>
      </c>
      <c r="W301" s="202" t="e">
        <f t="shared" si="110"/>
        <v>#VALUE!</v>
      </c>
      <c r="X301" s="201" t="e">
        <f t="shared" si="111"/>
        <v>#VALUE!</v>
      </c>
      <c r="Y301" s="201" t="e">
        <f t="shared" si="112"/>
        <v>#VALUE!</v>
      </c>
      <c r="Z301" s="201" t="e">
        <f t="shared" si="99"/>
        <v>#VALUE!</v>
      </c>
      <c r="AA301" s="201" t="e">
        <f t="shared" si="113"/>
        <v>#VALUE!</v>
      </c>
      <c r="AB301" s="201" t="e">
        <f t="shared" si="114"/>
        <v>#VALUE!</v>
      </c>
      <c r="AC301" s="201" t="e">
        <f t="shared" si="100"/>
        <v>#VALUE!</v>
      </c>
    </row>
    <row r="302" spans="2:29" x14ac:dyDescent="0.3">
      <c r="B302" s="84" t="str">
        <f t="shared" si="98"/>
        <v/>
      </c>
      <c r="C302" s="85" t="str">
        <f>IF($B302="","",'Fecha Pago'!K294)</f>
        <v/>
      </c>
      <c r="D302" s="86" t="str">
        <f>IF($B$12="","",'Fecha Pago'!L294)</f>
        <v/>
      </c>
      <c r="E302" s="87" t="str">
        <f t="shared" si="101"/>
        <v/>
      </c>
      <c r="F302" s="86" t="str">
        <f t="shared" si="102"/>
        <v/>
      </c>
      <c r="G302" s="86" t="str">
        <f t="shared" si="103"/>
        <v/>
      </c>
      <c r="H302" s="86" t="str">
        <f t="shared" si="104"/>
        <v/>
      </c>
      <c r="I302" s="86" t="str">
        <f>IF(B302="","",IF(Simulador!$F$9="Liquidez",'Tabla Fijos'!H302*0.16,IF(Simulador!$J$9="SI",H302*0.16,0)))</f>
        <v/>
      </c>
      <c r="J302" s="86" t="str">
        <f t="shared" si="105"/>
        <v/>
      </c>
      <c r="K302" s="86" t="str">
        <f t="shared" si="106"/>
        <v/>
      </c>
      <c r="L302" s="86" t="str">
        <f>IF(B302="","",IF(F302=0,0,IF(Sheet1!$I$10=6,'Tabla Fijos'!$C$3*'Tabla Fijos'!$F$5,$F$5*$C$5)))</f>
        <v/>
      </c>
      <c r="M302" s="86" t="str">
        <f t="shared" si="94"/>
        <v/>
      </c>
      <c r="N302" s="86" t="str">
        <f>IF(B302="","",IF(F302=0,0,IF(Simulador!$N$7='Tabla Parámetros'!$C$31,AportPat!L294,IF(Simulador!$N$7='Tabla Parámetros'!$C$34,AportPatFov!G292,0))))</f>
        <v/>
      </c>
      <c r="O302" s="86">
        <f>Simulador!N357</f>
        <v>0</v>
      </c>
      <c r="P302" s="86"/>
      <c r="Q302" s="86">
        <v>0</v>
      </c>
      <c r="R302" s="86" t="e">
        <f t="shared" si="107"/>
        <v>#VALUE!</v>
      </c>
      <c r="S302" s="86" t="str">
        <f t="shared" si="108"/>
        <v/>
      </c>
      <c r="U302" s="201" t="e">
        <f t="shared" si="97"/>
        <v>#VALUE!</v>
      </c>
      <c r="V302" s="201" t="e">
        <f t="shared" si="109"/>
        <v>#VALUE!</v>
      </c>
      <c r="W302" s="202" t="e">
        <f t="shared" si="110"/>
        <v>#VALUE!</v>
      </c>
      <c r="X302" s="201" t="e">
        <f t="shared" si="111"/>
        <v>#VALUE!</v>
      </c>
      <c r="Y302" s="201" t="e">
        <f t="shared" si="112"/>
        <v>#VALUE!</v>
      </c>
      <c r="Z302" s="201" t="e">
        <f t="shared" si="99"/>
        <v>#VALUE!</v>
      </c>
      <c r="AA302" s="201" t="e">
        <f t="shared" si="113"/>
        <v>#VALUE!</v>
      </c>
      <c r="AB302" s="201" t="e">
        <f t="shared" si="114"/>
        <v>#VALUE!</v>
      </c>
      <c r="AC302" s="201" t="e">
        <f t="shared" si="100"/>
        <v>#VALUE!</v>
      </c>
    </row>
    <row r="303" spans="2:29" x14ac:dyDescent="0.3">
      <c r="B303" s="84" t="str">
        <f t="shared" si="98"/>
        <v/>
      </c>
      <c r="C303" s="85" t="str">
        <f>IF($B303="","",'Fecha Pago'!K295)</f>
        <v/>
      </c>
      <c r="D303" s="86" t="str">
        <f>IF($B$12="","",'Fecha Pago'!L295)</f>
        <v/>
      </c>
      <c r="E303" s="87" t="str">
        <f t="shared" si="101"/>
        <v/>
      </c>
      <c r="F303" s="86" t="str">
        <f t="shared" si="102"/>
        <v/>
      </c>
      <c r="G303" s="86" t="str">
        <f t="shared" si="103"/>
        <v/>
      </c>
      <c r="H303" s="86" t="str">
        <f t="shared" si="104"/>
        <v/>
      </c>
      <c r="I303" s="86" t="str">
        <f>IF(B303="","",IF(Simulador!$F$9="Liquidez",'Tabla Fijos'!H303*0.16,IF(Simulador!$J$9="SI",H303*0.16,0)))</f>
        <v/>
      </c>
      <c r="J303" s="86" t="str">
        <f t="shared" si="105"/>
        <v/>
      </c>
      <c r="K303" s="86" t="str">
        <f t="shared" si="106"/>
        <v/>
      </c>
      <c r="L303" s="86" t="str">
        <f>IF(B303="","",IF(F303=0,0,IF(Sheet1!$I$10=6,'Tabla Fijos'!$C$3*'Tabla Fijos'!$F$5,$F$5*$C$5)))</f>
        <v/>
      </c>
      <c r="M303" s="86" t="str">
        <f t="shared" si="94"/>
        <v/>
      </c>
      <c r="N303" s="86" t="str">
        <f>IF(B303="","",IF(F303=0,0,IF(Simulador!$N$7='Tabla Parámetros'!$C$31,AportPat!L295,IF(Simulador!$N$7='Tabla Parámetros'!$C$34,AportPatFov!G293,0))))</f>
        <v/>
      </c>
      <c r="O303" s="86">
        <f>Simulador!N358</f>
        <v>0</v>
      </c>
      <c r="P303" s="86"/>
      <c r="Q303" s="86">
        <v>0</v>
      </c>
      <c r="R303" s="86" t="e">
        <f t="shared" si="107"/>
        <v>#VALUE!</v>
      </c>
      <c r="S303" s="86" t="str">
        <f t="shared" si="108"/>
        <v/>
      </c>
      <c r="U303" s="201" t="e">
        <f t="shared" si="97"/>
        <v>#VALUE!</v>
      </c>
      <c r="V303" s="201" t="e">
        <f t="shared" si="109"/>
        <v>#VALUE!</v>
      </c>
      <c r="W303" s="202" t="e">
        <f t="shared" si="110"/>
        <v>#VALUE!</v>
      </c>
      <c r="X303" s="201" t="e">
        <f t="shared" si="111"/>
        <v>#VALUE!</v>
      </c>
      <c r="Y303" s="201" t="e">
        <f t="shared" si="112"/>
        <v>#VALUE!</v>
      </c>
      <c r="Z303" s="201" t="e">
        <f t="shared" si="99"/>
        <v>#VALUE!</v>
      </c>
      <c r="AA303" s="201" t="e">
        <f t="shared" si="113"/>
        <v>#VALUE!</v>
      </c>
      <c r="AB303" s="201" t="e">
        <f t="shared" si="114"/>
        <v>#VALUE!</v>
      </c>
      <c r="AC303" s="201" t="e">
        <f t="shared" si="100"/>
        <v>#VALUE!</v>
      </c>
    </row>
    <row r="304" spans="2:29" x14ac:dyDescent="0.3">
      <c r="B304" s="84" t="str">
        <f t="shared" si="98"/>
        <v/>
      </c>
      <c r="C304" s="85" t="str">
        <f>IF($B304="","",'Fecha Pago'!K296)</f>
        <v/>
      </c>
      <c r="D304" s="86" t="str">
        <f>IF($B$12="","",'Fecha Pago'!L296)</f>
        <v/>
      </c>
      <c r="E304" s="87" t="str">
        <f t="shared" si="101"/>
        <v/>
      </c>
      <c r="F304" s="86" t="str">
        <f t="shared" si="102"/>
        <v/>
      </c>
      <c r="G304" s="86" t="str">
        <f t="shared" si="103"/>
        <v/>
      </c>
      <c r="H304" s="86" t="str">
        <f t="shared" si="104"/>
        <v/>
      </c>
      <c r="I304" s="86" t="str">
        <f>IF(B304="","",IF(Simulador!$F$9="Liquidez",'Tabla Fijos'!H304*0.16,IF(Simulador!$J$9="SI",H304*0.16,0)))</f>
        <v/>
      </c>
      <c r="J304" s="86" t="str">
        <f t="shared" si="105"/>
        <v/>
      </c>
      <c r="K304" s="86" t="str">
        <f t="shared" si="106"/>
        <v/>
      </c>
      <c r="L304" s="86" t="str">
        <f>IF(B304="","",IF(F304=0,0,IF(Sheet1!$I$10=6,'Tabla Fijos'!$C$3*'Tabla Fijos'!$F$5,$F$5*$C$5)))</f>
        <v/>
      </c>
      <c r="M304" s="86" t="str">
        <f t="shared" si="94"/>
        <v/>
      </c>
      <c r="N304" s="86" t="str">
        <f>IF(B304="","",IF(F304=0,0,IF(Simulador!$N$7='Tabla Parámetros'!$C$31,AportPat!L296,IF(Simulador!$N$7='Tabla Parámetros'!$C$34,AportPatFov!G294,0))))</f>
        <v/>
      </c>
      <c r="O304" s="86">
        <f>Simulador!N359</f>
        <v>0</v>
      </c>
      <c r="P304" s="86"/>
      <c r="Q304" s="86">
        <v>0</v>
      </c>
      <c r="R304" s="86" t="e">
        <f t="shared" si="107"/>
        <v>#VALUE!</v>
      </c>
      <c r="S304" s="86" t="str">
        <f t="shared" si="108"/>
        <v/>
      </c>
      <c r="U304" s="201" t="e">
        <f t="shared" si="97"/>
        <v>#VALUE!</v>
      </c>
      <c r="V304" s="201" t="e">
        <f t="shared" si="109"/>
        <v>#VALUE!</v>
      </c>
      <c r="W304" s="202" t="e">
        <f t="shared" si="110"/>
        <v>#VALUE!</v>
      </c>
      <c r="X304" s="201" t="e">
        <f t="shared" si="111"/>
        <v>#VALUE!</v>
      </c>
      <c r="Y304" s="201" t="e">
        <f t="shared" si="112"/>
        <v>#VALUE!</v>
      </c>
      <c r="Z304" s="201" t="e">
        <f t="shared" si="99"/>
        <v>#VALUE!</v>
      </c>
      <c r="AA304" s="201" t="e">
        <f t="shared" si="113"/>
        <v>#VALUE!</v>
      </c>
      <c r="AB304" s="201" t="e">
        <f t="shared" si="114"/>
        <v>#VALUE!</v>
      </c>
      <c r="AC304" s="201" t="e">
        <f t="shared" si="100"/>
        <v>#VALUE!</v>
      </c>
    </row>
    <row r="305" spans="2:29" x14ac:dyDescent="0.3">
      <c r="B305" s="84" t="str">
        <f t="shared" si="98"/>
        <v/>
      </c>
      <c r="C305" s="85" t="str">
        <f>IF($B305="","",'Fecha Pago'!K297)</f>
        <v/>
      </c>
      <c r="D305" s="86" t="str">
        <f>IF($B$12="","",'Fecha Pago'!L297)</f>
        <v/>
      </c>
      <c r="E305" s="87" t="str">
        <f t="shared" si="101"/>
        <v/>
      </c>
      <c r="F305" s="86" t="str">
        <f t="shared" si="102"/>
        <v/>
      </c>
      <c r="G305" s="86" t="str">
        <f t="shared" si="103"/>
        <v/>
      </c>
      <c r="H305" s="86" t="str">
        <f t="shared" si="104"/>
        <v/>
      </c>
      <c r="I305" s="86" t="str">
        <f>IF(B305="","",IF(Simulador!$F$9="Liquidez",'Tabla Fijos'!H305*0.16,IF(Simulador!$J$9="SI",H305*0.16,0)))</f>
        <v/>
      </c>
      <c r="J305" s="86" t="str">
        <f t="shared" si="105"/>
        <v/>
      </c>
      <c r="K305" s="86" t="str">
        <f t="shared" si="106"/>
        <v/>
      </c>
      <c r="L305" s="86" t="str">
        <f>IF(B305="","",IF(F305=0,0,IF(Sheet1!$I$10=6,'Tabla Fijos'!$C$3*'Tabla Fijos'!$F$5,$F$5*$C$5)))</f>
        <v/>
      </c>
      <c r="M305" s="86" t="str">
        <f t="shared" si="94"/>
        <v/>
      </c>
      <c r="N305" s="86" t="str">
        <f>IF(B305="","",IF(F305=0,0,IF(Simulador!$N$7='Tabla Parámetros'!$C$31,AportPat!L297,IF(Simulador!$N$7='Tabla Parámetros'!$C$34,AportPatFov!G295,0))))</f>
        <v/>
      </c>
      <c r="O305" s="86">
        <f>Simulador!N360</f>
        <v>0</v>
      </c>
      <c r="P305" s="86"/>
      <c r="Q305" s="86">
        <v>0</v>
      </c>
      <c r="R305" s="86" t="e">
        <f t="shared" si="107"/>
        <v>#VALUE!</v>
      </c>
      <c r="S305" s="86" t="str">
        <f t="shared" si="108"/>
        <v/>
      </c>
      <c r="U305" s="201" t="e">
        <f t="shared" si="97"/>
        <v>#VALUE!</v>
      </c>
      <c r="V305" s="201" t="e">
        <f t="shared" si="109"/>
        <v>#VALUE!</v>
      </c>
      <c r="W305" s="202" t="e">
        <f t="shared" si="110"/>
        <v>#VALUE!</v>
      </c>
      <c r="X305" s="201" t="e">
        <f t="shared" si="111"/>
        <v>#VALUE!</v>
      </c>
      <c r="Y305" s="201" t="e">
        <f t="shared" si="112"/>
        <v>#VALUE!</v>
      </c>
      <c r="Z305" s="201" t="e">
        <f t="shared" si="99"/>
        <v>#VALUE!</v>
      </c>
      <c r="AA305" s="201" t="e">
        <f t="shared" si="113"/>
        <v>#VALUE!</v>
      </c>
      <c r="AB305" s="201" t="e">
        <f t="shared" si="114"/>
        <v>#VALUE!</v>
      </c>
      <c r="AC305" s="201" t="e">
        <f t="shared" si="100"/>
        <v>#VALUE!</v>
      </c>
    </row>
    <row r="306" spans="2:29" x14ac:dyDescent="0.3">
      <c r="B306" s="84" t="str">
        <f t="shared" si="98"/>
        <v/>
      </c>
      <c r="C306" s="85" t="str">
        <f>IF($B306="","",'Fecha Pago'!K298)</f>
        <v/>
      </c>
      <c r="D306" s="86" t="str">
        <f>IF($B$12="","",'Fecha Pago'!L298)</f>
        <v/>
      </c>
      <c r="E306" s="87" t="str">
        <f t="shared" si="101"/>
        <v/>
      </c>
      <c r="F306" s="86" t="str">
        <f t="shared" si="102"/>
        <v/>
      </c>
      <c r="G306" s="86" t="str">
        <f t="shared" si="103"/>
        <v/>
      </c>
      <c r="H306" s="86" t="str">
        <f t="shared" si="104"/>
        <v/>
      </c>
      <c r="I306" s="86" t="str">
        <f>IF(B306="","",IF(Simulador!$F$9="Liquidez",'Tabla Fijos'!H306*0.16,IF(Simulador!$J$9="SI",H306*0.16,0)))</f>
        <v/>
      </c>
      <c r="J306" s="86" t="str">
        <f t="shared" si="105"/>
        <v/>
      </c>
      <c r="K306" s="86" t="str">
        <f t="shared" si="106"/>
        <v/>
      </c>
      <c r="L306" s="86" t="str">
        <f>IF(B306="","",IF(F306=0,0,IF(Sheet1!$I$10=6,'Tabla Fijos'!$C$3*'Tabla Fijos'!$F$5,$F$5*$C$5)))</f>
        <v/>
      </c>
      <c r="M306" s="86" t="str">
        <f t="shared" si="94"/>
        <v/>
      </c>
      <c r="N306" s="86" t="str">
        <f>IF(B306="","",IF(F306=0,0,IF(Simulador!$N$7='Tabla Parámetros'!$C$31,AportPat!L298,IF(Simulador!$N$7='Tabla Parámetros'!$C$34,AportPatFov!G296,0))))</f>
        <v/>
      </c>
      <c r="O306" s="86">
        <f>Simulador!N361</f>
        <v>0</v>
      </c>
      <c r="P306" s="86"/>
      <c r="Q306" s="86">
        <v>0</v>
      </c>
      <c r="R306" s="86" t="e">
        <f t="shared" si="107"/>
        <v>#VALUE!</v>
      </c>
      <c r="S306" s="86" t="str">
        <f t="shared" si="108"/>
        <v/>
      </c>
      <c r="U306" s="201" t="e">
        <f t="shared" si="97"/>
        <v>#VALUE!</v>
      </c>
      <c r="V306" s="201" t="e">
        <f t="shared" si="109"/>
        <v>#VALUE!</v>
      </c>
      <c r="W306" s="202" t="e">
        <f t="shared" si="110"/>
        <v>#VALUE!</v>
      </c>
      <c r="X306" s="201" t="e">
        <f t="shared" si="111"/>
        <v>#VALUE!</v>
      </c>
      <c r="Y306" s="201" t="e">
        <f t="shared" si="112"/>
        <v>#VALUE!</v>
      </c>
      <c r="Z306" s="201" t="e">
        <f t="shared" si="99"/>
        <v>#VALUE!</v>
      </c>
      <c r="AA306" s="201" t="e">
        <f t="shared" si="113"/>
        <v>#VALUE!</v>
      </c>
      <c r="AB306" s="201" t="e">
        <f t="shared" si="114"/>
        <v>#VALUE!</v>
      </c>
      <c r="AC306" s="201" t="e">
        <f t="shared" si="100"/>
        <v>#VALUE!</v>
      </c>
    </row>
    <row r="307" spans="2:29" x14ac:dyDescent="0.3">
      <c r="B307" s="84" t="str">
        <f t="shared" si="98"/>
        <v/>
      </c>
      <c r="C307" s="85" t="str">
        <f>IF($B307="","",'Fecha Pago'!K299)</f>
        <v/>
      </c>
      <c r="D307" s="86" t="str">
        <f>IF($B$12="","",'Fecha Pago'!L299)</f>
        <v/>
      </c>
      <c r="E307" s="87" t="str">
        <f t="shared" si="101"/>
        <v/>
      </c>
      <c r="F307" s="86" t="str">
        <f t="shared" si="102"/>
        <v/>
      </c>
      <c r="G307" s="86" t="str">
        <f t="shared" si="103"/>
        <v/>
      </c>
      <c r="H307" s="86" t="str">
        <f t="shared" si="104"/>
        <v/>
      </c>
      <c r="I307" s="86" t="str">
        <f>IF(B307="","",IF(Simulador!$F$9="Liquidez",'Tabla Fijos'!H307*0.16,IF(Simulador!$J$9="SI",H307*0.16,0)))</f>
        <v/>
      </c>
      <c r="J307" s="86" t="str">
        <f t="shared" si="105"/>
        <v/>
      </c>
      <c r="K307" s="86" t="str">
        <f t="shared" si="106"/>
        <v/>
      </c>
      <c r="L307" s="86" t="str">
        <f>IF(B307="","",IF(F307=0,0,IF(Sheet1!$I$10=6,'Tabla Fijos'!$C$3*'Tabla Fijos'!$F$5,$F$5*$C$5)))</f>
        <v/>
      </c>
      <c r="M307" s="86" t="str">
        <f t="shared" si="94"/>
        <v/>
      </c>
      <c r="N307" s="86" t="str">
        <f>IF(B307="","",IF(F307=0,0,IF(Simulador!$N$7='Tabla Parámetros'!$C$31,AportPat!L299,IF(Simulador!$N$7='Tabla Parámetros'!$C$34,AportPatFov!G297,0))))</f>
        <v/>
      </c>
      <c r="O307" s="86">
        <f>Simulador!N362</f>
        <v>0</v>
      </c>
      <c r="P307" s="86"/>
      <c r="Q307" s="86">
        <v>0</v>
      </c>
      <c r="R307" s="86" t="e">
        <f t="shared" si="107"/>
        <v>#VALUE!</v>
      </c>
      <c r="S307" s="86" t="str">
        <f t="shared" si="108"/>
        <v/>
      </c>
      <c r="U307" s="201" t="e">
        <f t="shared" si="97"/>
        <v>#VALUE!</v>
      </c>
      <c r="V307" s="201" t="e">
        <f t="shared" si="109"/>
        <v>#VALUE!</v>
      </c>
      <c r="W307" s="202" t="e">
        <f t="shared" si="110"/>
        <v>#VALUE!</v>
      </c>
      <c r="X307" s="201" t="e">
        <f t="shared" si="111"/>
        <v>#VALUE!</v>
      </c>
      <c r="Y307" s="201" t="e">
        <f t="shared" si="112"/>
        <v>#VALUE!</v>
      </c>
      <c r="Z307" s="201" t="e">
        <f t="shared" si="99"/>
        <v>#VALUE!</v>
      </c>
      <c r="AA307" s="201" t="e">
        <f t="shared" si="113"/>
        <v>#VALUE!</v>
      </c>
      <c r="AB307" s="201" t="e">
        <f t="shared" si="114"/>
        <v>#VALUE!</v>
      </c>
      <c r="AC307" s="201" t="e">
        <f t="shared" si="100"/>
        <v>#VALUE!</v>
      </c>
    </row>
    <row r="308" spans="2:29" x14ac:dyDescent="0.3">
      <c r="B308" s="84" t="str">
        <f t="shared" si="98"/>
        <v/>
      </c>
      <c r="C308" s="85" t="str">
        <f>IF($B308="","",'Fecha Pago'!K300)</f>
        <v/>
      </c>
      <c r="D308" s="86" t="str">
        <f>IF($B$12="","",'Fecha Pago'!L300)</f>
        <v/>
      </c>
      <c r="E308" s="87" t="str">
        <f t="shared" si="101"/>
        <v/>
      </c>
      <c r="F308" s="86" t="str">
        <f t="shared" si="102"/>
        <v/>
      </c>
      <c r="G308" s="86" t="str">
        <f t="shared" si="103"/>
        <v/>
      </c>
      <c r="H308" s="86" t="str">
        <f t="shared" si="104"/>
        <v/>
      </c>
      <c r="I308" s="86" t="str">
        <f>IF(B308="","",IF(Simulador!$F$9="Liquidez",'Tabla Fijos'!H308*0.16,IF(Simulador!$J$9="SI",H308*0.16,0)))</f>
        <v/>
      </c>
      <c r="J308" s="86" t="str">
        <f t="shared" si="105"/>
        <v/>
      </c>
      <c r="K308" s="86" t="str">
        <f t="shared" si="106"/>
        <v/>
      </c>
      <c r="L308" s="86" t="str">
        <f>IF(B308="","",IF(F308=0,0,IF(Sheet1!$I$10=6,'Tabla Fijos'!$C$3*'Tabla Fijos'!$F$5,$F$5*$C$5)))</f>
        <v/>
      </c>
      <c r="M308" s="86" t="str">
        <f t="shared" si="94"/>
        <v/>
      </c>
      <c r="N308" s="86" t="str">
        <f>IF(B308="","",IF(F308=0,0,IF(Simulador!$N$7='Tabla Parámetros'!$C$31,AportPat!L300,IF(Simulador!$N$7='Tabla Parámetros'!$C$34,AportPatFov!G298,0))))</f>
        <v/>
      </c>
      <c r="O308" s="86">
        <f>Simulador!N363</f>
        <v>0</v>
      </c>
      <c r="P308" s="86"/>
      <c r="Q308" s="86">
        <v>0</v>
      </c>
      <c r="R308" s="86" t="e">
        <f t="shared" si="107"/>
        <v>#VALUE!</v>
      </c>
      <c r="S308" s="86" t="str">
        <f t="shared" si="108"/>
        <v/>
      </c>
      <c r="U308" s="201" t="e">
        <f t="shared" si="97"/>
        <v>#VALUE!</v>
      </c>
      <c r="V308" s="201" t="e">
        <f t="shared" si="109"/>
        <v>#VALUE!</v>
      </c>
      <c r="W308" s="202" t="e">
        <f t="shared" si="110"/>
        <v>#VALUE!</v>
      </c>
      <c r="X308" s="201" t="e">
        <f t="shared" si="111"/>
        <v>#VALUE!</v>
      </c>
      <c r="Y308" s="201" t="e">
        <f t="shared" si="112"/>
        <v>#VALUE!</v>
      </c>
      <c r="Z308" s="201" t="e">
        <f t="shared" si="99"/>
        <v>#VALUE!</v>
      </c>
      <c r="AA308" s="201" t="e">
        <f t="shared" si="113"/>
        <v>#VALUE!</v>
      </c>
      <c r="AB308" s="201" t="e">
        <f t="shared" si="114"/>
        <v>#VALUE!</v>
      </c>
      <c r="AC308" s="201" t="e">
        <f t="shared" si="100"/>
        <v>#VALUE!</v>
      </c>
    </row>
    <row r="309" spans="2:29" x14ac:dyDescent="0.3">
      <c r="B309" s="84" t="str">
        <f t="shared" si="98"/>
        <v/>
      </c>
      <c r="C309" s="85" t="str">
        <f>IF($B309="","",'Fecha Pago'!K301)</f>
        <v/>
      </c>
      <c r="D309" s="86" t="str">
        <f>IF($B$12="","",'Fecha Pago'!L301)</f>
        <v/>
      </c>
      <c r="E309" s="87" t="str">
        <f t="shared" si="101"/>
        <v/>
      </c>
      <c r="F309" s="86" t="str">
        <f t="shared" si="102"/>
        <v/>
      </c>
      <c r="G309" s="86" t="str">
        <f t="shared" si="103"/>
        <v/>
      </c>
      <c r="H309" s="86" t="str">
        <f t="shared" si="104"/>
        <v/>
      </c>
      <c r="I309" s="86" t="str">
        <f>IF(B309="","",IF(Simulador!$F$9="Liquidez",'Tabla Fijos'!H309*0.16,IF(Simulador!$J$9="SI",H309*0.16,0)))</f>
        <v/>
      </c>
      <c r="J309" s="86" t="str">
        <f t="shared" si="105"/>
        <v/>
      </c>
      <c r="K309" s="86" t="str">
        <f t="shared" si="106"/>
        <v/>
      </c>
      <c r="L309" s="86" t="str">
        <f>IF(B309="","",IF(F309=0,0,IF(Sheet1!$I$10=6,'Tabla Fijos'!$C$3*'Tabla Fijos'!$F$5,$F$5*$C$5)))</f>
        <v/>
      </c>
      <c r="M309" s="86" t="str">
        <f t="shared" si="94"/>
        <v/>
      </c>
      <c r="N309" s="86" t="str">
        <f>IF(B309="","",IF(F309=0,0,IF(Simulador!$N$7='Tabla Parámetros'!$C$31,AportPat!L301,IF(Simulador!$N$7='Tabla Parámetros'!$C$34,AportPatFov!G299,0))))</f>
        <v/>
      </c>
      <c r="O309" s="86">
        <f>Simulador!N364</f>
        <v>0</v>
      </c>
      <c r="P309" s="86"/>
      <c r="Q309" s="86">
        <v>0</v>
      </c>
      <c r="R309" s="86" t="e">
        <f t="shared" si="107"/>
        <v>#VALUE!</v>
      </c>
      <c r="S309" s="86" t="str">
        <f t="shared" si="108"/>
        <v/>
      </c>
      <c r="U309" s="201" t="e">
        <f t="shared" si="97"/>
        <v>#VALUE!</v>
      </c>
      <c r="V309" s="201" t="e">
        <f t="shared" si="109"/>
        <v>#VALUE!</v>
      </c>
      <c r="W309" s="202" t="e">
        <f t="shared" si="110"/>
        <v>#VALUE!</v>
      </c>
      <c r="X309" s="201" t="e">
        <f t="shared" si="111"/>
        <v>#VALUE!</v>
      </c>
      <c r="Y309" s="201" t="e">
        <f t="shared" si="112"/>
        <v>#VALUE!</v>
      </c>
      <c r="Z309" s="201" t="e">
        <f t="shared" si="99"/>
        <v>#VALUE!</v>
      </c>
      <c r="AA309" s="201" t="e">
        <f t="shared" si="113"/>
        <v>#VALUE!</v>
      </c>
      <c r="AB309" s="201" t="e">
        <f t="shared" si="114"/>
        <v>#VALUE!</v>
      </c>
      <c r="AC309" s="201" t="e">
        <f t="shared" si="100"/>
        <v>#VALUE!</v>
      </c>
    </row>
    <row r="310" spans="2:29" x14ac:dyDescent="0.3">
      <c r="B310" s="84" t="str">
        <f t="shared" si="98"/>
        <v/>
      </c>
      <c r="C310" s="85" t="str">
        <f>IF($B310="","",'Fecha Pago'!K302)</f>
        <v/>
      </c>
      <c r="D310" s="86" t="str">
        <f>IF($B$12="","",'Fecha Pago'!L302)</f>
        <v/>
      </c>
      <c r="E310" s="87" t="str">
        <f t="shared" si="101"/>
        <v/>
      </c>
      <c r="F310" s="86" t="str">
        <f t="shared" si="102"/>
        <v/>
      </c>
      <c r="G310" s="86" t="str">
        <f t="shared" si="103"/>
        <v/>
      </c>
      <c r="H310" s="86" t="str">
        <f t="shared" si="104"/>
        <v/>
      </c>
      <c r="I310" s="86" t="str">
        <f>IF(B310="","",IF(Simulador!$F$9="Liquidez",'Tabla Fijos'!H310*0.16,IF(Simulador!$J$9="SI",H310*0.16,0)))</f>
        <v/>
      </c>
      <c r="J310" s="86" t="str">
        <f t="shared" si="105"/>
        <v/>
      </c>
      <c r="K310" s="86" t="str">
        <f t="shared" si="106"/>
        <v/>
      </c>
      <c r="L310" s="86" t="str">
        <f>IF(B310="","",IF(F310=0,0,IF(Sheet1!$I$10=6,'Tabla Fijos'!$C$3*'Tabla Fijos'!$F$5,$F$5*$C$5)))</f>
        <v/>
      </c>
      <c r="M310" s="86" t="str">
        <f t="shared" si="94"/>
        <v/>
      </c>
      <c r="N310" s="86" t="str">
        <f>IF(B310="","",IF(F310=0,0,IF(Simulador!$N$7='Tabla Parámetros'!$C$31,AportPat!L302,IF(Simulador!$N$7='Tabla Parámetros'!$C$34,AportPatFov!G300,0))))</f>
        <v/>
      </c>
      <c r="O310" s="86">
        <f>Simulador!N365</f>
        <v>0</v>
      </c>
      <c r="P310" s="86"/>
      <c r="Q310" s="86">
        <v>0</v>
      </c>
      <c r="R310" s="86" t="e">
        <f t="shared" si="107"/>
        <v>#VALUE!</v>
      </c>
      <c r="S310" s="86" t="str">
        <f t="shared" si="108"/>
        <v/>
      </c>
      <c r="U310" s="201" t="e">
        <f t="shared" si="97"/>
        <v>#VALUE!</v>
      </c>
      <c r="V310" s="201" t="e">
        <f t="shared" si="109"/>
        <v>#VALUE!</v>
      </c>
      <c r="W310" s="202" t="e">
        <f t="shared" si="110"/>
        <v>#VALUE!</v>
      </c>
      <c r="X310" s="201" t="e">
        <f t="shared" si="111"/>
        <v>#VALUE!</v>
      </c>
      <c r="Y310" s="201" t="e">
        <f t="shared" si="112"/>
        <v>#VALUE!</v>
      </c>
      <c r="Z310" s="201" t="e">
        <f t="shared" si="99"/>
        <v>#VALUE!</v>
      </c>
      <c r="AA310" s="201" t="e">
        <f t="shared" si="113"/>
        <v>#VALUE!</v>
      </c>
      <c r="AB310" s="201" t="e">
        <f t="shared" si="114"/>
        <v>#VALUE!</v>
      </c>
      <c r="AC310" s="201" t="e">
        <f t="shared" si="100"/>
        <v>#VALUE!</v>
      </c>
    </row>
    <row r="311" spans="2:29" x14ac:dyDescent="0.3">
      <c r="B311" s="84" t="str">
        <f t="shared" si="98"/>
        <v/>
      </c>
      <c r="C311" s="85" t="str">
        <f>IF($B311="","",'Fecha Pago'!K303)</f>
        <v/>
      </c>
      <c r="D311" s="86" t="str">
        <f>IF($B$12="","",'Fecha Pago'!L303)</f>
        <v/>
      </c>
      <c r="E311" s="87" t="str">
        <f t="shared" si="101"/>
        <v/>
      </c>
      <c r="F311" s="86" t="str">
        <f t="shared" si="102"/>
        <v/>
      </c>
      <c r="G311" s="86" t="str">
        <f t="shared" si="103"/>
        <v/>
      </c>
      <c r="H311" s="86" t="str">
        <f t="shared" si="104"/>
        <v/>
      </c>
      <c r="I311" s="86" t="str">
        <f>IF(B311="","",IF(Simulador!$F$9="Liquidez",'Tabla Fijos'!H311*0.16,IF(Simulador!$J$9="SI",H311*0.16,0)))</f>
        <v/>
      </c>
      <c r="J311" s="86" t="str">
        <f t="shared" si="105"/>
        <v/>
      </c>
      <c r="K311" s="86" t="str">
        <f t="shared" si="106"/>
        <v/>
      </c>
      <c r="L311" s="86" t="str">
        <f>IF(B311="","",IF(F311=0,0,IF(Sheet1!$I$10=6,'Tabla Fijos'!$C$3*'Tabla Fijos'!$F$5,$F$5*$C$5)))</f>
        <v/>
      </c>
      <c r="M311" s="86" t="str">
        <f t="shared" si="94"/>
        <v/>
      </c>
      <c r="N311" s="86" t="str">
        <f>IF(B311="","",IF(F311=0,0,IF(Simulador!$N$7='Tabla Parámetros'!$C$31,AportPat!L303,IF(Simulador!$N$7='Tabla Parámetros'!$C$34,AportPatFov!G301,0))))</f>
        <v/>
      </c>
      <c r="O311" s="86">
        <f>Simulador!N366</f>
        <v>0</v>
      </c>
      <c r="P311" s="86"/>
      <c r="Q311" s="86">
        <v>0</v>
      </c>
      <c r="R311" s="86" t="e">
        <f t="shared" si="107"/>
        <v>#VALUE!</v>
      </c>
      <c r="S311" s="86" t="str">
        <f t="shared" si="108"/>
        <v/>
      </c>
      <c r="U311" s="201" t="e">
        <f t="shared" si="97"/>
        <v>#VALUE!</v>
      </c>
      <c r="V311" s="201" t="e">
        <f t="shared" si="109"/>
        <v>#VALUE!</v>
      </c>
      <c r="W311" s="202" t="e">
        <f t="shared" si="110"/>
        <v>#VALUE!</v>
      </c>
      <c r="X311" s="201" t="e">
        <f t="shared" si="111"/>
        <v>#VALUE!</v>
      </c>
      <c r="Y311" s="201" t="e">
        <f t="shared" si="112"/>
        <v>#VALUE!</v>
      </c>
      <c r="Z311" s="201" t="e">
        <f t="shared" si="99"/>
        <v>#VALUE!</v>
      </c>
      <c r="AA311" s="201" t="e">
        <f t="shared" si="113"/>
        <v>#VALUE!</v>
      </c>
      <c r="AB311" s="201" t="e">
        <f t="shared" si="114"/>
        <v>#VALUE!</v>
      </c>
      <c r="AC311" s="201" t="e">
        <f t="shared" si="100"/>
        <v>#VALUE!</v>
      </c>
    </row>
    <row r="312" spans="2:29" x14ac:dyDescent="0.3">
      <c r="B312" s="88"/>
      <c r="C312" s="89"/>
      <c r="D312" s="90"/>
      <c r="E312" s="90"/>
      <c r="F312" s="90"/>
      <c r="G312" s="90"/>
      <c r="H312" s="90"/>
      <c r="I312" s="90"/>
      <c r="J312" s="90"/>
      <c r="K312" s="90"/>
      <c r="L312" s="90"/>
      <c r="M312" s="90"/>
      <c r="N312" s="90"/>
      <c r="O312" s="90"/>
      <c r="P312" s="90"/>
      <c r="Q312" s="90"/>
      <c r="R312" s="90"/>
      <c r="S312" s="91"/>
    </row>
    <row r="313" spans="2:29" x14ac:dyDescent="0.3">
      <c r="B313" s="92" t="s">
        <v>18</v>
      </c>
      <c r="C313" s="93"/>
      <c r="D313" s="94"/>
      <c r="E313" s="94"/>
      <c r="F313" s="94"/>
      <c r="G313" s="94">
        <f t="shared" ref="G313:R313" ca="1" si="115">SUM(G12:G312)</f>
        <v>1000000.0000000009</v>
      </c>
      <c r="H313" s="94">
        <f t="shared" ca="1" si="115"/>
        <v>1494713.3216833484</v>
      </c>
      <c r="I313" s="94"/>
      <c r="J313" s="94"/>
      <c r="K313" s="422">
        <f t="shared" ca="1" si="115"/>
        <v>0</v>
      </c>
      <c r="L313" s="422">
        <f t="shared" ca="1" si="115"/>
        <v>0</v>
      </c>
      <c r="M313" s="94">
        <f t="shared" ca="1" si="115"/>
        <v>0</v>
      </c>
      <c r="N313" s="94"/>
      <c r="O313" s="94"/>
      <c r="P313" s="94"/>
      <c r="Q313" s="94"/>
      <c r="R313" s="94" t="e">
        <f t="shared" ca="1" si="115"/>
        <v>#VALUE!</v>
      </c>
      <c r="S313" s="95">
        <v>0</v>
      </c>
    </row>
  </sheetData>
  <mergeCells count="3">
    <mergeCell ref="U10:W10"/>
    <mergeCell ref="X10:Z10"/>
    <mergeCell ref="AA10:AC10"/>
  </mergeCells>
  <conditionalFormatting sqref="L10">
    <cfRule type="containsBlanks" dxfId="30" priority="7">
      <formula>LEN(TRIM(L10))=0</formula>
    </cfRule>
  </conditionalFormatting>
  <conditionalFormatting sqref="O10:Q10">
    <cfRule type="containsBlanks" dxfId="29" priority="6">
      <formula>LEN(TRIM(O10))=0</formula>
    </cfRule>
  </conditionalFormatting>
  <conditionalFormatting sqref="G10">
    <cfRule type="containsBlanks" dxfId="28" priority="5">
      <formula>LEN(TRIM(G10))=0</formula>
    </cfRule>
  </conditionalFormatting>
  <conditionalFormatting sqref="H10:J10">
    <cfRule type="containsBlanks" dxfId="27" priority="4">
      <formula>LEN(TRIM(H10))=0</formula>
    </cfRule>
  </conditionalFormatting>
  <conditionalFormatting sqref="M10:N10">
    <cfRule type="containsBlanks" dxfId="26" priority="3">
      <formula>LEN(TRIM(M10))=0</formula>
    </cfRule>
  </conditionalFormatting>
  <conditionalFormatting sqref="R10">
    <cfRule type="containsBlanks" dxfId="25" priority="2">
      <formula>LEN(TRIM(R10))=0</formula>
    </cfRule>
  </conditionalFormatting>
  <conditionalFormatting sqref="K10">
    <cfRule type="containsBlanks" dxfId="24" priority="1">
      <formula>LEN(TRIM(K10))=0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336D3-B9BA-4897-B35C-3845AEA70C7B}">
  <sheetPr codeName="Hoja9"/>
  <dimension ref="A1:AH306"/>
  <sheetViews>
    <sheetView showGridLines="0" zoomScale="90" zoomScaleNormal="90" workbookViewId="0">
      <selection activeCell="G3" sqref="G3"/>
    </sheetView>
  </sheetViews>
  <sheetFormatPr baseColWidth="10" defaultColWidth="11.453125" defaultRowHeight="14.5" x14ac:dyDescent="0.35"/>
  <cols>
    <col min="1" max="1" width="2.7265625" bestFit="1" customWidth="1"/>
    <col min="2" max="2" width="8" bestFit="1" customWidth="1"/>
    <col min="3" max="3" width="14.81640625" style="120" bestFit="1" customWidth="1"/>
    <col min="4" max="4" width="16.7265625" customWidth="1"/>
    <col min="5" max="5" width="16.1796875" customWidth="1"/>
    <col min="6" max="6" width="16.26953125" customWidth="1"/>
    <col min="7" max="7" width="14.453125" customWidth="1"/>
    <col min="8" max="8" width="12.26953125" customWidth="1"/>
    <col min="9" max="9" width="13.7265625" customWidth="1"/>
    <col min="10" max="10" width="18.81640625" bestFit="1" customWidth="1"/>
    <col min="11" max="11" width="19.1796875" customWidth="1"/>
    <col min="12" max="13" width="19.453125" customWidth="1"/>
    <col min="14" max="14" width="19.26953125" bestFit="1" customWidth="1"/>
    <col min="15" max="15" width="17.7265625" customWidth="1"/>
    <col min="16" max="16" width="13.26953125" bestFit="1" customWidth="1"/>
    <col min="17" max="17" width="13" bestFit="1" customWidth="1"/>
    <col min="18" max="18" width="11.453125" customWidth="1"/>
    <col min="19" max="21" width="13.54296875" customWidth="1"/>
    <col min="22" max="25" width="13.26953125" customWidth="1"/>
    <col min="26" max="26" width="14.26953125" bestFit="1" customWidth="1"/>
    <col min="27" max="27" width="11.453125" customWidth="1"/>
    <col min="28" max="28" width="14.26953125" bestFit="1" customWidth="1"/>
    <col min="32" max="32" width="23.1796875" bestFit="1" customWidth="1"/>
  </cols>
  <sheetData>
    <row r="1" spans="1:34" x14ac:dyDescent="0.35">
      <c r="AF1" s="761" t="s">
        <v>319</v>
      </c>
      <c r="AG1" s="761"/>
    </row>
    <row r="2" spans="1:34" x14ac:dyDescent="0.35">
      <c r="B2" s="437" t="s">
        <v>197</v>
      </c>
      <c r="C2" s="586">
        <f>'Tabla Fijos'!C3</f>
        <v>1000000</v>
      </c>
      <c r="F2" s="437" t="s">
        <v>23</v>
      </c>
      <c r="G2" s="120">
        <f>Sheet1!$AB$6</f>
        <v>0.11</v>
      </c>
      <c r="I2" s="437" t="s">
        <v>201</v>
      </c>
      <c r="J2">
        <v>1</v>
      </c>
      <c r="AF2" t="s">
        <v>560</v>
      </c>
      <c r="AG2" s="587">
        <f>'CAT Flujo Cero'!C8</f>
        <v>0</v>
      </c>
      <c r="AH2" s="121">
        <f>Simulador!N15</f>
        <v>0</v>
      </c>
    </row>
    <row r="3" spans="1:34" x14ac:dyDescent="0.35">
      <c r="B3" s="437" t="s">
        <v>194</v>
      </c>
      <c r="C3" s="198">
        <f>Simulador!$H$49</f>
        <v>240</v>
      </c>
      <c r="F3" s="437" t="s">
        <v>561</v>
      </c>
      <c r="G3" s="588">
        <f>'Tabla Fijos'!$F$4</f>
        <v>0</v>
      </c>
      <c r="I3" s="437" t="s">
        <v>562</v>
      </c>
      <c r="J3" s="587">
        <f>'Tabla Parámetros'!$W$28</f>
        <v>299</v>
      </c>
      <c r="AF3" t="s">
        <v>21</v>
      </c>
      <c r="AG3" s="589">
        <f>'CAT Flujo Cero'!C6</f>
        <v>0</v>
      </c>
    </row>
    <row r="4" spans="1:34" x14ac:dyDescent="0.35">
      <c r="B4" s="437" t="s">
        <v>563</v>
      </c>
      <c r="C4" s="586">
        <f>'Tabla Fijos'!$C$5</f>
        <v>2448600</v>
      </c>
      <c r="F4" s="437" t="s">
        <v>564</v>
      </c>
      <c r="G4" s="588">
        <f>'Tabla Fijos'!$F$5</f>
        <v>0</v>
      </c>
      <c r="I4" s="437" t="s">
        <v>565</v>
      </c>
      <c r="J4" s="590">
        <f>Sheet1!$AD$13*1.16</f>
        <v>0</v>
      </c>
      <c r="AF4" t="s">
        <v>566</v>
      </c>
      <c r="AG4" s="589">
        <f>'CAT Flujo Cero'!C8</f>
        <v>0</v>
      </c>
    </row>
    <row r="5" spans="1:34" x14ac:dyDescent="0.35">
      <c r="P5" s="609">
        <f ca="1">SUM(P7:P246)</f>
        <v>2776570.138559578</v>
      </c>
      <c r="AB5" s="347">
        <f>SUM(AB7:AB246)</f>
        <v>2783109.027448467</v>
      </c>
      <c r="AF5" t="s">
        <v>567</v>
      </c>
      <c r="AG5" s="589">
        <f>'CAT Flujo Cero'!Flujo_Cero_Parcial</f>
        <v>0</v>
      </c>
    </row>
    <row r="6" spans="1:34" x14ac:dyDescent="0.35">
      <c r="B6" s="591" t="s">
        <v>16</v>
      </c>
      <c r="C6" s="591" t="s">
        <v>19</v>
      </c>
      <c r="D6" s="591" t="s">
        <v>29</v>
      </c>
      <c r="E6" s="592" t="s">
        <v>23</v>
      </c>
      <c r="F6" s="591" t="s">
        <v>568</v>
      </c>
      <c r="G6" s="591" t="s">
        <v>31</v>
      </c>
      <c r="H6" s="591" t="s">
        <v>569</v>
      </c>
      <c r="I6" s="591" t="s">
        <v>202</v>
      </c>
      <c r="J6" s="591" t="s">
        <v>561</v>
      </c>
      <c r="K6" s="591" t="s">
        <v>564</v>
      </c>
      <c r="L6" s="591" t="s">
        <v>570</v>
      </c>
      <c r="M6" s="591" t="s">
        <v>6</v>
      </c>
      <c r="N6" s="591" t="s">
        <v>415</v>
      </c>
      <c r="O6" s="591" t="s">
        <v>571</v>
      </c>
      <c r="P6" s="591" t="s">
        <v>572</v>
      </c>
      <c r="Q6" s="591" t="s">
        <v>36</v>
      </c>
      <c r="U6" s="593" t="s">
        <v>573</v>
      </c>
      <c r="V6" s="593" t="s">
        <v>574</v>
      </c>
      <c r="W6" s="593" t="s">
        <v>575</v>
      </c>
      <c r="X6" s="593" t="s">
        <v>576</v>
      </c>
      <c r="Y6" s="593" t="s">
        <v>577</v>
      </c>
      <c r="Z6" s="593" t="s">
        <v>578</v>
      </c>
      <c r="AA6" s="593" t="s">
        <v>579</v>
      </c>
      <c r="AB6" s="594">
        <f>-Simulador!$H$48+$AG$5</f>
        <v>-1000000</v>
      </c>
      <c r="AC6" t="s">
        <v>580</v>
      </c>
      <c r="AD6" s="120">
        <f>IRR(AB6:AB306,0)</f>
        <v>9.6216716121484414E-3</v>
      </c>
    </row>
    <row r="7" spans="1:34" x14ac:dyDescent="0.35">
      <c r="A7" s="595">
        <v>1</v>
      </c>
      <c r="B7" s="596">
        <v>1</v>
      </c>
      <c r="C7" s="597">
        <f ca="1">IF(B7="","",'Fecha Pago'!K4)</f>
        <v>46176</v>
      </c>
      <c r="D7" s="598">
        <f ca="1">IF(B7="","",'Fecha Pago'!L4)</f>
        <v>9</v>
      </c>
      <c r="E7" s="599">
        <f>IF(B7="","",$G$2)</f>
        <v>0.11</v>
      </c>
      <c r="F7" s="600">
        <f>IF(B7="","",$C$2)</f>
        <v>1000000</v>
      </c>
      <c r="G7" s="600">
        <v>0</v>
      </c>
      <c r="H7" s="600">
        <f ca="1">IF(B7="","",(E7/360*D7)*F7)</f>
        <v>2750</v>
      </c>
      <c r="I7" s="600">
        <f>IF(B7="","",IF(F7=0,0,($C$2/1000)*'Tabla de Incrementos'!$E$1))</f>
        <v>9500</v>
      </c>
      <c r="J7" s="600">
        <f ca="1">IF(B7="","",IF(F7=0,0,F7*(G3/30*D7)))</f>
        <v>0</v>
      </c>
      <c r="K7" s="600">
        <f ca="1">IF(B7="","",IF(F7=0,0,$C$4*($G$4/30*D7)))</f>
        <v>0</v>
      </c>
      <c r="L7" s="600">
        <f>IF(B7="","",IF(F7=0,0,$J$3))</f>
        <v>299</v>
      </c>
      <c r="M7" s="600">
        <f>IF(B7="","",IF(A7=0,0,AportPat!L4))</f>
        <v>0</v>
      </c>
      <c r="N7" s="601">
        <f>Simulador!N67</f>
        <v>0</v>
      </c>
      <c r="O7" s="602">
        <f>IF(N7&gt;0,(N7-(N7/(1+Sheet1!$AD$13))),0)</f>
        <v>0</v>
      </c>
      <c r="P7" s="600">
        <f ca="1">IF(B7="","",G7+H7+J7+K7+L7+O7-M7)</f>
        <v>3049</v>
      </c>
      <c r="Q7" s="600">
        <f t="shared" ref="Q7:Q70" si="0">IF(B7="","",F7-G7)</f>
        <v>1000000</v>
      </c>
      <c r="S7" s="120">
        <v>0.11</v>
      </c>
      <c r="T7" s="198">
        <f t="shared" ref="T7:T70" si="1">B7</f>
        <v>1</v>
      </c>
      <c r="U7" s="347">
        <f>$C$2</f>
        <v>1000000</v>
      </c>
      <c r="V7" s="347">
        <v>0</v>
      </c>
      <c r="W7" s="347">
        <f>IF(T7="","",(S7/360*30.4)*U7)</f>
        <v>9288.8888888888887</v>
      </c>
      <c r="X7" s="600">
        <f>IF(T7="","",IF(U7=0,0,($C$2/1000)*'Tabla de Incrementos'!$E$1))</f>
        <v>9500</v>
      </c>
      <c r="Y7" s="600">
        <f t="shared" ref="Y7:Y70" si="2">IF(T7="","",IF(U7=0,0,U7*$G$3))</f>
        <v>0</v>
      </c>
      <c r="Z7" s="600">
        <f>IF(T7="","",IF(U7=0,0,$C$4*($G$4/1.16)))</f>
        <v>0</v>
      </c>
      <c r="AA7" s="557">
        <f>IF(T7="","",$J$3)</f>
        <v>299</v>
      </c>
      <c r="AB7" s="557">
        <f>IF(T7="","",V7+W7+Y7+Z7+AA7)</f>
        <v>9587.8888888888887</v>
      </c>
      <c r="AC7" t="s">
        <v>581</v>
      </c>
      <c r="AD7" s="346">
        <f>+AD6*12</f>
        <v>0.1154600593457813</v>
      </c>
    </row>
    <row r="8" spans="1:34" x14ac:dyDescent="0.35">
      <c r="A8" s="595">
        <f t="shared" ref="A8:A71" si="3">IF(B8="","",IF(F8&gt;0,1,0))</f>
        <v>1</v>
      </c>
      <c r="B8" s="596">
        <f>IF(B7=$C$3,"",IF(B7="","",B7+1))</f>
        <v>2</v>
      </c>
      <c r="C8" s="597">
        <f ca="1">IF(B8="","",'Fecha Pago'!K5)</f>
        <v>46206</v>
      </c>
      <c r="D8" s="598">
        <f>IF(B8="","",30.4)</f>
        <v>30.4</v>
      </c>
      <c r="E8" s="599">
        <f t="shared" ref="E8:E43" si="4">IF(B8="","",$G$2)</f>
        <v>0.11</v>
      </c>
      <c r="F8" s="600">
        <f t="shared" ref="F8:F71" si="5">IF(B8="","",Q7)</f>
        <v>1000000</v>
      </c>
      <c r="G8" s="600">
        <f>IF(B8="","",IF(F8=0,0,IF((I8-H8)&gt;F8,F8,I8-H8))+M8+(N8-O8))</f>
        <v>211.11111111111131</v>
      </c>
      <c r="H8" s="600">
        <f t="shared" ref="H8:H71" si="6">IF(B8="","",(E8/360*D8)*F8)</f>
        <v>9288.8888888888887</v>
      </c>
      <c r="I8" s="600">
        <f>IF(B8="","",IF(F8=0,0,($C$2/1000)*'Tabla de Incrementos'!$E$1))</f>
        <v>9500</v>
      </c>
      <c r="J8" s="600">
        <f>IF(B8="","",IF(F8=0,0,F8*$G$3))</f>
        <v>0</v>
      </c>
      <c r="K8" s="600">
        <f>IF(B8="","",IF(F8=0,0,$C$4*$G$4))</f>
        <v>0</v>
      </c>
      <c r="L8" s="600">
        <f t="shared" ref="L8:L71" si="7">IF(B8="","",IF(F8=0,0,$J$3))</f>
        <v>299</v>
      </c>
      <c r="M8" s="600">
        <f>IF(B8="","",IF(A8=0,0,AportPat!L5))</f>
        <v>0</v>
      </c>
      <c r="N8" s="601">
        <f>Simulador!N68</f>
        <v>0</v>
      </c>
      <c r="O8" s="602">
        <f>IF(N8&gt;0,(N8-(N8/(1+Sheet1!$AD$13))),0)</f>
        <v>0</v>
      </c>
      <c r="P8" s="600">
        <f>IF(B8="","",G8+H8+J8+K8+L8+O8-M8)</f>
        <v>9799</v>
      </c>
      <c r="Q8" s="600">
        <f t="shared" si="0"/>
        <v>999788.88888888888</v>
      </c>
      <c r="S8" s="120">
        <v>0.11</v>
      </c>
      <c r="T8" s="198">
        <f t="shared" si="1"/>
        <v>2</v>
      </c>
      <c r="U8" s="347">
        <f>IF(T8="","",U7-V7)</f>
        <v>1000000</v>
      </c>
      <c r="V8" s="347">
        <f t="shared" ref="V8:V71" si="8">IF(T8="","",IF(X8-W8&gt;U8,U8,X8-W8))</f>
        <v>211.11111111111131</v>
      </c>
      <c r="W8" s="347">
        <f t="shared" ref="W8:W71" si="9">IF(T8="","",(S8/360*30.4)*U8)</f>
        <v>9288.8888888888887</v>
      </c>
      <c r="X8" s="600">
        <f>IF(T8="","",IF(U8=0,0,($C$2/1000)*'Tabla de Incrementos'!$E$1))</f>
        <v>9500</v>
      </c>
      <c r="Y8" s="600">
        <f t="shared" si="2"/>
        <v>0</v>
      </c>
      <c r="Z8" s="600">
        <f t="shared" ref="Z8:Z71" si="10">IF(T8="","",IF(U8=0,0,$C$4*($G$4/1.16)))</f>
        <v>0</v>
      </c>
      <c r="AA8" s="557">
        <f t="shared" ref="AA8:AA71" si="11">IF(T8="","",$J$3)</f>
        <v>299</v>
      </c>
      <c r="AB8" s="557">
        <f t="shared" ref="AB8:AB71" si="12">IF(T8="","",V8+W8+Y8+Z8+AA8)</f>
        <v>9799</v>
      </c>
      <c r="AC8" t="s">
        <v>139</v>
      </c>
      <c r="AD8" s="603">
        <f>EFFECT(AD7,12)</f>
        <v>0.12177038410396479</v>
      </c>
    </row>
    <row r="9" spans="1:34" x14ac:dyDescent="0.35">
      <c r="A9" s="595">
        <f t="shared" si="3"/>
        <v>1</v>
      </c>
      <c r="B9" s="596">
        <f t="shared" ref="B9:B72" si="13">IF(B8=$C$3,"",IF(B8="","",B8+1))</f>
        <v>3</v>
      </c>
      <c r="C9" s="597">
        <f ca="1">IF(B9="","",'Fecha Pago'!K6)</f>
        <v>46237</v>
      </c>
      <c r="D9" s="598">
        <f t="shared" ref="D9:D72" si="14">IF(B9="","",30.4)</f>
        <v>30.4</v>
      </c>
      <c r="E9" s="599">
        <f t="shared" si="4"/>
        <v>0.11</v>
      </c>
      <c r="F9" s="600">
        <f t="shared" si="5"/>
        <v>999788.88888888888</v>
      </c>
      <c r="G9" s="600">
        <f t="shared" ref="G9:G72" si="15">IF(B9="","",IF(F9=0,0,IF((I9-H9)&gt;F9,F9,I9-H9))+M9+(N9-O9))</f>
        <v>213.07209876543311</v>
      </c>
      <c r="H9" s="600">
        <f t="shared" si="6"/>
        <v>9286.9279012345669</v>
      </c>
      <c r="I9" s="600">
        <f>IF(B9="","",IF(F9=0,0,($C$2/1000)*'Tabla de Incrementos'!$E$1))</f>
        <v>9500</v>
      </c>
      <c r="J9" s="600">
        <f t="shared" ref="J9:J72" si="16">IF(B9="","",IF(F9=0,0,F9*$G$3))</f>
        <v>0</v>
      </c>
      <c r="K9" s="600">
        <f t="shared" ref="K9:K72" si="17">IF(B9="","",IF(F9=0,0,$C$4*$G$4))</f>
        <v>0</v>
      </c>
      <c r="L9" s="600">
        <f t="shared" si="7"/>
        <v>299</v>
      </c>
      <c r="M9" s="600">
        <f>IF(B9="","",IF(A9=0,0,AportPat!L6))</f>
        <v>0</v>
      </c>
      <c r="N9" s="601">
        <f>Simulador!N69</f>
        <v>0</v>
      </c>
      <c r="O9" s="602">
        <f>IF(N9&gt;0,(N9-(N9/(1+Sheet1!$AD$13))),0)</f>
        <v>0</v>
      </c>
      <c r="P9" s="600">
        <f t="shared" ref="P9:P72" si="18">IF(B9="","",G9+H9+J9+K9+L9+O9-M9)</f>
        <v>9799</v>
      </c>
      <c r="Q9" s="600">
        <f t="shared" si="0"/>
        <v>999575.81679012347</v>
      </c>
      <c r="S9" s="120">
        <v>0.11</v>
      </c>
      <c r="T9" s="198">
        <f t="shared" si="1"/>
        <v>3</v>
      </c>
      <c r="U9" s="347">
        <f t="shared" ref="U9:U72" si="19">IF(T9="","",U8-V8)</f>
        <v>999788.88888888888</v>
      </c>
      <c r="V9" s="347">
        <f t="shared" si="8"/>
        <v>213.07209876543311</v>
      </c>
      <c r="W9" s="347">
        <f t="shared" si="9"/>
        <v>9286.9279012345669</v>
      </c>
      <c r="X9" s="600">
        <f>IF(T9="","",IF(U9=0,0,($C$2/1000)*'Tabla de Incrementos'!$E$1))</f>
        <v>9500</v>
      </c>
      <c r="Y9" s="600">
        <f t="shared" si="2"/>
        <v>0</v>
      </c>
      <c r="Z9" s="600">
        <f t="shared" si="10"/>
        <v>0</v>
      </c>
      <c r="AA9" s="557">
        <f t="shared" si="11"/>
        <v>299</v>
      </c>
      <c r="AB9" s="557">
        <f t="shared" si="12"/>
        <v>9799</v>
      </c>
    </row>
    <row r="10" spans="1:34" x14ac:dyDescent="0.35">
      <c r="A10" s="595">
        <f t="shared" si="3"/>
        <v>1</v>
      </c>
      <c r="B10" s="596">
        <f t="shared" si="13"/>
        <v>4</v>
      </c>
      <c r="C10" s="597">
        <f ca="1">IF(B10="","",'Fecha Pago'!K7)</f>
        <v>46268</v>
      </c>
      <c r="D10" s="598">
        <f t="shared" si="14"/>
        <v>30.4</v>
      </c>
      <c r="E10" s="599">
        <f t="shared" si="4"/>
        <v>0.11</v>
      </c>
      <c r="F10" s="600">
        <f t="shared" si="5"/>
        <v>999575.81679012347</v>
      </c>
      <c r="G10" s="600">
        <f t="shared" si="15"/>
        <v>215.05130181618733</v>
      </c>
      <c r="H10" s="600">
        <f t="shared" si="6"/>
        <v>9284.9486981838127</v>
      </c>
      <c r="I10" s="600">
        <f>IF(B10="","",IF(F10=0,0,($C$2/1000)*'Tabla de Incrementos'!$E$1))</f>
        <v>9500</v>
      </c>
      <c r="J10" s="600">
        <f t="shared" si="16"/>
        <v>0</v>
      </c>
      <c r="K10" s="600">
        <f t="shared" si="17"/>
        <v>0</v>
      </c>
      <c r="L10" s="600">
        <f t="shared" si="7"/>
        <v>299</v>
      </c>
      <c r="M10" s="600">
        <f>IF(B10="","",IF(A10=0,0,AportPat!L7))</f>
        <v>0</v>
      </c>
      <c r="N10" s="601">
        <f>Simulador!N70</f>
        <v>0</v>
      </c>
      <c r="O10" s="602">
        <f>IF(N10&gt;0,(N10-(N10/(1+Sheet1!$AD$13))),0)</f>
        <v>0</v>
      </c>
      <c r="P10" s="600">
        <f t="shared" si="18"/>
        <v>9799</v>
      </c>
      <c r="Q10" s="600">
        <f t="shared" si="0"/>
        <v>999360.76548830722</v>
      </c>
      <c r="S10" s="120">
        <v>0.11</v>
      </c>
      <c r="T10" s="198">
        <f t="shared" si="1"/>
        <v>4</v>
      </c>
      <c r="U10" s="347">
        <f t="shared" si="19"/>
        <v>999575.81679012347</v>
      </c>
      <c r="V10" s="347">
        <f t="shared" si="8"/>
        <v>215.05130181618733</v>
      </c>
      <c r="W10" s="347">
        <f t="shared" si="9"/>
        <v>9284.9486981838127</v>
      </c>
      <c r="X10" s="600">
        <f>IF(T10="","",IF(U10=0,0,($C$2/1000)*'Tabla de Incrementos'!$E$1))</f>
        <v>9500</v>
      </c>
      <c r="Y10" s="600">
        <f t="shared" si="2"/>
        <v>0</v>
      </c>
      <c r="Z10" s="600">
        <f t="shared" si="10"/>
        <v>0</v>
      </c>
      <c r="AA10" s="557">
        <f t="shared" si="11"/>
        <v>299</v>
      </c>
      <c r="AB10" s="557">
        <f t="shared" si="12"/>
        <v>9799</v>
      </c>
    </row>
    <row r="11" spans="1:34" x14ac:dyDescent="0.35">
      <c r="A11" s="595">
        <f t="shared" si="3"/>
        <v>1</v>
      </c>
      <c r="B11" s="596">
        <f t="shared" si="13"/>
        <v>5</v>
      </c>
      <c r="C11" s="597">
        <f ca="1">IF(B11="","",'Fecha Pago'!K8)</f>
        <v>46298</v>
      </c>
      <c r="D11" s="598">
        <f t="shared" si="14"/>
        <v>30.4</v>
      </c>
      <c r="E11" s="599">
        <f t="shared" si="4"/>
        <v>0.11</v>
      </c>
      <c r="F11" s="600">
        <f t="shared" si="5"/>
        <v>999360.76548830722</v>
      </c>
      <c r="G11" s="600">
        <f t="shared" si="15"/>
        <v>217.04888946416941</v>
      </c>
      <c r="H11" s="600">
        <f t="shared" si="6"/>
        <v>9282.9511105358306</v>
      </c>
      <c r="I11" s="600">
        <f>IF(B11="","",IF(F11=0,0,($C$2/1000)*'Tabla de Incrementos'!$E$1))</f>
        <v>9500</v>
      </c>
      <c r="J11" s="600">
        <f t="shared" si="16"/>
        <v>0</v>
      </c>
      <c r="K11" s="600">
        <f t="shared" si="17"/>
        <v>0</v>
      </c>
      <c r="L11" s="600">
        <f t="shared" si="7"/>
        <v>299</v>
      </c>
      <c r="M11" s="600">
        <f>IF(B11="","",IF(A11=0,0,AportPat!L8))</f>
        <v>0</v>
      </c>
      <c r="N11" s="601">
        <f>Simulador!N71</f>
        <v>0</v>
      </c>
      <c r="O11" s="602">
        <f>IF(N11&gt;0,(N11-(N11/(1+Sheet1!$AD$13))),0)</f>
        <v>0</v>
      </c>
      <c r="P11" s="600">
        <f t="shared" si="18"/>
        <v>9799</v>
      </c>
      <c r="Q11" s="600">
        <f t="shared" si="0"/>
        <v>999143.71659884311</v>
      </c>
      <c r="S11" s="120">
        <v>0.11</v>
      </c>
      <c r="T11" s="198">
        <f t="shared" si="1"/>
        <v>5</v>
      </c>
      <c r="U11" s="347">
        <f t="shared" si="19"/>
        <v>999360.76548830722</v>
      </c>
      <c r="V11" s="347">
        <f t="shared" si="8"/>
        <v>217.04888946416941</v>
      </c>
      <c r="W11" s="347">
        <f t="shared" si="9"/>
        <v>9282.9511105358306</v>
      </c>
      <c r="X11" s="600">
        <f>IF(T11="","",IF(U11=0,0,($C$2/1000)*'Tabla de Incrementos'!$E$1))</f>
        <v>9500</v>
      </c>
      <c r="Y11" s="600">
        <f t="shared" si="2"/>
        <v>0</v>
      </c>
      <c r="Z11" s="600">
        <f t="shared" si="10"/>
        <v>0</v>
      </c>
      <c r="AA11" s="557">
        <f t="shared" si="11"/>
        <v>299</v>
      </c>
      <c r="AB11" s="557">
        <f t="shared" si="12"/>
        <v>9799</v>
      </c>
    </row>
    <row r="12" spans="1:34" x14ac:dyDescent="0.35">
      <c r="A12" s="595">
        <f t="shared" si="3"/>
        <v>1</v>
      </c>
      <c r="B12" s="596">
        <f t="shared" si="13"/>
        <v>6</v>
      </c>
      <c r="C12" s="597">
        <f ca="1">IF(B12="","",'Fecha Pago'!K9)</f>
        <v>46329</v>
      </c>
      <c r="D12" s="598">
        <f t="shared" si="14"/>
        <v>30.4</v>
      </c>
      <c r="E12" s="599">
        <f t="shared" si="4"/>
        <v>0.11</v>
      </c>
      <c r="F12" s="600">
        <f t="shared" si="5"/>
        <v>999143.71659884311</v>
      </c>
      <c r="G12" s="600">
        <f t="shared" si="15"/>
        <v>219.065032481858</v>
      </c>
      <c r="H12" s="600">
        <f t="shared" si="6"/>
        <v>9280.934967518142</v>
      </c>
      <c r="I12" s="600">
        <f>IF(B12="","",IF(F12=0,0,($C$2/1000)*'Tabla de Incrementos'!$E$1))</f>
        <v>9500</v>
      </c>
      <c r="J12" s="600">
        <f t="shared" si="16"/>
        <v>0</v>
      </c>
      <c r="K12" s="600">
        <f t="shared" si="17"/>
        <v>0</v>
      </c>
      <c r="L12" s="600">
        <f t="shared" si="7"/>
        <v>299</v>
      </c>
      <c r="M12" s="600">
        <f>IF(B12="","",IF(A12=0,0,AportPat!L9))</f>
        <v>0</v>
      </c>
      <c r="N12" s="601">
        <f>Simulador!N72</f>
        <v>0</v>
      </c>
      <c r="O12" s="602">
        <f>IF(N12&gt;0,(N12-(N12/(1+Sheet1!$AD$13))),0)</f>
        <v>0</v>
      </c>
      <c r="P12" s="600">
        <f t="shared" si="18"/>
        <v>9799</v>
      </c>
      <c r="Q12" s="600">
        <f t="shared" si="0"/>
        <v>998924.65156636119</v>
      </c>
      <c r="S12" s="120">
        <v>0.11</v>
      </c>
      <c r="T12" s="198">
        <f t="shared" si="1"/>
        <v>6</v>
      </c>
      <c r="U12" s="347">
        <f t="shared" si="19"/>
        <v>999143.71659884311</v>
      </c>
      <c r="V12" s="347">
        <f t="shared" si="8"/>
        <v>219.065032481858</v>
      </c>
      <c r="W12" s="347">
        <f t="shared" si="9"/>
        <v>9280.934967518142</v>
      </c>
      <c r="X12" s="600">
        <f>IF(T12="","",IF(U12=0,0,($C$2/1000)*'Tabla de Incrementos'!$E$1))</f>
        <v>9500</v>
      </c>
      <c r="Y12" s="600">
        <f t="shared" si="2"/>
        <v>0</v>
      </c>
      <c r="Z12" s="600">
        <f t="shared" si="10"/>
        <v>0</v>
      </c>
      <c r="AA12" s="557">
        <f t="shared" si="11"/>
        <v>299</v>
      </c>
      <c r="AB12" s="557">
        <f t="shared" si="12"/>
        <v>9799</v>
      </c>
    </row>
    <row r="13" spans="1:34" x14ac:dyDescent="0.35">
      <c r="A13" s="595">
        <f t="shared" si="3"/>
        <v>1</v>
      </c>
      <c r="B13" s="596">
        <f t="shared" si="13"/>
        <v>7</v>
      </c>
      <c r="C13" s="597">
        <f ca="1">IF(B13="","",'Fecha Pago'!K10)</f>
        <v>46359</v>
      </c>
      <c r="D13" s="598">
        <f t="shared" si="14"/>
        <v>30.4</v>
      </c>
      <c r="E13" s="599">
        <f t="shared" si="4"/>
        <v>0.11</v>
      </c>
      <c r="F13" s="600">
        <f t="shared" si="5"/>
        <v>998924.65156636119</v>
      </c>
      <c r="G13" s="600">
        <f t="shared" si="15"/>
        <v>221.09990322802332</v>
      </c>
      <c r="H13" s="600">
        <f t="shared" si="6"/>
        <v>9278.9000967719767</v>
      </c>
      <c r="I13" s="600">
        <f>IF(B13="","",IF(F13=0,0,($C$2/1000)*'Tabla de Incrementos'!$E$1))</f>
        <v>9500</v>
      </c>
      <c r="J13" s="600">
        <f t="shared" si="16"/>
        <v>0</v>
      </c>
      <c r="K13" s="600">
        <f t="shared" si="17"/>
        <v>0</v>
      </c>
      <c r="L13" s="600">
        <f t="shared" si="7"/>
        <v>299</v>
      </c>
      <c r="M13" s="600">
        <f>IF(B13="","",IF(A13=0,0,AportPat!L10))</f>
        <v>0</v>
      </c>
      <c r="N13" s="601">
        <f>Simulador!N73</f>
        <v>0</v>
      </c>
      <c r="O13" s="602">
        <f>IF(N13&gt;0,(N13-(N13/(1+Sheet1!$AD$13))),0)</f>
        <v>0</v>
      </c>
      <c r="P13" s="600">
        <f t="shared" si="18"/>
        <v>9799</v>
      </c>
      <c r="Q13" s="600">
        <f t="shared" si="0"/>
        <v>998703.5516631332</v>
      </c>
      <c r="S13" s="120">
        <v>0.11</v>
      </c>
      <c r="T13" s="198">
        <f t="shared" si="1"/>
        <v>7</v>
      </c>
      <c r="U13" s="347">
        <f t="shared" si="19"/>
        <v>998924.65156636119</v>
      </c>
      <c r="V13" s="347">
        <f t="shared" si="8"/>
        <v>221.09990322802332</v>
      </c>
      <c r="W13" s="347">
        <f t="shared" si="9"/>
        <v>9278.9000967719767</v>
      </c>
      <c r="X13" s="600">
        <f>IF(T13="","",IF(U13=0,0,($C$2/1000)*'Tabla de Incrementos'!$E$1))</f>
        <v>9500</v>
      </c>
      <c r="Y13" s="600">
        <f t="shared" si="2"/>
        <v>0</v>
      </c>
      <c r="Z13" s="600">
        <f t="shared" si="10"/>
        <v>0</v>
      </c>
      <c r="AA13" s="557">
        <f t="shared" si="11"/>
        <v>299</v>
      </c>
      <c r="AB13" s="557">
        <f t="shared" si="12"/>
        <v>9799</v>
      </c>
    </row>
    <row r="14" spans="1:34" x14ac:dyDescent="0.35">
      <c r="A14" s="595">
        <f t="shared" si="3"/>
        <v>1</v>
      </c>
      <c r="B14" s="596">
        <f t="shared" si="13"/>
        <v>8</v>
      </c>
      <c r="C14" s="597">
        <f ca="1">IF(B14="","",'Fecha Pago'!K11)</f>
        <v>46390</v>
      </c>
      <c r="D14" s="598">
        <f t="shared" si="14"/>
        <v>30.4</v>
      </c>
      <c r="E14" s="599">
        <f t="shared" si="4"/>
        <v>0.11</v>
      </c>
      <c r="F14" s="600">
        <f t="shared" si="5"/>
        <v>998703.5516631332</v>
      </c>
      <c r="G14" s="600">
        <f t="shared" si="15"/>
        <v>223.15367566245186</v>
      </c>
      <c r="H14" s="600">
        <f t="shared" si="6"/>
        <v>9276.8463243375481</v>
      </c>
      <c r="I14" s="600">
        <f>IF(B14="","",IF(F14=0,0,($C$2/1000)*'Tabla de Incrementos'!$E$1))</f>
        <v>9500</v>
      </c>
      <c r="J14" s="600">
        <f t="shared" si="16"/>
        <v>0</v>
      </c>
      <c r="K14" s="600">
        <f t="shared" si="17"/>
        <v>0</v>
      </c>
      <c r="L14" s="600">
        <f t="shared" si="7"/>
        <v>299</v>
      </c>
      <c r="M14" s="600">
        <f>IF(B14="","",IF(A14=0,0,AportPat!L11))</f>
        <v>0</v>
      </c>
      <c r="N14" s="601">
        <f>Simulador!N74</f>
        <v>0</v>
      </c>
      <c r="O14" s="602">
        <f>IF(N14&gt;0,(N14-(N14/(1+Sheet1!$AD$13))),0)</f>
        <v>0</v>
      </c>
      <c r="P14" s="600">
        <f t="shared" si="18"/>
        <v>9799</v>
      </c>
      <c r="Q14" s="600">
        <f t="shared" si="0"/>
        <v>998480.39798747073</v>
      </c>
      <c r="S14" s="120">
        <v>0.11</v>
      </c>
      <c r="T14" s="198">
        <f t="shared" si="1"/>
        <v>8</v>
      </c>
      <c r="U14" s="347">
        <f t="shared" si="19"/>
        <v>998703.5516631332</v>
      </c>
      <c r="V14" s="347">
        <f t="shared" si="8"/>
        <v>223.15367566245186</v>
      </c>
      <c r="W14" s="347">
        <f t="shared" si="9"/>
        <v>9276.8463243375481</v>
      </c>
      <c r="X14" s="600">
        <f>IF(T14="","",IF(U14=0,0,($C$2/1000)*'Tabla de Incrementos'!$E$1))</f>
        <v>9500</v>
      </c>
      <c r="Y14" s="600">
        <f t="shared" si="2"/>
        <v>0</v>
      </c>
      <c r="Z14" s="600">
        <f t="shared" si="10"/>
        <v>0</v>
      </c>
      <c r="AA14" s="557">
        <f t="shared" si="11"/>
        <v>299</v>
      </c>
      <c r="AB14" s="557">
        <f t="shared" si="12"/>
        <v>9799</v>
      </c>
    </row>
    <row r="15" spans="1:34" x14ac:dyDescent="0.35">
      <c r="A15" s="595">
        <f t="shared" si="3"/>
        <v>1</v>
      </c>
      <c r="B15" s="596">
        <f t="shared" si="13"/>
        <v>9</v>
      </c>
      <c r="C15" s="597">
        <f ca="1">IF(B15="","",'Fecha Pago'!K12)</f>
        <v>46421</v>
      </c>
      <c r="D15" s="598">
        <f t="shared" si="14"/>
        <v>30.4</v>
      </c>
      <c r="E15" s="599">
        <f t="shared" si="4"/>
        <v>0.11</v>
      </c>
      <c r="F15" s="600">
        <f t="shared" si="5"/>
        <v>998480.39798747073</v>
      </c>
      <c r="G15" s="600">
        <f t="shared" si="15"/>
        <v>225.22652536082751</v>
      </c>
      <c r="H15" s="600">
        <f t="shared" si="6"/>
        <v>9274.7734746391725</v>
      </c>
      <c r="I15" s="600">
        <f>IF(B15="","",IF(F15=0,0,($C$2/1000)*'Tabla de Incrementos'!$E$1))</f>
        <v>9500</v>
      </c>
      <c r="J15" s="600">
        <f t="shared" si="16"/>
        <v>0</v>
      </c>
      <c r="K15" s="600">
        <f t="shared" si="17"/>
        <v>0</v>
      </c>
      <c r="L15" s="600">
        <f t="shared" si="7"/>
        <v>299</v>
      </c>
      <c r="M15" s="600">
        <f>IF(B15="","",IF(A15=0,0,AportPat!L12))</f>
        <v>0</v>
      </c>
      <c r="N15" s="601">
        <f>Simulador!N75</f>
        <v>0</v>
      </c>
      <c r="O15" s="602">
        <f>IF(N15&gt;0,(N15-(N15/(1+Sheet1!$AD$13))),0)</f>
        <v>0</v>
      </c>
      <c r="P15" s="600">
        <f t="shared" si="18"/>
        <v>9799</v>
      </c>
      <c r="Q15" s="600">
        <f t="shared" si="0"/>
        <v>998255.17146210989</v>
      </c>
      <c r="S15" s="120">
        <v>0.11</v>
      </c>
      <c r="T15" s="198">
        <f t="shared" si="1"/>
        <v>9</v>
      </c>
      <c r="U15" s="347">
        <f t="shared" si="19"/>
        <v>998480.39798747073</v>
      </c>
      <c r="V15" s="347">
        <f t="shared" si="8"/>
        <v>225.22652536082751</v>
      </c>
      <c r="W15" s="347">
        <f t="shared" si="9"/>
        <v>9274.7734746391725</v>
      </c>
      <c r="X15" s="600">
        <f>IF(T15="","",IF(U15=0,0,($C$2/1000)*'Tabla de Incrementos'!$E$1))</f>
        <v>9500</v>
      </c>
      <c r="Y15" s="600">
        <f t="shared" si="2"/>
        <v>0</v>
      </c>
      <c r="Z15" s="600">
        <f t="shared" si="10"/>
        <v>0</v>
      </c>
      <c r="AA15" s="557">
        <f t="shared" si="11"/>
        <v>299</v>
      </c>
      <c r="AB15" s="557">
        <f t="shared" si="12"/>
        <v>9799</v>
      </c>
    </row>
    <row r="16" spans="1:34" x14ac:dyDescent="0.35">
      <c r="A16" s="595">
        <f t="shared" si="3"/>
        <v>1</v>
      </c>
      <c r="B16" s="596">
        <f t="shared" si="13"/>
        <v>10</v>
      </c>
      <c r="C16" s="597">
        <f ca="1">IF(B16="","",'Fecha Pago'!K13)</f>
        <v>46449</v>
      </c>
      <c r="D16" s="598">
        <f t="shared" si="14"/>
        <v>30.4</v>
      </c>
      <c r="E16" s="599">
        <f t="shared" si="4"/>
        <v>0.11</v>
      </c>
      <c r="F16" s="600">
        <f t="shared" si="5"/>
        <v>998255.17146210989</v>
      </c>
      <c r="G16" s="600">
        <f t="shared" si="15"/>
        <v>227.31862952973461</v>
      </c>
      <c r="H16" s="600">
        <f t="shared" si="6"/>
        <v>9272.6813704702654</v>
      </c>
      <c r="I16" s="600">
        <f>IF(B16="","",IF(F16=0,0,($C$2/1000)*'Tabla de Incrementos'!$E$1))</f>
        <v>9500</v>
      </c>
      <c r="J16" s="600">
        <f t="shared" si="16"/>
        <v>0</v>
      </c>
      <c r="K16" s="600">
        <f t="shared" si="17"/>
        <v>0</v>
      </c>
      <c r="L16" s="600">
        <f t="shared" si="7"/>
        <v>299</v>
      </c>
      <c r="M16" s="600">
        <f>IF(B16="","",IF(A16=0,0,AportPat!L13))</f>
        <v>0</v>
      </c>
      <c r="N16" s="601">
        <f>Simulador!N76</f>
        <v>0</v>
      </c>
      <c r="O16" s="602">
        <f>IF(N16&gt;0,(N16-(N16/(1+Sheet1!$AD$13))),0)</f>
        <v>0</v>
      </c>
      <c r="P16" s="600">
        <f t="shared" si="18"/>
        <v>9799</v>
      </c>
      <c r="Q16" s="600">
        <f t="shared" si="0"/>
        <v>998027.85283258022</v>
      </c>
      <c r="S16" s="120">
        <v>0.11</v>
      </c>
      <c r="T16" s="198">
        <f t="shared" si="1"/>
        <v>10</v>
      </c>
      <c r="U16" s="347">
        <f t="shared" si="19"/>
        <v>998255.17146210989</v>
      </c>
      <c r="V16" s="347">
        <f t="shared" si="8"/>
        <v>227.31862952973461</v>
      </c>
      <c r="W16" s="347">
        <f t="shared" si="9"/>
        <v>9272.6813704702654</v>
      </c>
      <c r="X16" s="600">
        <f>IF(T16="","",IF(U16=0,0,($C$2/1000)*'Tabla de Incrementos'!$E$1))</f>
        <v>9500</v>
      </c>
      <c r="Y16" s="600">
        <f t="shared" si="2"/>
        <v>0</v>
      </c>
      <c r="Z16" s="600">
        <f t="shared" si="10"/>
        <v>0</v>
      </c>
      <c r="AA16" s="557">
        <f t="shared" si="11"/>
        <v>299</v>
      </c>
      <c r="AB16" s="557">
        <f t="shared" si="12"/>
        <v>9799</v>
      </c>
    </row>
    <row r="17" spans="1:28" x14ac:dyDescent="0.35">
      <c r="A17" s="595">
        <f t="shared" si="3"/>
        <v>1</v>
      </c>
      <c r="B17" s="596">
        <f t="shared" si="13"/>
        <v>11</v>
      </c>
      <c r="C17" s="597">
        <f ca="1">IF(B17="","",'Fecha Pago'!K14)</f>
        <v>46480</v>
      </c>
      <c r="D17" s="598">
        <f t="shared" si="14"/>
        <v>30.4</v>
      </c>
      <c r="E17" s="599">
        <f t="shared" si="4"/>
        <v>0.11</v>
      </c>
      <c r="F17" s="600">
        <f t="shared" si="5"/>
        <v>998027.85283258022</v>
      </c>
      <c r="G17" s="600">
        <f t="shared" si="15"/>
        <v>229.43016702181194</v>
      </c>
      <c r="H17" s="600">
        <f t="shared" si="6"/>
        <v>9270.5698329781881</v>
      </c>
      <c r="I17" s="600">
        <f>IF(B17="","",IF(F17=0,0,($C$2/1000)*'Tabla de Incrementos'!$E$1))</f>
        <v>9500</v>
      </c>
      <c r="J17" s="600">
        <f t="shared" si="16"/>
        <v>0</v>
      </c>
      <c r="K17" s="600">
        <f t="shared" si="17"/>
        <v>0</v>
      </c>
      <c r="L17" s="600">
        <f t="shared" si="7"/>
        <v>299</v>
      </c>
      <c r="M17" s="600">
        <f>IF(B17="","",IF(A17=0,0,AportPat!L14))</f>
        <v>0</v>
      </c>
      <c r="N17" s="601">
        <f>Simulador!N77</f>
        <v>0</v>
      </c>
      <c r="O17" s="602">
        <f>IF(N17&gt;0,(N17-(N17/(1+Sheet1!$AD$13))),0)</f>
        <v>0</v>
      </c>
      <c r="P17" s="600">
        <f t="shared" si="18"/>
        <v>9799</v>
      </c>
      <c r="Q17" s="600">
        <f t="shared" si="0"/>
        <v>997798.42266555841</v>
      </c>
      <c r="S17" s="120">
        <v>0.11</v>
      </c>
      <c r="T17" s="198">
        <f t="shared" si="1"/>
        <v>11</v>
      </c>
      <c r="U17" s="347">
        <f t="shared" si="19"/>
        <v>998027.85283258022</v>
      </c>
      <c r="V17" s="347">
        <f t="shared" si="8"/>
        <v>229.43016702181194</v>
      </c>
      <c r="W17" s="347">
        <f t="shared" si="9"/>
        <v>9270.5698329781881</v>
      </c>
      <c r="X17" s="600">
        <f>IF(T17="","",IF(U17=0,0,($C$2/1000)*'Tabla de Incrementos'!$E$1))</f>
        <v>9500</v>
      </c>
      <c r="Y17" s="600">
        <f t="shared" si="2"/>
        <v>0</v>
      </c>
      <c r="Z17" s="600">
        <f t="shared" si="10"/>
        <v>0</v>
      </c>
      <c r="AA17" s="557">
        <f t="shared" si="11"/>
        <v>299</v>
      </c>
      <c r="AB17" s="557">
        <f t="shared" si="12"/>
        <v>9799</v>
      </c>
    </row>
    <row r="18" spans="1:28" x14ac:dyDescent="0.35">
      <c r="A18" s="595">
        <f t="shared" si="3"/>
        <v>1</v>
      </c>
      <c r="B18" s="596">
        <f t="shared" si="13"/>
        <v>12</v>
      </c>
      <c r="C18" s="597">
        <f ca="1">IF(B18="","",'Fecha Pago'!K15)</f>
        <v>46510</v>
      </c>
      <c r="D18" s="598">
        <f t="shared" si="14"/>
        <v>30.4</v>
      </c>
      <c r="E18" s="599">
        <f t="shared" si="4"/>
        <v>0.11</v>
      </c>
      <c r="F18" s="600">
        <f t="shared" si="5"/>
        <v>997798.42266555841</v>
      </c>
      <c r="G18" s="600">
        <f t="shared" si="15"/>
        <v>231.56131835103588</v>
      </c>
      <c r="H18" s="600">
        <f t="shared" si="6"/>
        <v>9268.4386816489641</v>
      </c>
      <c r="I18" s="600">
        <f>IF(B18="","",IF(F18=0,0,($C$2/1000)*'Tabla de Incrementos'!$E$1))</f>
        <v>9500</v>
      </c>
      <c r="J18" s="600">
        <f t="shared" si="16"/>
        <v>0</v>
      </c>
      <c r="K18" s="600">
        <f t="shared" si="17"/>
        <v>0</v>
      </c>
      <c r="L18" s="600">
        <f t="shared" si="7"/>
        <v>299</v>
      </c>
      <c r="M18" s="600">
        <f>IF(B18="","",IF(A18=0,0,AportPat!L15))</f>
        <v>0</v>
      </c>
      <c r="N18" s="601">
        <f>Simulador!N78</f>
        <v>0</v>
      </c>
      <c r="O18" s="602">
        <f>IF(N18&gt;0,(N18-(N18/(1+Sheet1!$AD$13))),0)</f>
        <v>0</v>
      </c>
      <c r="P18" s="600">
        <f t="shared" si="18"/>
        <v>9799</v>
      </c>
      <c r="Q18" s="600">
        <f t="shared" si="0"/>
        <v>997566.86134720733</v>
      </c>
      <c r="S18" s="120">
        <v>0.11</v>
      </c>
      <c r="T18" s="198">
        <f t="shared" si="1"/>
        <v>12</v>
      </c>
      <c r="U18" s="347">
        <f t="shared" si="19"/>
        <v>997798.42266555841</v>
      </c>
      <c r="V18" s="347">
        <f t="shared" si="8"/>
        <v>231.56131835103588</v>
      </c>
      <c r="W18" s="347">
        <f t="shared" si="9"/>
        <v>9268.4386816489641</v>
      </c>
      <c r="X18" s="600">
        <f>IF(T18="","",IF(U18=0,0,($C$2/1000)*'Tabla de Incrementos'!$E$1))</f>
        <v>9500</v>
      </c>
      <c r="Y18" s="600">
        <f t="shared" si="2"/>
        <v>0</v>
      </c>
      <c r="Z18" s="600">
        <f t="shared" si="10"/>
        <v>0</v>
      </c>
      <c r="AA18" s="557">
        <f t="shared" si="11"/>
        <v>299</v>
      </c>
      <c r="AB18" s="557">
        <f t="shared" si="12"/>
        <v>9799</v>
      </c>
    </row>
    <row r="19" spans="1:28" x14ac:dyDescent="0.35">
      <c r="A19" s="595">
        <f t="shared" si="3"/>
        <v>1</v>
      </c>
      <c r="B19" s="596">
        <f t="shared" si="13"/>
        <v>13</v>
      </c>
      <c r="C19" s="597">
        <f ca="1">IF(B19="","",'Fecha Pago'!K16)</f>
        <v>46541</v>
      </c>
      <c r="D19" s="598">
        <f t="shared" si="14"/>
        <v>30.4</v>
      </c>
      <c r="E19" s="599">
        <f t="shared" si="4"/>
        <v>0.11</v>
      </c>
      <c r="F19" s="600">
        <f t="shared" si="5"/>
        <v>997566.86134720733</v>
      </c>
      <c r="G19" s="600">
        <f t="shared" si="15"/>
        <v>233.71226570816361</v>
      </c>
      <c r="H19" s="600">
        <f t="shared" si="6"/>
        <v>9266.2877342918364</v>
      </c>
      <c r="I19" s="600">
        <f>IF(B19="","",IF(F19=0,0,($C$2/1000)*'Tabla de Incrementos'!$E$1))</f>
        <v>9500</v>
      </c>
      <c r="J19" s="600">
        <f t="shared" si="16"/>
        <v>0</v>
      </c>
      <c r="K19" s="600">
        <f t="shared" si="17"/>
        <v>0</v>
      </c>
      <c r="L19" s="600">
        <f t="shared" si="7"/>
        <v>299</v>
      </c>
      <c r="M19" s="600">
        <f>IF(B19="","",IF(A19=0,0,AportPat!L16))</f>
        <v>0</v>
      </c>
      <c r="N19" s="601">
        <f>Simulador!N79</f>
        <v>0</v>
      </c>
      <c r="O19" s="602">
        <f>IF(N19&gt;0,(N19-(N19/(1+Sheet1!$AD$13))),0)</f>
        <v>0</v>
      </c>
      <c r="P19" s="600">
        <f t="shared" si="18"/>
        <v>9799</v>
      </c>
      <c r="Q19" s="600">
        <f t="shared" si="0"/>
        <v>997333.1490814992</v>
      </c>
      <c r="S19" s="120">
        <v>0.11</v>
      </c>
      <c r="T19" s="198">
        <f t="shared" si="1"/>
        <v>13</v>
      </c>
      <c r="U19" s="347">
        <f t="shared" si="19"/>
        <v>997566.86134720733</v>
      </c>
      <c r="V19" s="347">
        <f t="shared" si="8"/>
        <v>233.71226570816361</v>
      </c>
      <c r="W19" s="347">
        <f t="shared" si="9"/>
        <v>9266.2877342918364</v>
      </c>
      <c r="X19" s="600">
        <f>IF(T19="","",IF(U19=0,0,($C$2/1000)*'Tabla de Incrementos'!$E$1))</f>
        <v>9500</v>
      </c>
      <c r="Y19" s="600">
        <f t="shared" si="2"/>
        <v>0</v>
      </c>
      <c r="Z19" s="600">
        <f t="shared" si="10"/>
        <v>0</v>
      </c>
      <c r="AA19" s="557">
        <f t="shared" si="11"/>
        <v>299</v>
      </c>
      <c r="AB19" s="557">
        <f t="shared" si="12"/>
        <v>9799</v>
      </c>
    </row>
    <row r="20" spans="1:28" x14ac:dyDescent="0.35">
      <c r="A20" s="595">
        <f t="shared" si="3"/>
        <v>1</v>
      </c>
      <c r="B20" s="604">
        <f t="shared" si="13"/>
        <v>14</v>
      </c>
      <c r="C20" s="597">
        <f ca="1">IF(B20="","",'Fecha Pago'!K17)</f>
        <v>46571</v>
      </c>
      <c r="D20" s="605">
        <f t="shared" si="14"/>
        <v>30.4</v>
      </c>
      <c r="E20" s="606">
        <f t="shared" si="4"/>
        <v>0.11</v>
      </c>
      <c r="F20" s="607">
        <f t="shared" si="5"/>
        <v>997333.1490814992</v>
      </c>
      <c r="G20" s="607">
        <f t="shared" si="15"/>
        <v>235.88319297629641</v>
      </c>
      <c r="H20" s="607">
        <f t="shared" si="6"/>
        <v>9264.1168070237036</v>
      </c>
      <c r="I20" s="607">
        <f>IF(B20="","",IF(F20=0,0,($C$2/1000)*'Tabla de Incrementos'!$J$2))</f>
        <v>9500</v>
      </c>
      <c r="J20" s="607">
        <f t="shared" si="16"/>
        <v>0</v>
      </c>
      <c r="K20" s="607">
        <f t="shared" si="17"/>
        <v>0</v>
      </c>
      <c r="L20" s="607">
        <f t="shared" si="7"/>
        <v>299</v>
      </c>
      <c r="M20" s="607">
        <f>IF(B20="","",IF(A20=0,0,AportPat!L17))</f>
        <v>0</v>
      </c>
      <c r="N20" s="601">
        <f>Simulador!N80</f>
        <v>0</v>
      </c>
      <c r="O20" s="602">
        <f>IF(N20&gt;0,(N20-(N20/(1+Sheet1!$AD$13))),0)</f>
        <v>0</v>
      </c>
      <c r="P20" s="607">
        <f t="shared" si="18"/>
        <v>9799</v>
      </c>
      <c r="Q20" s="607">
        <f t="shared" si="0"/>
        <v>997097.26588852284</v>
      </c>
      <c r="S20" s="120">
        <v>0.11</v>
      </c>
      <c r="T20" s="198">
        <f t="shared" si="1"/>
        <v>14</v>
      </c>
      <c r="U20" s="347">
        <f t="shared" si="19"/>
        <v>997333.1490814992</v>
      </c>
      <c r="V20" s="347">
        <f t="shared" si="8"/>
        <v>235.88319297629641</v>
      </c>
      <c r="W20" s="347">
        <f t="shared" si="9"/>
        <v>9264.1168070237036</v>
      </c>
      <c r="X20" s="607">
        <f>IF(T20="","",IF(U20=0,0,($C$2/1000)*'Tabla de Incrementos'!$J$2))</f>
        <v>9500</v>
      </c>
      <c r="Y20" s="607">
        <f t="shared" si="2"/>
        <v>0</v>
      </c>
      <c r="Z20" s="607">
        <f t="shared" si="10"/>
        <v>0</v>
      </c>
      <c r="AA20" s="557">
        <f t="shared" si="11"/>
        <v>299</v>
      </c>
      <c r="AB20" s="557">
        <f t="shared" si="12"/>
        <v>9799</v>
      </c>
    </row>
    <row r="21" spans="1:28" x14ac:dyDescent="0.35">
      <c r="A21" s="595">
        <f t="shared" si="3"/>
        <v>1</v>
      </c>
      <c r="B21" s="596">
        <f t="shared" si="13"/>
        <v>15</v>
      </c>
      <c r="C21" s="597">
        <f ca="1">IF(B21="","",'Fecha Pago'!K18)</f>
        <v>46602</v>
      </c>
      <c r="D21" s="598">
        <f t="shared" si="14"/>
        <v>30.4</v>
      </c>
      <c r="E21" s="599">
        <f t="shared" si="4"/>
        <v>0.11</v>
      </c>
      <c r="F21" s="600">
        <f t="shared" si="5"/>
        <v>997097.26588852284</v>
      </c>
      <c r="G21" s="600">
        <f t="shared" si="15"/>
        <v>238.07428574661026</v>
      </c>
      <c r="H21" s="600">
        <f t="shared" si="6"/>
        <v>9261.9257142533897</v>
      </c>
      <c r="I21" s="600">
        <f>IF(B21="","",IF(F21=0,0,($C$2/1000)*'Tabla de Incrementos'!$J$2))</f>
        <v>9500</v>
      </c>
      <c r="J21" s="600">
        <f t="shared" si="16"/>
        <v>0</v>
      </c>
      <c r="K21" s="600">
        <f t="shared" si="17"/>
        <v>0</v>
      </c>
      <c r="L21" s="600">
        <f t="shared" si="7"/>
        <v>299</v>
      </c>
      <c r="M21" s="600">
        <f>IF(B21="","",IF(A21=0,0,AportPat!L18))</f>
        <v>0</v>
      </c>
      <c r="N21" s="601">
        <f>Simulador!N81</f>
        <v>0</v>
      </c>
      <c r="O21" s="602">
        <f>IF(N21&gt;0,(N21-(N21/(1+Sheet1!$AD$13))),0)</f>
        <v>0</v>
      </c>
      <c r="P21" s="600">
        <f t="shared" si="18"/>
        <v>9799</v>
      </c>
      <c r="Q21" s="600">
        <f t="shared" si="0"/>
        <v>996859.19160277629</v>
      </c>
      <c r="S21" s="120">
        <v>0.11</v>
      </c>
      <c r="T21" s="198">
        <f t="shared" si="1"/>
        <v>15</v>
      </c>
      <c r="U21" s="347">
        <f t="shared" si="19"/>
        <v>997097.26588852284</v>
      </c>
      <c r="V21" s="347">
        <f t="shared" si="8"/>
        <v>238.07428574661026</v>
      </c>
      <c r="W21" s="347">
        <f t="shared" si="9"/>
        <v>9261.9257142533897</v>
      </c>
      <c r="X21" s="600">
        <f>IF(T21="","",IF(U21=0,0,($C$2/1000)*'Tabla de Incrementos'!$J$2))</f>
        <v>9500</v>
      </c>
      <c r="Y21" s="600">
        <f t="shared" si="2"/>
        <v>0</v>
      </c>
      <c r="Z21" s="600">
        <f t="shared" si="10"/>
        <v>0</v>
      </c>
      <c r="AA21" s="557">
        <f t="shared" si="11"/>
        <v>299</v>
      </c>
      <c r="AB21" s="557">
        <f t="shared" si="12"/>
        <v>9799</v>
      </c>
    </row>
    <row r="22" spans="1:28" x14ac:dyDescent="0.35">
      <c r="A22" s="595">
        <f t="shared" si="3"/>
        <v>1</v>
      </c>
      <c r="B22" s="596">
        <f t="shared" si="13"/>
        <v>16</v>
      </c>
      <c r="C22" s="597">
        <f ca="1">IF(B22="","",'Fecha Pago'!K19)</f>
        <v>46633</v>
      </c>
      <c r="D22" s="598">
        <f t="shared" si="14"/>
        <v>30.4</v>
      </c>
      <c r="E22" s="599">
        <f t="shared" si="4"/>
        <v>0.11</v>
      </c>
      <c r="F22" s="600">
        <f t="shared" si="5"/>
        <v>996859.19160277629</v>
      </c>
      <c r="G22" s="600">
        <f t="shared" si="15"/>
        <v>240.28573133421196</v>
      </c>
      <c r="H22" s="600">
        <f t="shared" si="6"/>
        <v>9259.714268665788</v>
      </c>
      <c r="I22" s="600">
        <f>IF(B22="","",IF(F22=0,0,($C$2/1000)*'Tabla de Incrementos'!$J$2))</f>
        <v>9500</v>
      </c>
      <c r="J22" s="600">
        <f t="shared" si="16"/>
        <v>0</v>
      </c>
      <c r="K22" s="600">
        <f t="shared" si="17"/>
        <v>0</v>
      </c>
      <c r="L22" s="600">
        <f t="shared" si="7"/>
        <v>299</v>
      </c>
      <c r="M22" s="600">
        <f>IF(B22="","",IF(A22=0,0,AportPat!L19))</f>
        <v>0</v>
      </c>
      <c r="N22" s="601">
        <f>Simulador!N82</f>
        <v>0</v>
      </c>
      <c r="O22" s="602">
        <f>IF(N22&gt;0,(N22-(N22/(1+Sheet1!$AD$13))),0)</f>
        <v>0</v>
      </c>
      <c r="P22" s="600">
        <f t="shared" si="18"/>
        <v>9799</v>
      </c>
      <c r="Q22" s="600">
        <f t="shared" si="0"/>
        <v>996618.90587144205</v>
      </c>
      <c r="S22" s="120">
        <v>0.11</v>
      </c>
      <c r="T22" s="198">
        <f t="shared" si="1"/>
        <v>16</v>
      </c>
      <c r="U22" s="347">
        <f t="shared" si="19"/>
        <v>996859.19160277629</v>
      </c>
      <c r="V22" s="347">
        <f t="shared" si="8"/>
        <v>240.28573133421196</v>
      </c>
      <c r="W22" s="347">
        <f t="shared" si="9"/>
        <v>9259.714268665788</v>
      </c>
      <c r="X22" s="600">
        <f>IF(T22="","",IF(U22=0,0,($C$2/1000)*'Tabla de Incrementos'!$J$2))</f>
        <v>9500</v>
      </c>
      <c r="Y22" s="600">
        <f t="shared" si="2"/>
        <v>0</v>
      </c>
      <c r="Z22" s="600">
        <f t="shared" si="10"/>
        <v>0</v>
      </c>
      <c r="AA22" s="557">
        <f t="shared" si="11"/>
        <v>299</v>
      </c>
      <c r="AB22" s="557">
        <f t="shared" si="12"/>
        <v>9799</v>
      </c>
    </row>
    <row r="23" spans="1:28" x14ac:dyDescent="0.35">
      <c r="A23" s="595">
        <f t="shared" si="3"/>
        <v>1</v>
      </c>
      <c r="B23" s="596">
        <f t="shared" si="13"/>
        <v>17</v>
      </c>
      <c r="C23" s="597">
        <f ca="1">IF(B23="","",'Fecha Pago'!K20)</f>
        <v>46663</v>
      </c>
      <c r="D23" s="598">
        <f t="shared" si="14"/>
        <v>30.4</v>
      </c>
      <c r="E23" s="599">
        <f t="shared" si="4"/>
        <v>0.11</v>
      </c>
      <c r="F23" s="600">
        <f t="shared" si="5"/>
        <v>996618.90587144205</v>
      </c>
      <c r="G23" s="600">
        <f t="shared" si="15"/>
        <v>242.51771879416083</v>
      </c>
      <c r="H23" s="600">
        <f t="shared" si="6"/>
        <v>9257.4822812058392</v>
      </c>
      <c r="I23" s="600">
        <f>IF(B23="","",IF(F23=0,0,($C$2/1000)*'Tabla de Incrementos'!$J$2))</f>
        <v>9500</v>
      </c>
      <c r="J23" s="600">
        <f t="shared" si="16"/>
        <v>0</v>
      </c>
      <c r="K23" s="600">
        <f t="shared" si="17"/>
        <v>0</v>
      </c>
      <c r="L23" s="600">
        <f t="shared" si="7"/>
        <v>299</v>
      </c>
      <c r="M23" s="600">
        <f>IF(B23="","",IF(A23=0,0,AportPat!L20))</f>
        <v>0</v>
      </c>
      <c r="N23" s="601">
        <f>Simulador!N83</f>
        <v>0</v>
      </c>
      <c r="O23" s="602">
        <f>IF(N23&gt;0,(N23-(N23/(1+Sheet1!$AD$13))),0)</f>
        <v>0</v>
      </c>
      <c r="P23" s="600">
        <f t="shared" si="18"/>
        <v>9799</v>
      </c>
      <c r="Q23" s="600">
        <f t="shared" si="0"/>
        <v>996376.38815264788</v>
      </c>
      <c r="S23" s="120">
        <v>0.11</v>
      </c>
      <c r="T23" s="198">
        <f t="shared" si="1"/>
        <v>17</v>
      </c>
      <c r="U23" s="347">
        <f t="shared" si="19"/>
        <v>996618.90587144205</v>
      </c>
      <c r="V23" s="347">
        <f t="shared" si="8"/>
        <v>242.51771879416083</v>
      </c>
      <c r="W23" s="347">
        <f t="shared" si="9"/>
        <v>9257.4822812058392</v>
      </c>
      <c r="X23" s="600">
        <f>IF(T23="","",IF(U23=0,0,($C$2/1000)*'Tabla de Incrementos'!$J$2))</f>
        <v>9500</v>
      </c>
      <c r="Y23" s="600">
        <f t="shared" si="2"/>
        <v>0</v>
      </c>
      <c r="Z23" s="600">
        <f t="shared" si="10"/>
        <v>0</v>
      </c>
      <c r="AA23" s="557">
        <f t="shared" si="11"/>
        <v>299</v>
      </c>
      <c r="AB23" s="557">
        <f t="shared" si="12"/>
        <v>9799</v>
      </c>
    </row>
    <row r="24" spans="1:28" x14ac:dyDescent="0.35">
      <c r="A24" s="595">
        <f t="shared" si="3"/>
        <v>1</v>
      </c>
      <c r="B24" s="596">
        <f t="shared" si="13"/>
        <v>18</v>
      </c>
      <c r="C24" s="597">
        <f ca="1">IF(B24="","",'Fecha Pago'!K21)</f>
        <v>46694</v>
      </c>
      <c r="D24" s="598">
        <f t="shared" si="14"/>
        <v>30.4</v>
      </c>
      <c r="E24" s="599">
        <f t="shared" si="4"/>
        <v>0.11</v>
      </c>
      <c r="F24" s="600">
        <f t="shared" si="5"/>
        <v>996376.38815264788</v>
      </c>
      <c r="G24" s="600">
        <f t="shared" si="15"/>
        <v>244.77043893762675</v>
      </c>
      <c r="H24" s="600">
        <f t="shared" si="6"/>
        <v>9255.2295610623733</v>
      </c>
      <c r="I24" s="600">
        <f>IF(B24="","",IF(F24=0,0,($C$2/1000)*'Tabla de Incrementos'!$J$2))</f>
        <v>9500</v>
      </c>
      <c r="J24" s="600">
        <f t="shared" si="16"/>
        <v>0</v>
      </c>
      <c r="K24" s="600">
        <f t="shared" si="17"/>
        <v>0</v>
      </c>
      <c r="L24" s="600">
        <f t="shared" si="7"/>
        <v>299</v>
      </c>
      <c r="M24" s="600">
        <f>IF(B24="","",IF(A24=0,0,AportPat!L21))</f>
        <v>0</v>
      </c>
      <c r="N24" s="601">
        <f>Simulador!N84</f>
        <v>0</v>
      </c>
      <c r="O24" s="602">
        <f>IF(N24&gt;0,(N24-(N24/(1+Sheet1!$AD$13))),0)</f>
        <v>0</v>
      </c>
      <c r="P24" s="600">
        <f t="shared" si="18"/>
        <v>9799</v>
      </c>
      <c r="Q24" s="600">
        <f t="shared" si="0"/>
        <v>996131.61771371029</v>
      </c>
      <c r="S24" s="120">
        <v>0.11</v>
      </c>
      <c r="T24" s="198">
        <f t="shared" si="1"/>
        <v>18</v>
      </c>
      <c r="U24" s="347">
        <f t="shared" si="19"/>
        <v>996376.38815264788</v>
      </c>
      <c r="V24" s="347">
        <f t="shared" si="8"/>
        <v>244.77043893762675</v>
      </c>
      <c r="W24" s="347">
        <f t="shared" si="9"/>
        <v>9255.2295610623733</v>
      </c>
      <c r="X24" s="600">
        <f>IF(T24="","",IF(U24=0,0,($C$2/1000)*'Tabla de Incrementos'!$J$2))</f>
        <v>9500</v>
      </c>
      <c r="Y24" s="600">
        <f t="shared" si="2"/>
        <v>0</v>
      </c>
      <c r="Z24" s="600">
        <f t="shared" si="10"/>
        <v>0</v>
      </c>
      <c r="AA24" s="557">
        <f t="shared" si="11"/>
        <v>299</v>
      </c>
      <c r="AB24" s="557">
        <f t="shared" si="12"/>
        <v>9799</v>
      </c>
    </row>
    <row r="25" spans="1:28" x14ac:dyDescent="0.35">
      <c r="A25" s="595">
        <f t="shared" si="3"/>
        <v>1</v>
      </c>
      <c r="B25" s="596">
        <f t="shared" si="13"/>
        <v>19</v>
      </c>
      <c r="C25" s="597">
        <f ca="1">IF(B25="","",'Fecha Pago'!K22)</f>
        <v>46724</v>
      </c>
      <c r="D25" s="598">
        <f t="shared" si="14"/>
        <v>30.4</v>
      </c>
      <c r="E25" s="599">
        <f t="shared" si="4"/>
        <v>0.11</v>
      </c>
      <c r="F25" s="600">
        <f t="shared" si="5"/>
        <v>996131.61771371029</v>
      </c>
      <c r="G25" s="600">
        <f t="shared" si="15"/>
        <v>247.04408434820289</v>
      </c>
      <c r="H25" s="600">
        <f t="shared" si="6"/>
        <v>9252.9559156517971</v>
      </c>
      <c r="I25" s="600">
        <f>IF(B25="","",IF(F25=0,0,($C$2/1000)*'Tabla de Incrementos'!$J$2))</f>
        <v>9500</v>
      </c>
      <c r="J25" s="600">
        <f t="shared" si="16"/>
        <v>0</v>
      </c>
      <c r="K25" s="600">
        <f t="shared" si="17"/>
        <v>0</v>
      </c>
      <c r="L25" s="600">
        <f t="shared" si="7"/>
        <v>299</v>
      </c>
      <c r="M25" s="600">
        <f>IF(B25="","",IF(A25=0,0,AportPat!L22))</f>
        <v>0</v>
      </c>
      <c r="N25" s="601">
        <f>Simulador!N85</f>
        <v>0</v>
      </c>
      <c r="O25" s="602">
        <f>IF(N25&gt;0,(N25-(N25/(1+Sheet1!$AD$13))),0)</f>
        <v>0</v>
      </c>
      <c r="P25" s="600">
        <f t="shared" si="18"/>
        <v>9799</v>
      </c>
      <c r="Q25" s="600">
        <f t="shared" si="0"/>
        <v>995884.57362936204</v>
      </c>
      <c r="S25" s="120">
        <v>0.11</v>
      </c>
      <c r="T25" s="198">
        <f t="shared" si="1"/>
        <v>19</v>
      </c>
      <c r="U25" s="347">
        <f t="shared" si="19"/>
        <v>996131.61771371029</v>
      </c>
      <c r="V25" s="347">
        <f t="shared" si="8"/>
        <v>247.04408434820289</v>
      </c>
      <c r="W25" s="347">
        <f t="shared" si="9"/>
        <v>9252.9559156517971</v>
      </c>
      <c r="X25" s="600">
        <f>IF(T25="","",IF(U25=0,0,($C$2/1000)*'Tabla de Incrementos'!$J$2))</f>
        <v>9500</v>
      </c>
      <c r="Y25" s="600">
        <f t="shared" si="2"/>
        <v>0</v>
      </c>
      <c r="Z25" s="600">
        <f t="shared" si="10"/>
        <v>0</v>
      </c>
      <c r="AA25" s="557">
        <f t="shared" si="11"/>
        <v>299</v>
      </c>
      <c r="AB25" s="557">
        <f t="shared" si="12"/>
        <v>9799</v>
      </c>
    </row>
    <row r="26" spans="1:28" x14ac:dyDescent="0.35">
      <c r="A26" s="595">
        <f t="shared" si="3"/>
        <v>1</v>
      </c>
      <c r="B26" s="596">
        <f t="shared" si="13"/>
        <v>20</v>
      </c>
      <c r="C26" s="597">
        <f ca="1">IF(B26="","",'Fecha Pago'!K23)</f>
        <v>46755</v>
      </c>
      <c r="D26" s="598">
        <f t="shared" si="14"/>
        <v>30.4</v>
      </c>
      <c r="E26" s="599">
        <f t="shared" si="4"/>
        <v>0.11</v>
      </c>
      <c r="F26" s="600">
        <f t="shared" si="5"/>
        <v>995884.57362936204</v>
      </c>
      <c r="G26" s="600">
        <f t="shared" si="15"/>
        <v>249.33884939837117</v>
      </c>
      <c r="H26" s="600">
        <f t="shared" si="6"/>
        <v>9250.6611506016288</v>
      </c>
      <c r="I26" s="600">
        <f>IF(B26="","",IF(F26=0,0,($C$2/1000)*'Tabla de Incrementos'!$J$2))</f>
        <v>9500</v>
      </c>
      <c r="J26" s="600">
        <f t="shared" si="16"/>
        <v>0</v>
      </c>
      <c r="K26" s="600">
        <f t="shared" si="17"/>
        <v>0</v>
      </c>
      <c r="L26" s="600">
        <f t="shared" si="7"/>
        <v>299</v>
      </c>
      <c r="M26" s="600">
        <f>IF(B26="","",IF(A26=0,0,AportPat!L23))</f>
        <v>0</v>
      </c>
      <c r="N26" s="601">
        <f>Simulador!N86</f>
        <v>0</v>
      </c>
      <c r="O26" s="602">
        <f>IF(N26&gt;0,(N26-(N26/(1+Sheet1!$AD$13))),0)</f>
        <v>0</v>
      </c>
      <c r="P26" s="600">
        <f t="shared" si="18"/>
        <v>9799</v>
      </c>
      <c r="Q26" s="600">
        <f t="shared" si="0"/>
        <v>995635.23477996362</v>
      </c>
      <c r="S26" s="120">
        <v>0.11</v>
      </c>
      <c r="T26" s="198">
        <f t="shared" si="1"/>
        <v>20</v>
      </c>
      <c r="U26" s="347">
        <f t="shared" si="19"/>
        <v>995884.57362936204</v>
      </c>
      <c r="V26" s="347">
        <f t="shared" si="8"/>
        <v>249.33884939837117</v>
      </c>
      <c r="W26" s="347">
        <f t="shared" si="9"/>
        <v>9250.6611506016288</v>
      </c>
      <c r="X26" s="600">
        <f>IF(T26="","",IF(U26=0,0,($C$2/1000)*'Tabla de Incrementos'!$J$2))</f>
        <v>9500</v>
      </c>
      <c r="Y26" s="600">
        <f t="shared" si="2"/>
        <v>0</v>
      </c>
      <c r="Z26" s="600">
        <f t="shared" si="10"/>
        <v>0</v>
      </c>
      <c r="AA26" s="557">
        <f t="shared" si="11"/>
        <v>299</v>
      </c>
      <c r="AB26" s="557">
        <f t="shared" si="12"/>
        <v>9799</v>
      </c>
    </row>
    <row r="27" spans="1:28" x14ac:dyDescent="0.35">
      <c r="A27" s="595">
        <f t="shared" si="3"/>
        <v>1</v>
      </c>
      <c r="B27" s="596">
        <f t="shared" si="13"/>
        <v>21</v>
      </c>
      <c r="C27" s="597">
        <f ca="1">IF(B27="","",'Fecha Pago'!K24)</f>
        <v>46786</v>
      </c>
      <c r="D27" s="598">
        <f t="shared" si="14"/>
        <v>30.4</v>
      </c>
      <c r="E27" s="599">
        <f t="shared" si="4"/>
        <v>0.11</v>
      </c>
      <c r="F27" s="600">
        <f t="shared" si="5"/>
        <v>995635.23477996362</v>
      </c>
      <c r="G27" s="600">
        <f t="shared" si="15"/>
        <v>251.65493026611693</v>
      </c>
      <c r="H27" s="600">
        <f t="shared" si="6"/>
        <v>9248.3450697338831</v>
      </c>
      <c r="I27" s="600">
        <f>IF(B27="","",IF(F27=0,0,($C$2/1000)*'Tabla de Incrementos'!$J$2))</f>
        <v>9500</v>
      </c>
      <c r="J27" s="600">
        <f t="shared" si="16"/>
        <v>0</v>
      </c>
      <c r="K27" s="600">
        <f t="shared" si="17"/>
        <v>0</v>
      </c>
      <c r="L27" s="600">
        <f t="shared" si="7"/>
        <v>299</v>
      </c>
      <c r="M27" s="600">
        <f>IF(B27="","",IF(A27=0,0,AportPat!L24))</f>
        <v>0</v>
      </c>
      <c r="N27" s="601">
        <f>Simulador!N87</f>
        <v>0</v>
      </c>
      <c r="O27" s="602">
        <f>IF(N27&gt;0,(N27-(N27/(1+Sheet1!$AD$13))),0)</f>
        <v>0</v>
      </c>
      <c r="P27" s="600">
        <f t="shared" si="18"/>
        <v>9799</v>
      </c>
      <c r="Q27" s="600">
        <f t="shared" si="0"/>
        <v>995383.57984969753</v>
      </c>
      <c r="S27" s="120">
        <v>0.11</v>
      </c>
      <c r="T27" s="198">
        <f t="shared" si="1"/>
        <v>21</v>
      </c>
      <c r="U27" s="347">
        <f t="shared" si="19"/>
        <v>995635.23477996362</v>
      </c>
      <c r="V27" s="347">
        <f t="shared" si="8"/>
        <v>251.65493026611693</v>
      </c>
      <c r="W27" s="347">
        <f t="shared" si="9"/>
        <v>9248.3450697338831</v>
      </c>
      <c r="X27" s="600">
        <f>IF(T27="","",IF(U27=0,0,($C$2/1000)*'Tabla de Incrementos'!$J$2))</f>
        <v>9500</v>
      </c>
      <c r="Y27" s="600">
        <f t="shared" si="2"/>
        <v>0</v>
      </c>
      <c r="Z27" s="600">
        <f t="shared" si="10"/>
        <v>0</v>
      </c>
      <c r="AA27" s="557">
        <f t="shared" si="11"/>
        <v>299</v>
      </c>
      <c r="AB27" s="557">
        <f t="shared" si="12"/>
        <v>9799</v>
      </c>
    </row>
    <row r="28" spans="1:28" x14ac:dyDescent="0.35">
      <c r="A28" s="595">
        <f t="shared" si="3"/>
        <v>1</v>
      </c>
      <c r="B28" s="596">
        <f t="shared" si="13"/>
        <v>22</v>
      </c>
      <c r="C28" s="597">
        <f ca="1">IF(B28="","",'Fecha Pago'!K25)</f>
        <v>46815</v>
      </c>
      <c r="D28" s="598">
        <f t="shared" si="14"/>
        <v>30.4</v>
      </c>
      <c r="E28" s="599">
        <f t="shared" si="4"/>
        <v>0.11</v>
      </c>
      <c r="F28" s="600">
        <f t="shared" si="5"/>
        <v>995383.57984969753</v>
      </c>
      <c r="G28" s="600">
        <f t="shared" si="15"/>
        <v>253.99252495170003</v>
      </c>
      <c r="H28" s="600">
        <f t="shared" si="6"/>
        <v>9246.0074750483</v>
      </c>
      <c r="I28" s="600">
        <f>IF(B28="","",IF(F28=0,0,($C$2/1000)*'Tabla de Incrementos'!$J$2))</f>
        <v>9500</v>
      </c>
      <c r="J28" s="600">
        <f t="shared" si="16"/>
        <v>0</v>
      </c>
      <c r="K28" s="600">
        <f t="shared" si="17"/>
        <v>0</v>
      </c>
      <c r="L28" s="600">
        <f t="shared" si="7"/>
        <v>299</v>
      </c>
      <c r="M28" s="600">
        <f>IF(B28="","",IF(A28=0,0,AportPat!L25))</f>
        <v>0</v>
      </c>
      <c r="N28" s="601">
        <f>Simulador!N88</f>
        <v>0</v>
      </c>
      <c r="O28" s="602">
        <f>IF(N28&gt;0,(N28-(N28/(1+Sheet1!$AD$13))),0)</f>
        <v>0</v>
      </c>
      <c r="P28" s="600">
        <f t="shared" si="18"/>
        <v>9799</v>
      </c>
      <c r="Q28" s="600">
        <f t="shared" si="0"/>
        <v>995129.58732474584</v>
      </c>
      <c r="S28" s="120">
        <v>0.11</v>
      </c>
      <c r="T28" s="198">
        <f t="shared" si="1"/>
        <v>22</v>
      </c>
      <c r="U28" s="347">
        <f t="shared" si="19"/>
        <v>995383.57984969753</v>
      </c>
      <c r="V28" s="347">
        <f t="shared" si="8"/>
        <v>253.99252495170003</v>
      </c>
      <c r="W28" s="347">
        <f t="shared" si="9"/>
        <v>9246.0074750483</v>
      </c>
      <c r="X28" s="600">
        <f>IF(T28="","",IF(U28=0,0,($C$2/1000)*'Tabla de Incrementos'!$J$2))</f>
        <v>9500</v>
      </c>
      <c r="Y28" s="600">
        <f t="shared" si="2"/>
        <v>0</v>
      </c>
      <c r="Z28" s="600">
        <f t="shared" si="10"/>
        <v>0</v>
      </c>
      <c r="AA28" s="557">
        <f t="shared" si="11"/>
        <v>299</v>
      </c>
      <c r="AB28" s="557">
        <f t="shared" si="12"/>
        <v>9799</v>
      </c>
    </row>
    <row r="29" spans="1:28" x14ac:dyDescent="0.35">
      <c r="A29" s="595">
        <f t="shared" si="3"/>
        <v>1</v>
      </c>
      <c r="B29" s="596">
        <f t="shared" si="13"/>
        <v>23</v>
      </c>
      <c r="C29" s="597">
        <f ca="1">IF(B29="","",'Fecha Pago'!K26)</f>
        <v>46846</v>
      </c>
      <c r="D29" s="598">
        <f t="shared" si="14"/>
        <v>30.4</v>
      </c>
      <c r="E29" s="599">
        <f t="shared" si="4"/>
        <v>0.11</v>
      </c>
      <c r="F29" s="600">
        <f t="shared" si="5"/>
        <v>995129.58732474584</v>
      </c>
      <c r="G29" s="600">
        <f t="shared" si="15"/>
        <v>256.35183329458414</v>
      </c>
      <c r="H29" s="600">
        <f t="shared" si="6"/>
        <v>9243.6481667054159</v>
      </c>
      <c r="I29" s="600">
        <f>IF(B29="","",IF(F29=0,0,($C$2/1000)*'Tabla de Incrementos'!$J$2))</f>
        <v>9500</v>
      </c>
      <c r="J29" s="600">
        <f t="shared" si="16"/>
        <v>0</v>
      </c>
      <c r="K29" s="600">
        <f t="shared" si="17"/>
        <v>0</v>
      </c>
      <c r="L29" s="600">
        <f t="shared" si="7"/>
        <v>299</v>
      </c>
      <c r="M29" s="600">
        <f>IF(B29="","",IF(A29=0,0,AportPat!L26))</f>
        <v>0</v>
      </c>
      <c r="N29" s="601">
        <f>Simulador!N89</f>
        <v>0</v>
      </c>
      <c r="O29" s="602">
        <f>IF(N29&gt;0,(N29-(N29/(1+Sheet1!$AD$13))),0)</f>
        <v>0</v>
      </c>
      <c r="P29" s="600">
        <f t="shared" si="18"/>
        <v>9799</v>
      </c>
      <c r="Q29" s="600">
        <f t="shared" si="0"/>
        <v>994873.23549145123</v>
      </c>
      <c r="S29" s="120">
        <v>0.11</v>
      </c>
      <c r="T29" s="198">
        <f t="shared" si="1"/>
        <v>23</v>
      </c>
      <c r="U29" s="347">
        <f t="shared" si="19"/>
        <v>995129.58732474584</v>
      </c>
      <c r="V29" s="347">
        <f t="shared" si="8"/>
        <v>256.35183329458414</v>
      </c>
      <c r="W29" s="347">
        <f t="shared" si="9"/>
        <v>9243.6481667054159</v>
      </c>
      <c r="X29" s="600">
        <f>IF(T29="","",IF(U29=0,0,($C$2/1000)*'Tabla de Incrementos'!$J$2))</f>
        <v>9500</v>
      </c>
      <c r="Y29" s="600">
        <f t="shared" si="2"/>
        <v>0</v>
      </c>
      <c r="Z29" s="600">
        <f t="shared" si="10"/>
        <v>0</v>
      </c>
      <c r="AA29" s="557">
        <f t="shared" si="11"/>
        <v>299</v>
      </c>
      <c r="AB29" s="557">
        <f t="shared" si="12"/>
        <v>9799</v>
      </c>
    </row>
    <row r="30" spans="1:28" x14ac:dyDescent="0.35">
      <c r="A30" s="595">
        <f t="shared" si="3"/>
        <v>1</v>
      </c>
      <c r="B30" s="596">
        <f t="shared" si="13"/>
        <v>24</v>
      </c>
      <c r="C30" s="597">
        <f ca="1">IF(B30="","",'Fecha Pago'!K27)</f>
        <v>46876</v>
      </c>
      <c r="D30" s="598">
        <f t="shared" si="14"/>
        <v>30.4</v>
      </c>
      <c r="E30" s="599">
        <f t="shared" si="4"/>
        <v>0.11</v>
      </c>
      <c r="F30" s="600">
        <f t="shared" si="5"/>
        <v>994873.23549145123</v>
      </c>
      <c r="G30" s="600">
        <f t="shared" si="15"/>
        <v>258.73305699052071</v>
      </c>
      <c r="H30" s="600">
        <f t="shared" si="6"/>
        <v>9241.2669430094793</v>
      </c>
      <c r="I30" s="600">
        <f>IF(B30="","",IF(F30=0,0,($C$2/1000)*'Tabla de Incrementos'!$J$2))</f>
        <v>9500</v>
      </c>
      <c r="J30" s="600">
        <f t="shared" si="16"/>
        <v>0</v>
      </c>
      <c r="K30" s="600">
        <f t="shared" si="17"/>
        <v>0</v>
      </c>
      <c r="L30" s="600">
        <f t="shared" si="7"/>
        <v>299</v>
      </c>
      <c r="M30" s="600">
        <f>IF(B30="","",IF(A30=0,0,AportPat!L27))</f>
        <v>0</v>
      </c>
      <c r="N30" s="601">
        <f>Simulador!N90</f>
        <v>0</v>
      </c>
      <c r="O30" s="602">
        <f>IF(N30&gt;0,(N30-(N30/(1+Sheet1!$AD$13))),0)</f>
        <v>0</v>
      </c>
      <c r="P30" s="600">
        <f t="shared" si="18"/>
        <v>9799</v>
      </c>
      <c r="Q30" s="600">
        <f t="shared" si="0"/>
        <v>994614.50243446068</v>
      </c>
      <c r="S30" s="120">
        <v>0.11</v>
      </c>
      <c r="T30" s="198">
        <f t="shared" si="1"/>
        <v>24</v>
      </c>
      <c r="U30" s="347">
        <f t="shared" si="19"/>
        <v>994873.23549145123</v>
      </c>
      <c r="V30" s="347">
        <f t="shared" si="8"/>
        <v>258.73305699052071</v>
      </c>
      <c r="W30" s="347">
        <f t="shared" si="9"/>
        <v>9241.2669430094793</v>
      </c>
      <c r="X30" s="600">
        <f>IF(T30="","",IF(U30=0,0,($C$2/1000)*'Tabla de Incrementos'!$J$2))</f>
        <v>9500</v>
      </c>
      <c r="Y30" s="600">
        <f t="shared" si="2"/>
        <v>0</v>
      </c>
      <c r="Z30" s="600">
        <f t="shared" si="10"/>
        <v>0</v>
      </c>
      <c r="AA30" s="557">
        <f t="shared" si="11"/>
        <v>299</v>
      </c>
      <c r="AB30" s="557">
        <f t="shared" si="12"/>
        <v>9799</v>
      </c>
    </row>
    <row r="31" spans="1:28" x14ac:dyDescent="0.35">
      <c r="A31" s="595">
        <f t="shared" si="3"/>
        <v>1</v>
      </c>
      <c r="B31" s="596">
        <f t="shared" si="13"/>
        <v>25</v>
      </c>
      <c r="C31" s="597">
        <f ca="1">IF(B31="","",'Fecha Pago'!K28)</f>
        <v>46907</v>
      </c>
      <c r="D31" s="598">
        <f t="shared" si="14"/>
        <v>30.4</v>
      </c>
      <c r="E31" s="599">
        <f t="shared" si="4"/>
        <v>0.11</v>
      </c>
      <c r="F31" s="600">
        <f t="shared" si="5"/>
        <v>994614.50243446068</v>
      </c>
      <c r="G31" s="600">
        <f t="shared" si="15"/>
        <v>261.13639960878754</v>
      </c>
      <c r="H31" s="600">
        <f t="shared" si="6"/>
        <v>9238.8636003912125</v>
      </c>
      <c r="I31" s="600">
        <f>IF(B31="","",IF(F31=0,0,($C$2/1000)*'Tabla de Incrementos'!$J$2))</f>
        <v>9500</v>
      </c>
      <c r="J31" s="600">
        <f t="shared" si="16"/>
        <v>0</v>
      </c>
      <c r="K31" s="600">
        <f t="shared" si="17"/>
        <v>0</v>
      </c>
      <c r="L31" s="600">
        <f t="shared" si="7"/>
        <v>299</v>
      </c>
      <c r="M31" s="600">
        <f>IF(B31="","",IF(A31=0,0,AportPat!L28))</f>
        <v>0</v>
      </c>
      <c r="N31" s="601">
        <f>Simulador!N91</f>
        <v>0</v>
      </c>
      <c r="O31" s="602">
        <f>IF(N31&gt;0,(N31-(N31/(1+Sheet1!$AD$13))),0)</f>
        <v>0</v>
      </c>
      <c r="P31" s="600">
        <f t="shared" si="18"/>
        <v>9799</v>
      </c>
      <c r="Q31" s="600">
        <f t="shared" si="0"/>
        <v>994353.36603485188</v>
      </c>
      <c r="S31" s="120">
        <v>0.11</v>
      </c>
      <c r="T31" s="198">
        <f t="shared" si="1"/>
        <v>25</v>
      </c>
      <c r="U31" s="347">
        <f t="shared" si="19"/>
        <v>994614.50243446068</v>
      </c>
      <c r="V31" s="347">
        <f t="shared" si="8"/>
        <v>261.13639960878754</v>
      </c>
      <c r="W31" s="347">
        <f t="shared" si="9"/>
        <v>9238.8636003912125</v>
      </c>
      <c r="X31" s="600">
        <f>IF(T31="","",IF(U31=0,0,($C$2/1000)*'Tabla de Incrementos'!$J$2))</f>
        <v>9500</v>
      </c>
      <c r="Y31" s="600">
        <f t="shared" si="2"/>
        <v>0</v>
      </c>
      <c r="Z31" s="600">
        <f t="shared" si="10"/>
        <v>0</v>
      </c>
      <c r="AA31" s="557">
        <f t="shared" si="11"/>
        <v>299</v>
      </c>
      <c r="AB31" s="557">
        <f t="shared" si="12"/>
        <v>9799</v>
      </c>
    </row>
    <row r="32" spans="1:28" x14ac:dyDescent="0.35">
      <c r="A32" s="595">
        <f t="shared" si="3"/>
        <v>1</v>
      </c>
      <c r="B32" s="604">
        <f t="shared" si="13"/>
        <v>26</v>
      </c>
      <c r="C32" s="597">
        <f ca="1">IF(B32="","",'Fecha Pago'!K29)</f>
        <v>46937</v>
      </c>
      <c r="D32" s="605">
        <f t="shared" si="14"/>
        <v>30.4</v>
      </c>
      <c r="E32" s="606">
        <f t="shared" si="4"/>
        <v>0.11</v>
      </c>
      <c r="F32" s="607">
        <f t="shared" si="5"/>
        <v>994353.36603485188</v>
      </c>
      <c r="G32" s="607">
        <f t="shared" si="15"/>
        <v>263.56206660959833</v>
      </c>
      <c r="H32" s="607">
        <f t="shared" si="6"/>
        <v>9236.4379333904017</v>
      </c>
      <c r="I32" s="607">
        <f>IF(B32="","",IF(F32=0,0,($C$2/1000)*'Tabla de Incrementos'!$J$3))</f>
        <v>9500</v>
      </c>
      <c r="J32" s="607">
        <f t="shared" si="16"/>
        <v>0</v>
      </c>
      <c r="K32" s="607">
        <f t="shared" si="17"/>
        <v>0</v>
      </c>
      <c r="L32" s="607">
        <f t="shared" si="7"/>
        <v>299</v>
      </c>
      <c r="M32" s="607">
        <f>IF(B32="","",IF(A32=0,0,AportPat!L29))</f>
        <v>0</v>
      </c>
      <c r="N32" s="601">
        <f>Simulador!N92</f>
        <v>0</v>
      </c>
      <c r="O32" s="602">
        <f>IF(N32&gt;0,(N32-(N32/(1+Sheet1!$AD$13))),0)</f>
        <v>0</v>
      </c>
      <c r="P32" s="607">
        <f t="shared" si="18"/>
        <v>9799</v>
      </c>
      <c r="Q32" s="607">
        <f t="shared" si="0"/>
        <v>994089.80396824225</v>
      </c>
      <c r="S32" s="120">
        <v>0.11</v>
      </c>
      <c r="T32" s="198">
        <f t="shared" si="1"/>
        <v>26</v>
      </c>
      <c r="U32" s="347">
        <f t="shared" si="19"/>
        <v>994353.36603485188</v>
      </c>
      <c r="V32" s="347">
        <f t="shared" si="8"/>
        <v>263.56206660959833</v>
      </c>
      <c r="W32" s="347">
        <f t="shared" si="9"/>
        <v>9236.4379333904017</v>
      </c>
      <c r="X32" s="607">
        <f>IF(T32="","",IF(U32=0,0,($C$2/1000)*'Tabla de Incrementos'!$J$3))</f>
        <v>9500</v>
      </c>
      <c r="Y32" s="607">
        <f t="shared" si="2"/>
        <v>0</v>
      </c>
      <c r="Z32" s="607">
        <f t="shared" si="10"/>
        <v>0</v>
      </c>
      <c r="AA32" s="557">
        <f t="shared" si="11"/>
        <v>299</v>
      </c>
      <c r="AB32" s="557">
        <f t="shared" si="12"/>
        <v>9799</v>
      </c>
    </row>
    <row r="33" spans="1:28" x14ac:dyDescent="0.35">
      <c r="A33" s="595">
        <f t="shared" si="3"/>
        <v>1</v>
      </c>
      <c r="B33" s="596">
        <f t="shared" si="13"/>
        <v>27</v>
      </c>
      <c r="C33" s="597">
        <f ca="1">IF(B33="","",'Fecha Pago'!K30)</f>
        <v>46968</v>
      </c>
      <c r="D33" s="598">
        <f t="shared" si="14"/>
        <v>30.4</v>
      </c>
      <c r="E33" s="599">
        <f t="shared" si="4"/>
        <v>0.11</v>
      </c>
      <c r="F33" s="600">
        <f t="shared" si="5"/>
        <v>994089.80396824225</v>
      </c>
      <c r="G33" s="600">
        <f t="shared" si="15"/>
        <v>266.01026536166137</v>
      </c>
      <c r="H33" s="600">
        <f t="shared" si="6"/>
        <v>9233.9897346383386</v>
      </c>
      <c r="I33" s="600">
        <f>IF(B33="","",IF(F33=0,0,($C$2/1000)*'Tabla de Incrementos'!$J$3))</f>
        <v>9500</v>
      </c>
      <c r="J33" s="600">
        <f t="shared" si="16"/>
        <v>0</v>
      </c>
      <c r="K33" s="600">
        <f t="shared" si="17"/>
        <v>0</v>
      </c>
      <c r="L33" s="600">
        <f t="shared" si="7"/>
        <v>299</v>
      </c>
      <c r="M33" s="600">
        <f>IF(B33="","",IF(A33=0,0,AportPat!L30))</f>
        <v>0</v>
      </c>
      <c r="N33" s="601">
        <f>Simulador!N93</f>
        <v>0</v>
      </c>
      <c r="O33" s="602">
        <f>IF(N33&gt;0,(N33-(N33/(1+Sheet1!$AD$13))),0)</f>
        <v>0</v>
      </c>
      <c r="P33" s="600">
        <f t="shared" si="18"/>
        <v>9799</v>
      </c>
      <c r="Q33" s="600">
        <f t="shared" si="0"/>
        <v>993823.79370288062</v>
      </c>
      <c r="S33" s="120">
        <v>0.11</v>
      </c>
      <c r="T33" s="198">
        <f t="shared" si="1"/>
        <v>27</v>
      </c>
      <c r="U33" s="347">
        <f t="shared" si="19"/>
        <v>994089.80396824225</v>
      </c>
      <c r="V33" s="347">
        <f t="shared" si="8"/>
        <v>266.01026536166137</v>
      </c>
      <c r="W33" s="347">
        <f t="shared" si="9"/>
        <v>9233.9897346383386</v>
      </c>
      <c r="X33" s="600">
        <f>IF(T33="","",IF(U33=0,0,($C$2/1000)*'Tabla de Incrementos'!$J$3))</f>
        <v>9500</v>
      </c>
      <c r="Y33" s="600">
        <f t="shared" si="2"/>
        <v>0</v>
      </c>
      <c r="Z33" s="600">
        <f t="shared" si="10"/>
        <v>0</v>
      </c>
      <c r="AA33" s="557">
        <f t="shared" si="11"/>
        <v>299</v>
      </c>
      <c r="AB33" s="557">
        <f t="shared" si="12"/>
        <v>9799</v>
      </c>
    </row>
    <row r="34" spans="1:28" x14ac:dyDescent="0.35">
      <c r="A34" s="595">
        <f t="shared" si="3"/>
        <v>1</v>
      </c>
      <c r="B34" s="596">
        <f t="shared" si="13"/>
        <v>28</v>
      </c>
      <c r="C34" s="597">
        <f ca="1">IF(B34="","",'Fecha Pago'!K31)</f>
        <v>46999</v>
      </c>
      <c r="D34" s="598">
        <f t="shared" si="14"/>
        <v>30.4</v>
      </c>
      <c r="E34" s="599">
        <f t="shared" si="4"/>
        <v>0.11</v>
      </c>
      <c r="F34" s="600">
        <f t="shared" si="5"/>
        <v>993823.79370288062</v>
      </c>
      <c r="G34" s="600">
        <f t="shared" si="15"/>
        <v>268.48120515990922</v>
      </c>
      <c r="H34" s="600">
        <f t="shared" si="6"/>
        <v>9231.5187948400908</v>
      </c>
      <c r="I34" s="600">
        <f>IF(B34="","",IF(F34=0,0,($C$2/1000)*'Tabla de Incrementos'!$J$3))</f>
        <v>9500</v>
      </c>
      <c r="J34" s="600">
        <f t="shared" si="16"/>
        <v>0</v>
      </c>
      <c r="K34" s="600">
        <f t="shared" si="17"/>
        <v>0</v>
      </c>
      <c r="L34" s="600">
        <f t="shared" si="7"/>
        <v>299</v>
      </c>
      <c r="M34" s="600">
        <f>IF(B34="","",IF(A34=0,0,AportPat!L31))</f>
        <v>0</v>
      </c>
      <c r="N34" s="601">
        <f>Simulador!N94</f>
        <v>0</v>
      </c>
      <c r="O34" s="602">
        <f>IF(N34&gt;0,(N34-(N34/(1+Sheet1!$AD$13))),0)</f>
        <v>0</v>
      </c>
      <c r="P34" s="600">
        <f t="shared" si="18"/>
        <v>9799</v>
      </c>
      <c r="Q34" s="600">
        <f t="shared" si="0"/>
        <v>993555.3124977207</v>
      </c>
      <c r="S34" s="120">
        <v>0.11</v>
      </c>
      <c r="T34" s="198">
        <f t="shared" si="1"/>
        <v>28</v>
      </c>
      <c r="U34" s="347">
        <f t="shared" si="19"/>
        <v>993823.79370288062</v>
      </c>
      <c r="V34" s="347">
        <f t="shared" si="8"/>
        <v>268.48120515990922</v>
      </c>
      <c r="W34" s="347">
        <f t="shared" si="9"/>
        <v>9231.5187948400908</v>
      </c>
      <c r="X34" s="600">
        <f>IF(T34="","",IF(U34=0,0,($C$2/1000)*'Tabla de Incrementos'!$J$3))</f>
        <v>9500</v>
      </c>
      <c r="Y34" s="600">
        <f t="shared" si="2"/>
        <v>0</v>
      </c>
      <c r="Z34" s="600">
        <f t="shared" si="10"/>
        <v>0</v>
      </c>
      <c r="AA34" s="557">
        <f t="shared" si="11"/>
        <v>299</v>
      </c>
      <c r="AB34" s="557">
        <f t="shared" si="12"/>
        <v>9799</v>
      </c>
    </row>
    <row r="35" spans="1:28" x14ac:dyDescent="0.35">
      <c r="A35" s="595">
        <f t="shared" si="3"/>
        <v>1</v>
      </c>
      <c r="B35" s="596">
        <f t="shared" si="13"/>
        <v>29</v>
      </c>
      <c r="C35" s="597">
        <f ca="1">IF(B35="","",'Fecha Pago'!K32)</f>
        <v>47029</v>
      </c>
      <c r="D35" s="598">
        <f t="shared" si="14"/>
        <v>30.4</v>
      </c>
      <c r="E35" s="599">
        <f t="shared" si="4"/>
        <v>0.11</v>
      </c>
      <c r="F35" s="600">
        <f t="shared" si="5"/>
        <v>993555.3124977207</v>
      </c>
      <c r="G35" s="600">
        <f t="shared" si="15"/>
        <v>270.97509724339579</v>
      </c>
      <c r="H35" s="600">
        <f t="shared" si="6"/>
        <v>9229.0249027566042</v>
      </c>
      <c r="I35" s="600">
        <f>IF(B35="","",IF(F35=0,0,($C$2/1000)*'Tabla de Incrementos'!$J$3))</f>
        <v>9500</v>
      </c>
      <c r="J35" s="600">
        <f t="shared" si="16"/>
        <v>0</v>
      </c>
      <c r="K35" s="600">
        <f t="shared" si="17"/>
        <v>0</v>
      </c>
      <c r="L35" s="600">
        <f t="shared" si="7"/>
        <v>299</v>
      </c>
      <c r="M35" s="600">
        <f>IF(B35="","",IF(A35=0,0,AportPat!L32))</f>
        <v>0</v>
      </c>
      <c r="N35" s="601">
        <f>Simulador!N95</f>
        <v>0</v>
      </c>
      <c r="O35" s="602">
        <f>IF(N35&gt;0,(N35-(N35/(1+Sheet1!$AD$13))),0)</f>
        <v>0</v>
      </c>
      <c r="P35" s="600">
        <f t="shared" si="18"/>
        <v>9799</v>
      </c>
      <c r="Q35" s="600">
        <f t="shared" si="0"/>
        <v>993284.33740047726</v>
      </c>
      <c r="S35" s="120">
        <v>0.11</v>
      </c>
      <c r="T35" s="198">
        <f t="shared" si="1"/>
        <v>29</v>
      </c>
      <c r="U35" s="347">
        <f t="shared" si="19"/>
        <v>993555.3124977207</v>
      </c>
      <c r="V35" s="347">
        <f t="shared" si="8"/>
        <v>270.97509724339579</v>
      </c>
      <c r="W35" s="347">
        <f t="shared" si="9"/>
        <v>9229.0249027566042</v>
      </c>
      <c r="X35" s="600">
        <f>IF(T35="","",IF(U35=0,0,($C$2/1000)*'Tabla de Incrementos'!$J$3))</f>
        <v>9500</v>
      </c>
      <c r="Y35" s="600">
        <f t="shared" si="2"/>
        <v>0</v>
      </c>
      <c r="Z35" s="600">
        <f t="shared" si="10"/>
        <v>0</v>
      </c>
      <c r="AA35" s="557">
        <f t="shared" si="11"/>
        <v>299</v>
      </c>
      <c r="AB35" s="557">
        <f t="shared" si="12"/>
        <v>9799</v>
      </c>
    </row>
    <row r="36" spans="1:28" x14ac:dyDescent="0.35">
      <c r="A36" s="595">
        <f t="shared" si="3"/>
        <v>1</v>
      </c>
      <c r="B36" s="596">
        <f t="shared" si="13"/>
        <v>30</v>
      </c>
      <c r="C36" s="597">
        <f ca="1">IF(B36="","",'Fecha Pago'!K33)</f>
        <v>47060</v>
      </c>
      <c r="D36" s="598">
        <f t="shared" si="14"/>
        <v>30.4</v>
      </c>
      <c r="E36" s="599">
        <f t="shared" si="4"/>
        <v>0.11</v>
      </c>
      <c r="F36" s="600">
        <f t="shared" si="5"/>
        <v>993284.33740047726</v>
      </c>
      <c r="G36" s="600">
        <f t="shared" si="15"/>
        <v>273.49215481334431</v>
      </c>
      <c r="H36" s="600">
        <f t="shared" si="6"/>
        <v>9226.5078451866557</v>
      </c>
      <c r="I36" s="600">
        <f>IF(B36="","",IF(F36=0,0,($C$2/1000)*'Tabla de Incrementos'!$J$3))</f>
        <v>9500</v>
      </c>
      <c r="J36" s="600">
        <f t="shared" si="16"/>
        <v>0</v>
      </c>
      <c r="K36" s="600">
        <f t="shared" si="17"/>
        <v>0</v>
      </c>
      <c r="L36" s="600">
        <f t="shared" si="7"/>
        <v>299</v>
      </c>
      <c r="M36" s="600">
        <f>IF(B36="","",IF(A36=0,0,AportPat!L33))</f>
        <v>0</v>
      </c>
      <c r="N36" s="601">
        <f>Simulador!N96</f>
        <v>0</v>
      </c>
      <c r="O36" s="602">
        <f>IF(N36&gt;0,(N36-(N36/(1+Sheet1!$AD$13))),0)</f>
        <v>0</v>
      </c>
      <c r="P36" s="600">
        <f t="shared" si="18"/>
        <v>9799</v>
      </c>
      <c r="Q36" s="600">
        <f t="shared" si="0"/>
        <v>993010.84524566389</v>
      </c>
      <c r="S36" s="120">
        <v>0.11</v>
      </c>
      <c r="T36" s="198">
        <f t="shared" si="1"/>
        <v>30</v>
      </c>
      <c r="U36" s="347">
        <f t="shared" si="19"/>
        <v>993284.33740047726</v>
      </c>
      <c r="V36" s="347">
        <f t="shared" si="8"/>
        <v>273.49215481334431</v>
      </c>
      <c r="W36" s="347">
        <f t="shared" si="9"/>
        <v>9226.5078451866557</v>
      </c>
      <c r="X36" s="600">
        <f>IF(T36="","",IF(U36=0,0,($C$2/1000)*'Tabla de Incrementos'!$J$3))</f>
        <v>9500</v>
      </c>
      <c r="Y36" s="600">
        <f t="shared" si="2"/>
        <v>0</v>
      </c>
      <c r="Z36" s="600">
        <f t="shared" si="10"/>
        <v>0</v>
      </c>
      <c r="AA36" s="557">
        <f t="shared" si="11"/>
        <v>299</v>
      </c>
      <c r="AB36" s="557">
        <f t="shared" si="12"/>
        <v>9799</v>
      </c>
    </row>
    <row r="37" spans="1:28" x14ac:dyDescent="0.35">
      <c r="A37" s="595">
        <f t="shared" si="3"/>
        <v>1</v>
      </c>
      <c r="B37" s="596">
        <f t="shared" si="13"/>
        <v>31</v>
      </c>
      <c r="C37" s="597">
        <f ca="1">IF(B37="","",'Fecha Pago'!K34)</f>
        <v>47090</v>
      </c>
      <c r="D37" s="598">
        <f t="shared" si="14"/>
        <v>30.4</v>
      </c>
      <c r="E37" s="599">
        <f t="shared" si="4"/>
        <v>0.11</v>
      </c>
      <c r="F37" s="600">
        <f t="shared" si="5"/>
        <v>993010.84524566389</v>
      </c>
      <c r="G37" s="600">
        <f t="shared" si="15"/>
        <v>276.03259305138999</v>
      </c>
      <c r="H37" s="600">
        <f t="shared" si="6"/>
        <v>9223.96740694861</v>
      </c>
      <c r="I37" s="600">
        <f>IF(B37="","",IF(F37=0,0,($C$2/1000)*'Tabla de Incrementos'!$J$3))</f>
        <v>9500</v>
      </c>
      <c r="J37" s="600">
        <f t="shared" si="16"/>
        <v>0</v>
      </c>
      <c r="K37" s="600">
        <f t="shared" si="17"/>
        <v>0</v>
      </c>
      <c r="L37" s="600">
        <f t="shared" si="7"/>
        <v>299</v>
      </c>
      <c r="M37" s="600">
        <f>IF(B37="","",IF(A37=0,0,AportPat!L34))</f>
        <v>0</v>
      </c>
      <c r="N37" s="601">
        <f>Simulador!N97</f>
        <v>0</v>
      </c>
      <c r="O37" s="602">
        <f>IF(N37&gt;0,(N37-(N37/(1+Sheet1!$AD$13))),0)</f>
        <v>0</v>
      </c>
      <c r="P37" s="600">
        <f t="shared" si="18"/>
        <v>9799</v>
      </c>
      <c r="Q37" s="600">
        <f t="shared" si="0"/>
        <v>992734.81265261245</v>
      </c>
      <c r="S37" s="120">
        <v>0.11</v>
      </c>
      <c r="T37" s="198">
        <f t="shared" si="1"/>
        <v>31</v>
      </c>
      <c r="U37" s="347">
        <f t="shared" si="19"/>
        <v>993010.84524566389</v>
      </c>
      <c r="V37" s="347">
        <f t="shared" si="8"/>
        <v>276.03259305138999</v>
      </c>
      <c r="W37" s="347">
        <f t="shared" si="9"/>
        <v>9223.96740694861</v>
      </c>
      <c r="X37" s="600">
        <f>IF(T37="","",IF(U37=0,0,($C$2/1000)*'Tabla de Incrementos'!$J$3))</f>
        <v>9500</v>
      </c>
      <c r="Y37" s="600">
        <f t="shared" si="2"/>
        <v>0</v>
      </c>
      <c r="Z37" s="600">
        <f t="shared" si="10"/>
        <v>0</v>
      </c>
      <c r="AA37" s="557">
        <f t="shared" si="11"/>
        <v>299</v>
      </c>
      <c r="AB37" s="557">
        <f t="shared" si="12"/>
        <v>9799</v>
      </c>
    </row>
    <row r="38" spans="1:28" x14ac:dyDescent="0.35">
      <c r="A38" s="595">
        <f t="shared" si="3"/>
        <v>1</v>
      </c>
      <c r="B38" s="596">
        <f t="shared" si="13"/>
        <v>32</v>
      </c>
      <c r="C38" s="597">
        <f ca="1">IF(B38="","",'Fecha Pago'!K35)</f>
        <v>47121</v>
      </c>
      <c r="D38" s="598">
        <f t="shared" si="14"/>
        <v>30.4</v>
      </c>
      <c r="E38" s="599">
        <f t="shared" si="4"/>
        <v>0.11</v>
      </c>
      <c r="F38" s="600">
        <f t="shared" si="5"/>
        <v>992734.81265261245</v>
      </c>
      <c r="G38" s="600">
        <f t="shared" si="15"/>
        <v>278.59662913795546</v>
      </c>
      <c r="H38" s="600">
        <f t="shared" si="6"/>
        <v>9221.4033708620445</v>
      </c>
      <c r="I38" s="600">
        <f>IF(B38="","",IF(F38=0,0,($C$2/1000)*'Tabla de Incrementos'!$J$3))</f>
        <v>9500</v>
      </c>
      <c r="J38" s="600">
        <f t="shared" si="16"/>
        <v>0</v>
      </c>
      <c r="K38" s="600">
        <f t="shared" si="17"/>
        <v>0</v>
      </c>
      <c r="L38" s="600">
        <f t="shared" si="7"/>
        <v>299</v>
      </c>
      <c r="M38" s="600">
        <f>IF(B38="","",IF(A38=0,0,AportPat!L35))</f>
        <v>0</v>
      </c>
      <c r="N38" s="601">
        <f>Simulador!N98</f>
        <v>0</v>
      </c>
      <c r="O38" s="602">
        <f>IF(N38&gt;0,(N38-(N38/(1+Sheet1!$AD$13))),0)</f>
        <v>0</v>
      </c>
      <c r="P38" s="600">
        <f t="shared" si="18"/>
        <v>9799</v>
      </c>
      <c r="Q38" s="600">
        <f t="shared" si="0"/>
        <v>992456.21602347447</v>
      </c>
      <c r="S38" s="120">
        <v>0.11</v>
      </c>
      <c r="T38" s="198">
        <f t="shared" si="1"/>
        <v>32</v>
      </c>
      <c r="U38" s="347">
        <f t="shared" si="19"/>
        <v>992734.81265261245</v>
      </c>
      <c r="V38" s="347">
        <f t="shared" si="8"/>
        <v>278.59662913795546</v>
      </c>
      <c r="W38" s="347">
        <f t="shared" si="9"/>
        <v>9221.4033708620445</v>
      </c>
      <c r="X38" s="600">
        <f>IF(T38="","",IF(U38=0,0,($C$2/1000)*'Tabla de Incrementos'!$J$3))</f>
        <v>9500</v>
      </c>
      <c r="Y38" s="600">
        <f t="shared" si="2"/>
        <v>0</v>
      </c>
      <c r="Z38" s="600">
        <f t="shared" si="10"/>
        <v>0</v>
      </c>
      <c r="AA38" s="557">
        <f t="shared" si="11"/>
        <v>299</v>
      </c>
      <c r="AB38" s="557">
        <f t="shared" si="12"/>
        <v>9799</v>
      </c>
    </row>
    <row r="39" spans="1:28" x14ac:dyDescent="0.35">
      <c r="A39" s="595">
        <f t="shared" si="3"/>
        <v>1</v>
      </c>
      <c r="B39" s="596">
        <f t="shared" si="13"/>
        <v>33</v>
      </c>
      <c r="C39" s="597">
        <f ca="1">IF(B39="","",'Fecha Pago'!K36)</f>
        <v>47152</v>
      </c>
      <c r="D39" s="598">
        <f t="shared" si="14"/>
        <v>30.4</v>
      </c>
      <c r="E39" s="599">
        <f t="shared" si="4"/>
        <v>0.11</v>
      </c>
      <c r="F39" s="600">
        <f t="shared" si="5"/>
        <v>992456.21602347447</v>
      </c>
      <c r="G39" s="600">
        <f t="shared" si="15"/>
        <v>281.18448227083718</v>
      </c>
      <c r="H39" s="600">
        <f t="shared" si="6"/>
        <v>9218.8155177291628</v>
      </c>
      <c r="I39" s="600">
        <f>IF(B39="","",IF(F39=0,0,($C$2/1000)*'Tabla de Incrementos'!$J$3))</f>
        <v>9500</v>
      </c>
      <c r="J39" s="600">
        <f t="shared" si="16"/>
        <v>0</v>
      </c>
      <c r="K39" s="600">
        <f t="shared" si="17"/>
        <v>0</v>
      </c>
      <c r="L39" s="600">
        <f t="shared" si="7"/>
        <v>299</v>
      </c>
      <c r="M39" s="600">
        <f>IF(B39="","",IF(A39=0,0,AportPat!L36))</f>
        <v>0</v>
      </c>
      <c r="N39" s="601">
        <f>Simulador!N99</f>
        <v>0</v>
      </c>
      <c r="O39" s="602">
        <f>IF(N39&gt;0,(N39-(N39/(1+Sheet1!$AD$13))),0)</f>
        <v>0</v>
      </c>
      <c r="P39" s="600">
        <f t="shared" si="18"/>
        <v>9799</v>
      </c>
      <c r="Q39" s="600">
        <f t="shared" si="0"/>
        <v>992175.03154120361</v>
      </c>
      <c r="S39" s="120">
        <v>0.11</v>
      </c>
      <c r="T39" s="198">
        <f t="shared" si="1"/>
        <v>33</v>
      </c>
      <c r="U39" s="347">
        <f t="shared" si="19"/>
        <v>992456.21602347447</v>
      </c>
      <c r="V39" s="347">
        <f t="shared" si="8"/>
        <v>281.18448227083718</v>
      </c>
      <c r="W39" s="347">
        <f t="shared" si="9"/>
        <v>9218.8155177291628</v>
      </c>
      <c r="X39" s="600">
        <f>IF(T39="","",IF(U39=0,0,($C$2/1000)*'Tabla de Incrementos'!$J$3))</f>
        <v>9500</v>
      </c>
      <c r="Y39" s="600">
        <f t="shared" si="2"/>
        <v>0</v>
      </c>
      <c r="Z39" s="600">
        <f t="shared" si="10"/>
        <v>0</v>
      </c>
      <c r="AA39" s="557">
        <f t="shared" si="11"/>
        <v>299</v>
      </c>
      <c r="AB39" s="557">
        <f t="shared" si="12"/>
        <v>9799</v>
      </c>
    </row>
    <row r="40" spans="1:28" x14ac:dyDescent="0.35">
      <c r="A40" s="595">
        <f t="shared" si="3"/>
        <v>1</v>
      </c>
      <c r="B40" s="596">
        <f t="shared" si="13"/>
        <v>34</v>
      </c>
      <c r="C40" s="597">
        <f ca="1">IF(B40="","",'Fecha Pago'!K37)</f>
        <v>47180</v>
      </c>
      <c r="D40" s="598">
        <f t="shared" si="14"/>
        <v>30.4</v>
      </c>
      <c r="E40" s="599">
        <f t="shared" si="4"/>
        <v>0.11</v>
      </c>
      <c r="F40" s="600">
        <f t="shared" si="5"/>
        <v>992175.03154120361</v>
      </c>
      <c r="G40" s="600">
        <f t="shared" si="15"/>
        <v>283.79637368393196</v>
      </c>
      <c r="H40" s="600">
        <f t="shared" si="6"/>
        <v>9216.203626316068</v>
      </c>
      <c r="I40" s="600">
        <f>IF(B40="","",IF(F40=0,0,($C$2/1000)*'Tabla de Incrementos'!$J$3))</f>
        <v>9500</v>
      </c>
      <c r="J40" s="600">
        <f t="shared" si="16"/>
        <v>0</v>
      </c>
      <c r="K40" s="600">
        <f t="shared" si="17"/>
        <v>0</v>
      </c>
      <c r="L40" s="600">
        <f t="shared" si="7"/>
        <v>299</v>
      </c>
      <c r="M40" s="600">
        <f>IF(B40="","",IF(A40=0,0,AportPat!L37))</f>
        <v>0</v>
      </c>
      <c r="N40" s="601">
        <f>Simulador!N100</f>
        <v>0</v>
      </c>
      <c r="O40" s="602">
        <f>IF(N40&gt;0,(N40-(N40/(1+Sheet1!$AD$13))),0)</f>
        <v>0</v>
      </c>
      <c r="P40" s="600">
        <f t="shared" si="18"/>
        <v>9799</v>
      </c>
      <c r="Q40" s="600">
        <f t="shared" si="0"/>
        <v>991891.23516751966</v>
      </c>
      <c r="S40" s="120">
        <v>0.11</v>
      </c>
      <c r="T40" s="198">
        <f t="shared" si="1"/>
        <v>34</v>
      </c>
      <c r="U40" s="347">
        <f t="shared" si="19"/>
        <v>992175.03154120361</v>
      </c>
      <c r="V40" s="347">
        <f t="shared" si="8"/>
        <v>283.79637368393196</v>
      </c>
      <c r="W40" s="347">
        <f t="shared" si="9"/>
        <v>9216.203626316068</v>
      </c>
      <c r="X40" s="600">
        <f>IF(T40="","",IF(U40=0,0,($C$2/1000)*'Tabla de Incrementos'!$J$3))</f>
        <v>9500</v>
      </c>
      <c r="Y40" s="600">
        <f t="shared" si="2"/>
        <v>0</v>
      </c>
      <c r="Z40" s="600">
        <f t="shared" si="10"/>
        <v>0</v>
      </c>
      <c r="AA40" s="557">
        <f t="shared" si="11"/>
        <v>299</v>
      </c>
      <c r="AB40" s="557">
        <f t="shared" si="12"/>
        <v>9799</v>
      </c>
    </row>
    <row r="41" spans="1:28" x14ac:dyDescent="0.35">
      <c r="A41" s="595">
        <f t="shared" si="3"/>
        <v>1</v>
      </c>
      <c r="B41" s="596">
        <f t="shared" si="13"/>
        <v>35</v>
      </c>
      <c r="C41" s="597">
        <f ca="1">IF(B41="","",'Fecha Pago'!K38)</f>
        <v>47211</v>
      </c>
      <c r="D41" s="598">
        <f t="shared" si="14"/>
        <v>30.4</v>
      </c>
      <c r="E41" s="599">
        <f t="shared" si="4"/>
        <v>0.11</v>
      </c>
      <c r="F41" s="600">
        <f t="shared" si="5"/>
        <v>991891.23516751966</v>
      </c>
      <c r="G41" s="600">
        <f t="shared" si="15"/>
        <v>286.43252666615081</v>
      </c>
      <c r="H41" s="600">
        <f t="shared" si="6"/>
        <v>9213.5674733338492</v>
      </c>
      <c r="I41" s="600">
        <f>IF(B41="","",IF(F41=0,0,($C$2/1000)*'Tabla de Incrementos'!$J$3))</f>
        <v>9500</v>
      </c>
      <c r="J41" s="600">
        <f t="shared" si="16"/>
        <v>0</v>
      </c>
      <c r="K41" s="600">
        <f t="shared" si="17"/>
        <v>0</v>
      </c>
      <c r="L41" s="600">
        <f t="shared" si="7"/>
        <v>299</v>
      </c>
      <c r="M41" s="600">
        <f>IF(B41="","",IF(A41=0,0,AportPat!L38))</f>
        <v>0</v>
      </c>
      <c r="N41" s="601">
        <f>Simulador!N101</f>
        <v>0</v>
      </c>
      <c r="O41" s="602">
        <f>IF(N41&gt;0,(N41-(N41/(1+Sheet1!$AD$13))),0)</f>
        <v>0</v>
      </c>
      <c r="P41" s="600">
        <f t="shared" si="18"/>
        <v>9799</v>
      </c>
      <c r="Q41" s="600">
        <f t="shared" si="0"/>
        <v>991604.80264085345</v>
      </c>
      <c r="S41" s="120">
        <v>0.11</v>
      </c>
      <c r="T41" s="198">
        <f t="shared" si="1"/>
        <v>35</v>
      </c>
      <c r="U41" s="347">
        <f t="shared" si="19"/>
        <v>991891.23516751966</v>
      </c>
      <c r="V41" s="347">
        <f t="shared" si="8"/>
        <v>286.43252666615081</v>
      </c>
      <c r="W41" s="347">
        <f t="shared" si="9"/>
        <v>9213.5674733338492</v>
      </c>
      <c r="X41" s="600">
        <f>IF(T41="","",IF(U41=0,0,($C$2/1000)*'Tabla de Incrementos'!$J$3))</f>
        <v>9500</v>
      </c>
      <c r="Y41" s="600">
        <f t="shared" si="2"/>
        <v>0</v>
      </c>
      <c r="Z41" s="600">
        <f t="shared" si="10"/>
        <v>0</v>
      </c>
      <c r="AA41" s="557">
        <f t="shared" si="11"/>
        <v>299</v>
      </c>
      <c r="AB41" s="557">
        <f t="shared" si="12"/>
        <v>9799</v>
      </c>
    </row>
    <row r="42" spans="1:28" x14ac:dyDescent="0.35">
      <c r="A42" s="595">
        <f t="shared" si="3"/>
        <v>1</v>
      </c>
      <c r="B42" s="596">
        <f t="shared" si="13"/>
        <v>36</v>
      </c>
      <c r="C42" s="597">
        <f ca="1">IF(B42="","",'Fecha Pago'!K39)</f>
        <v>47241</v>
      </c>
      <c r="D42" s="598">
        <f t="shared" si="14"/>
        <v>30.4</v>
      </c>
      <c r="E42" s="599">
        <f t="shared" si="4"/>
        <v>0.11</v>
      </c>
      <c r="F42" s="600">
        <f t="shared" si="5"/>
        <v>991604.80264085345</v>
      </c>
      <c r="G42" s="600">
        <f t="shared" si="15"/>
        <v>289.0931665805183</v>
      </c>
      <c r="H42" s="600">
        <f t="shared" si="6"/>
        <v>9210.9068334194817</v>
      </c>
      <c r="I42" s="600">
        <f>IF(B42="","",IF(F42=0,0,($C$2/1000)*'Tabla de Incrementos'!$J$3))</f>
        <v>9500</v>
      </c>
      <c r="J42" s="600">
        <f t="shared" si="16"/>
        <v>0</v>
      </c>
      <c r="K42" s="600">
        <f t="shared" si="17"/>
        <v>0</v>
      </c>
      <c r="L42" s="600">
        <f t="shared" si="7"/>
        <v>299</v>
      </c>
      <c r="M42" s="600">
        <f>IF(B42="","",IF(A42=0,0,AportPat!L39))</f>
        <v>0</v>
      </c>
      <c r="N42" s="601">
        <f>Simulador!N102</f>
        <v>0</v>
      </c>
      <c r="O42" s="602">
        <f>IF(N42&gt;0,(N42-(N42/(1+Sheet1!$AD$13))),0)</f>
        <v>0</v>
      </c>
      <c r="P42" s="600">
        <f t="shared" si="18"/>
        <v>9799</v>
      </c>
      <c r="Q42" s="600">
        <f t="shared" si="0"/>
        <v>991315.70947427291</v>
      </c>
      <c r="S42" s="120">
        <v>0.11</v>
      </c>
      <c r="T42" s="198">
        <f t="shared" si="1"/>
        <v>36</v>
      </c>
      <c r="U42" s="347">
        <f t="shared" si="19"/>
        <v>991604.80264085345</v>
      </c>
      <c r="V42" s="347">
        <f t="shared" si="8"/>
        <v>289.0931665805183</v>
      </c>
      <c r="W42" s="347">
        <f t="shared" si="9"/>
        <v>9210.9068334194817</v>
      </c>
      <c r="X42" s="600">
        <f>IF(T42="","",IF(U42=0,0,($C$2/1000)*'Tabla de Incrementos'!$J$3))</f>
        <v>9500</v>
      </c>
      <c r="Y42" s="600">
        <f t="shared" si="2"/>
        <v>0</v>
      </c>
      <c r="Z42" s="600">
        <f t="shared" si="10"/>
        <v>0</v>
      </c>
      <c r="AA42" s="557">
        <f t="shared" si="11"/>
        <v>299</v>
      </c>
      <c r="AB42" s="557">
        <f t="shared" si="12"/>
        <v>9799</v>
      </c>
    </row>
    <row r="43" spans="1:28" x14ac:dyDescent="0.35">
      <c r="A43" s="595">
        <f t="shared" si="3"/>
        <v>1</v>
      </c>
      <c r="B43" s="596">
        <f t="shared" si="13"/>
        <v>37</v>
      </c>
      <c r="C43" s="597">
        <f ca="1">IF(B43="","",'Fecha Pago'!K40)</f>
        <v>47272</v>
      </c>
      <c r="D43" s="598">
        <f t="shared" si="14"/>
        <v>30.4</v>
      </c>
      <c r="E43" s="599">
        <f t="shared" si="4"/>
        <v>0.11</v>
      </c>
      <c r="F43" s="600">
        <f t="shared" si="5"/>
        <v>991315.70947427291</v>
      </c>
      <c r="G43" s="600">
        <f t="shared" si="15"/>
        <v>291.77852088342115</v>
      </c>
      <c r="H43" s="600">
        <f t="shared" si="6"/>
        <v>9208.2214791165788</v>
      </c>
      <c r="I43" s="600">
        <f>IF(B43="","",IF(F43=0,0,($C$2/1000)*'Tabla de Incrementos'!$J$3))</f>
        <v>9500</v>
      </c>
      <c r="J43" s="600">
        <f t="shared" si="16"/>
        <v>0</v>
      </c>
      <c r="K43" s="600">
        <f t="shared" si="17"/>
        <v>0</v>
      </c>
      <c r="L43" s="600">
        <f t="shared" si="7"/>
        <v>299</v>
      </c>
      <c r="M43" s="600">
        <f>IF(B43="","",IF(A43=0,0,AportPat!L40))</f>
        <v>0</v>
      </c>
      <c r="N43" s="601">
        <f>Simulador!N103</f>
        <v>0</v>
      </c>
      <c r="O43" s="608">
        <v>0</v>
      </c>
      <c r="P43" s="600">
        <f t="shared" si="18"/>
        <v>9799</v>
      </c>
      <c r="Q43" s="600">
        <f t="shared" si="0"/>
        <v>991023.9309533895</v>
      </c>
      <c r="S43" s="120">
        <v>0.11</v>
      </c>
      <c r="T43" s="198">
        <f t="shared" si="1"/>
        <v>37</v>
      </c>
      <c r="U43" s="347">
        <f t="shared" si="19"/>
        <v>991315.70947427291</v>
      </c>
      <c r="V43" s="347">
        <f t="shared" si="8"/>
        <v>291.77852088342115</v>
      </c>
      <c r="W43" s="347">
        <f t="shared" si="9"/>
        <v>9208.2214791165788</v>
      </c>
      <c r="X43" s="600">
        <f>IF(T43="","",IF(U43=0,0,($C$2/1000)*'Tabla de Incrementos'!$J$3))</f>
        <v>9500</v>
      </c>
      <c r="Y43" s="600">
        <f t="shared" si="2"/>
        <v>0</v>
      </c>
      <c r="Z43" s="600">
        <f t="shared" si="10"/>
        <v>0</v>
      </c>
      <c r="AA43" s="557">
        <f t="shared" si="11"/>
        <v>299</v>
      </c>
      <c r="AB43" s="557">
        <f t="shared" si="12"/>
        <v>9799</v>
      </c>
    </row>
    <row r="44" spans="1:28" x14ac:dyDescent="0.35">
      <c r="A44" s="595">
        <f t="shared" si="3"/>
        <v>1</v>
      </c>
      <c r="B44" s="604">
        <f t="shared" si="13"/>
        <v>38</v>
      </c>
      <c r="C44" s="597">
        <f ca="1">IF(B44="","",'Fecha Pago'!K41)</f>
        <v>47302</v>
      </c>
      <c r="D44" s="605">
        <f t="shared" si="14"/>
        <v>30.4</v>
      </c>
      <c r="E44" s="606">
        <f>IF(B44="","",'Tabla de Incrementos'!$C$3)</f>
        <v>0.11</v>
      </c>
      <c r="F44" s="607">
        <f t="shared" si="5"/>
        <v>991023.9309533895</v>
      </c>
      <c r="G44" s="607">
        <f t="shared" si="15"/>
        <v>294.48881914407139</v>
      </c>
      <c r="H44" s="607">
        <f t="shared" si="6"/>
        <v>9205.5111808559286</v>
      </c>
      <c r="I44" s="607">
        <f>IF(B44="","",IF(F44=0,0,($C$2/1000)*'Tabla de Incrementos'!$J$4))</f>
        <v>9500</v>
      </c>
      <c r="J44" s="607">
        <f t="shared" si="16"/>
        <v>0</v>
      </c>
      <c r="K44" s="607">
        <f t="shared" si="17"/>
        <v>0</v>
      </c>
      <c r="L44" s="607">
        <f t="shared" si="7"/>
        <v>299</v>
      </c>
      <c r="M44" s="607">
        <f>IF(B44="","",IF(A44=0,0,AportPat!L41))</f>
        <v>0</v>
      </c>
      <c r="N44" s="601">
        <f>Simulador!N104</f>
        <v>0</v>
      </c>
      <c r="O44" s="608">
        <v>0</v>
      </c>
      <c r="P44" s="607">
        <f t="shared" si="18"/>
        <v>9799</v>
      </c>
      <c r="Q44" s="607">
        <f t="shared" si="0"/>
        <v>990729.44213424542</v>
      </c>
      <c r="S44" s="120">
        <v>0.11</v>
      </c>
      <c r="T44" s="198">
        <f t="shared" si="1"/>
        <v>38</v>
      </c>
      <c r="U44" s="347">
        <f t="shared" si="19"/>
        <v>991023.9309533895</v>
      </c>
      <c r="V44" s="347">
        <f t="shared" si="8"/>
        <v>294.48881914407139</v>
      </c>
      <c r="W44" s="347">
        <f t="shared" si="9"/>
        <v>9205.5111808559286</v>
      </c>
      <c r="X44" s="607">
        <f>IF(T44="","",IF(U44=0,0,($C$2/1000)*'Tabla de Incrementos'!$J$4))</f>
        <v>9500</v>
      </c>
      <c r="Y44" s="607">
        <f t="shared" si="2"/>
        <v>0</v>
      </c>
      <c r="Z44" s="607">
        <f t="shared" si="10"/>
        <v>0</v>
      </c>
      <c r="AA44" s="557">
        <f t="shared" si="11"/>
        <v>299</v>
      </c>
      <c r="AB44" s="557">
        <f t="shared" si="12"/>
        <v>9799</v>
      </c>
    </row>
    <row r="45" spans="1:28" x14ac:dyDescent="0.35">
      <c r="A45" s="595">
        <f t="shared" si="3"/>
        <v>1</v>
      </c>
      <c r="B45" s="596">
        <f t="shared" si="13"/>
        <v>39</v>
      </c>
      <c r="C45" s="597">
        <f ca="1">IF(B45="","",'Fecha Pago'!K42)</f>
        <v>47333</v>
      </c>
      <c r="D45" s="598">
        <f t="shared" si="14"/>
        <v>30.4</v>
      </c>
      <c r="E45" s="599">
        <f>IF(B45="","",'Tabla de Incrementos'!$C$3)</f>
        <v>0.11</v>
      </c>
      <c r="F45" s="600">
        <f t="shared" si="5"/>
        <v>990729.44213424542</v>
      </c>
      <c r="G45" s="600">
        <f t="shared" si="15"/>
        <v>297.2242930641205</v>
      </c>
      <c r="H45" s="600">
        <f t="shared" si="6"/>
        <v>9202.7757069358795</v>
      </c>
      <c r="I45" s="600">
        <f>IF(B45="","",IF(F45=0,0,($C$2/1000)*'Tabla de Incrementos'!$J$4))</f>
        <v>9500</v>
      </c>
      <c r="J45" s="600">
        <f t="shared" si="16"/>
        <v>0</v>
      </c>
      <c r="K45" s="600">
        <f t="shared" si="17"/>
        <v>0</v>
      </c>
      <c r="L45" s="600">
        <f t="shared" si="7"/>
        <v>299</v>
      </c>
      <c r="M45" s="600">
        <f>IF(B45="","",IF(A45=0,0,AportPat!L42))</f>
        <v>0</v>
      </c>
      <c r="N45" s="601">
        <f>Simulador!N105</f>
        <v>0</v>
      </c>
      <c r="O45" s="608">
        <v>0</v>
      </c>
      <c r="P45" s="600">
        <f t="shared" si="18"/>
        <v>9799</v>
      </c>
      <c r="Q45" s="600">
        <f t="shared" si="0"/>
        <v>990432.21784118132</v>
      </c>
      <c r="S45" s="120">
        <v>0.11</v>
      </c>
      <c r="T45" s="198">
        <f t="shared" si="1"/>
        <v>39</v>
      </c>
      <c r="U45" s="347">
        <f t="shared" si="19"/>
        <v>990729.44213424542</v>
      </c>
      <c r="V45" s="347">
        <f t="shared" si="8"/>
        <v>297.2242930641205</v>
      </c>
      <c r="W45" s="347">
        <f t="shared" si="9"/>
        <v>9202.7757069358795</v>
      </c>
      <c r="X45" s="600">
        <f>IF(T45="","",IF(U45=0,0,($C$2/1000)*'Tabla de Incrementos'!$J$4))</f>
        <v>9500</v>
      </c>
      <c r="Y45" s="600">
        <f t="shared" si="2"/>
        <v>0</v>
      </c>
      <c r="Z45" s="600">
        <f t="shared" si="10"/>
        <v>0</v>
      </c>
      <c r="AA45" s="557">
        <f t="shared" si="11"/>
        <v>299</v>
      </c>
      <c r="AB45" s="557">
        <f t="shared" si="12"/>
        <v>9799</v>
      </c>
    </row>
    <row r="46" spans="1:28" x14ac:dyDescent="0.35">
      <c r="A46" s="595">
        <f t="shared" si="3"/>
        <v>1</v>
      </c>
      <c r="B46" s="596">
        <f t="shared" si="13"/>
        <v>40</v>
      </c>
      <c r="C46" s="597">
        <f ca="1">IF(B46="","",'Fecha Pago'!K43)</f>
        <v>47364</v>
      </c>
      <c r="D46" s="598">
        <f t="shared" si="14"/>
        <v>30.4</v>
      </c>
      <c r="E46" s="599">
        <f>IF(B46="","",'Tabla de Incrementos'!$C$3)</f>
        <v>0.11</v>
      </c>
      <c r="F46" s="600">
        <f t="shared" si="5"/>
        <v>990432.21784118132</v>
      </c>
      <c r="G46" s="600">
        <f t="shared" si="15"/>
        <v>299.98517649747191</v>
      </c>
      <c r="H46" s="600">
        <f t="shared" si="6"/>
        <v>9200.0148235025281</v>
      </c>
      <c r="I46" s="600">
        <f>IF(B46="","",IF(F46=0,0,($C$2/1000)*'Tabla de Incrementos'!$J$4))</f>
        <v>9500</v>
      </c>
      <c r="J46" s="600">
        <f t="shared" si="16"/>
        <v>0</v>
      </c>
      <c r="K46" s="600">
        <f t="shared" si="17"/>
        <v>0</v>
      </c>
      <c r="L46" s="600">
        <f t="shared" si="7"/>
        <v>299</v>
      </c>
      <c r="M46" s="600">
        <f>IF(B46="","",IF(A46=0,0,AportPat!L43))</f>
        <v>0</v>
      </c>
      <c r="N46" s="601">
        <f>Simulador!N106</f>
        <v>0</v>
      </c>
      <c r="O46" s="608">
        <v>0</v>
      </c>
      <c r="P46" s="600">
        <f t="shared" si="18"/>
        <v>9799</v>
      </c>
      <c r="Q46" s="600">
        <f t="shared" si="0"/>
        <v>990132.23266468383</v>
      </c>
      <c r="S46" s="120">
        <v>0.11</v>
      </c>
      <c r="T46" s="198">
        <f t="shared" si="1"/>
        <v>40</v>
      </c>
      <c r="U46" s="347">
        <f t="shared" si="19"/>
        <v>990432.21784118132</v>
      </c>
      <c r="V46" s="347">
        <f t="shared" si="8"/>
        <v>299.98517649747191</v>
      </c>
      <c r="W46" s="347">
        <f t="shared" si="9"/>
        <v>9200.0148235025281</v>
      </c>
      <c r="X46" s="600">
        <f>IF(T46="","",IF(U46=0,0,($C$2/1000)*'Tabla de Incrementos'!$J$4))</f>
        <v>9500</v>
      </c>
      <c r="Y46" s="600">
        <f t="shared" si="2"/>
        <v>0</v>
      </c>
      <c r="Z46" s="600">
        <f t="shared" si="10"/>
        <v>0</v>
      </c>
      <c r="AA46" s="557">
        <f t="shared" si="11"/>
        <v>299</v>
      </c>
      <c r="AB46" s="557">
        <f t="shared" si="12"/>
        <v>9799</v>
      </c>
    </row>
    <row r="47" spans="1:28" x14ac:dyDescent="0.35">
      <c r="A47" s="595">
        <f t="shared" si="3"/>
        <v>1</v>
      </c>
      <c r="B47" s="596">
        <f t="shared" si="13"/>
        <v>41</v>
      </c>
      <c r="C47" s="597">
        <f ca="1">IF(B47="","",'Fecha Pago'!K44)</f>
        <v>47394</v>
      </c>
      <c r="D47" s="598">
        <f t="shared" si="14"/>
        <v>30.4</v>
      </c>
      <c r="E47" s="599">
        <f>IF(B47="","",'Tabla de Incrementos'!$C$3)</f>
        <v>0.11</v>
      </c>
      <c r="F47" s="600">
        <f t="shared" si="5"/>
        <v>990132.23266468383</v>
      </c>
      <c r="G47" s="600">
        <f t="shared" si="15"/>
        <v>302.77170547027163</v>
      </c>
      <c r="H47" s="600">
        <f t="shared" si="6"/>
        <v>9197.2282945297284</v>
      </c>
      <c r="I47" s="600">
        <f>IF(B47="","",IF(F47=0,0,($C$2/1000)*'Tabla de Incrementos'!$J$4))</f>
        <v>9500</v>
      </c>
      <c r="J47" s="600">
        <f t="shared" si="16"/>
        <v>0</v>
      </c>
      <c r="K47" s="600">
        <f t="shared" si="17"/>
        <v>0</v>
      </c>
      <c r="L47" s="600">
        <f t="shared" si="7"/>
        <v>299</v>
      </c>
      <c r="M47" s="600">
        <f>IF(B47="","",IF(A47=0,0,AportPat!L44))</f>
        <v>0</v>
      </c>
      <c r="N47" s="601">
        <f>Simulador!N107</f>
        <v>0</v>
      </c>
      <c r="O47" s="608">
        <v>0</v>
      </c>
      <c r="P47" s="600">
        <f t="shared" si="18"/>
        <v>9799</v>
      </c>
      <c r="Q47" s="600">
        <f t="shared" si="0"/>
        <v>989829.46095921355</v>
      </c>
      <c r="S47" s="120">
        <v>0.11</v>
      </c>
      <c r="T47" s="198">
        <f t="shared" si="1"/>
        <v>41</v>
      </c>
      <c r="U47" s="347">
        <f t="shared" si="19"/>
        <v>990132.23266468383</v>
      </c>
      <c r="V47" s="347">
        <f t="shared" si="8"/>
        <v>302.77170547027163</v>
      </c>
      <c r="W47" s="347">
        <f t="shared" si="9"/>
        <v>9197.2282945297284</v>
      </c>
      <c r="X47" s="600">
        <f>IF(T47="","",IF(U47=0,0,($C$2/1000)*'Tabla de Incrementos'!$J$4))</f>
        <v>9500</v>
      </c>
      <c r="Y47" s="600">
        <f t="shared" si="2"/>
        <v>0</v>
      </c>
      <c r="Z47" s="600">
        <f t="shared" si="10"/>
        <v>0</v>
      </c>
      <c r="AA47" s="557">
        <f t="shared" si="11"/>
        <v>299</v>
      </c>
      <c r="AB47" s="557">
        <f t="shared" si="12"/>
        <v>9799</v>
      </c>
    </row>
    <row r="48" spans="1:28" x14ac:dyDescent="0.35">
      <c r="A48" s="595">
        <f t="shared" si="3"/>
        <v>1</v>
      </c>
      <c r="B48" s="596">
        <f t="shared" si="13"/>
        <v>42</v>
      </c>
      <c r="C48" s="597">
        <f ca="1">IF(B48="","",'Fecha Pago'!K45)</f>
        <v>47425</v>
      </c>
      <c r="D48" s="598">
        <f t="shared" si="14"/>
        <v>30.4</v>
      </c>
      <c r="E48" s="599">
        <f>IF(B48="","",'Tabla de Incrementos'!$C$3)</f>
        <v>0.11</v>
      </c>
      <c r="F48" s="600">
        <f t="shared" si="5"/>
        <v>989829.46095921355</v>
      </c>
      <c r="G48" s="600">
        <f t="shared" si="15"/>
        <v>305.58411820108449</v>
      </c>
      <c r="H48" s="600">
        <f t="shared" si="6"/>
        <v>9194.4158817989155</v>
      </c>
      <c r="I48" s="600">
        <f>IF(B48="","",IF(F48=0,0,($C$2/1000)*'Tabla de Incrementos'!$J$4))</f>
        <v>9500</v>
      </c>
      <c r="J48" s="600">
        <f t="shared" si="16"/>
        <v>0</v>
      </c>
      <c r="K48" s="600">
        <f t="shared" si="17"/>
        <v>0</v>
      </c>
      <c r="L48" s="600">
        <f t="shared" si="7"/>
        <v>299</v>
      </c>
      <c r="M48" s="600">
        <f>IF(B48="","",IF(A48=0,0,AportPat!L45))</f>
        <v>0</v>
      </c>
      <c r="N48" s="601">
        <f>Simulador!N108</f>
        <v>0</v>
      </c>
      <c r="O48" s="608">
        <v>0</v>
      </c>
      <c r="P48" s="600">
        <f t="shared" si="18"/>
        <v>9799</v>
      </c>
      <c r="Q48" s="600">
        <f t="shared" si="0"/>
        <v>989523.8768410125</v>
      </c>
      <c r="S48" s="120">
        <v>0.11</v>
      </c>
      <c r="T48" s="198">
        <f t="shared" si="1"/>
        <v>42</v>
      </c>
      <c r="U48" s="347">
        <f t="shared" si="19"/>
        <v>989829.46095921355</v>
      </c>
      <c r="V48" s="347">
        <f t="shared" si="8"/>
        <v>305.58411820108449</v>
      </c>
      <c r="W48" s="347">
        <f t="shared" si="9"/>
        <v>9194.4158817989155</v>
      </c>
      <c r="X48" s="600">
        <f>IF(T48="","",IF(U48=0,0,($C$2/1000)*'Tabla de Incrementos'!$J$4))</f>
        <v>9500</v>
      </c>
      <c r="Y48" s="600">
        <f t="shared" si="2"/>
        <v>0</v>
      </c>
      <c r="Z48" s="600">
        <f t="shared" si="10"/>
        <v>0</v>
      </c>
      <c r="AA48" s="557">
        <f t="shared" si="11"/>
        <v>299</v>
      </c>
      <c r="AB48" s="557">
        <f t="shared" si="12"/>
        <v>9799</v>
      </c>
    </row>
    <row r="49" spans="1:28" x14ac:dyDescent="0.35">
      <c r="A49" s="595">
        <f t="shared" si="3"/>
        <v>1</v>
      </c>
      <c r="B49" s="596">
        <f t="shared" si="13"/>
        <v>43</v>
      </c>
      <c r="C49" s="597">
        <f ca="1">IF(B49="","",'Fecha Pago'!K46)</f>
        <v>47455</v>
      </c>
      <c r="D49" s="598">
        <f t="shared" si="14"/>
        <v>30.4</v>
      </c>
      <c r="E49" s="599">
        <f>IF(B49="","",'Tabla de Incrementos'!$C$3)</f>
        <v>0.11</v>
      </c>
      <c r="F49" s="600">
        <f t="shared" si="5"/>
        <v>989523.8768410125</v>
      </c>
      <c r="G49" s="600">
        <f t="shared" si="15"/>
        <v>308.42265512126141</v>
      </c>
      <c r="H49" s="600">
        <f t="shared" si="6"/>
        <v>9191.5773448787386</v>
      </c>
      <c r="I49" s="600">
        <f>IF(B49="","",IF(F49=0,0,($C$2/1000)*'Tabla de Incrementos'!$J$4))</f>
        <v>9500</v>
      </c>
      <c r="J49" s="600">
        <f t="shared" si="16"/>
        <v>0</v>
      </c>
      <c r="K49" s="600">
        <f t="shared" si="17"/>
        <v>0</v>
      </c>
      <c r="L49" s="600">
        <f t="shared" si="7"/>
        <v>299</v>
      </c>
      <c r="M49" s="600">
        <f>IF(B49="","",IF(A49=0,0,AportPat!L46))</f>
        <v>0</v>
      </c>
      <c r="N49" s="601">
        <f>Simulador!N109</f>
        <v>0</v>
      </c>
      <c r="O49" s="608">
        <v>0</v>
      </c>
      <c r="P49" s="600">
        <f t="shared" si="18"/>
        <v>9799</v>
      </c>
      <c r="Q49" s="600">
        <f t="shared" si="0"/>
        <v>989215.4541858912</v>
      </c>
      <c r="S49" s="120">
        <v>0.11</v>
      </c>
      <c r="T49" s="198">
        <f t="shared" si="1"/>
        <v>43</v>
      </c>
      <c r="U49" s="347">
        <f t="shared" si="19"/>
        <v>989523.8768410125</v>
      </c>
      <c r="V49" s="347">
        <f t="shared" si="8"/>
        <v>308.42265512126141</v>
      </c>
      <c r="W49" s="347">
        <f t="shared" si="9"/>
        <v>9191.5773448787386</v>
      </c>
      <c r="X49" s="600">
        <f>IF(T49="","",IF(U49=0,0,($C$2/1000)*'Tabla de Incrementos'!$J$4))</f>
        <v>9500</v>
      </c>
      <c r="Y49" s="600">
        <f t="shared" si="2"/>
        <v>0</v>
      </c>
      <c r="Z49" s="600">
        <f t="shared" si="10"/>
        <v>0</v>
      </c>
      <c r="AA49" s="557">
        <f t="shared" si="11"/>
        <v>299</v>
      </c>
      <c r="AB49" s="557">
        <f t="shared" si="12"/>
        <v>9799</v>
      </c>
    </row>
    <row r="50" spans="1:28" x14ac:dyDescent="0.35">
      <c r="A50" s="595">
        <f t="shared" si="3"/>
        <v>1</v>
      </c>
      <c r="B50" s="596">
        <f t="shared" si="13"/>
        <v>44</v>
      </c>
      <c r="C50" s="597">
        <f ca="1">IF(B50="","",'Fecha Pago'!K47)</f>
        <v>47486</v>
      </c>
      <c r="D50" s="598">
        <f t="shared" si="14"/>
        <v>30.4</v>
      </c>
      <c r="E50" s="599">
        <f>IF(B50="","",'Tabla de Incrementos'!$C$3)</f>
        <v>0.11</v>
      </c>
      <c r="F50" s="600">
        <f t="shared" si="5"/>
        <v>989215.4541858912</v>
      </c>
      <c r="G50" s="600">
        <f t="shared" si="15"/>
        <v>311.28755889549939</v>
      </c>
      <c r="H50" s="600">
        <f t="shared" si="6"/>
        <v>9188.7124411045006</v>
      </c>
      <c r="I50" s="600">
        <f>IF(B50="","",IF(F50=0,0,($C$2/1000)*'Tabla de Incrementos'!$J$4))</f>
        <v>9500</v>
      </c>
      <c r="J50" s="600">
        <f t="shared" si="16"/>
        <v>0</v>
      </c>
      <c r="K50" s="600">
        <f t="shared" si="17"/>
        <v>0</v>
      </c>
      <c r="L50" s="600">
        <f t="shared" si="7"/>
        <v>299</v>
      </c>
      <c r="M50" s="600">
        <f>IF(B50="","",IF(A50=0,0,AportPat!L47))</f>
        <v>0</v>
      </c>
      <c r="N50" s="601">
        <f>Simulador!N110</f>
        <v>0</v>
      </c>
      <c r="O50" s="608">
        <v>0</v>
      </c>
      <c r="P50" s="600">
        <f t="shared" si="18"/>
        <v>9799</v>
      </c>
      <c r="Q50" s="600">
        <f t="shared" si="0"/>
        <v>988904.16662699566</v>
      </c>
      <c r="S50" s="120">
        <v>0.11</v>
      </c>
      <c r="T50" s="198">
        <f t="shared" si="1"/>
        <v>44</v>
      </c>
      <c r="U50" s="347">
        <f t="shared" si="19"/>
        <v>989215.4541858912</v>
      </c>
      <c r="V50" s="347">
        <f t="shared" si="8"/>
        <v>311.28755889549939</v>
      </c>
      <c r="W50" s="347">
        <f t="shared" si="9"/>
        <v>9188.7124411045006</v>
      </c>
      <c r="X50" s="600">
        <f>IF(T50="","",IF(U50=0,0,($C$2/1000)*'Tabla de Incrementos'!$J$4))</f>
        <v>9500</v>
      </c>
      <c r="Y50" s="600">
        <f t="shared" si="2"/>
        <v>0</v>
      </c>
      <c r="Z50" s="600">
        <f t="shared" si="10"/>
        <v>0</v>
      </c>
      <c r="AA50" s="557">
        <f t="shared" si="11"/>
        <v>299</v>
      </c>
      <c r="AB50" s="557">
        <f t="shared" si="12"/>
        <v>9799</v>
      </c>
    </row>
    <row r="51" spans="1:28" x14ac:dyDescent="0.35">
      <c r="A51" s="595">
        <f t="shared" si="3"/>
        <v>1</v>
      </c>
      <c r="B51" s="596">
        <f t="shared" si="13"/>
        <v>45</v>
      </c>
      <c r="C51" s="597">
        <f ca="1">IF(B51="","",'Fecha Pago'!K48)</f>
        <v>47517</v>
      </c>
      <c r="D51" s="598">
        <f t="shared" si="14"/>
        <v>30.4</v>
      </c>
      <c r="E51" s="599">
        <f>IF(B51="","",'Tabla de Incrementos'!$C$3)</f>
        <v>0.11</v>
      </c>
      <c r="F51" s="600">
        <f t="shared" si="5"/>
        <v>988904.16662699566</v>
      </c>
      <c r="G51" s="600">
        <f t="shared" si="15"/>
        <v>314.17907444257435</v>
      </c>
      <c r="H51" s="600">
        <f t="shared" si="6"/>
        <v>9185.8209255574257</v>
      </c>
      <c r="I51" s="600">
        <f>IF(B51="","",IF(F51=0,0,($C$2/1000)*'Tabla de Incrementos'!$J$4))</f>
        <v>9500</v>
      </c>
      <c r="J51" s="600">
        <f t="shared" si="16"/>
        <v>0</v>
      </c>
      <c r="K51" s="600">
        <f t="shared" si="17"/>
        <v>0</v>
      </c>
      <c r="L51" s="600">
        <f t="shared" si="7"/>
        <v>299</v>
      </c>
      <c r="M51" s="600">
        <f>IF(B51="","",IF(A51=0,0,AportPat!L48))</f>
        <v>0</v>
      </c>
      <c r="N51" s="601">
        <f>Simulador!N111</f>
        <v>0</v>
      </c>
      <c r="O51" s="608">
        <v>0</v>
      </c>
      <c r="P51" s="600">
        <f t="shared" si="18"/>
        <v>9799</v>
      </c>
      <c r="Q51" s="600">
        <f t="shared" si="0"/>
        <v>988589.98755255307</v>
      </c>
      <c r="S51" s="120">
        <v>0.11</v>
      </c>
      <c r="T51" s="198">
        <f t="shared" si="1"/>
        <v>45</v>
      </c>
      <c r="U51" s="347">
        <f t="shared" si="19"/>
        <v>988904.16662699566</v>
      </c>
      <c r="V51" s="347">
        <f t="shared" si="8"/>
        <v>314.17907444257435</v>
      </c>
      <c r="W51" s="347">
        <f t="shared" si="9"/>
        <v>9185.8209255574257</v>
      </c>
      <c r="X51" s="600">
        <f>IF(T51="","",IF(U51=0,0,($C$2/1000)*'Tabla de Incrementos'!$J$4))</f>
        <v>9500</v>
      </c>
      <c r="Y51" s="600">
        <f t="shared" si="2"/>
        <v>0</v>
      </c>
      <c r="Z51" s="600">
        <f t="shared" si="10"/>
        <v>0</v>
      </c>
      <c r="AA51" s="557">
        <f t="shared" si="11"/>
        <v>299</v>
      </c>
      <c r="AB51" s="557">
        <f t="shared" si="12"/>
        <v>9799</v>
      </c>
    </row>
    <row r="52" spans="1:28" x14ac:dyDescent="0.35">
      <c r="A52" s="595">
        <f t="shared" si="3"/>
        <v>1</v>
      </c>
      <c r="B52" s="596">
        <f t="shared" si="13"/>
        <v>46</v>
      </c>
      <c r="C52" s="597">
        <f ca="1">IF(B52="","",'Fecha Pago'!K49)</f>
        <v>47545</v>
      </c>
      <c r="D52" s="598">
        <f t="shared" si="14"/>
        <v>30.4</v>
      </c>
      <c r="E52" s="599">
        <f>IF(B52="","",'Tabla de Incrementos'!$C$3)</f>
        <v>0.11</v>
      </c>
      <c r="F52" s="600">
        <f t="shared" si="5"/>
        <v>988589.98755255307</v>
      </c>
      <c r="G52" s="600">
        <f t="shared" si="15"/>
        <v>317.09744895628501</v>
      </c>
      <c r="H52" s="600">
        <f t="shared" si="6"/>
        <v>9182.902551043715</v>
      </c>
      <c r="I52" s="600">
        <f>IF(B52="","",IF(F52=0,0,($C$2/1000)*'Tabla de Incrementos'!$J$4))</f>
        <v>9500</v>
      </c>
      <c r="J52" s="600">
        <f t="shared" si="16"/>
        <v>0</v>
      </c>
      <c r="K52" s="600">
        <f t="shared" si="17"/>
        <v>0</v>
      </c>
      <c r="L52" s="600">
        <f t="shared" si="7"/>
        <v>299</v>
      </c>
      <c r="M52" s="600">
        <f>IF(B52="","",IF(A52=0,0,AportPat!L49))</f>
        <v>0</v>
      </c>
      <c r="N52" s="601">
        <f>Simulador!N112</f>
        <v>0</v>
      </c>
      <c r="O52" s="608">
        <v>0</v>
      </c>
      <c r="P52" s="600">
        <f t="shared" si="18"/>
        <v>9799</v>
      </c>
      <c r="Q52" s="600">
        <f t="shared" si="0"/>
        <v>988272.89010359673</v>
      </c>
      <c r="S52" s="120">
        <v>0.11</v>
      </c>
      <c r="T52" s="198">
        <f t="shared" si="1"/>
        <v>46</v>
      </c>
      <c r="U52" s="347">
        <f t="shared" si="19"/>
        <v>988589.98755255307</v>
      </c>
      <c r="V52" s="347">
        <f t="shared" si="8"/>
        <v>317.09744895628501</v>
      </c>
      <c r="W52" s="347">
        <f t="shared" si="9"/>
        <v>9182.902551043715</v>
      </c>
      <c r="X52" s="600">
        <f>IF(T52="","",IF(U52=0,0,($C$2/1000)*'Tabla de Incrementos'!$J$4))</f>
        <v>9500</v>
      </c>
      <c r="Y52" s="600">
        <f t="shared" si="2"/>
        <v>0</v>
      </c>
      <c r="Z52" s="600">
        <f t="shared" si="10"/>
        <v>0</v>
      </c>
      <c r="AA52" s="557">
        <f t="shared" si="11"/>
        <v>299</v>
      </c>
      <c r="AB52" s="557">
        <f t="shared" si="12"/>
        <v>9799</v>
      </c>
    </row>
    <row r="53" spans="1:28" x14ac:dyDescent="0.35">
      <c r="A53" s="595">
        <f t="shared" si="3"/>
        <v>1</v>
      </c>
      <c r="B53" s="596">
        <f t="shared" si="13"/>
        <v>47</v>
      </c>
      <c r="C53" s="597">
        <f ca="1">IF(B53="","",'Fecha Pago'!K50)</f>
        <v>47576</v>
      </c>
      <c r="D53" s="598">
        <f t="shared" si="14"/>
        <v>30.4</v>
      </c>
      <c r="E53" s="599">
        <f>IF(B53="","",'Tabla de Incrementos'!$C$3)</f>
        <v>0.11</v>
      </c>
      <c r="F53" s="600">
        <f t="shared" si="5"/>
        <v>988272.89010359673</v>
      </c>
      <c r="G53" s="600">
        <f t="shared" si="15"/>
        <v>320.04293192659134</v>
      </c>
      <c r="H53" s="600">
        <f t="shared" si="6"/>
        <v>9179.9570680734087</v>
      </c>
      <c r="I53" s="600">
        <f>IF(B53="","",IF(F53=0,0,($C$2/1000)*'Tabla de Incrementos'!$J$4))</f>
        <v>9500</v>
      </c>
      <c r="J53" s="600">
        <f t="shared" si="16"/>
        <v>0</v>
      </c>
      <c r="K53" s="600">
        <f t="shared" si="17"/>
        <v>0</v>
      </c>
      <c r="L53" s="600">
        <f t="shared" si="7"/>
        <v>299</v>
      </c>
      <c r="M53" s="600">
        <f>IF(B53="","",IF(A53=0,0,AportPat!L50))</f>
        <v>0</v>
      </c>
      <c r="N53" s="601">
        <f>Simulador!N113</f>
        <v>0</v>
      </c>
      <c r="O53" s="608">
        <v>0</v>
      </c>
      <c r="P53" s="600">
        <f t="shared" si="18"/>
        <v>9799</v>
      </c>
      <c r="Q53" s="600">
        <f t="shared" si="0"/>
        <v>987952.84717167018</v>
      </c>
      <c r="S53" s="120">
        <v>0.11</v>
      </c>
      <c r="T53" s="198">
        <f t="shared" si="1"/>
        <v>47</v>
      </c>
      <c r="U53" s="347">
        <f t="shared" si="19"/>
        <v>988272.89010359673</v>
      </c>
      <c r="V53" s="347">
        <f t="shared" si="8"/>
        <v>320.04293192659134</v>
      </c>
      <c r="W53" s="347">
        <f t="shared" si="9"/>
        <v>9179.9570680734087</v>
      </c>
      <c r="X53" s="600">
        <f>IF(T53="","",IF(U53=0,0,($C$2/1000)*'Tabla de Incrementos'!$J$4))</f>
        <v>9500</v>
      </c>
      <c r="Y53" s="600">
        <f t="shared" si="2"/>
        <v>0</v>
      </c>
      <c r="Z53" s="600">
        <f t="shared" si="10"/>
        <v>0</v>
      </c>
      <c r="AA53" s="557">
        <f t="shared" si="11"/>
        <v>299</v>
      </c>
      <c r="AB53" s="557">
        <f t="shared" si="12"/>
        <v>9799</v>
      </c>
    </row>
    <row r="54" spans="1:28" x14ac:dyDescent="0.35">
      <c r="A54" s="595">
        <f t="shared" si="3"/>
        <v>1</v>
      </c>
      <c r="B54" s="596">
        <f t="shared" si="13"/>
        <v>48</v>
      </c>
      <c r="C54" s="597">
        <f ca="1">IF(B54="","",'Fecha Pago'!K51)</f>
        <v>47606</v>
      </c>
      <c r="D54" s="598">
        <f t="shared" si="14"/>
        <v>30.4</v>
      </c>
      <c r="E54" s="599">
        <f>IF(B54="","",'Tabla de Incrementos'!$C$3)</f>
        <v>0.11</v>
      </c>
      <c r="F54" s="600">
        <f t="shared" si="5"/>
        <v>987952.84717167018</v>
      </c>
      <c r="G54" s="600">
        <f t="shared" si="15"/>
        <v>323.0157751609313</v>
      </c>
      <c r="H54" s="600">
        <f t="shared" si="6"/>
        <v>9176.9842248390687</v>
      </c>
      <c r="I54" s="600">
        <f>IF(B54="","",IF(F54=0,0,($C$2/1000)*'Tabla de Incrementos'!$J$4))</f>
        <v>9500</v>
      </c>
      <c r="J54" s="600">
        <f t="shared" si="16"/>
        <v>0</v>
      </c>
      <c r="K54" s="600">
        <f t="shared" si="17"/>
        <v>0</v>
      </c>
      <c r="L54" s="600">
        <f t="shared" si="7"/>
        <v>299</v>
      </c>
      <c r="M54" s="600">
        <f>IF(B54="","",IF(A54=0,0,AportPat!L51))</f>
        <v>0</v>
      </c>
      <c r="N54" s="601">
        <f>Simulador!N114</f>
        <v>0</v>
      </c>
      <c r="O54" s="608">
        <v>0</v>
      </c>
      <c r="P54" s="600">
        <f t="shared" si="18"/>
        <v>9799</v>
      </c>
      <c r="Q54" s="600">
        <f t="shared" si="0"/>
        <v>987629.83139650919</v>
      </c>
      <c r="S54" s="120">
        <v>0.11</v>
      </c>
      <c r="T54" s="198">
        <f t="shared" si="1"/>
        <v>48</v>
      </c>
      <c r="U54" s="347">
        <f t="shared" si="19"/>
        <v>987952.84717167018</v>
      </c>
      <c r="V54" s="347">
        <f t="shared" si="8"/>
        <v>323.0157751609313</v>
      </c>
      <c r="W54" s="347">
        <f t="shared" si="9"/>
        <v>9176.9842248390687</v>
      </c>
      <c r="X54" s="600">
        <f>IF(T54="","",IF(U54=0,0,($C$2/1000)*'Tabla de Incrementos'!$J$4))</f>
        <v>9500</v>
      </c>
      <c r="Y54" s="600">
        <f t="shared" si="2"/>
        <v>0</v>
      </c>
      <c r="Z54" s="600">
        <f t="shared" si="10"/>
        <v>0</v>
      </c>
      <c r="AA54" s="557">
        <f t="shared" si="11"/>
        <v>299</v>
      </c>
      <c r="AB54" s="557">
        <f t="shared" si="12"/>
        <v>9799</v>
      </c>
    </row>
    <row r="55" spans="1:28" x14ac:dyDescent="0.35">
      <c r="A55" s="595">
        <f t="shared" si="3"/>
        <v>1</v>
      </c>
      <c r="B55" s="596">
        <f t="shared" si="13"/>
        <v>49</v>
      </c>
      <c r="C55" s="597">
        <f ca="1">IF(B55="","",'Fecha Pago'!K52)</f>
        <v>47637</v>
      </c>
      <c r="D55" s="598">
        <f t="shared" si="14"/>
        <v>30.4</v>
      </c>
      <c r="E55" s="599">
        <f>IF(B55="","",'Tabla de Incrementos'!$C$3)</f>
        <v>0.11</v>
      </c>
      <c r="F55" s="600">
        <f t="shared" si="5"/>
        <v>987629.83139650919</v>
      </c>
      <c r="G55" s="600">
        <f t="shared" si="15"/>
        <v>326.0162328057595</v>
      </c>
      <c r="H55" s="600">
        <f t="shared" si="6"/>
        <v>9173.9837671942405</v>
      </c>
      <c r="I55" s="600">
        <f>IF(B55="","",IF(F55=0,0,($C$2/1000)*'Tabla de Incrementos'!$J$4))</f>
        <v>9500</v>
      </c>
      <c r="J55" s="600">
        <f t="shared" si="16"/>
        <v>0</v>
      </c>
      <c r="K55" s="600">
        <f t="shared" si="17"/>
        <v>0</v>
      </c>
      <c r="L55" s="600">
        <f t="shared" si="7"/>
        <v>299</v>
      </c>
      <c r="M55" s="600">
        <f>IF(B55="","",IF(A55=0,0,AportPat!L52))</f>
        <v>0</v>
      </c>
      <c r="N55" s="601">
        <f>Simulador!N115</f>
        <v>0</v>
      </c>
      <c r="O55" s="608">
        <v>0</v>
      </c>
      <c r="P55" s="600">
        <f t="shared" si="18"/>
        <v>9799</v>
      </c>
      <c r="Q55" s="600">
        <f t="shared" si="0"/>
        <v>987303.8151637034</v>
      </c>
      <c r="S55" s="120">
        <v>0.11</v>
      </c>
      <c r="T55" s="198">
        <f t="shared" si="1"/>
        <v>49</v>
      </c>
      <c r="U55" s="347">
        <f t="shared" si="19"/>
        <v>987629.83139650919</v>
      </c>
      <c r="V55" s="347">
        <f t="shared" si="8"/>
        <v>326.0162328057595</v>
      </c>
      <c r="W55" s="347">
        <f t="shared" si="9"/>
        <v>9173.9837671942405</v>
      </c>
      <c r="X55" s="600">
        <f>IF(T55="","",IF(U55=0,0,($C$2/1000)*'Tabla de Incrementos'!$J$4))</f>
        <v>9500</v>
      </c>
      <c r="Y55" s="600">
        <f t="shared" si="2"/>
        <v>0</v>
      </c>
      <c r="Z55" s="600">
        <f t="shared" si="10"/>
        <v>0</v>
      </c>
      <c r="AA55" s="557">
        <f t="shared" si="11"/>
        <v>299</v>
      </c>
      <c r="AB55" s="557">
        <f t="shared" si="12"/>
        <v>9799</v>
      </c>
    </row>
    <row r="56" spans="1:28" x14ac:dyDescent="0.35">
      <c r="A56" s="595">
        <f t="shared" si="3"/>
        <v>1</v>
      </c>
      <c r="B56" s="604">
        <f t="shared" si="13"/>
        <v>50</v>
      </c>
      <c r="C56" s="597">
        <f ca="1">IF(B56="","",'Fecha Pago'!K53)</f>
        <v>47667</v>
      </c>
      <c r="D56" s="605">
        <f t="shared" si="14"/>
        <v>30.4</v>
      </c>
      <c r="E56" s="606">
        <f>IF(B56="","",'Tabla de Incrementos'!$C$3)</f>
        <v>0.11</v>
      </c>
      <c r="F56" s="607">
        <f t="shared" si="5"/>
        <v>987303.8151637034</v>
      </c>
      <c r="G56" s="607">
        <f t="shared" si="15"/>
        <v>329.04456136826775</v>
      </c>
      <c r="H56" s="607">
        <f t="shared" si="6"/>
        <v>9170.9554386317322</v>
      </c>
      <c r="I56" s="607">
        <f>IF(B56="","",IF(F56=0,0,($C$2/1000)*'Tabla de Incrementos'!$J$5))</f>
        <v>9500</v>
      </c>
      <c r="J56" s="607">
        <f t="shared" si="16"/>
        <v>0</v>
      </c>
      <c r="K56" s="607">
        <f t="shared" si="17"/>
        <v>0</v>
      </c>
      <c r="L56" s="607">
        <f t="shared" si="7"/>
        <v>299</v>
      </c>
      <c r="M56" s="607">
        <f>IF(B56="","",IF(A56=0,0,AportPat!L53))</f>
        <v>0</v>
      </c>
      <c r="N56" s="601">
        <f>Simulador!N116</f>
        <v>0</v>
      </c>
      <c r="O56" s="608">
        <v>0</v>
      </c>
      <c r="P56" s="607">
        <f t="shared" si="18"/>
        <v>9799</v>
      </c>
      <c r="Q56" s="607">
        <f t="shared" si="0"/>
        <v>986974.77060233511</v>
      </c>
      <c r="S56" s="120">
        <v>0.11</v>
      </c>
      <c r="T56" s="198">
        <f t="shared" si="1"/>
        <v>50</v>
      </c>
      <c r="U56" s="347">
        <f t="shared" si="19"/>
        <v>987303.8151637034</v>
      </c>
      <c r="V56" s="347">
        <f t="shared" si="8"/>
        <v>329.04456136826775</v>
      </c>
      <c r="W56" s="347">
        <f t="shared" si="9"/>
        <v>9170.9554386317322</v>
      </c>
      <c r="X56" s="607">
        <f>IF(T56="","",IF(U56=0,0,($C$2/1000)*'Tabla de Incrementos'!$J$5))</f>
        <v>9500</v>
      </c>
      <c r="Y56" s="607">
        <f t="shared" si="2"/>
        <v>0</v>
      </c>
      <c r="Z56" s="607">
        <f t="shared" si="10"/>
        <v>0</v>
      </c>
      <c r="AA56" s="557">
        <f t="shared" si="11"/>
        <v>299</v>
      </c>
      <c r="AB56" s="557">
        <f t="shared" si="12"/>
        <v>9799</v>
      </c>
    </row>
    <row r="57" spans="1:28" x14ac:dyDescent="0.35">
      <c r="A57" s="595">
        <f t="shared" si="3"/>
        <v>1</v>
      </c>
      <c r="B57" s="596">
        <f t="shared" si="13"/>
        <v>51</v>
      </c>
      <c r="C57" s="597">
        <f ca="1">IF(B57="","",'Fecha Pago'!K54)</f>
        <v>47698</v>
      </c>
      <c r="D57" s="598">
        <f t="shared" si="14"/>
        <v>30.4</v>
      </c>
      <c r="E57" s="599">
        <f>IF(B57="","",'Tabla de Incrementos'!$C$3)</f>
        <v>0.11</v>
      </c>
      <c r="F57" s="600">
        <f t="shared" si="5"/>
        <v>986974.77060233511</v>
      </c>
      <c r="G57" s="600">
        <f t="shared" si="15"/>
        <v>332.10101973830933</v>
      </c>
      <c r="H57" s="600">
        <f t="shared" si="6"/>
        <v>9167.8989802616907</v>
      </c>
      <c r="I57" s="600">
        <f>IF(B57="","",IF(F57=0,0,($C$2/1000)*'Tabla de Incrementos'!$J$5))</f>
        <v>9500</v>
      </c>
      <c r="J57" s="600">
        <f t="shared" si="16"/>
        <v>0</v>
      </c>
      <c r="K57" s="600">
        <f t="shared" si="17"/>
        <v>0</v>
      </c>
      <c r="L57" s="600">
        <f t="shared" si="7"/>
        <v>299</v>
      </c>
      <c r="M57" s="600">
        <f>IF(B57="","",IF(A57=0,0,AportPat!L54))</f>
        <v>0</v>
      </c>
      <c r="N57" s="601">
        <f>Simulador!N117</f>
        <v>0</v>
      </c>
      <c r="O57" s="608">
        <v>0</v>
      </c>
      <c r="P57" s="600">
        <f t="shared" si="18"/>
        <v>9799</v>
      </c>
      <c r="Q57" s="600">
        <f t="shared" si="0"/>
        <v>986642.66958259675</v>
      </c>
      <c r="S57" s="120">
        <v>0.11</v>
      </c>
      <c r="T57" s="198">
        <f t="shared" si="1"/>
        <v>51</v>
      </c>
      <c r="U57" s="347">
        <f t="shared" si="19"/>
        <v>986974.77060233511</v>
      </c>
      <c r="V57" s="347">
        <f t="shared" si="8"/>
        <v>332.10101973830933</v>
      </c>
      <c r="W57" s="347">
        <f t="shared" si="9"/>
        <v>9167.8989802616907</v>
      </c>
      <c r="X57" s="600">
        <f>IF(T57="","",IF(U57=0,0,($C$2/1000)*'Tabla de Incrementos'!$J$5))</f>
        <v>9500</v>
      </c>
      <c r="Y57" s="600">
        <f t="shared" si="2"/>
        <v>0</v>
      </c>
      <c r="Z57" s="600">
        <f t="shared" si="10"/>
        <v>0</v>
      </c>
      <c r="AA57" s="557">
        <f t="shared" si="11"/>
        <v>299</v>
      </c>
      <c r="AB57" s="557">
        <f t="shared" si="12"/>
        <v>9799</v>
      </c>
    </row>
    <row r="58" spans="1:28" x14ac:dyDescent="0.35">
      <c r="A58" s="595">
        <f t="shared" si="3"/>
        <v>1</v>
      </c>
      <c r="B58" s="596">
        <f t="shared" si="13"/>
        <v>52</v>
      </c>
      <c r="C58" s="597">
        <f ca="1">IF(B58="","",'Fecha Pago'!K55)</f>
        <v>47729</v>
      </c>
      <c r="D58" s="598">
        <f t="shared" si="14"/>
        <v>30.4</v>
      </c>
      <c r="E58" s="599">
        <f>IF(B58="","",'Tabla de Incrementos'!$C$3)</f>
        <v>0.11</v>
      </c>
      <c r="F58" s="600">
        <f t="shared" si="5"/>
        <v>986642.66958259675</v>
      </c>
      <c r="G58" s="600">
        <f t="shared" si="15"/>
        <v>335.18586921054703</v>
      </c>
      <c r="H58" s="600">
        <f t="shared" si="6"/>
        <v>9164.814130789453</v>
      </c>
      <c r="I58" s="600">
        <f>IF(B58="","",IF(F58=0,0,($C$2/1000)*'Tabla de Incrementos'!$J$5))</f>
        <v>9500</v>
      </c>
      <c r="J58" s="600">
        <f t="shared" si="16"/>
        <v>0</v>
      </c>
      <c r="K58" s="600">
        <f t="shared" si="17"/>
        <v>0</v>
      </c>
      <c r="L58" s="600">
        <f t="shared" si="7"/>
        <v>299</v>
      </c>
      <c r="M58" s="600">
        <f>IF(B58="","",IF(A58=0,0,AportPat!L55))</f>
        <v>0</v>
      </c>
      <c r="N58" s="601">
        <f>Simulador!N118</f>
        <v>0</v>
      </c>
      <c r="O58" s="608">
        <v>0</v>
      </c>
      <c r="P58" s="600">
        <f t="shared" si="18"/>
        <v>9799</v>
      </c>
      <c r="Q58" s="600">
        <f t="shared" si="0"/>
        <v>986307.48371338623</v>
      </c>
      <c r="S58" s="120">
        <v>0.11</v>
      </c>
      <c r="T58" s="198">
        <f t="shared" si="1"/>
        <v>52</v>
      </c>
      <c r="U58" s="347">
        <f t="shared" si="19"/>
        <v>986642.66958259675</v>
      </c>
      <c r="V58" s="347">
        <f t="shared" si="8"/>
        <v>335.18586921054703</v>
      </c>
      <c r="W58" s="347">
        <f t="shared" si="9"/>
        <v>9164.814130789453</v>
      </c>
      <c r="X58" s="600">
        <f>IF(T58="","",IF(U58=0,0,($C$2/1000)*'Tabla de Incrementos'!$J$5))</f>
        <v>9500</v>
      </c>
      <c r="Y58" s="600">
        <f t="shared" si="2"/>
        <v>0</v>
      </c>
      <c r="Z58" s="600">
        <f t="shared" si="10"/>
        <v>0</v>
      </c>
      <c r="AA58" s="557">
        <f t="shared" si="11"/>
        <v>299</v>
      </c>
      <c r="AB58" s="557">
        <f t="shared" si="12"/>
        <v>9799</v>
      </c>
    </row>
    <row r="59" spans="1:28" x14ac:dyDescent="0.35">
      <c r="A59" s="595">
        <f t="shared" si="3"/>
        <v>1</v>
      </c>
      <c r="B59" s="596">
        <f t="shared" si="13"/>
        <v>53</v>
      </c>
      <c r="C59" s="597">
        <f ca="1">IF(B59="","",'Fecha Pago'!K56)</f>
        <v>47759</v>
      </c>
      <c r="D59" s="598">
        <f t="shared" si="14"/>
        <v>30.4</v>
      </c>
      <c r="E59" s="599">
        <f>IF(B59="","",'Tabla de Incrementos'!$C$3)</f>
        <v>0.11</v>
      </c>
      <c r="F59" s="600">
        <f t="shared" si="5"/>
        <v>986307.48371338623</v>
      </c>
      <c r="G59" s="600">
        <f t="shared" si="15"/>
        <v>338.29937350676846</v>
      </c>
      <c r="H59" s="600">
        <f t="shared" si="6"/>
        <v>9161.7006264932315</v>
      </c>
      <c r="I59" s="600">
        <f>IF(B59="","",IF(F59=0,0,($C$2/1000)*'Tabla de Incrementos'!$J$5))</f>
        <v>9500</v>
      </c>
      <c r="J59" s="600">
        <f t="shared" si="16"/>
        <v>0</v>
      </c>
      <c r="K59" s="600">
        <f t="shared" si="17"/>
        <v>0</v>
      </c>
      <c r="L59" s="600">
        <f t="shared" si="7"/>
        <v>299</v>
      </c>
      <c r="M59" s="600">
        <f>IF(B59="","",IF(A59=0,0,AportPat!L56))</f>
        <v>0</v>
      </c>
      <c r="N59" s="601">
        <f>Simulador!N119</f>
        <v>0</v>
      </c>
      <c r="O59" s="608">
        <v>0</v>
      </c>
      <c r="P59" s="600">
        <f t="shared" si="18"/>
        <v>9799</v>
      </c>
      <c r="Q59" s="600">
        <f t="shared" si="0"/>
        <v>985969.18433987943</v>
      </c>
      <c r="S59" s="120">
        <v>0.11</v>
      </c>
      <c r="T59" s="198">
        <f t="shared" si="1"/>
        <v>53</v>
      </c>
      <c r="U59" s="347">
        <f t="shared" si="19"/>
        <v>986307.48371338623</v>
      </c>
      <c r="V59" s="347">
        <f t="shared" si="8"/>
        <v>338.29937350676846</v>
      </c>
      <c r="W59" s="347">
        <f t="shared" si="9"/>
        <v>9161.7006264932315</v>
      </c>
      <c r="X59" s="600">
        <f>IF(T59="","",IF(U59=0,0,($C$2/1000)*'Tabla de Incrementos'!$J$5))</f>
        <v>9500</v>
      </c>
      <c r="Y59" s="600">
        <f t="shared" si="2"/>
        <v>0</v>
      </c>
      <c r="Z59" s="600">
        <f t="shared" si="10"/>
        <v>0</v>
      </c>
      <c r="AA59" s="557">
        <f t="shared" si="11"/>
        <v>299</v>
      </c>
      <c r="AB59" s="557">
        <f t="shared" si="12"/>
        <v>9799</v>
      </c>
    </row>
    <row r="60" spans="1:28" x14ac:dyDescent="0.35">
      <c r="A60" s="595">
        <f t="shared" si="3"/>
        <v>1</v>
      </c>
      <c r="B60" s="596">
        <f t="shared" si="13"/>
        <v>54</v>
      </c>
      <c r="C60" s="597">
        <f ca="1">IF(B60="","",'Fecha Pago'!K57)</f>
        <v>47790</v>
      </c>
      <c r="D60" s="598">
        <f t="shared" si="14"/>
        <v>30.4</v>
      </c>
      <c r="E60" s="599">
        <f>IF(B60="","",'Tabla de Incrementos'!$C$3)</f>
        <v>0.11</v>
      </c>
      <c r="F60" s="600">
        <f t="shared" si="5"/>
        <v>985969.18433987943</v>
      </c>
      <c r="G60" s="600">
        <f t="shared" si="15"/>
        <v>341.44179879845433</v>
      </c>
      <c r="H60" s="600">
        <f t="shared" si="6"/>
        <v>9158.5582012015457</v>
      </c>
      <c r="I60" s="600">
        <f>IF(B60="","",IF(F60=0,0,($C$2/1000)*'Tabla de Incrementos'!$J$5))</f>
        <v>9500</v>
      </c>
      <c r="J60" s="600">
        <f t="shared" si="16"/>
        <v>0</v>
      </c>
      <c r="K60" s="600">
        <f t="shared" si="17"/>
        <v>0</v>
      </c>
      <c r="L60" s="600">
        <f t="shared" si="7"/>
        <v>299</v>
      </c>
      <c r="M60" s="600">
        <f>IF(B60="","",IF(A60=0,0,AportPat!L57))</f>
        <v>0</v>
      </c>
      <c r="N60" s="601">
        <f>Simulador!N120</f>
        <v>0</v>
      </c>
      <c r="O60" s="608">
        <v>0</v>
      </c>
      <c r="P60" s="600">
        <f t="shared" si="18"/>
        <v>9799</v>
      </c>
      <c r="Q60" s="600">
        <f t="shared" si="0"/>
        <v>985627.74254108092</v>
      </c>
      <c r="S60" s="120">
        <v>0.11</v>
      </c>
      <c r="T60" s="198">
        <f t="shared" si="1"/>
        <v>54</v>
      </c>
      <c r="U60" s="347">
        <f t="shared" si="19"/>
        <v>985969.18433987943</v>
      </c>
      <c r="V60" s="347">
        <f t="shared" si="8"/>
        <v>341.44179879845433</v>
      </c>
      <c r="W60" s="347">
        <f t="shared" si="9"/>
        <v>9158.5582012015457</v>
      </c>
      <c r="X60" s="600">
        <f>IF(T60="","",IF(U60=0,0,($C$2/1000)*'Tabla de Incrementos'!$J$5))</f>
        <v>9500</v>
      </c>
      <c r="Y60" s="600">
        <f t="shared" si="2"/>
        <v>0</v>
      </c>
      <c r="Z60" s="600">
        <f t="shared" si="10"/>
        <v>0</v>
      </c>
      <c r="AA60" s="557">
        <f t="shared" si="11"/>
        <v>299</v>
      </c>
      <c r="AB60" s="557">
        <f t="shared" si="12"/>
        <v>9799</v>
      </c>
    </row>
    <row r="61" spans="1:28" x14ac:dyDescent="0.35">
      <c r="A61" s="595">
        <f t="shared" si="3"/>
        <v>1</v>
      </c>
      <c r="B61" s="596">
        <f t="shared" si="13"/>
        <v>55</v>
      </c>
      <c r="C61" s="597">
        <f ca="1">IF(B61="","",'Fecha Pago'!K58)</f>
        <v>47820</v>
      </c>
      <c r="D61" s="598">
        <f t="shared" si="14"/>
        <v>30.4</v>
      </c>
      <c r="E61" s="599">
        <f>IF(B61="","",'Tabla de Incrementos'!$C$3)</f>
        <v>0.11</v>
      </c>
      <c r="F61" s="600">
        <f t="shared" si="5"/>
        <v>985627.74254108092</v>
      </c>
      <c r="G61" s="600">
        <f t="shared" si="15"/>
        <v>344.61341372951574</v>
      </c>
      <c r="H61" s="600">
        <f t="shared" si="6"/>
        <v>9155.3865862704843</v>
      </c>
      <c r="I61" s="600">
        <f>IF(B61="","",IF(F61=0,0,($C$2/1000)*'Tabla de Incrementos'!$J$5))</f>
        <v>9500</v>
      </c>
      <c r="J61" s="600">
        <f t="shared" si="16"/>
        <v>0</v>
      </c>
      <c r="K61" s="600">
        <f t="shared" si="17"/>
        <v>0</v>
      </c>
      <c r="L61" s="600">
        <f t="shared" si="7"/>
        <v>299</v>
      </c>
      <c r="M61" s="600">
        <f>IF(B61="","",IF(A61=0,0,AportPat!L58))</f>
        <v>0</v>
      </c>
      <c r="N61" s="601">
        <f>Simulador!N121</f>
        <v>0</v>
      </c>
      <c r="O61" s="608">
        <v>0</v>
      </c>
      <c r="P61" s="600">
        <f t="shared" si="18"/>
        <v>9799</v>
      </c>
      <c r="Q61" s="600">
        <f t="shared" si="0"/>
        <v>985283.12912735145</v>
      </c>
      <c r="S61" s="120">
        <v>0.11</v>
      </c>
      <c r="T61" s="198">
        <f t="shared" si="1"/>
        <v>55</v>
      </c>
      <c r="U61" s="347">
        <f t="shared" si="19"/>
        <v>985627.74254108092</v>
      </c>
      <c r="V61" s="347">
        <f t="shared" si="8"/>
        <v>344.61341372951574</v>
      </c>
      <c r="W61" s="347">
        <f t="shared" si="9"/>
        <v>9155.3865862704843</v>
      </c>
      <c r="X61" s="600">
        <f>IF(T61="","",IF(U61=0,0,($C$2/1000)*'Tabla de Incrementos'!$J$5))</f>
        <v>9500</v>
      </c>
      <c r="Y61" s="600">
        <f t="shared" si="2"/>
        <v>0</v>
      </c>
      <c r="Z61" s="600">
        <f t="shared" si="10"/>
        <v>0</v>
      </c>
      <c r="AA61" s="557">
        <f t="shared" si="11"/>
        <v>299</v>
      </c>
      <c r="AB61" s="557">
        <f t="shared" si="12"/>
        <v>9799</v>
      </c>
    </row>
    <row r="62" spans="1:28" x14ac:dyDescent="0.35">
      <c r="A62" s="595">
        <f t="shared" si="3"/>
        <v>1</v>
      </c>
      <c r="B62" s="596">
        <f t="shared" si="13"/>
        <v>56</v>
      </c>
      <c r="C62" s="597">
        <f ca="1">IF(B62="","",'Fecha Pago'!K59)</f>
        <v>47851</v>
      </c>
      <c r="D62" s="598">
        <f t="shared" si="14"/>
        <v>30.4</v>
      </c>
      <c r="E62" s="599">
        <f>IF(B62="","",'Tabla de Incrementos'!$C$3)</f>
        <v>0.11</v>
      </c>
      <c r="F62" s="600">
        <f t="shared" si="5"/>
        <v>985283.12912735145</v>
      </c>
      <c r="G62" s="600">
        <f t="shared" si="15"/>
        <v>347.81448943926989</v>
      </c>
      <c r="H62" s="600">
        <f t="shared" si="6"/>
        <v>9152.1855105607301</v>
      </c>
      <c r="I62" s="600">
        <f>IF(B62="","",IF(F62=0,0,($C$2/1000)*'Tabla de Incrementos'!$J$5))</f>
        <v>9500</v>
      </c>
      <c r="J62" s="600">
        <f t="shared" si="16"/>
        <v>0</v>
      </c>
      <c r="K62" s="600">
        <f t="shared" si="17"/>
        <v>0</v>
      </c>
      <c r="L62" s="600">
        <f t="shared" si="7"/>
        <v>299</v>
      </c>
      <c r="M62" s="600">
        <f>IF(B62="","",IF(A62=0,0,AportPat!L59))</f>
        <v>0</v>
      </c>
      <c r="N62" s="601">
        <f>Simulador!N122</f>
        <v>0</v>
      </c>
      <c r="O62" s="608">
        <v>0</v>
      </c>
      <c r="P62" s="600">
        <f t="shared" si="18"/>
        <v>9799</v>
      </c>
      <c r="Q62" s="600">
        <f t="shared" si="0"/>
        <v>984935.3146379122</v>
      </c>
      <c r="S62" s="120">
        <v>0.11</v>
      </c>
      <c r="T62" s="198">
        <f t="shared" si="1"/>
        <v>56</v>
      </c>
      <c r="U62" s="347">
        <f t="shared" si="19"/>
        <v>985283.12912735145</v>
      </c>
      <c r="V62" s="347">
        <f t="shared" si="8"/>
        <v>347.81448943926989</v>
      </c>
      <c r="W62" s="347">
        <f t="shared" si="9"/>
        <v>9152.1855105607301</v>
      </c>
      <c r="X62" s="600">
        <f>IF(T62="","",IF(U62=0,0,($C$2/1000)*'Tabla de Incrementos'!$J$5))</f>
        <v>9500</v>
      </c>
      <c r="Y62" s="600">
        <f t="shared" si="2"/>
        <v>0</v>
      </c>
      <c r="Z62" s="600">
        <f t="shared" si="10"/>
        <v>0</v>
      </c>
      <c r="AA62" s="557">
        <f t="shared" si="11"/>
        <v>299</v>
      </c>
      <c r="AB62" s="557">
        <f t="shared" si="12"/>
        <v>9799</v>
      </c>
    </row>
    <row r="63" spans="1:28" x14ac:dyDescent="0.35">
      <c r="A63" s="595">
        <f t="shared" si="3"/>
        <v>1</v>
      </c>
      <c r="B63" s="596">
        <f t="shared" si="13"/>
        <v>57</v>
      </c>
      <c r="C63" s="597">
        <f ca="1">IF(B63="","",'Fecha Pago'!K60)</f>
        <v>47882</v>
      </c>
      <c r="D63" s="598">
        <f t="shared" si="14"/>
        <v>30.4</v>
      </c>
      <c r="E63" s="599">
        <f>IF(B63="","",'Tabla de Incrementos'!$C$3)</f>
        <v>0.11</v>
      </c>
      <c r="F63" s="600">
        <f t="shared" si="5"/>
        <v>984935.3146379122</v>
      </c>
      <c r="G63" s="600">
        <f t="shared" si="15"/>
        <v>351.04529958561579</v>
      </c>
      <c r="H63" s="600">
        <f t="shared" si="6"/>
        <v>9148.9547004143842</v>
      </c>
      <c r="I63" s="600">
        <f>IF(B63="","",IF(F63=0,0,($C$2/1000)*'Tabla de Incrementos'!$J$5))</f>
        <v>9500</v>
      </c>
      <c r="J63" s="600">
        <f t="shared" si="16"/>
        <v>0</v>
      </c>
      <c r="K63" s="600">
        <f t="shared" si="17"/>
        <v>0</v>
      </c>
      <c r="L63" s="600">
        <f t="shared" si="7"/>
        <v>299</v>
      </c>
      <c r="M63" s="600">
        <f>IF(B63="","",IF(A63=0,0,AportPat!L60))</f>
        <v>0</v>
      </c>
      <c r="N63" s="601">
        <f>Simulador!N123</f>
        <v>0</v>
      </c>
      <c r="O63" s="608">
        <v>0</v>
      </c>
      <c r="P63" s="600">
        <f t="shared" si="18"/>
        <v>9799</v>
      </c>
      <c r="Q63" s="600">
        <f t="shared" si="0"/>
        <v>984584.26933832665</v>
      </c>
      <c r="S63" s="120">
        <v>0.11</v>
      </c>
      <c r="T63" s="198">
        <f t="shared" si="1"/>
        <v>57</v>
      </c>
      <c r="U63" s="347">
        <f t="shared" si="19"/>
        <v>984935.3146379122</v>
      </c>
      <c r="V63" s="347">
        <f t="shared" si="8"/>
        <v>351.04529958561579</v>
      </c>
      <c r="W63" s="347">
        <f t="shared" si="9"/>
        <v>9148.9547004143842</v>
      </c>
      <c r="X63" s="600">
        <f>IF(T63="","",IF(U63=0,0,($C$2/1000)*'Tabla de Incrementos'!$J$5))</f>
        <v>9500</v>
      </c>
      <c r="Y63" s="600">
        <f t="shared" si="2"/>
        <v>0</v>
      </c>
      <c r="Z63" s="600">
        <f t="shared" si="10"/>
        <v>0</v>
      </c>
      <c r="AA63" s="557">
        <f t="shared" si="11"/>
        <v>299</v>
      </c>
      <c r="AB63" s="557">
        <f t="shared" si="12"/>
        <v>9799</v>
      </c>
    </row>
    <row r="64" spans="1:28" x14ac:dyDescent="0.35">
      <c r="A64" s="595">
        <f t="shared" si="3"/>
        <v>1</v>
      </c>
      <c r="B64" s="596">
        <f t="shared" si="13"/>
        <v>58</v>
      </c>
      <c r="C64" s="597">
        <f ca="1">IF(B64="","",'Fecha Pago'!K61)</f>
        <v>47910</v>
      </c>
      <c r="D64" s="598">
        <f t="shared" si="14"/>
        <v>30.4</v>
      </c>
      <c r="E64" s="599">
        <f>IF(B64="","",'Tabla de Incrementos'!$C$3)</f>
        <v>0.11</v>
      </c>
      <c r="F64" s="600">
        <f t="shared" si="5"/>
        <v>984584.26933832665</v>
      </c>
      <c r="G64" s="600">
        <f t="shared" si="15"/>
        <v>354.30612036843377</v>
      </c>
      <c r="H64" s="600">
        <f t="shared" si="6"/>
        <v>9145.6938796315662</v>
      </c>
      <c r="I64" s="600">
        <f>IF(B64="","",IF(F64=0,0,($C$2/1000)*'Tabla de Incrementos'!$J$5))</f>
        <v>9500</v>
      </c>
      <c r="J64" s="600">
        <f t="shared" si="16"/>
        <v>0</v>
      </c>
      <c r="K64" s="600">
        <f t="shared" si="17"/>
        <v>0</v>
      </c>
      <c r="L64" s="600">
        <f t="shared" si="7"/>
        <v>299</v>
      </c>
      <c r="M64" s="600">
        <f>IF(B64="","",IF(A64=0,0,AportPat!L61))</f>
        <v>0</v>
      </c>
      <c r="N64" s="601">
        <f>Simulador!N124</f>
        <v>0</v>
      </c>
      <c r="O64" s="608">
        <v>0</v>
      </c>
      <c r="P64" s="600">
        <f t="shared" si="18"/>
        <v>9799</v>
      </c>
      <c r="Q64" s="600">
        <f t="shared" si="0"/>
        <v>984229.96321795823</v>
      </c>
      <c r="S64" s="120">
        <v>0.11</v>
      </c>
      <c r="T64" s="198">
        <f t="shared" si="1"/>
        <v>58</v>
      </c>
      <c r="U64" s="347">
        <f t="shared" si="19"/>
        <v>984584.26933832665</v>
      </c>
      <c r="V64" s="347">
        <f t="shared" si="8"/>
        <v>354.30612036843377</v>
      </c>
      <c r="W64" s="347">
        <f t="shared" si="9"/>
        <v>9145.6938796315662</v>
      </c>
      <c r="X64" s="600">
        <f>IF(T64="","",IF(U64=0,0,($C$2/1000)*'Tabla de Incrementos'!$J$5))</f>
        <v>9500</v>
      </c>
      <c r="Y64" s="600">
        <f t="shared" si="2"/>
        <v>0</v>
      </c>
      <c r="Z64" s="600">
        <f t="shared" si="10"/>
        <v>0</v>
      </c>
      <c r="AA64" s="557">
        <f t="shared" si="11"/>
        <v>299</v>
      </c>
      <c r="AB64" s="557">
        <f t="shared" si="12"/>
        <v>9799</v>
      </c>
    </row>
    <row r="65" spans="1:28" x14ac:dyDescent="0.35">
      <c r="A65" s="595">
        <f t="shared" si="3"/>
        <v>1</v>
      </c>
      <c r="B65" s="596">
        <f t="shared" si="13"/>
        <v>59</v>
      </c>
      <c r="C65" s="597">
        <f ca="1">IF(B65="","",'Fecha Pago'!K62)</f>
        <v>47941</v>
      </c>
      <c r="D65" s="598">
        <f t="shared" si="14"/>
        <v>30.4</v>
      </c>
      <c r="E65" s="599">
        <f>IF(B65="","",'Tabla de Incrementos'!$C$3)</f>
        <v>0.11</v>
      </c>
      <c r="F65" s="600">
        <f t="shared" si="5"/>
        <v>984229.96321795823</v>
      </c>
      <c r="G65" s="600">
        <f t="shared" si="15"/>
        <v>357.59723055318864</v>
      </c>
      <c r="H65" s="600">
        <f t="shared" si="6"/>
        <v>9142.4027694468114</v>
      </c>
      <c r="I65" s="600">
        <f>IF(B65="","",IF(F65=0,0,($C$2/1000)*'Tabla de Incrementos'!$J$5))</f>
        <v>9500</v>
      </c>
      <c r="J65" s="600">
        <f t="shared" si="16"/>
        <v>0</v>
      </c>
      <c r="K65" s="600">
        <f t="shared" si="17"/>
        <v>0</v>
      </c>
      <c r="L65" s="600">
        <f t="shared" si="7"/>
        <v>299</v>
      </c>
      <c r="M65" s="600">
        <f>IF(B65="","",IF(A65=0,0,AportPat!L62))</f>
        <v>0</v>
      </c>
      <c r="N65" s="601">
        <f>Simulador!N125</f>
        <v>0</v>
      </c>
      <c r="O65" s="608">
        <v>0</v>
      </c>
      <c r="P65" s="600">
        <f t="shared" si="18"/>
        <v>9799</v>
      </c>
      <c r="Q65" s="600">
        <f t="shared" si="0"/>
        <v>983872.36598740506</v>
      </c>
      <c r="S65" s="120">
        <v>0.11</v>
      </c>
      <c r="T65" s="198">
        <f t="shared" si="1"/>
        <v>59</v>
      </c>
      <c r="U65" s="347">
        <f t="shared" si="19"/>
        <v>984229.96321795823</v>
      </c>
      <c r="V65" s="347">
        <f t="shared" si="8"/>
        <v>357.59723055318864</v>
      </c>
      <c r="W65" s="347">
        <f t="shared" si="9"/>
        <v>9142.4027694468114</v>
      </c>
      <c r="X65" s="600">
        <f>IF(T65="","",IF(U65=0,0,($C$2/1000)*'Tabla de Incrementos'!$J$5))</f>
        <v>9500</v>
      </c>
      <c r="Y65" s="600">
        <f t="shared" si="2"/>
        <v>0</v>
      </c>
      <c r="Z65" s="600">
        <f t="shared" si="10"/>
        <v>0</v>
      </c>
      <c r="AA65" s="557">
        <f t="shared" si="11"/>
        <v>299</v>
      </c>
      <c r="AB65" s="557">
        <f t="shared" si="12"/>
        <v>9799</v>
      </c>
    </row>
    <row r="66" spans="1:28" x14ac:dyDescent="0.35">
      <c r="A66" s="595">
        <f t="shared" si="3"/>
        <v>1</v>
      </c>
      <c r="B66" s="596">
        <f t="shared" si="13"/>
        <v>60</v>
      </c>
      <c r="C66" s="597">
        <f ca="1">IF(B66="","",'Fecha Pago'!K63)</f>
        <v>47971</v>
      </c>
      <c r="D66" s="598">
        <f t="shared" si="14"/>
        <v>30.4</v>
      </c>
      <c r="E66" s="599">
        <f>IF(B66="","",'Tabla de Incrementos'!$C$3)</f>
        <v>0.11</v>
      </c>
      <c r="F66" s="600">
        <f t="shared" si="5"/>
        <v>983872.36598740506</v>
      </c>
      <c r="G66" s="600">
        <f t="shared" si="15"/>
        <v>360.91891149477124</v>
      </c>
      <c r="H66" s="600">
        <f t="shared" si="6"/>
        <v>9139.0810885052288</v>
      </c>
      <c r="I66" s="600">
        <f>IF(B66="","",IF(F66=0,0,($C$2/1000)*'Tabla de Incrementos'!$J$5))</f>
        <v>9500</v>
      </c>
      <c r="J66" s="600">
        <f t="shared" si="16"/>
        <v>0</v>
      </c>
      <c r="K66" s="600">
        <f t="shared" si="17"/>
        <v>0</v>
      </c>
      <c r="L66" s="600">
        <f t="shared" si="7"/>
        <v>299</v>
      </c>
      <c r="M66" s="600">
        <f>IF(B66="","",IF(A66=0,0,AportPat!L63))</f>
        <v>0</v>
      </c>
      <c r="N66" s="601">
        <f>Simulador!N126</f>
        <v>0</v>
      </c>
      <c r="O66" s="608">
        <v>0</v>
      </c>
      <c r="P66" s="600">
        <f t="shared" si="18"/>
        <v>9799</v>
      </c>
      <c r="Q66" s="600">
        <f t="shared" si="0"/>
        <v>983511.44707591028</v>
      </c>
      <c r="S66" s="120">
        <v>0.11</v>
      </c>
      <c r="T66" s="198">
        <f t="shared" si="1"/>
        <v>60</v>
      </c>
      <c r="U66" s="347">
        <f t="shared" si="19"/>
        <v>983872.36598740506</v>
      </c>
      <c r="V66" s="347">
        <f t="shared" si="8"/>
        <v>360.91891149477124</v>
      </c>
      <c r="W66" s="347">
        <f t="shared" si="9"/>
        <v>9139.0810885052288</v>
      </c>
      <c r="X66" s="600">
        <f>IF(T66="","",IF(U66=0,0,($C$2/1000)*'Tabla de Incrementos'!$J$5))</f>
        <v>9500</v>
      </c>
      <c r="Y66" s="600">
        <f t="shared" si="2"/>
        <v>0</v>
      </c>
      <c r="Z66" s="600">
        <f t="shared" si="10"/>
        <v>0</v>
      </c>
      <c r="AA66" s="557">
        <f t="shared" si="11"/>
        <v>299</v>
      </c>
      <c r="AB66" s="557">
        <f t="shared" si="12"/>
        <v>9799</v>
      </c>
    </row>
    <row r="67" spans="1:28" x14ac:dyDescent="0.35">
      <c r="A67" s="595">
        <f t="shared" si="3"/>
        <v>1</v>
      </c>
      <c r="B67" s="596">
        <f t="shared" si="13"/>
        <v>61</v>
      </c>
      <c r="C67" s="597">
        <f ca="1">IF(B67="","",'Fecha Pago'!K64)</f>
        <v>48002</v>
      </c>
      <c r="D67" s="598">
        <f t="shared" si="14"/>
        <v>30.4</v>
      </c>
      <c r="E67" s="599">
        <f>IF(B67="","",'Tabla de Incrementos'!$C$3)</f>
        <v>0.11</v>
      </c>
      <c r="F67" s="600">
        <f t="shared" si="5"/>
        <v>983511.44707591028</v>
      </c>
      <c r="G67" s="600">
        <f t="shared" si="15"/>
        <v>364.27144716154544</v>
      </c>
      <c r="H67" s="600">
        <f t="shared" si="6"/>
        <v>9135.7285528384546</v>
      </c>
      <c r="I67" s="600">
        <f>IF(B67="","",IF(F67=0,0,($C$2/1000)*'Tabla de Incrementos'!$J$5))</f>
        <v>9500</v>
      </c>
      <c r="J67" s="600">
        <f t="shared" si="16"/>
        <v>0</v>
      </c>
      <c r="K67" s="600">
        <f t="shared" si="17"/>
        <v>0</v>
      </c>
      <c r="L67" s="600">
        <f t="shared" si="7"/>
        <v>299</v>
      </c>
      <c r="M67" s="600">
        <f>IF(B67="","",IF(A67=0,0,AportPat!L64))</f>
        <v>0</v>
      </c>
      <c r="N67" s="601">
        <f>Simulador!N127</f>
        <v>0</v>
      </c>
      <c r="O67" s="608">
        <v>0</v>
      </c>
      <c r="P67" s="600">
        <f t="shared" si="18"/>
        <v>9799</v>
      </c>
      <c r="Q67" s="600">
        <f t="shared" si="0"/>
        <v>983147.17562874872</v>
      </c>
      <c r="S67" s="120">
        <v>0.11</v>
      </c>
      <c r="T67" s="198">
        <f t="shared" si="1"/>
        <v>61</v>
      </c>
      <c r="U67" s="347">
        <f t="shared" si="19"/>
        <v>983511.44707591028</v>
      </c>
      <c r="V67" s="347">
        <f t="shared" si="8"/>
        <v>364.27144716154544</v>
      </c>
      <c r="W67" s="347">
        <f t="shared" si="9"/>
        <v>9135.7285528384546</v>
      </c>
      <c r="X67" s="600">
        <f>IF(T67="","",IF(U67=0,0,($C$2/1000)*'Tabla de Incrementos'!$J$5))</f>
        <v>9500</v>
      </c>
      <c r="Y67" s="600">
        <f t="shared" si="2"/>
        <v>0</v>
      </c>
      <c r="Z67" s="600">
        <f t="shared" si="10"/>
        <v>0</v>
      </c>
      <c r="AA67" s="557">
        <f t="shared" si="11"/>
        <v>299</v>
      </c>
      <c r="AB67" s="557">
        <f t="shared" si="12"/>
        <v>9799</v>
      </c>
    </row>
    <row r="68" spans="1:28" x14ac:dyDescent="0.35">
      <c r="A68" s="595">
        <f t="shared" si="3"/>
        <v>1</v>
      </c>
      <c r="B68" s="604">
        <f t="shared" si="13"/>
        <v>62</v>
      </c>
      <c r="C68" s="597">
        <f ca="1">IF(B68="","",'Fecha Pago'!K65)</f>
        <v>48032</v>
      </c>
      <c r="D68" s="605">
        <f t="shared" si="14"/>
        <v>30.4</v>
      </c>
      <c r="E68" s="606">
        <f>IF(B68="","",'Tabla de Incrementos'!$C$3)</f>
        <v>0.11</v>
      </c>
      <c r="F68" s="607">
        <f t="shared" si="5"/>
        <v>983147.17562874872</v>
      </c>
      <c r="G68" s="607">
        <f t="shared" si="15"/>
        <v>636.68572272107122</v>
      </c>
      <c r="H68" s="607">
        <f t="shared" si="6"/>
        <v>9132.3448758403756</v>
      </c>
      <c r="I68" s="607">
        <f>IF(B68="","",IF(F68=0,0,($C$2/1000)*'Tabla de Incrementos'!$J$6))</f>
        <v>9769.0305985614468</v>
      </c>
      <c r="J68" s="607">
        <f t="shared" si="16"/>
        <v>0</v>
      </c>
      <c r="K68" s="607">
        <f t="shared" si="17"/>
        <v>0</v>
      </c>
      <c r="L68" s="607">
        <f t="shared" si="7"/>
        <v>299</v>
      </c>
      <c r="M68" s="607">
        <f>IF(B68="","",IF(A68=0,0,AportPat!L65))</f>
        <v>0</v>
      </c>
      <c r="N68" s="601">
        <f>Simulador!N128</f>
        <v>0</v>
      </c>
      <c r="O68" s="608">
        <v>0</v>
      </c>
      <c r="P68" s="607">
        <f t="shared" si="18"/>
        <v>10068.030598561447</v>
      </c>
      <c r="Q68" s="607">
        <f t="shared" si="0"/>
        <v>982510.48990602768</v>
      </c>
      <c r="S68" s="120">
        <v>0.11</v>
      </c>
      <c r="T68" s="198">
        <f t="shared" si="1"/>
        <v>62</v>
      </c>
      <c r="U68" s="347">
        <f t="shared" si="19"/>
        <v>983147.17562874872</v>
      </c>
      <c r="V68" s="347">
        <f t="shared" si="8"/>
        <v>636.68572272107122</v>
      </c>
      <c r="W68" s="347">
        <f t="shared" si="9"/>
        <v>9132.3448758403756</v>
      </c>
      <c r="X68" s="607">
        <f>IF(T68="","",IF(U68=0,0,($C$2/1000)*'Tabla de Incrementos'!$J$6))</f>
        <v>9769.0305985614468</v>
      </c>
      <c r="Y68" s="607">
        <f t="shared" si="2"/>
        <v>0</v>
      </c>
      <c r="Z68" s="607">
        <f t="shared" si="10"/>
        <v>0</v>
      </c>
      <c r="AA68" s="557">
        <f t="shared" si="11"/>
        <v>299</v>
      </c>
      <c r="AB68" s="557">
        <f t="shared" si="12"/>
        <v>10068.030598561447</v>
      </c>
    </row>
    <row r="69" spans="1:28" x14ac:dyDescent="0.35">
      <c r="A69" s="595">
        <f t="shared" si="3"/>
        <v>1</v>
      </c>
      <c r="B69" s="596">
        <f t="shared" si="13"/>
        <v>63</v>
      </c>
      <c r="C69" s="597">
        <f ca="1">IF(B69="","",'Fecha Pago'!K66)</f>
        <v>48063</v>
      </c>
      <c r="D69" s="598">
        <f t="shared" si="14"/>
        <v>30.4</v>
      </c>
      <c r="E69" s="599">
        <f>IF(B69="","",'Tabla de Incrementos'!$C$3)</f>
        <v>0.11</v>
      </c>
      <c r="F69" s="600">
        <f t="shared" si="5"/>
        <v>982510.48990602768</v>
      </c>
      <c r="G69" s="600">
        <f t="shared" si="15"/>
        <v>642.59982565656901</v>
      </c>
      <c r="H69" s="600">
        <f t="shared" si="6"/>
        <v>9126.4307729048778</v>
      </c>
      <c r="I69" s="600">
        <f>IF(B69="","",IF(F69=0,0,($C$2/1000)*'Tabla de Incrementos'!$J$6))</f>
        <v>9769.0305985614468</v>
      </c>
      <c r="J69" s="600">
        <f t="shared" si="16"/>
        <v>0</v>
      </c>
      <c r="K69" s="600">
        <f t="shared" si="17"/>
        <v>0</v>
      </c>
      <c r="L69" s="600">
        <f t="shared" si="7"/>
        <v>299</v>
      </c>
      <c r="M69" s="600">
        <f>IF(B69="","",IF(A69=0,0,AportPat!L66))</f>
        <v>0</v>
      </c>
      <c r="N69" s="601">
        <f>Simulador!N129</f>
        <v>0</v>
      </c>
      <c r="O69" s="608">
        <v>0</v>
      </c>
      <c r="P69" s="600">
        <f t="shared" si="18"/>
        <v>10068.030598561447</v>
      </c>
      <c r="Q69" s="600">
        <f t="shared" si="0"/>
        <v>981867.89008037106</v>
      </c>
      <c r="S69" s="120">
        <v>0.11</v>
      </c>
      <c r="T69" s="198">
        <f t="shared" si="1"/>
        <v>63</v>
      </c>
      <c r="U69" s="347">
        <f t="shared" si="19"/>
        <v>982510.48990602768</v>
      </c>
      <c r="V69" s="347">
        <f t="shared" si="8"/>
        <v>642.59982565656901</v>
      </c>
      <c r="W69" s="347">
        <f t="shared" si="9"/>
        <v>9126.4307729048778</v>
      </c>
      <c r="X69" s="600">
        <f>IF(T69="","",IF(U69=0,0,($C$2/1000)*'Tabla de Incrementos'!$J$6))</f>
        <v>9769.0305985614468</v>
      </c>
      <c r="Y69" s="600">
        <f t="shared" si="2"/>
        <v>0</v>
      </c>
      <c r="Z69" s="600">
        <f t="shared" si="10"/>
        <v>0</v>
      </c>
      <c r="AA69" s="557">
        <f t="shared" si="11"/>
        <v>299</v>
      </c>
      <c r="AB69" s="557">
        <f t="shared" si="12"/>
        <v>10068.030598561447</v>
      </c>
    </row>
    <row r="70" spans="1:28" x14ac:dyDescent="0.35">
      <c r="A70" s="595">
        <f t="shared" si="3"/>
        <v>1</v>
      </c>
      <c r="B70" s="596">
        <f t="shared" si="13"/>
        <v>64</v>
      </c>
      <c r="C70" s="597">
        <f ca="1">IF(B70="","",'Fecha Pago'!K67)</f>
        <v>48094</v>
      </c>
      <c r="D70" s="598">
        <f t="shared" si="14"/>
        <v>30.4</v>
      </c>
      <c r="E70" s="599">
        <f>IF(B70="","",'Tabla de Incrementos'!$C$3)</f>
        <v>0.11</v>
      </c>
      <c r="F70" s="600">
        <f t="shared" si="5"/>
        <v>981867.89008037106</v>
      </c>
      <c r="G70" s="600">
        <f t="shared" si="15"/>
        <v>648.56886403711178</v>
      </c>
      <c r="H70" s="600">
        <f t="shared" si="6"/>
        <v>9120.461734524335</v>
      </c>
      <c r="I70" s="600">
        <f>IF(B70="","",IF(F70=0,0,($C$2/1000)*'Tabla de Incrementos'!$J$6))</f>
        <v>9769.0305985614468</v>
      </c>
      <c r="J70" s="600">
        <f t="shared" si="16"/>
        <v>0</v>
      </c>
      <c r="K70" s="600">
        <f t="shared" si="17"/>
        <v>0</v>
      </c>
      <c r="L70" s="600">
        <f t="shared" si="7"/>
        <v>299</v>
      </c>
      <c r="M70" s="600">
        <f>IF(B70="","",IF(A70=0,0,AportPat!L67))</f>
        <v>0</v>
      </c>
      <c r="N70" s="601">
        <f>Simulador!N130</f>
        <v>0</v>
      </c>
      <c r="O70" s="608">
        <v>0</v>
      </c>
      <c r="P70" s="600">
        <f t="shared" si="18"/>
        <v>10068.030598561447</v>
      </c>
      <c r="Q70" s="600">
        <f t="shared" si="0"/>
        <v>981219.32121633389</v>
      </c>
      <c r="S70" s="120">
        <v>0.11</v>
      </c>
      <c r="T70" s="198">
        <f t="shared" si="1"/>
        <v>64</v>
      </c>
      <c r="U70" s="347">
        <f t="shared" si="19"/>
        <v>981867.89008037106</v>
      </c>
      <c r="V70" s="347">
        <f t="shared" si="8"/>
        <v>648.56886403711178</v>
      </c>
      <c r="W70" s="347">
        <f t="shared" si="9"/>
        <v>9120.461734524335</v>
      </c>
      <c r="X70" s="600">
        <f>IF(T70="","",IF(U70=0,0,($C$2/1000)*'Tabla de Incrementos'!$J$6))</f>
        <v>9769.0305985614468</v>
      </c>
      <c r="Y70" s="600">
        <f t="shared" si="2"/>
        <v>0</v>
      </c>
      <c r="Z70" s="600">
        <f t="shared" si="10"/>
        <v>0</v>
      </c>
      <c r="AA70" s="557">
        <f t="shared" si="11"/>
        <v>299</v>
      </c>
      <c r="AB70" s="557">
        <f t="shared" si="12"/>
        <v>10068.030598561447</v>
      </c>
    </row>
    <row r="71" spans="1:28" x14ac:dyDescent="0.35">
      <c r="A71" s="595">
        <f t="shared" si="3"/>
        <v>1</v>
      </c>
      <c r="B71" s="596">
        <f t="shared" si="13"/>
        <v>65</v>
      </c>
      <c r="C71" s="597">
        <f ca="1">IF(B71="","",'Fecha Pago'!K68)</f>
        <v>48124</v>
      </c>
      <c r="D71" s="598">
        <f t="shared" si="14"/>
        <v>30.4</v>
      </c>
      <c r="E71" s="599">
        <f>IF(B71="","",'Tabla de Incrementos'!$C$3)</f>
        <v>0.11</v>
      </c>
      <c r="F71" s="600">
        <f t="shared" si="5"/>
        <v>981219.32121633389</v>
      </c>
      <c r="G71" s="600">
        <f t="shared" si="15"/>
        <v>654.59334815194597</v>
      </c>
      <c r="H71" s="600">
        <f t="shared" si="6"/>
        <v>9114.4372504095008</v>
      </c>
      <c r="I71" s="600">
        <f>IF(B71="","",IF(F71=0,0,($C$2/1000)*'Tabla de Incrementos'!$J$6))</f>
        <v>9769.0305985614468</v>
      </c>
      <c r="J71" s="600">
        <f t="shared" si="16"/>
        <v>0</v>
      </c>
      <c r="K71" s="600">
        <f t="shared" si="17"/>
        <v>0</v>
      </c>
      <c r="L71" s="600">
        <f t="shared" si="7"/>
        <v>299</v>
      </c>
      <c r="M71" s="600">
        <f>IF(B71="","",IF(A71=0,0,AportPat!L68))</f>
        <v>0</v>
      </c>
      <c r="N71" s="601">
        <f>Simulador!N131</f>
        <v>0</v>
      </c>
      <c r="O71" s="608">
        <v>0</v>
      </c>
      <c r="P71" s="600">
        <f t="shared" si="18"/>
        <v>10068.030598561447</v>
      </c>
      <c r="Q71" s="600">
        <f t="shared" ref="Q71:Q134" si="20">IF(B71="","",F71-G71)</f>
        <v>980564.72786818189</v>
      </c>
      <c r="S71" s="120">
        <v>0.11</v>
      </c>
      <c r="T71" s="198">
        <f t="shared" ref="T71:T134" si="21">B71</f>
        <v>65</v>
      </c>
      <c r="U71" s="347">
        <f t="shared" si="19"/>
        <v>981219.32121633389</v>
      </c>
      <c r="V71" s="347">
        <f t="shared" si="8"/>
        <v>654.59334815194597</v>
      </c>
      <c r="W71" s="347">
        <f t="shared" si="9"/>
        <v>9114.4372504095008</v>
      </c>
      <c r="X71" s="600">
        <f>IF(T71="","",IF(U71=0,0,($C$2/1000)*'Tabla de Incrementos'!$J$6))</f>
        <v>9769.0305985614468</v>
      </c>
      <c r="Y71" s="600">
        <f t="shared" ref="Y71:Y134" si="22">IF(T71="","",IF(U71=0,0,U71*$G$3))</f>
        <v>0</v>
      </c>
      <c r="Z71" s="600">
        <f t="shared" si="10"/>
        <v>0</v>
      </c>
      <c r="AA71" s="557">
        <f t="shared" si="11"/>
        <v>299</v>
      </c>
      <c r="AB71" s="557">
        <f t="shared" si="12"/>
        <v>10068.030598561447</v>
      </c>
    </row>
    <row r="72" spans="1:28" x14ac:dyDescent="0.35">
      <c r="A72" s="595">
        <f t="shared" ref="A72:A135" si="23">IF(B72="","",IF(F72&gt;0,1,0))</f>
        <v>1</v>
      </c>
      <c r="B72" s="596">
        <f t="shared" si="13"/>
        <v>66</v>
      </c>
      <c r="C72" s="597">
        <f ca="1">IF(B72="","",'Fecha Pago'!K69)</f>
        <v>48155</v>
      </c>
      <c r="D72" s="598">
        <f t="shared" si="14"/>
        <v>30.4</v>
      </c>
      <c r="E72" s="599">
        <f>IF(B72="","",'Tabla de Incrementos'!$C$3)</f>
        <v>0.11</v>
      </c>
      <c r="F72" s="600">
        <f t="shared" ref="F72:F135" si="24">IF(B72="","",Q71)</f>
        <v>980564.72786818189</v>
      </c>
      <c r="G72" s="600">
        <f t="shared" si="15"/>
        <v>660.67379303033522</v>
      </c>
      <c r="H72" s="600">
        <f t="shared" ref="H72:H135" si="25">IF(B72="","",(E72/360*D72)*F72)</f>
        <v>9108.3568055311116</v>
      </c>
      <c r="I72" s="600">
        <f>IF(B72="","",IF(F72=0,0,($C$2/1000)*'Tabla de Incrementos'!$J$6))</f>
        <v>9769.0305985614468</v>
      </c>
      <c r="J72" s="600">
        <f t="shared" si="16"/>
        <v>0</v>
      </c>
      <c r="K72" s="600">
        <f t="shared" si="17"/>
        <v>0</v>
      </c>
      <c r="L72" s="600">
        <f t="shared" ref="L72:L135" si="26">IF(B72="","",IF(F72=0,0,$J$3))</f>
        <v>299</v>
      </c>
      <c r="M72" s="600">
        <f>IF(B72="","",IF(A72=0,0,AportPat!L69))</f>
        <v>0</v>
      </c>
      <c r="N72" s="601">
        <f>Simulador!N132</f>
        <v>0</v>
      </c>
      <c r="O72" s="608">
        <v>0</v>
      </c>
      <c r="P72" s="600">
        <f t="shared" si="18"/>
        <v>10068.030598561447</v>
      </c>
      <c r="Q72" s="600">
        <f t="shared" si="20"/>
        <v>979904.05407515157</v>
      </c>
      <c r="S72" s="120">
        <v>0.11</v>
      </c>
      <c r="T72" s="198">
        <f t="shared" si="21"/>
        <v>66</v>
      </c>
      <c r="U72" s="347">
        <f t="shared" si="19"/>
        <v>980564.72786818189</v>
      </c>
      <c r="V72" s="347">
        <f t="shared" ref="V72:V135" si="27">IF(T72="","",IF(X72-W72&gt;U72,U72,X72-W72))</f>
        <v>660.67379303033522</v>
      </c>
      <c r="W72" s="347">
        <f t="shared" ref="W72:W135" si="28">IF(T72="","",(S72/360*30.4)*U72)</f>
        <v>9108.3568055311116</v>
      </c>
      <c r="X72" s="600">
        <f>IF(T72="","",IF(U72=0,0,($C$2/1000)*'Tabla de Incrementos'!$J$6))</f>
        <v>9769.0305985614468</v>
      </c>
      <c r="Y72" s="600">
        <f t="shared" si="22"/>
        <v>0</v>
      </c>
      <c r="Z72" s="600">
        <f t="shared" ref="Z72:Z135" si="29">IF(T72="","",IF(U72=0,0,$C$4*($G$4/1.16)))</f>
        <v>0</v>
      </c>
      <c r="AA72" s="557">
        <f t="shared" ref="AA72:AA135" si="30">IF(T72="","",$J$3)</f>
        <v>299</v>
      </c>
      <c r="AB72" s="557">
        <f t="shared" ref="AB72:AB135" si="31">IF(T72="","",V72+W72+Y72+Z72+AA72)</f>
        <v>10068.030598561447</v>
      </c>
    </row>
    <row r="73" spans="1:28" x14ac:dyDescent="0.35">
      <c r="A73" s="595">
        <f t="shared" si="23"/>
        <v>1</v>
      </c>
      <c r="B73" s="596">
        <f t="shared" ref="B73:B136" si="32">IF(B72=$C$3,"",IF(B72="","",B72+1))</f>
        <v>67</v>
      </c>
      <c r="C73" s="597">
        <f ca="1">IF(B73="","",'Fecha Pago'!K70)</f>
        <v>48185</v>
      </c>
      <c r="D73" s="598">
        <f t="shared" ref="D73:D136" si="33">IF(B73="","",30.4)</f>
        <v>30.4</v>
      </c>
      <c r="E73" s="599">
        <f>IF(B73="","",'Tabla de Incrementos'!$C$3)</f>
        <v>0.11</v>
      </c>
      <c r="F73" s="600">
        <f t="shared" si="24"/>
        <v>979904.05407515157</v>
      </c>
      <c r="G73" s="600">
        <f t="shared" ref="G73:G136" si="34">IF(B73="","",IF(F73=0,0,IF((I73-H73)&gt;F73,F73,I73-H73))+M73+(N73-O73))</f>
        <v>666.81071848559441</v>
      </c>
      <c r="H73" s="600">
        <f t="shared" si="25"/>
        <v>9102.2198800758524</v>
      </c>
      <c r="I73" s="600">
        <f>IF(B73="","",IF(F73=0,0,($C$2/1000)*'Tabla de Incrementos'!$J$6))</f>
        <v>9769.0305985614468</v>
      </c>
      <c r="J73" s="600">
        <f t="shared" ref="J73:J136" si="35">IF(B73="","",IF(F73=0,0,F73*$G$3))</f>
        <v>0</v>
      </c>
      <c r="K73" s="600">
        <f t="shared" ref="K73:K136" si="36">IF(B73="","",IF(F73=0,0,$C$4*$G$4))</f>
        <v>0</v>
      </c>
      <c r="L73" s="600">
        <f t="shared" si="26"/>
        <v>299</v>
      </c>
      <c r="M73" s="600">
        <f>IF(B73="","",IF(A73=0,0,AportPat!L70))</f>
        <v>0</v>
      </c>
      <c r="N73" s="601">
        <f>Simulador!N133</f>
        <v>0</v>
      </c>
      <c r="O73" s="608">
        <v>0</v>
      </c>
      <c r="P73" s="600">
        <f t="shared" ref="P73:P136" si="37">IF(B73="","",G73+H73+J73+K73+L73+O73-M73)</f>
        <v>10068.030598561447</v>
      </c>
      <c r="Q73" s="600">
        <f t="shared" si="20"/>
        <v>979237.24335666595</v>
      </c>
      <c r="S73" s="120">
        <v>0.11</v>
      </c>
      <c r="T73" s="198">
        <f t="shared" si="21"/>
        <v>67</v>
      </c>
      <c r="U73" s="347">
        <f t="shared" ref="U73:U136" si="38">IF(T73="","",U72-V72)</f>
        <v>979904.05407515157</v>
      </c>
      <c r="V73" s="347">
        <f t="shared" si="27"/>
        <v>666.81071848559441</v>
      </c>
      <c r="W73" s="347">
        <f t="shared" si="28"/>
        <v>9102.2198800758524</v>
      </c>
      <c r="X73" s="600">
        <f>IF(T73="","",IF(U73=0,0,($C$2/1000)*'Tabla de Incrementos'!$J$6))</f>
        <v>9769.0305985614468</v>
      </c>
      <c r="Y73" s="600">
        <f t="shared" si="22"/>
        <v>0</v>
      </c>
      <c r="Z73" s="600">
        <f t="shared" si="29"/>
        <v>0</v>
      </c>
      <c r="AA73" s="557">
        <f t="shared" si="30"/>
        <v>299</v>
      </c>
      <c r="AB73" s="557">
        <f t="shared" si="31"/>
        <v>10068.030598561447</v>
      </c>
    </row>
    <row r="74" spans="1:28" x14ac:dyDescent="0.35">
      <c r="A74" s="595">
        <f t="shared" si="23"/>
        <v>1</v>
      </c>
      <c r="B74" s="596">
        <f t="shared" si="32"/>
        <v>68</v>
      </c>
      <c r="C74" s="597">
        <f ca="1">IF(B74="","",'Fecha Pago'!K71)</f>
        <v>48216</v>
      </c>
      <c r="D74" s="598">
        <f t="shared" si="33"/>
        <v>30.4</v>
      </c>
      <c r="E74" s="599">
        <f>IF(B74="","",'Tabla de Incrementos'!$C$3)</f>
        <v>0.11</v>
      </c>
      <c r="F74" s="600">
        <f t="shared" si="24"/>
        <v>979237.24335666595</v>
      </c>
      <c r="G74" s="600">
        <f t="shared" si="34"/>
        <v>673.00464915952762</v>
      </c>
      <c r="H74" s="600">
        <f t="shared" si="25"/>
        <v>9096.0259494019192</v>
      </c>
      <c r="I74" s="600">
        <f>IF(B74="","",IF(F74=0,0,($C$2/1000)*'Tabla de Incrementos'!$J$6))</f>
        <v>9769.0305985614468</v>
      </c>
      <c r="J74" s="600">
        <f t="shared" si="35"/>
        <v>0</v>
      </c>
      <c r="K74" s="600">
        <f t="shared" si="36"/>
        <v>0</v>
      </c>
      <c r="L74" s="600">
        <f t="shared" si="26"/>
        <v>299</v>
      </c>
      <c r="M74" s="600">
        <f>IF(B74="","",IF(A74=0,0,AportPat!L71))</f>
        <v>0</v>
      </c>
      <c r="N74" s="601">
        <f>Simulador!N134</f>
        <v>0</v>
      </c>
      <c r="O74" s="608">
        <v>0</v>
      </c>
      <c r="P74" s="600">
        <f t="shared" si="37"/>
        <v>10068.030598561447</v>
      </c>
      <c r="Q74" s="600">
        <f t="shared" si="20"/>
        <v>978564.23870750645</v>
      </c>
      <c r="S74" s="120">
        <v>0.11</v>
      </c>
      <c r="T74" s="198">
        <f t="shared" si="21"/>
        <v>68</v>
      </c>
      <c r="U74" s="347">
        <f t="shared" si="38"/>
        <v>979237.24335666595</v>
      </c>
      <c r="V74" s="347">
        <f t="shared" si="27"/>
        <v>673.00464915952762</v>
      </c>
      <c r="W74" s="347">
        <f t="shared" si="28"/>
        <v>9096.0259494019192</v>
      </c>
      <c r="X74" s="600">
        <f>IF(T74="","",IF(U74=0,0,($C$2/1000)*'Tabla de Incrementos'!$J$6))</f>
        <v>9769.0305985614468</v>
      </c>
      <c r="Y74" s="600">
        <f t="shared" si="22"/>
        <v>0</v>
      </c>
      <c r="Z74" s="600">
        <f t="shared" si="29"/>
        <v>0</v>
      </c>
      <c r="AA74" s="557">
        <f t="shared" si="30"/>
        <v>299</v>
      </c>
      <c r="AB74" s="557">
        <f t="shared" si="31"/>
        <v>10068.030598561447</v>
      </c>
    </row>
    <row r="75" spans="1:28" x14ac:dyDescent="0.35">
      <c r="A75" s="595">
        <f t="shared" si="23"/>
        <v>1</v>
      </c>
      <c r="B75" s="596">
        <f t="shared" si="32"/>
        <v>69</v>
      </c>
      <c r="C75" s="597">
        <f ca="1">IF(B75="","",'Fecha Pago'!K72)</f>
        <v>48247</v>
      </c>
      <c r="D75" s="598">
        <f t="shared" si="33"/>
        <v>30.4</v>
      </c>
      <c r="E75" s="599">
        <f>IF(B75="","",'Tabla de Incrementos'!$C$3)</f>
        <v>0.11</v>
      </c>
      <c r="F75" s="600">
        <f t="shared" si="24"/>
        <v>978564.23870750645</v>
      </c>
      <c r="G75" s="600">
        <f t="shared" si="34"/>
        <v>679.25611456727711</v>
      </c>
      <c r="H75" s="600">
        <f t="shared" si="25"/>
        <v>9089.7744839941697</v>
      </c>
      <c r="I75" s="600">
        <f>IF(B75="","",IF(F75=0,0,($C$2/1000)*'Tabla de Incrementos'!$J$6))</f>
        <v>9769.0305985614468</v>
      </c>
      <c r="J75" s="600">
        <f t="shared" si="35"/>
        <v>0</v>
      </c>
      <c r="K75" s="600">
        <f t="shared" si="36"/>
        <v>0</v>
      </c>
      <c r="L75" s="600">
        <f t="shared" si="26"/>
        <v>299</v>
      </c>
      <c r="M75" s="600">
        <f>IF(B75="","",IF(A75=0,0,AportPat!L72))</f>
        <v>0</v>
      </c>
      <c r="N75" s="601">
        <f>Simulador!N135</f>
        <v>0</v>
      </c>
      <c r="O75" s="608">
        <v>0</v>
      </c>
      <c r="P75" s="600">
        <f t="shared" si="37"/>
        <v>10068.030598561447</v>
      </c>
      <c r="Q75" s="600">
        <f t="shared" si="20"/>
        <v>977884.98259293917</v>
      </c>
      <c r="S75" s="120">
        <v>0.11</v>
      </c>
      <c r="T75" s="198">
        <f t="shared" si="21"/>
        <v>69</v>
      </c>
      <c r="U75" s="347">
        <f t="shared" si="38"/>
        <v>978564.23870750645</v>
      </c>
      <c r="V75" s="347">
        <f t="shared" si="27"/>
        <v>679.25611456727711</v>
      </c>
      <c r="W75" s="347">
        <f t="shared" si="28"/>
        <v>9089.7744839941697</v>
      </c>
      <c r="X75" s="600">
        <f>IF(T75="","",IF(U75=0,0,($C$2/1000)*'Tabla de Incrementos'!$J$6))</f>
        <v>9769.0305985614468</v>
      </c>
      <c r="Y75" s="600">
        <f t="shared" si="22"/>
        <v>0</v>
      </c>
      <c r="Z75" s="600">
        <f t="shared" si="29"/>
        <v>0</v>
      </c>
      <c r="AA75" s="557">
        <f t="shared" si="30"/>
        <v>299</v>
      </c>
      <c r="AB75" s="557">
        <f t="shared" si="31"/>
        <v>10068.030598561447</v>
      </c>
    </row>
    <row r="76" spans="1:28" x14ac:dyDescent="0.35">
      <c r="A76" s="595">
        <f t="shared" si="23"/>
        <v>1</v>
      </c>
      <c r="B76" s="596">
        <f t="shared" si="32"/>
        <v>70</v>
      </c>
      <c r="C76" s="597">
        <f ca="1">IF(B76="","",'Fecha Pago'!K73)</f>
        <v>48276</v>
      </c>
      <c r="D76" s="598">
        <f t="shared" si="33"/>
        <v>30.4</v>
      </c>
      <c r="E76" s="599">
        <f>IF(B76="","",'Tabla de Incrementos'!$C$3)</f>
        <v>0.11</v>
      </c>
      <c r="F76" s="600">
        <f t="shared" si="24"/>
        <v>977884.98259293917</v>
      </c>
      <c r="G76" s="600">
        <f t="shared" si="34"/>
        <v>685.5656491425907</v>
      </c>
      <c r="H76" s="600">
        <f t="shared" si="25"/>
        <v>9083.4649494188561</v>
      </c>
      <c r="I76" s="600">
        <f>IF(B76="","",IF(F76=0,0,($C$2/1000)*'Tabla de Incrementos'!$J$6))</f>
        <v>9769.0305985614468</v>
      </c>
      <c r="J76" s="600">
        <f t="shared" si="35"/>
        <v>0</v>
      </c>
      <c r="K76" s="600">
        <f t="shared" si="36"/>
        <v>0</v>
      </c>
      <c r="L76" s="600">
        <f t="shared" si="26"/>
        <v>299</v>
      </c>
      <c r="M76" s="600">
        <f>IF(B76="","",IF(A76=0,0,AportPat!L73))</f>
        <v>0</v>
      </c>
      <c r="N76" s="601">
        <f>Simulador!N136</f>
        <v>0</v>
      </c>
      <c r="O76" s="608">
        <v>0</v>
      </c>
      <c r="P76" s="600">
        <f t="shared" si="37"/>
        <v>10068.030598561447</v>
      </c>
      <c r="Q76" s="600">
        <f t="shared" si="20"/>
        <v>977199.41694379656</v>
      </c>
      <c r="S76" s="120">
        <v>0.11</v>
      </c>
      <c r="T76" s="198">
        <f t="shared" si="21"/>
        <v>70</v>
      </c>
      <c r="U76" s="347">
        <f t="shared" si="38"/>
        <v>977884.98259293917</v>
      </c>
      <c r="V76" s="347">
        <f t="shared" si="27"/>
        <v>685.5656491425907</v>
      </c>
      <c r="W76" s="347">
        <f t="shared" si="28"/>
        <v>9083.4649494188561</v>
      </c>
      <c r="X76" s="600">
        <f>IF(T76="","",IF(U76=0,0,($C$2/1000)*'Tabla de Incrementos'!$J$6))</f>
        <v>9769.0305985614468</v>
      </c>
      <c r="Y76" s="600">
        <f t="shared" si="22"/>
        <v>0</v>
      </c>
      <c r="Z76" s="600">
        <f t="shared" si="29"/>
        <v>0</v>
      </c>
      <c r="AA76" s="557">
        <f t="shared" si="30"/>
        <v>299</v>
      </c>
      <c r="AB76" s="557">
        <f t="shared" si="31"/>
        <v>10068.030598561447</v>
      </c>
    </row>
    <row r="77" spans="1:28" x14ac:dyDescent="0.35">
      <c r="A77" s="595">
        <f t="shared" si="23"/>
        <v>1</v>
      </c>
      <c r="B77" s="596">
        <f t="shared" si="32"/>
        <v>71</v>
      </c>
      <c r="C77" s="597">
        <f ca="1">IF(B77="","",'Fecha Pago'!K74)</f>
        <v>48307</v>
      </c>
      <c r="D77" s="598">
        <f t="shared" si="33"/>
        <v>30.4</v>
      </c>
      <c r="E77" s="599">
        <f>IF(B77="","",'Tabla de Incrementos'!$C$3)</f>
        <v>0.11</v>
      </c>
      <c r="F77" s="600">
        <f t="shared" si="24"/>
        <v>977199.41694379656</v>
      </c>
      <c r="G77" s="600">
        <f t="shared" si="34"/>
        <v>691.93379228351478</v>
      </c>
      <c r="H77" s="600">
        <f t="shared" si="25"/>
        <v>9077.096806277932</v>
      </c>
      <c r="I77" s="600">
        <f>IF(B77="","",IF(F77=0,0,($C$2/1000)*'Tabla de Incrementos'!$J$6))</f>
        <v>9769.0305985614468</v>
      </c>
      <c r="J77" s="600">
        <f t="shared" si="35"/>
        <v>0</v>
      </c>
      <c r="K77" s="600">
        <f t="shared" si="36"/>
        <v>0</v>
      </c>
      <c r="L77" s="600">
        <f t="shared" si="26"/>
        <v>299</v>
      </c>
      <c r="M77" s="600">
        <f>IF(B77="","",IF(A77=0,0,AportPat!L74))</f>
        <v>0</v>
      </c>
      <c r="N77" s="601">
        <f>Simulador!N137</f>
        <v>0</v>
      </c>
      <c r="O77" s="608">
        <v>0</v>
      </c>
      <c r="P77" s="600">
        <f t="shared" si="37"/>
        <v>10068.030598561447</v>
      </c>
      <c r="Q77" s="600">
        <f t="shared" si="20"/>
        <v>976507.48315151304</v>
      </c>
      <c r="S77" s="120">
        <v>0.11</v>
      </c>
      <c r="T77" s="198">
        <f t="shared" si="21"/>
        <v>71</v>
      </c>
      <c r="U77" s="347">
        <f t="shared" si="38"/>
        <v>977199.41694379656</v>
      </c>
      <c r="V77" s="347">
        <f t="shared" si="27"/>
        <v>691.93379228351478</v>
      </c>
      <c r="W77" s="347">
        <f t="shared" si="28"/>
        <v>9077.096806277932</v>
      </c>
      <c r="X77" s="600">
        <f>IF(T77="","",IF(U77=0,0,($C$2/1000)*'Tabla de Incrementos'!$J$6))</f>
        <v>9769.0305985614468</v>
      </c>
      <c r="Y77" s="600">
        <f t="shared" si="22"/>
        <v>0</v>
      </c>
      <c r="Z77" s="600">
        <f t="shared" si="29"/>
        <v>0</v>
      </c>
      <c r="AA77" s="557">
        <f t="shared" si="30"/>
        <v>299</v>
      </c>
      <c r="AB77" s="557">
        <f t="shared" si="31"/>
        <v>10068.030598561447</v>
      </c>
    </row>
    <row r="78" spans="1:28" x14ac:dyDescent="0.35">
      <c r="A78" s="595">
        <f t="shared" si="23"/>
        <v>1</v>
      </c>
      <c r="B78" s="596">
        <f t="shared" si="32"/>
        <v>72</v>
      </c>
      <c r="C78" s="597">
        <f ca="1">IF(B78="","",'Fecha Pago'!K75)</f>
        <v>48337</v>
      </c>
      <c r="D78" s="598">
        <f t="shared" si="33"/>
        <v>30.4</v>
      </c>
      <c r="E78" s="599">
        <f>IF(B78="","",'Tabla de Incrementos'!$C$3)</f>
        <v>0.11</v>
      </c>
      <c r="F78" s="600">
        <f t="shared" si="24"/>
        <v>976507.48315151304</v>
      </c>
      <c r="G78" s="600">
        <f t="shared" si="34"/>
        <v>698.36108839850385</v>
      </c>
      <c r="H78" s="600">
        <f t="shared" si="25"/>
        <v>9070.669510162943</v>
      </c>
      <c r="I78" s="600">
        <f>IF(B78="","",IF(F78=0,0,($C$2/1000)*'Tabla de Incrementos'!$J$6))</f>
        <v>9769.0305985614468</v>
      </c>
      <c r="J78" s="600">
        <f t="shared" si="35"/>
        <v>0</v>
      </c>
      <c r="K78" s="600">
        <f t="shared" si="36"/>
        <v>0</v>
      </c>
      <c r="L78" s="600">
        <f t="shared" si="26"/>
        <v>299</v>
      </c>
      <c r="M78" s="600">
        <f>IF(B78="","",IF(A78=0,0,AportPat!L75))</f>
        <v>0</v>
      </c>
      <c r="N78" s="601">
        <f>Simulador!N138</f>
        <v>0</v>
      </c>
      <c r="O78" s="608">
        <v>0</v>
      </c>
      <c r="P78" s="600">
        <f t="shared" si="37"/>
        <v>10068.030598561447</v>
      </c>
      <c r="Q78" s="600">
        <f t="shared" si="20"/>
        <v>975809.12206311454</v>
      </c>
      <c r="S78" s="120">
        <v>0.11</v>
      </c>
      <c r="T78" s="198">
        <f t="shared" si="21"/>
        <v>72</v>
      </c>
      <c r="U78" s="347">
        <f t="shared" si="38"/>
        <v>976507.48315151304</v>
      </c>
      <c r="V78" s="347">
        <f t="shared" si="27"/>
        <v>698.36108839850385</v>
      </c>
      <c r="W78" s="347">
        <f t="shared" si="28"/>
        <v>9070.669510162943</v>
      </c>
      <c r="X78" s="600">
        <f>IF(T78="","",IF(U78=0,0,($C$2/1000)*'Tabla de Incrementos'!$J$6))</f>
        <v>9769.0305985614468</v>
      </c>
      <c r="Y78" s="600">
        <f t="shared" si="22"/>
        <v>0</v>
      </c>
      <c r="Z78" s="600">
        <f t="shared" si="29"/>
        <v>0</v>
      </c>
      <c r="AA78" s="557">
        <f t="shared" si="30"/>
        <v>299</v>
      </c>
      <c r="AB78" s="557">
        <f t="shared" si="31"/>
        <v>10068.030598561447</v>
      </c>
    </row>
    <row r="79" spans="1:28" x14ac:dyDescent="0.35">
      <c r="A79" s="595">
        <f t="shared" si="23"/>
        <v>1</v>
      </c>
      <c r="B79" s="596">
        <f t="shared" si="32"/>
        <v>73</v>
      </c>
      <c r="C79" s="597">
        <f ca="1">IF(B79="","",'Fecha Pago'!K76)</f>
        <v>48368</v>
      </c>
      <c r="D79" s="598">
        <f t="shared" si="33"/>
        <v>30.4</v>
      </c>
      <c r="E79" s="599">
        <f>IF(B79="","",'Tabla de Incrementos'!$C$3)</f>
        <v>0.11</v>
      </c>
      <c r="F79" s="600">
        <f t="shared" si="24"/>
        <v>975809.12206311454</v>
      </c>
      <c r="G79" s="600">
        <f t="shared" si="34"/>
        <v>704.84808695296124</v>
      </c>
      <c r="H79" s="600">
        <f t="shared" si="25"/>
        <v>9064.1825116084856</v>
      </c>
      <c r="I79" s="600">
        <f>IF(B79="","",IF(F79=0,0,($C$2/1000)*'Tabla de Incrementos'!$J$6))</f>
        <v>9769.0305985614468</v>
      </c>
      <c r="J79" s="600">
        <f t="shared" si="35"/>
        <v>0</v>
      </c>
      <c r="K79" s="600">
        <f t="shared" si="36"/>
        <v>0</v>
      </c>
      <c r="L79" s="600">
        <f t="shared" si="26"/>
        <v>299</v>
      </c>
      <c r="M79" s="600">
        <f>IF(B79="","",IF(A79=0,0,AportPat!L76))</f>
        <v>0</v>
      </c>
      <c r="N79" s="601">
        <f>Simulador!N139</f>
        <v>0</v>
      </c>
      <c r="O79" s="608">
        <v>0</v>
      </c>
      <c r="P79" s="600">
        <f t="shared" si="37"/>
        <v>10068.030598561447</v>
      </c>
      <c r="Q79" s="600">
        <f t="shared" si="20"/>
        <v>975104.27397616161</v>
      </c>
      <c r="S79" s="120">
        <v>0.11</v>
      </c>
      <c r="T79" s="198">
        <f t="shared" si="21"/>
        <v>73</v>
      </c>
      <c r="U79" s="347">
        <f t="shared" si="38"/>
        <v>975809.12206311454</v>
      </c>
      <c r="V79" s="347">
        <f t="shared" si="27"/>
        <v>704.84808695296124</v>
      </c>
      <c r="W79" s="347">
        <f t="shared" si="28"/>
        <v>9064.1825116084856</v>
      </c>
      <c r="X79" s="600">
        <f>IF(T79="","",IF(U79=0,0,($C$2/1000)*'Tabla de Incrementos'!$J$6))</f>
        <v>9769.0305985614468</v>
      </c>
      <c r="Y79" s="600">
        <f t="shared" si="22"/>
        <v>0</v>
      </c>
      <c r="Z79" s="600">
        <f t="shared" si="29"/>
        <v>0</v>
      </c>
      <c r="AA79" s="557">
        <f t="shared" si="30"/>
        <v>299</v>
      </c>
      <c r="AB79" s="557">
        <f t="shared" si="31"/>
        <v>10068.030598561447</v>
      </c>
    </row>
    <row r="80" spans="1:28" x14ac:dyDescent="0.35">
      <c r="A80" s="595">
        <f t="shared" si="23"/>
        <v>1</v>
      </c>
      <c r="B80" s="604">
        <f t="shared" si="32"/>
        <v>74</v>
      </c>
      <c r="C80" s="597">
        <f ca="1">IF(B80="","",'Fecha Pago'!K77)</f>
        <v>48398</v>
      </c>
      <c r="D80" s="605">
        <f t="shared" si="33"/>
        <v>30.4</v>
      </c>
      <c r="E80" s="606">
        <f>IF(B80="","",'Tabla de Incrementos'!$C$4)</f>
        <v>0.11</v>
      </c>
      <c r="F80" s="607">
        <f t="shared" si="24"/>
        <v>975104.27397616161</v>
      </c>
      <c r="G80" s="607">
        <f t="shared" si="34"/>
        <v>988.04462138948475</v>
      </c>
      <c r="H80" s="607">
        <f t="shared" si="25"/>
        <v>9057.6352560452342</v>
      </c>
      <c r="I80" s="607">
        <f>IF(B80="","",IF(F80=0,0,($C$2/1000)*'Tabla de Incrementos'!$J$7))</f>
        <v>10045.679877434719</v>
      </c>
      <c r="J80" s="607">
        <f t="shared" si="35"/>
        <v>0</v>
      </c>
      <c r="K80" s="607">
        <f t="shared" si="36"/>
        <v>0</v>
      </c>
      <c r="L80" s="607">
        <f t="shared" si="26"/>
        <v>299</v>
      </c>
      <c r="M80" s="607">
        <f>IF(B80="","",IF(A80=0,0,AportPat!L77))</f>
        <v>0</v>
      </c>
      <c r="N80" s="601">
        <f>Simulador!N140</f>
        <v>0</v>
      </c>
      <c r="O80" s="608">
        <v>0</v>
      </c>
      <c r="P80" s="607">
        <f t="shared" si="37"/>
        <v>10344.679877434719</v>
      </c>
      <c r="Q80" s="607">
        <f t="shared" si="20"/>
        <v>974116.22935477213</v>
      </c>
      <c r="S80" s="120">
        <v>0.11</v>
      </c>
      <c r="T80" s="198">
        <f t="shared" si="21"/>
        <v>74</v>
      </c>
      <c r="U80" s="347">
        <f t="shared" si="38"/>
        <v>975104.27397616161</v>
      </c>
      <c r="V80" s="347">
        <f t="shared" si="27"/>
        <v>988.04462138948475</v>
      </c>
      <c r="W80" s="347">
        <f t="shared" si="28"/>
        <v>9057.6352560452342</v>
      </c>
      <c r="X80" s="607">
        <f>IF(T80="","",IF(U80=0,0,($C$2/1000)*'Tabla de Incrementos'!$J$7))</f>
        <v>10045.679877434719</v>
      </c>
      <c r="Y80" s="607">
        <f t="shared" si="22"/>
        <v>0</v>
      </c>
      <c r="Z80" s="607">
        <f t="shared" si="29"/>
        <v>0</v>
      </c>
      <c r="AA80" s="557">
        <f t="shared" si="30"/>
        <v>299</v>
      </c>
      <c r="AB80" s="557">
        <f t="shared" si="31"/>
        <v>10344.679877434719</v>
      </c>
    </row>
    <row r="81" spans="1:28" x14ac:dyDescent="0.35">
      <c r="A81" s="595">
        <f t="shared" si="23"/>
        <v>1</v>
      </c>
      <c r="B81" s="596">
        <f t="shared" si="32"/>
        <v>75</v>
      </c>
      <c r="C81" s="597">
        <f ca="1">IF(B81="","",'Fecha Pago'!K78)</f>
        <v>48429</v>
      </c>
      <c r="D81" s="598">
        <f t="shared" si="33"/>
        <v>30.4</v>
      </c>
      <c r="E81" s="599">
        <f>IF(B81="","",'Tabla de Incrementos'!$C$4)</f>
        <v>0.11</v>
      </c>
      <c r="F81" s="600">
        <f t="shared" si="24"/>
        <v>974116.22935477213</v>
      </c>
      <c r="G81" s="600">
        <f t="shared" si="34"/>
        <v>997.22245809483684</v>
      </c>
      <c r="H81" s="600">
        <f t="shared" si="25"/>
        <v>9048.4574193398821</v>
      </c>
      <c r="I81" s="600">
        <f>IF(B81="","",IF(F81=0,0,($C$2/1000)*'Tabla de Incrementos'!$J$7))</f>
        <v>10045.679877434719</v>
      </c>
      <c r="J81" s="600">
        <f t="shared" si="35"/>
        <v>0</v>
      </c>
      <c r="K81" s="600">
        <f t="shared" si="36"/>
        <v>0</v>
      </c>
      <c r="L81" s="600">
        <f t="shared" si="26"/>
        <v>299</v>
      </c>
      <c r="M81" s="600">
        <f>IF(B81="","",IF(A81=0,0,AportPat!L78))</f>
        <v>0</v>
      </c>
      <c r="N81" s="601">
        <f>Simulador!N141</f>
        <v>0</v>
      </c>
      <c r="O81" s="608">
        <v>0</v>
      </c>
      <c r="P81" s="600">
        <f t="shared" si="37"/>
        <v>10344.679877434719</v>
      </c>
      <c r="Q81" s="600">
        <f t="shared" si="20"/>
        <v>973119.00689667731</v>
      </c>
      <c r="S81" s="120">
        <v>0.11</v>
      </c>
      <c r="T81" s="198">
        <f t="shared" si="21"/>
        <v>75</v>
      </c>
      <c r="U81" s="347">
        <f t="shared" si="38"/>
        <v>974116.22935477213</v>
      </c>
      <c r="V81" s="347">
        <f t="shared" si="27"/>
        <v>997.22245809483684</v>
      </c>
      <c r="W81" s="347">
        <f t="shared" si="28"/>
        <v>9048.4574193398821</v>
      </c>
      <c r="X81" s="600">
        <f>IF(T81="","",IF(U81=0,0,($C$2/1000)*'Tabla de Incrementos'!$J$7))</f>
        <v>10045.679877434719</v>
      </c>
      <c r="Y81" s="600">
        <f t="shared" si="22"/>
        <v>0</v>
      </c>
      <c r="Z81" s="600">
        <f t="shared" si="29"/>
        <v>0</v>
      </c>
      <c r="AA81" s="557">
        <f t="shared" si="30"/>
        <v>299</v>
      </c>
      <c r="AB81" s="557">
        <f t="shared" si="31"/>
        <v>10344.679877434719</v>
      </c>
    </row>
    <row r="82" spans="1:28" x14ac:dyDescent="0.35">
      <c r="A82" s="595">
        <f t="shared" si="23"/>
        <v>1</v>
      </c>
      <c r="B82" s="596">
        <f t="shared" si="32"/>
        <v>76</v>
      </c>
      <c r="C82" s="597">
        <f ca="1">IF(B82="","",'Fecha Pago'!K79)</f>
        <v>48460</v>
      </c>
      <c r="D82" s="598">
        <f t="shared" si="33"/>
        <v>30.4</v>
      </c>
      <c r="E82" s="599">
        <f>IF(B82="","",'Tabla de Incrementos'!$C$4)</f>
        <v>0.11</v>
      </c>
      <c r="F82" s="600">
        <f t="shared" si="24"/>
        <v>973119.00689667731</v>
      </c>
      <c r="G82" s="600">
        <f t="shared" si="34"/>
        <v>1006.4855467055841</v>
      </c>
      <c r="H82" s="600">
        <f t="shared" si="25"/>
        <v>9039.1943307291349</v>
      </c>
      <c r="I82" s="600">
        <f>IF(B82="","",IF(F82=0,0,($C$2/1000)*'Tabla de Incrementos'!$J$7))</f>
        <v>10045.679877434719</v>
      </c>
      <c r="J82" s="600">
        <f t="shared" si="35"/>
        <v>0</v>
      </c>
      <c r="K82" s="600">
        <f t="shared" si="36"/>
        <v>0</v>
      </c>
      <c r="L82" s="600">
        <f t="shared" si="26"/>
        <v>299</v>
      </c>
      <c r="M82" s="600">
        <f>IF(B82="","",IF(A82=0,0,AportPat!L79))</f>
        <v>0</v>
      </c>
      <c r="N82" s="601">
        <f>Simulador!N142</f>
        <v>0</v>
      </c>
      <c r="O82" s="608">
        <v>0</v>
      </c>
      <c r="P82" s="600">
        <f t="shared" si="37"/>
        <v>10344.679877434719</v>
      </c>
      <c r="Q82" s="600">
        <f t="shared" si="20"/>
        <v>972112.52134997176</v>
      </c>
      <c r="S82" s="120">
        <v>0.11</v>
      </c>
      <c r="T82" s="198">
        <f t="shared" si="21"/>
        <v>76</v>
      </c>
      <c r="U82" s="347">
        <f t="shared" si="38"/>
        <v>973119.00689667731</v>
      </c>
      <c r="V82" s="347">
        <f t="shared" si="27"/>
        <v>1006.4855467055841</v>
      </c>
      <c r="W82" s="347">
        <f t="shared" si="28"/>
        <v>9039.1943307291349</v>
      </c>
      <c r="X82" s="600">
        <f>IF(T82="","",IF(U82=0,0,($C$2/1000)*'Tabla de Incrementos'!$J$7))</f>
        <v>10045.679877434719</v>
      </c>
      <c r="Y82" s="600">
        <f t="shared" si="22"/>
        <v>0</v>
      </c>
      <c r="Z82" s="600">
        <f t="shared" si="29"/>
        <v>0</v>
      </c>
      <c r="AA82" s="557">
        <f t="shared" si="30"/>
        <v>299</v>
      </c>
      <c r="AB82" s="557">
        <f t="shared" si="31"/>
        <v>10344.679877434719</v>
      </c>
    </row>
    <row r="83" spans="1:28" x14ac:dyDescent="0.35">
      <c r="A83" s="595">
        <f t="shared" si="23"/>
        <v>1</v>
      </c>
      <c r="B83" s="596">
        <f t="shared" si="32"/>
        <v>77</v>
      </c>
      <c r="C83" s="597">
        <f ca="1">IF(B83="","",'Fecha Pago'!K80)</f>
        <v>48490</v>
      </c>
      <c r="D83" s="598">
        <f t="shared" si="33"/>
        <v>30.4</v>
      </c>
      <c r="E83" s="599">
        <f>IF(B83="","",'Tabla de Incrementos'!$C$4)</f>
        <v>0.11</v>
      </c>
      <c r="F83" s="600">
        <f t="shared" si="24"/>
        <v>972112.52134997176</v>
      </c>
      <c r="G83" s="600">
        <f t="shared" si="34"/>
        <v>1015.8346791172044</v>
      </c>
      <c r="H83" s="600">
        <f t="shared" si="25"/>
        <v>9029.8451983175146</v>
      </c>
      <c r="I83" s="600">
        <f>IF(B83="","",IF(F83=0,0,($C$2/1000)*'Tabla de Incrementos'!$J$7))</f>
        <v>10045.679877434719</v>
      </c>
      <c r="J83" s="600">
        <f t="shared" si="35"/>
        <v>0</v>
      </c>
      <c r="K83" s="600">
        <f t="shared" si="36"/>
        <v>0</v>
      </c>
      <c r="L83" s="600">
        <f t="shared" si="26"/>
        <v>299</v>
      </c>
      <c r="M83" s="600">
        <f>IF(B83="","",IF(A83=0,0,AportPat!L80))</f>
        <v>0</v>
      </c>
      <c r="N83" s="601">
        <f>Simulador!N143</f>
        <v>0</v>
      </c>
      <c r="O83" s="608">
        <v>0</v>
      </c>
      <c r="P83" s="600">
        <f t="shared" si="37"/>
        <v>10344.679877434719</v>
      </c>
      <c r="Q83" s="600">
        <f t="shared" si="20"/>
        <v>971096.68667085457</v>
      </c>
      <c r="S83" s="120">
        <v>0.11</v>
      </c>
      <c r="T83" s="198">
        <f t="shared" si="21"/>
        <v>77</v>
      </c>
      <c r="U83" s="347">
        <f t="shared" si="38"/>
        <v>972112.52134997176</v>
      </c>
      <c r="V83" s="347">
        <f t="shared" si="27"/>
        <v>1015.8346791172044</v>
      </c>
      <c r="W83" s="347">
        <f t="shared" si="28"/>
        <v>9029.8451983175146</v>
      </c>
      <c r="X83" s="600">
        <f>IF(T83="","",IF(U83=0,0,($C$2/1000)*'Tabla de Incrementos'!$J$7))</f>
        <v>10045.679877434719</v>
      </c>
      <c r="Y83" s="600">
        <f t="shared" si="22"/>
        <v>0</v>
      </c>
      <c r="Z83" s="600">
        <f t="shared" si="29"/>
        <v>0</v>
      </c>
      <c r="AA83" s="557">
        <f t="shared" si="30"/>
        <v>299</v>
      </c>
      <c r="AB83" s="557">
        <f t="shared" si="31"/>
        <v>10344.679877434719</v>
      </c>
    </row>
    <row r="84" spans="1:28" x14ac:dyDescent="0.35">
      <c r="A84" s="595">
        <f t="shared" si="23"/>
        <v>1</v>
      </c>
      <c r="B84" s="596">
        <f t="shared" si="32"/>
        <v>78</v>
      </c>
      <c r="C84" s="597">
        <f ca="1">IF(B84="","",'Fecha Pago'!K81)</f>
        <v>48521</v>
      </c>
      <c r="D84" s="598">
        <f t="shared" si="33"/>
        <v>30.4</v>
      </c>
      <c r="E84" s="599">
        <f>IF(B84="","",'Tabla de Incrementos'!$C$4)</f>
        <v>0.11</v>
      </c>
      <c r="F84" s="600">
        <f t="shared" si="24"/>
        <v>971096.68667085457</v>
      </c>
      <c r="G84" s="600">
        <f t="shared" si="34"/>
        <v>1025.2706545810033</v>
      </c>
      <c r="H84" s="600">
        <f t="shared" si="25"/>
        <v>9020.4092228537156</v>
      </c>
      <c r="I84" s="600">
        <f>IF(B84="","",IF(F84=0,0,($C$2/1000)*'Tabla de Incrementos'!$J$7))</f>
        <v>10045.679877434719</v>
      </c>
      <c r="J84" s="600">
        <f t="shared" si="35"/>
        <v>0</v>
      </c>
      <c r="K84" s="600">
        <f t="shared" si="36"/>
        <v>0</v>
      </c>
      <c r="L84" s="600">
        <f t="shared" si="26"/>
        <v>299</v>
      </c>
      <c r="M84" s="600">
        <f>IF(B84="","",IF(A84=0,0,AportPat!L81))</f>
        <v>0</v>
      </c>
      <c r="N84" s="601">
        <f>Simulador!N144</f>
        <v>0</v>
      </c>
      <c r="O84" s="608">
        <v>0</v>
      </c>
      <c r="P84" s="600">
        <f t="shared" si="37"/>
        <v>10344.679877434719</v>
      </c>
      <c r="Q84" s="600">
        <f t="shared" si="20"/>
        <v>970071.41601627355</v>
      </c>
      <c r="S84" s="120">
        <v>0.11</v>
      </c>
      <c r="T84" s="198">
        <f t="shared" si="21"/>
        <v>78</v>
      </c>
      <c r="U84" s="347">
        <f t="shared" si="38"/>
        <v>971096.68667085457</v>
      </c>
      <c r="V84" s="347">
        <f t="shared" si="27"/>
        <v>1025.2706545810033</v>
      </c>
      <c r="W84" s="347">
        <f t="shared" si="28"/>
        <v>9020.4092228537156</v>
      </c>
      <c r="X84" s="600">
        <f>IF(T84="","",IF(U84=0,0,($C$2/1000)*'Tabla de Incrementos'!$J$7))</f>
        <v>10045.679877434719</v>
      </c>
      <c r="Y84" s="600">
        <f t="shared" si="22"/>
        <v>0</v>
      </c>
      <c r="Z84" s="600">
        <f t="shared" si="29"/>
        <v>0</v>
      </c>
      <c r="AA84" s="557">
        <f t="shared" si="30"/>
        <v>299</v>
      </c>
      <c r="AB84" s="557">
        <f t="shared" si="31"/>
        <v>10344.679877434719</v>
      </c>
    </row>
    <row r="85" spans="1:28" x14ac:dyDescent="0.35">
      <c r="A85" s="595">
        <f t="shared" si="23"/>
        <v>1</v>
      </c>
      <c r="B85" s="596">
        <f t="shared" si="32"/>
        <v>79</v>
      </c>
      <c r="C85" s="597">
        <f ca="1">IF(B85="","",'Fecha Pago'!K82)</f>
        <v>48551</v>
      </c>
      <c r="D85" s="598">
        <f t="shared" si="33"/>
        <v>30.4</v>
      </c>
      <c r="E85" s="599">
        <f>IF(B85="","",'Tabla de Incrementos'!$C$4)</f>
        <v>0.11</v>
      </c>
      <c r="F85" s="600">
        <f t="shared" si="24"/>
        <v>970071.41601627355</v>
      </c>
      <c r="G85" s="600">
        <f t="shared" si="34"/>
        <v>1034.7942797724445</v>
      </c>
      <c r="H85" s="600">
        <f t="shared" si="25"/>
        <v>9010.8855976622744</v>
      </c>
      <c r="I85" s="600">
        <f>IF(B85="","",IF(F85=0,0,($C$2/1000)*'Tabla de Incrementos'!$J$7))</f>
        <v>10045.679877434719</v>
      </c>
      <c r="J85" s="600">
        <f t="shared" si="35"/>
        <v>0</v>
      </c>
      <c r="K85" s="600">
        <f t="shared" si="36"/>
        <v>0</v>
      </c>
      <c r="L85" s="600">
        <f t="shared" si="26"/>
        <v>299</v>
      </c>
      <c r="M85" s="600">
        <f>IF(B85="","",IF(A85=0,0,AportPat!L82))</f>
        <v>0</v>
      </c>
      <c r="N85" s="601">
        <f>Simulador!N145</f>
        <v>0</v>
      </c>
      <c r="O85" s="608">
        <v>0</v>
      </c>
      <c r="P85" s="600">
        <f t="shared" si="37"/>
        <v>10344.679877434719</v>
      </c>
      <c r="Q85" s="600">
        <f t="shared" si="20"/>
        <v>969036.62173650111</v>
      </c>
      <c r="S85" s="120">
        <v>0.11</v>
      </c>
      <c r="T85" s="198">
        <f t="shared" si="21"/>
        <v>79</v>
      </c>
      <c r="U85" s="347">
        <f t="shared" si="38"/>
        <v>970071.41601627355</v>
      </c>
      <c r="V85" s="347">
        <f t="shared" si="27"/>
        <v>1034.7942797724445</v>
      </c>
      <c r="W85" s="347">
        <f t="shared" si="28"/>
        <v>9010.8855976622744</v>
      </c>
      <c r="X85" s="600">
        <f>IF(T85="","",IF(U85=0,0,($C$2/1000)*'Tabla de Incrementos'!$J$7))</f>
        <v>10045.679877434719</v>
      </c>
      <c r="Y85" s="600">
        <f t="shared" si="22"/>
        <v>0</v>
      </c>
      <c r="Z85" s="600">
        <f t="shared" si="29"/>
        <v>0</v>
      </c>
      <c r="AA85" s="557">
        <f t="shared" si="30"/>
        <v>299</v>
      </c>
      <c r="AB85" s="557">
        <f t="shared" si="31"/>
        <v>10344.679877434719</v>
      </c>
    </row>
    <row r="86" spans="1:28" x14ac:dyDescent="0.35">
      <c r="A86" s="595">
        <f t="shared" si="23"/>
        <v>1</v>
      </c>
      <c r="B86" s="596">
        <f t="shared" si="32"/>
        <v>80</v>
      </c>
      <c r="C86" s="597">
        <f ca="1">IF(B86="","",'Fecha Pago'!K83)</f>
        <v>48582</v>
      </c>
      <c r="D86" s="598">
        <f t="shared" si="33"/>
        <v>30.4</v>
      </c>
      <c r="E86" s="599">
        <f>IF(B86="","",'Tabla de Incrementos'!$C$4)</f>
        <v>0.11</v>
      </c>
      <c r="F86" s="600">
        <f t="shared" si="24"/>
        <v>969036.62173650111</v>
      </c>
      <c r="G86" s="600">
        <f t="shared" si="34"/>
        <v>1044.4063688601091</v>
      </c>
      <c r="H86" s="600">
        <f t="shared" si="25"/>
        <v>9001.2735085746099</v>
      </c>
      <c r="I86" s="600">
        <f>IF(B86="","",IF(F86=0,0,($C$2/1000)*'Tabla de Incrementos'!$J$7))</f>
        <v>10045.679877434719</v>
      </c>
      <c r="J86" s="600">
        <f t="shared" si="35"/>
        <v>0</v>
      </c>
      <c r="K86" s="600">
        <f t="shared" si="36"/>
        <v>0</v>
      </c>
      <c r="L86" s="600">
        <f t="shared" si="26"/>
        <v>299</v>
      </c>
      <c r="M86" s="600">
        <f>IF(B86="","",IF(A86=0,0,AportPat!L83))</f>
        <v>0</v>
      </c>
      <c r="N86" s="601">
        <f>Simulador!N146</f>
        <v>0</v>
      </c>
      <c r="O86" s="608">
        <v>0</v>
      </c>
      <c r="P86" s="600">
        <f t="shared" si="37"/>
        <v>10344.679877434719</v>
      </c>
      <c r="Q86" s="600">
        <f t="shared" si="20"/>
        <v>967992.21536764095</v>
      </c>
      <c r="S86" s="120">
        <v>0.11</v>
      </c>
      <c r="T86" s="198">
        <f t="shared" si="21"/>
        <v>80</v>
      </c>
      <c r="U86" s="347">
        <f t="shared" si="38"/>
        <v>969036.62173650111</v>
      </c>
      <c r="V86" s="347">
        <f t="shared" si="27"/>
        <v>1044.4063688601091</v>
      </c>
      <c r="W86" s="347">
        <f t="shared" si="28"/>
        <v>9001.2735085746099</v>
      </c>
      <c r="X86" s="600">
        <f>IF(T86="","",IF(U86=0,0,($C$2/1000)*'Tabla de Incrementos'!$J$7))</f>
        <v>10045.679877434719</v>
      </c>
      <c r="Y86" s="600">
        <f t="shared" si="22"/>
        <v>0</v>
      </c>
      <c r="Z86" s="600">
        <f t="shared" si="29"/>
        <v>0</v>
      </c>
      <c r="AA86" s="557">
        <f t="shared" si="30"/>
        <v>299</v>
      </c>
      <c r="AB86" s="557">
        <f t="shared" si="31"/>
        <v>10344.679877434719</v>
      </c>
    </row>
    <row r="87" spans="1:28" x14ac:dyDescent="0.35">
      <c r="A87" s="595">
        <f t="shared" si="23"/>
        <v>1</v>
      </c>
      <c r="B87" s="596">
        <f t="shared" si="32"/>
        <v>81</v>
      </c>
      <c r="C87" s="597">
        <f ca="1">IF(B87="","",'Fecha Pago'!K84)</f>
        <v>48613</v>
      </c>
      <c r="D87" s="598">
        <f t="shared" si="33"/>
        <v>30.4</v>
      </c>
      <c r="E87" s="599">
        <f>IF(B87="","",'Tabla de Incrementos'!$C$4)</f>
        <v>0.11</v>
      </c>
      <c r="F87" s="600">
        <f t="shared" si="24"/>
        <v>967992.21536764095</v>
      </c>
      <c r="G87" s="600">
        <f t="shared" si="34"/>
        <v>1054.1077435752995</v>
      </c>
      <c r="H87" s="600">
        <f t="shared" si="25"/>
        <v>8991.5721338594194</v>
      </c>
      <c r="I87" s="600">
        <f>IF(B87="","",IF(F87=0,0,($C$2/1000)*'Tabla de Incrementos'!$J$7))</f>
        <v>10045.679877434719</v>
      </c>
      <c r="J87" s="600">
        <f t="shared" si="35"/>
        <v>0</v>
      </c>
      <c r="K87" s="600">
        <f t="shared" si="36"/>
        <v>0</v>
      </c>
      <c r="L87" s="600">
        <f t="shared" si="26"/>
        <v>299</v>
      </c>
      <c r="M87" s="600">
        <f>IF(B87="","",IF(A87=0,0,AportPat!L84))</f>
        <v>0</v>
      </c>
      <c r="N87" s="601">
        <f>Simulador!N147</f>
        <v>0</v>
      </c>
      <c r="O87" s="608">
        <v>0</v>
      </c>
      <c r="P87" s="600">
        <f t="shared" si="37"/>
        <v>10344.679877434719</v>
      </c>
      <c r="Q87" s="600">
        <f t="shared" si="20"/>
        <v>966938.1076240656</v>
      </c>
      <c r="S87" s="120">
        <v>0.11</v>
      </c>
      <c r="T87" s="198">
        <f t="shared" si="21"/>
        <v>81</v>
      </c>
      <c r="U87" s="347">
        <f t="shared" si="38"/>
        <v>967992.21536764095</v>
      </c>
      <c r="V87" s="347">
        <f t="shared" si="27"/>
        <v>1054.1077435752995</v>
      </c>
      <c r="W87" s="347">
        <f t="shared" si="28"/>
        <v>8991.5721338594194</v>
      </c>
      <c r="X87" s="600">
        <f>IF(T87="","",IF(U87=0,0,($C$2/1000)*'Tabla de Incrementos'!$J$7))</f>
        <v>10045.679877434719</v>
      </c>
      <c r="Y87" s="600">
        <f t="shared" si="22"/>
        <v>0</v>
      </c>
      <c r="Z87" s="600">
        <f t="shared" si="29"/>
        <v>0</v>
      </c>
      <c r="AA87" s="557">
        <f t="shared" si="30"/>
        <v>299</v>
      </c>
      <c r="AB87" s="557">
        <f t="shared" si="31"/>
        <v>10344.679877434719</v>
      </c>
    </row>
    <row r="88" spans="1:28" x14ac:dyDescent="0.35">
      <c r="A88" s="595">
        <f t="shared" si="23"/>
        <v>1</v>
      </c>
      <c r="B88" s="596">
        <f t="shared" si="32"/>
        <v>82</v>
      </c>
      <c r="C88" s="597">
        <f ca="1">IF(B88="","",'Fecha Pago'!K85)</f>
        <v>48641</v>
      </c>
      <c r="D88" s="598">
        <f t="shared" si="33"/>
        <v>30.4</v>
      </c>
      <c r="E88" s="599">
        <f>IF(B88="","",'Tabla de Incrementos'!$C$4)</f>
        <v>0.11</v>
      </c>
      <c r="F88" s="600">
        <f t="shared" si="24"/>
        <v>966938.1076240656</v>
      </c>
      <c r="G88" s="600">
        <f t="shared" si="34"/>
        <v>1063.8992332822872</v>
      </c>
      <c r="H88" s="600">
        <f t="shared" si="25"/>
        <v>8981.7806441524317</v>
      </c>
      <c r="I88" s="600">
        <f>IF(B88="","",IF(F88=0,0,($C$2/1000)*'Tabla de Incrementos'!$J$7))</f>
        <v>10045.679877434719</v>
      </c>
      <c r="J88" s="600">
        <f t="shared" si="35"/>
        <v>0</v>
      </c>
      <c r="K88" s="600">
        <f t="shared" si="36"/>
        <v>0</v>
      </c>
      <c r="L88" s="600">
        <f t="shared" si="26"/>
        <v>299</v>
      </c>
      <c r="M88" s="600">
        <f>IF(B88="","",IF(A88=0,0,AportPat!L85))</f>
        <v>0</v>
      </c>
      <c r="N88" s="601">
        <f>Simulador!N148</f>
        <v>0</v>
      </c>
      <c r="O88" s="608">
        <v>0</v>
      </c>
      <c r="P88" s="600">
        <f t="shared" si="37"/>
        <v>10344.679877434719</v>
      </c>
      <c r="Q88" s="600">
        <f t="shared" si="20"/>
        <v>965874.20839078329</v>
      </c>
      <c r="S88" s="120">
        <v>0.11</v>
      </c>
      <c r="T88" s="198">
        <f t="shared" si="21"/>
        <v>82</v>
      </c>
      <c r="U88" s="347">
        <f t="shared" si="38"/>
        <v>966938.1076240656</v>
      </c>
      <c r="V88" s="347">
        <f t="shared" si="27"/>
        <v>1063.8992332822872</v>
      </c>
      <c r="W88" s="347">
        <f t="shared" si="28"/>
        <v>8981.7806441524317</v>
      </c>
      <c r="X88" s="600">
        <f>IF(T88="","",IF(U88=0,0,($C$2/1000)*'Tabla de Incrementos'!$J$7))</f>
        <v>10045.679877434719</v>
      </c>
      <c r="Y88" s="600">
        <f t="shared" si="22"/>
        <v>0</v>
      </c>
      <c r="Z88" s="600">
        <f t="shared" si="29"/>
        <v>0</v>
      </c>
      <c r="AA88" s="557">
        <f t="shared" si="30"/>
        <v>299</v>
      </c>
      <c r="AB88" s="557">
        <f t="shared" si="31"/>
        <v>10344.679877434719</v>
      </c>
    </row>
    <row r="89" spans="1:28" x14ac:dyDescent="0.35">
      <c r="A89" s="595">
        <f t="shared" si="23"/>
        <v>1</v>
      </c>
      <c r="B89" s="596">
        <f t="shared" si="32"/>
        <v>83</v>
      </c>
      <c r="C89" s="597">
        <f ca="1">IF(B89="","",'Fecha Pago'!K86)</f>
        <v>48672</v>
      </c>
      <c r="D89" s="598">
        <f t="shared" si="33"/>
        <v>30.4</v>
      </c>
      <c r="E89" s="599">
        <f>IF(B89="","",'Tabla de Incrementos'!$C$4)</f>
        <v>0.11</v>
      </c>
      <c r="F89" s="600">
        <f t="shared" si="24"/>
        <v>965874.20839078329</v>
      </c>
      <c r="G89" s="600">
        <f t="shared" si="34"/>
        <v>1073.781675049222</v>
      </c>
      <c r="H89" s="600">
        <f t="shared" si="25"/>
        <v>8971.8982023854969</v>
      </c>
      <c r="I89" s="600">
        <f>IF(B89="","",IF(F89=0,0,($C$2/1000)*'Tabla de Incrementos'!$J$7))</f>
        <v>10045.679877434719</v>
      </c>
      <c r="J89" s="600">
        <f t="shared" si="35"/>
        <v>0</v>
      </c>
      <c r="K89" s="600">
        <f t="shared" si="36"/>
        <v>0</v>
      </c>
      <c r="L89" s="600">
        <f t="shared" si="26"/>
        <v>299</v>
      </c>
      <c r="M89" s="600">
        <f>IF(B89="","",IF(A89=0,0,AportPat!L86))</f>
        <v>0</v>
      </c>
      <c r="N89" s="601">
        <f>Simulador!N149</f>
        <v>0</v>
      </c>
      <c r="O89" s="608">
        <v>0</v>
      </c>
      <c r="P89" s="600">
        <f t="shared" si="37"/>
        <v>10344.679877434719</v>
      </c>
      <c r="Q89" s="600">
        <f t="shared" si="20"/>
        <v>964800.42671573407</v>
      </c>
      <c r="S89" s="120">
        <v>0.11</v>
      </c>
      <c r="T89" s="198">
        <f t="shared" si="21"/>
        <v>83</v>
      </c>
      <c r="U89" s="347">
        <f t="shared" si="38"/>
        <v>965874.20839078329</v>
      </c>
      <c r="V89" s="347">
        <f t="shared" si="27"/>
        <v>1073.781675049222</v>
      </c>
      <c r="W89" s="347">
        <f t="shared" si="28"/>
        <v>8971.8982023854969</v>
      </c>
      <c r="X89" s="600">
        <f>IF(T89="","",IF(U89=0,0,($C$2/1000)*'Tabla de Incrementos'!$J$7))</f>
        <v>10045.679877434719</v>
      </c>
      <c r="Y89" s="600">
        <f t="shared" si="22"/>
        <v>0</v>
      </c>
      <c r="Z89" s="600">
        <f t="shared" si="29"/>
        <v>0</v>
      </c>
      <c r="AA89" s="557">
        <f t="shared" si="30"/>
        <v>299</v>
      </c>
      <c r="AB89" s="557">
        <f t="shared" si="31"/>
        <v>10344.679877434719</v>
      </c>
    </row>
    <row r="90" spans="1:28" x14ac:dyDescent="0.35">
      <c r="A90" s="595">
        <f t="shared" si="23"/>
        <v>1</v>
      </c>
      <c r="B90" s="596">
        <f t="shared" si="32"/>
        <v>84</v>
      </c>
      <c r="C90" s="597">
        <f ca="1">IF(B90="","",'Fecha Pago'!K87)</f>
        <v>48702</v>
      </c>
      <c r="D90" s="598">
        <f t="shared" si="33"/>
        <v>30.4</v>
      </c>
      <c r="E90" s="599">
        <f>IF(B90="","",'Tabla de Incrementos'!$C$4)</f>
        <v>0.11</v>
      </c>
      <c r="F90" s="600">
        <f t="shared" si="24"/>
        <v>964800.42671573407</v>
      </c>
      <c r="G90" s="600">
        <f t="shared" si="34"/>
        <v>1083.7559137196786</v>
      </c>
      <c r="H90" s="600">
        <f t="shared" si="25"/>
        <v>8961.9239637150404</v>
      </c>
      <c r="I90" s="600">
        <f>IF(B90="","",IF(F90=0,0,($C$2/1000)*'Tabla de Incrementos'!$J$7))</f>
        <v>10045.679877434719</v>
      </c>
      <c r="J90" s="600">
        <f t="shared" si="35"/>
        <v>0</v>
      </c>
      <c r="K90" s="600">
        <f t="shared" si="36"/>
        <v>0</v>
      </c>
      <c r="L90" s="600">
        <f t="shared" si="26"/>
        <v>299</v>
      </c>
      <c r="M90" s="600">
        <f>IF(B90="","",IF(A90=0,0,AportPat!L87))</f>
        <v>0</v>
      </c>
      <c r="N90" s="601">
        <f>Simulador!N150</f>
        <v>0</v>
      </c>
      <c r="O90" s="608">
        <v>0</v>
      </c>
      <c r="P90" s="600">
        <f t="shared" si="37"/>
        <v>10344.679877434719</v>
      </c>
      <c r="Q90" s="600">
        <f t="shared" si="20"/>
        <v>963716.67080201441</v>
      </c>
      <c r="S90" s="120">
        <v>0.11</v>
      </c>
      <c r="T90" s="198">
        <f t="shared" si="21"/>
        <v>84</v>
      </c>
      <c r="U90" s="347">
        <f t="shared" si="38"/>
        <v>964800.42671573407</v>
      </c>
      <c r="V90" s="347">
        <f t="shared" si="27"/>
        <v>1083.7559137196786</v>
      </c>
      <c r="W90" s="347">
        <f t="shared" si="28"/>
        <v>8961.9239637150404</v>
      </c>
      <c r="X90" s="600">
        <f>IF(T90="","",IF(U90=0,0,($C$2/1000)*'Tabla de Incrementos'!$J$7))</f>
        <v>10045.679877434719</v>
      </c>
      <c r="Y90" s="600">
        <f t="shared" si="22"/>
        <v>0</v>
      </c>
      <c r="Z90" s="600">
        <f t="shared" si="29"/>
        <v>0</v>
      </c>
      <c r="AA90" s="557">
        <f t="shared" si="30"/>
        <v>299</v>
      </c>
      <c r="AB90" s="557">
        <f t="shared" si="31"/>
        <v>10344.679877434719</v>
      </c>
    </row>
    <row r="91" spans="1:28" x14ac:dyDescent="0.35">
      <c r="A91" s="595">
        <f t="shared" si="23"/>
        <v>1</v>
      </c>
      <c r="B91" s="596">
        <f t="shared" si="32"/>
        <v>85</v>
      </c>
      <c r="C91" s="597">
        <f ca="1">IF(B91="","",'Fecha Pago'!K88)</f>
        <v>48733</v>
      </c>
      <c r="D91" s="598">
        <f t="shared" si="33"/>
        <v>30.4</v>
      </c>
      <c r="E91" s="599">
        <f>IF(B91="","",'Tabla de Incrementos'!$C$4)</f>
        <v>0.11</v>
      </c>
      <c r="F91" s="600">
        <f t="shared" si="24"/>
        <v>963716.67080201441</v>
      </c>
      <c r="G91" s="600">
        <f t="shared" si="34"/>
        <v>1093.8228019848975</v>
      </c>
      <c r="H91" s="600">
        <f t="shared" si="25"/>
        <v>8951.8570754498214</v>
      </c>
      <c r="I91" s="600">
        <f>IF(B91="","",IF(F91=0,0,($C$2/1000)*'Tabla de Incrementos'!$J$7))</f>
        <v>10045.679877434719</v>
      </c>
      <c r="J91" s="600">
        <f t="shared" si="35"/>
        <v>0</v>
      </c>
      <c r="K91" s="600">
        <f t="shared" si="36"/>
        <v>0</v>
      </c>
      <c r="L91" s="600">
        <f t="shared" si="26"/>
        <v>299</v>
      </c>
      <c r="M91" s="600">
        <f>IF(B91="","",IF(A91=0,0,AportPat!L88))</f>
        <v>0</v>
      </c>
      <c r="N91" s="601">
        <f>Simulador!N151</f>
        <v>0</v>
      </c>
      <c r="O91" s="608">
        <v>0</v>
      </c>
      <c r="P91" s="600">
        <f t="shared" si="37"/>
        <v>10344.679877434719</v>
      </c>
      <c r="Q91" s="600">
        <f t="shared" si="20"/>
        <v>962622.84800002957</v>
      </c>
      <c r="S91" s="120">
        <v>0.11</v>
      </c>
      <c r="T91" s="198">
        <f t="shared" si="21"/>
        <v>85</v>
      </c>
      <c r="U91" s="347">
        <f t="shared" si="38"/>
        <v>963716.67080201441</v>
      </c>
      <c r="V91" s="347">
        <f t="shared" si="27"/>
        <v>1093.8228019848975</v>
      </c>
      <c r="W91" s="347">
        <f t="shared" si="28"/>
        <v>8951.8570754498214</v>
      </c>
      <c r="X91" s="600">
        <f>IF(T91="","",IF(U91=0,0,($C$2/1000)*'Tabla de Incrementos'!$J$7))</f>
        <v>10045.679877434719</v>
      </c>
      <c r="Y91" s="600">
        <f t="shared" si="22"/>
        <v>0</v>
      </c>
      <c r="Z91" s="600">
        <f t="shared" si="29"/>
        <v>0</v>
      </c>
      <c r="AA91" s="557">
        <f t="shared" si="30"/>
        <v>299</v>
      </c>
      <c r="AB91" s="557">
        <f t="shared" si="31"/>
        <v>10344.679877434719</v>
      </c>
    </row>
    <row r="92" spans="1:28" x14ac:dyDescent="0.35">
      <c r="A92" s="595">
        <f t="shared" si="23"/>
        <v>1</v>
      </c>
      <c r="B92" s="604">
        <f t="shared" si="32"/>
        <v>86</v>
      </c>
      <c r="C92" s="597">
        <f ca="1">IF(B92="","",'Fecha Pago'!K89)</f>
        <v>48763</v>
      </c>
      <c r="D92" s="605">
        <f t="shared" si="33"/>
        <v>30.4</v>
      </c>
      <c r="E92" s="606">
        <f>IF(B92="","",'Tabla de Incrementos'!$C$4)</f>
        <v>0.11</v>
      </c>
      <c r="F92" s="607">
        <f t="shared" si="24"/>
        <v>962622.84800002957</v>
      </c>
      <c r="G92" s="607">
        <f t="shared" si="34"/>
        <v>1388.4669131285555</v>
      </c>
      <c r="H92" s="607">
        <f t="shared" si="25"/>
        <v>8941.696676978052</v>
      </c>
      <c r="I92" s="607">
        <f>IF(B92="","",IF(F92=0,0,($C$2/1000)*'Tabla de Incrementos'!$J$8))</f>
        <v>10330.163590106607</v>
      </c>
      <c r="J92" s="607">
        <f t="shared" si="35"/>
        <v>0</v>
      </c>
      <c r="K92" s="607">
        <f t="shared" si="36"/>
        <v>0</v>
      </c>
      <c r="L92" s="607">
        <f t="shared" si="26"/>
        <v>299</v>
      </c>
      <c r="M92" s="607">
        <f>IF(B92="","",IF(A92=0,0,AportPat!L89))</f>
        <v>0</v>
      </c>
      <c r="N92" s="601">
        <f>Simulador!N152</f>
        <v>0</v>
      </c>
      <c r="O92" s="608">
        <v>0</v>
      </c>
      <c r="P92" s="607">
        <f t="shared" si="37"/>
        <v>10629.163590106607</v>
      </c>
      <c r="Q92" s="607">
        <f t="shared" si="20"/>
        <v>961234.38108690106</v>
      </c>
      <c r="S92" s="120">
        <v>0.11</v>
      </c>
      <c r="T92" s="198">
        <f t="shared" si="21"/>
        <v>86</v>
      </c>
      <c r="U92" s="347">
        <f t="shared" si="38"/>
        <v>962622.84800002957</v>
      </c>
      <c r="V92" s="347">
        <f t="shared" si="27"/>
        <v>1388.4669131285555</v>
      </c>
      <c r="W92" s="347">
        <f t="shared" si="28"/>
        <v>8941.696676978052</v>
      </c>
      <c r="X92" s="607">
        <f>IF(T92="","",IF(U92=0,0,($C$2/1000)*'Tabla de Incrementos'!$J$8))</f>
        <v>10330.163590106607</v>
      </c>
      <c r="Y92" s="607">
        <f t="shared" si="22"/>
        <v>0</v>
      </c>
      <c r="Z92" s="607">
        <f t="shared" si="29"/>
        <v>0</v>
      </c>
      <c r="AA92" s="557">
        <f t="shared" si="30"/>
        <v>299</v>
      </c>
      <c r="AB92" s="557">
        <f t="shared" si="31"/>
        <v>10629.163590106607</v>
      </c>
    </row>
    <row r="93" spans="1:28" x14ac:dyDescent="0.35">
      <c r="A93" s="595">
        <f t="shared" si="23"/>
        <v>1</v>
      </c>
      <c r="B93" s="596">
        <f t="shared" si="32"/>
        <v>87</v>
      </c>
      <c r="C93" s="597">
        <f ca="1">IF(B93="","",'Fecha Pago'!K90)</f>
        <v>48794</v>
      </c>
      <c r="D93" s="598">
        <f t="shared" si="33"/>
        <v>30.4</v>
      </c>
      <c r="E93" s="599">
        <f>IF(B93="","",'Tabla de Incrementos'!$C$4)</f>
        <v>0.11</v>
      </c>
      <c r="F93" s="600">
        <f t="shared" si="24"/>
        <v>961234.38108690106</v>
      </c>
      <c r="G93" s="600">
        <f t="shared" si="34"/>
        <v>1401.364228010505</v>
      </c>
      <c r="H93" s="600">
        <f t="shared" si="25"/>
        <v>8928.7993620961024</v>
      </c>
      <c r="I93" s="600">
        <f>IF(B93="","",IF(F93=0,0,($C$2/1000)*'Tabla de Incrementos'!$J$8))</f>
        <v>10330.163590106607</v>
      </c>
      <c r="J93" s="600">
        <f t="shared" si="35"/>
        <v>0</v>
      </c>
      <c r="K93" s="600">
        <f t="shared" si="36"/>
        <v>0</v>
      </c>
      <c r="L93" s="600">
        <f t="shared" si="26"/>
        <v>299</v>
      </c>
      <c r="M93" s="600">
        <f>IF(B93="","",IF(A93=0,0,AportPat!L90))</f>
        <v>0</v>
      </c>
      <c r="N93" s="601">
        <f>Simulador!N153</f>
        <v>0</v>
      </c>
      <c r="O93" s="608">
        <v>0</v>
      </c>
      <c r="P93" s="600">
        <f t="shared" si="37"/>
        <v>10629.163590106607</v>
      </c>
      <c r="Q93" s="600">
        <f t="shared" si="20"/>
        <v>959833.01685889054</v>
      </c>
      <c r="S93" s="120">
        <v>0.11</v>
      </c>
      <c r="T93" s="198">
        <f t="shared" si="21"/>
        <v>87</v>
      </c>
      <c r="U93" s="347">
        <f t="shared" si="38"/>
        <v>961234.38108690106</v>
      </c>
      <c r="V93" s="347">
        <f t="shared" si="27"/>
        <v>1401.364228010505</v>
      </c>
      <c r="W93" s="347">
        <f t="shared" si="28"/>
        <v>8928.7993620961024</v>
      </c>
      <c r="X93" s="600">
        <f>IF(T93="","",IF(U93=0,0,($C$2/1000)*'Tabla de Incrementos'!$J$8))</f>
        <v>10330.163590106607</v>
      </c>
      <c r="Y93" s="600">
        <f t="shared" si="22"/>
        <v>0</v>
      </c>
      <c r="Z93" s="600">
        <f t="shared" si="29"/>
        <v>0</v>
      </c>
      <c r="AA93" s="557">
        <f t="shared" si="30"/>
        <v>299</v>
      </c>
      <c r="AB93" s="557">
        <f t="shared" si="31"/>
        <v>10629.163590106607</v>
      </c>
    </row>
    <row r="94" spans="1:28" x14ac:dyDescent="0.35">
      <c r="A94" s="595">
        <f t="shared" si="23"/>
        <v>1</v>
      </c>
      <c r="B94" s="596">
        <f t="shared" si="32"/>
        <v>88</v>
      </c>
      <c r="C94" s="597">
        <f ca="1">IF(B94="","",'Fecha Pago'!K91)</f>
        <v>48825</v>
      </c>
      <c r="D94" s="598">
        <f t="shared" si="33"/>
        <v>30.4</v>
      </c>
      <c r="E94" s="599">
        <f>IF(B94="","",'Tabla de Incrementos'!$C$4)</f>
        <v>0.11</v>
      </c>
      <c r="F94" s="600">
        <f t="shared" si="24"/>
        <v>959833.01685889054</v>
      </c>
      <c r="G94" s="600">
        <f t="shared" si="34"/>
        <v>1414.381344617359</v>
      </c>
      <c r="H94" s="600">
        <f t="shared" si="25"/>
        <v>8915.7822454892485</v>
      </c>
      <c r="I94" s="600">
        <f>IF(B94="","",IF(F94=0,0,($C$2/1000)*'Tabla de Incrementos'!$J$8))</f>
        <v>10330.163590106607</v>
      </c>
      <c r="J94" s="600">
        <f t="shared" si="35"/>
        <v>0</v>
      </c>
      <c r="K94" s="600">
        <f t="shared" si="36"/>
        <v>0</v>
      </c>
      <c r="L94" s="600">
        <f t="shared" si="26"/>
        <v>299</v>
      </c>
      <c r="M94" s="600">
        <f>IF(B94="","",IF(A94=0,0,AportPat!L91))</f>
        <v>0</v>
      </c>
      <c r="N94" s="601">
        <f>Simulador!N154</f>
        <v>0</v>
      </c>
      <c r="O94" s="608">
        <v>0</v>
      </c>
      <c r="P94" s="600">
        <f t="shared" si="37"/>
        <v>10629.163590106607</v>
      </c>
      <c r="Q94" s="600">
        <f t="shared" si="20"/>
        <v>958418.63551427319</v>
      </c>
      <c r="S94" s="120">
        <v>0.11</v>
      </c>
      <c r="T94" s="198">
        <f t="shared" si="21"/>
        <v>88</v>
      </c>
      <c r="U94" s="347">
        <f t="shared" si="38"/>
        <v>959833.01685889054</v>
      </c>
      <c r="V94" s="347">
        <f t="shared" si="27"/>
        <v>1414.381344617359</v>
      </c>
      <c r="W94" s="347">
        <f t="shared" si="28"/>
        <v>8915.7822454892485</v>
      </c>
      <c r="X94" s="600">
        <f>IF(T94="","",IF(U94=0,0,($C$2/1000)*'Tabla de Incrementos'!$J$8))</f>
        <v>10330.163590106607</v>
      </c>
      <c r="Y94" s="600">
        <f t="shared" si="22"/>
        <v>0</v>
      </c>
      <c r="Z94" s="600">
        <f t="shared" si="29"/>
        <v>0</v>
      </c>
      <c r="AA94" s="557">
        <f t="shared" si="30"/>
        <v>299</v>
      </c>
      <c r="AB94" s="557">
        <f t="shared" si="31"/>
        <v>10629.163590106607</v>
      </c>
    </row>
    <row r="95" spans="1:28" x14ac:dyDescent="0.35">
      <c r="A95" s="595">
        <f t="shared" si="23"/>
        <v>1</v>
      </c>
      <c r="B95" s="596">
        <f t="shared" si="32"/>
        <v>89</v>
      </c>
      <c r="C95" s="597">
        <f ca="1">IF(B95="","",'Fecha Pago'!K92)</f>
        <v>48855</v>
      </c>
      <c r="D95" s="598">
        <f t="shared" si="33"/>
        <v>30.4</v>
      </c>
      <c r="E95" s="599">
        <f>IF(B95="","",'Tabla de Incrementos'!$C$4)</f>
        <v>0.11</v>
      </c>
      <c r="F95" s="600">
        <f t="shared" si="24"/>
        <v>958418.63551427319</v>
      </c>
      <c r="G95" s="600">
        <f t="shared" si="34"/>
        <v>1427.5193757740253</v>
      </c>
      <c r="H95" s="600">
        <f t="shared" si="25"/>
        <v>8902.6442143325821</v>
      </c>
      <c r="I95" s="600">
        <f>IF(B95="","",IF(F95=0,0,($C$2/1000)*'Tabla de Incrementos'!$J$8))</f>
        <v>10330.163590106607</v>
      </c>
      <c r="J95" s="600">
        <f t="shared" si="35"/>
        <v>0</v>
      </c>
      <c r="K95" s="600">
        <f t="shared" si="36"/>
        <v>0</v>
      </c>
      <c r="L95" s="600">
        <f t="shared" si="26"/>
        <v>299</v>
      </c>
      <c r="M95" s="600">
        <f>IF(B95="","",IF(A95=0,0,AportPat!L92))</f>
        <v>0</v>
      </c>
      <c r="N95" s="601">
        <f>Simulador!N155</f>
        <v>0</v>
      </c>
      <c r="O95" s="608">
        <v>0</v>
      </c>
      <c r="P95" s="600">
        <f t="shared" si="37"/>
        <v>10629.163590106607</v>
      </c>
      <c r="Q95" s="600">
        <f t="shared" si="20"/>
        <v>956991.11613849911</v>
      </c>
      <c r="S95" s="120">
        <v>0.11</v>
      </c>
      <c r="T95" s="198">
        <f t="shared" si="21"/>
        <v>89</v>
      </c>
      <c r="U95" s="347">
        <f t="shared" si="38"/>
        <v>958418.63551427319</v>
      </c>
      <c r="V95" s="347">
        <f t="shared" si="27"/>
        <v>1427.5193757740253</v>
      </c>
      <c r="W95" s="347">
        <f t="shared" si="28"/>
        <v>8902.6442143325821</v>
      </c>
      <c r="X95" s="600">
        <f>IF(T95="","",IF(U95=0,0,($C$2/1000)*'Tabla de Incrementos'!$J$8))</f>
        <v>10330.163590106607</v>
      </c>
      <c r="Y95" s="600">
        <f t="shared" si="22"/>
        <v>0</v>
      </c>
      <c r="Z95" s="600">
        <f t="shared" si="29"/>
        <v>0</v>
      </c>
      <c r="AA95" s="557">
        <f t="shared" si="30"/>
        <v>299</v>
      </c>
      <c r="AB95" s="557">
        <f t="shared" si="31"/>
        <v>10629.163590106607</v>
      </c>
    </row>
    <row r="96" spans="1:28" x14ac:dyDescent="0.35">
      <c r="A96" s="595">
        <f t="shared" si="23"/>
        <v>1</v>
      </c>
      <c r="B96" s="596">
        <f t="shared" si="32"/>
        <v>90</v>
      </c>
      <c r="C96" s="597">
        <f ca="1">IF(B96="","",'Fecha Pago'!K93)</f>
        <v>48886</v>
      </c>
      <c r="D96" s="598">
        <f t="shared" si="33"/>
        <v>30.4</v>
      </c>
      <c r="E96" s="599">
        <f>IF(B96="","",'Tabla de Incrementos'!$C$4)</f>
        <v>0.11</v>
      </c>
      <c r="F96" s="600">
        <f t="shared" si="24"/>
        <v>956991.11613849911</v>
      </c>
      <c r="G96" s="600">
        <f t="shared" si="34"/>
        <v>1440.7794446423268</v>
      </c>
      <c r="H96" s="600">
        <f t="shared" si="25"/>
        <v>8889.3841454642807</v>
      </c>
      <c r="I96" s="600">
        <f>IF(B96="","",IF(F96=0,0,($C$2/1000)*'Tabla de Incrementos'!$J$8))</f>
        <v>10330.163590106607</v>
      </c>
      <c r="J96" s="600">
        <f t="shared" si="35"/>
        <v>0</v>
      </c>
      <c r="K96" s="600">
        <f t="shared" si="36"/>
        <v>0</v>
      </c>
      <c r="L96" s="600">
        <f t="shared" si="26"/>
        <v>299</v>
      </c>
      <c r="M96" s="600">
        <f>IF(B96="","",IF(A96=0,0,AportPat!L93))</f>
        <v>0</v>
      </c>
      <c r="N96" s="601">
        <f>Simulador!N156</f>
        <v>0</v>
      </c>
      <c r="O96" s="608">
        <v>0</v>
      </c>
      <c r="P96" s="600">
        <f t="shared" si="37"/>
        <v>10629.163590106607</v>
      </c>
      <c r="Q96" s="600">
        <f t="shared" si="20"/>
        <v>955550.33669385675</v>
      </c>
      <c r="S96" s="120">
        <v>0.11</v>
      </c>
      <c r="T96" s="198">
        <f t="shared" si="21"/>
        <v>90</v>
      </c>
      <c r="U96" s="347">
        <f t="shared" si="38"/>
        <v>956991.11613849911</v>
      </c>
      <c r="V96" s="347">
        <f t="shared" si="27"/>
        <v>1440.7794446423268</v>
      </c>
      <c r="W96" s="347">
        <f t="shared" si="28"/>
        <v>8889.3841454642807</v>
      </c>
      <c r="X96" s="600">
        <f>IF(T96="","",IF(U96=0,0,($C$2/1000)*'Tabla de Incrementos'!$J$8))</f>
        <v>10330.163590106607</v>
      </c>
      <c r="Y96" s="600">
        <f t="shared" si="22"/>
        <v>0</v>
      </c>
      <c r="Z96" s="600">
        <f t="shared" si="29"/>
        <v>0</v>
      </c>
      <c r="AA96" s="557">
        <f t="shared" si="30"/>
        <v>299</v>
      </c>
      <c r="AB96" s="557">
        <f t="shared" si="31"/>
        <v>10629.163590106607</v>
      </c>
    </row>
    <row r="97" spans="1:28" x14ac:dyDescent="0.35">
      <c r="A97" s="595">
        <f t="shared" si="23"/>
        <v>1</v>
      </c>
      <c r="B97" s="596">
        <f t="shared" si="32"/>
        <v>91</v>
      </c>
      <c r="C97" s="597">
        <f ca="1">IF(B97="","",'Fecha Pago'!K94)</f>
        <v>48916</v>
      </c>
      <c r="D97" s="598">
        <f t="shared" si="33"/>
        <v>30.4</v>
      </c>
      <c r="E97" s="599">
        <f>IF(B97="","",'Tabla de Incrementos'!$C$4)</f>
        <v>0.11</v>
      </c>
      <c r="F97" s="600">
        <f t="shared" si="24"/>
        <v>955550.33669385675</v>
      </c>
      <c r="G97" s="600">
        <f t="shared" si="34"/>
        <v>1454.1626848170054</v>
      </c>
      <c r="H97" s="600">
        <f t="shared" si="25"/>
        <v>8876.0009052896021</v>
      </c>
      <c r="I97" s="600">
        <f>IF(B97="","",IF(F97=0,0,($C$2/1000)*'Tabla de Incrementos'!$J$8))</f>
        <v>10330.163590106607</v>
      </c>
      <c r="J97" s="600">
        <f t="shared" si="35"/>
        <v>0</v>
      </c>
      <c r="K97" s="600">
        <f t="shared" si="36"/>
        <v>0</v>
      </c>
      <c r="L97" s="600">
        <f t="shared" si="26"/>
        <v>299</v>
      </c>
      <c r="M97" s="600">
        <f>IF(B97="","",IF(A97=0,0,AportPat!L94))</f>
        <v>0</v>
      </c>
      <c r="N97" s="601">
        <f>Simulador!N157</f>
        <v>0</v>
      </c>
      <c r="O97" s="608">
        <v>0</v>
      </c>
      <c r="P97" s="600">
        <f t="shared" si="37"/>
        <v>10629.163590106607</v>
      </c>
      <c r="Q97" s="600">
        <f t="shared" si="20"/>
        <v>954096.17400903977</v>
      </c>
      <c r="S97" s="120">
        <v>0.11</v>
      </c>
      <c r="T97" s="198">
        <f t="shared" si="21"/>
        <v>91</v>
      </c>
      <c r="U97" s="347">
        <f t="shared" si="38"/>
        <v>955550.33669385675</v>
      </c>
      <c r="V97" s="347">
        <f t="shared" si="27"/>
        <v>1454.1626848170054</v>
      </c>
      <c r="W97" s="347">
        <f t="shared" si="28"/>
        <v>8876.0009052896021</v>
      </c>
      <c r="X97" s="600">
        <f>IF(T97="","",IF(U97=0,0,($C$2/1000)*'Tabla de Incrementos'!$J$8))</f>
        <v>10330.163590106607</v>
      </c>
      <c r="Y97" s="600">
        <f t="shared" si="22"/>
        <v>0</v>
      </c>
      <c r="Z97" s="600">
        <f t="shared" si="29"/>
        <v>0</v>
      </c>
      <c r="AA97" s="557">
        <f t="shared" si="30"/>
        <v>299</v>
      </c>
      <c r="AB97" s="557">
        <f t="shared" si="31"/>
        <v>10629.163590106607</v>
      </c>
    </row>
    <row r="98" spans="1:28" x14ac:dyDescent="0.35">
      <c r="A98" s="595">
        <f t="shared" si="23"/>
        <v>1</v>
      </c>
      <c r="B98" s="596">
        <f t="shared" si="32"/>
        <v>92</v>
      </c>
      <c r="C98" s="597">
        <f ca="1">IF(B98="","",'Fecha Pago'!K95)</f>
        <v>48947</v>
      </c>
      <c r="D98" s="598">
        <f t="shared" si="33"/>
        <v>30.4</v>
      </c>
      <c r="E98" s="599">
        <f>IF(B98="","",'Tabla de Incrementos'!$C$4)</f>
        <v>0.11</v>
      </c>
      <c r="F98" s="600">
        <f t="shared" si="24"/>
        <v>954096.17400903977</v>
      </c>
      <c r="G98" s="600">
        <f t="shared" si="34"/>
        <v>1467.670240422638</v>
      </c>
      <c r="H98" s="600">
        <f t="shared" si="25"/>
        <v>8862.4933496839694</v>
      </c>
      <c r="I98" s="600">
        <f>IF(B98="","",IF(F98=0,0,($C$2/1000)*'Tabla de Incrementos'!$J$8))</f>
        <v>10330.163590106607</v>
      </c>
      <c r="J98" s="600">
        <f t="shared" si="35"/>
        <v>0</v>
      </c>
      <c r="K98" s="600">
        <f t="shared" si="36"/>
        <v>0</v>
      </c>
      <c r="L98" s="600">
        <f t="shared" si="26"/>
        <v>299</v>
      </c>
      <c r="M98" s="600">
        <f>IF(B98="","",IF(A98=0,0,AportPat!L95))</f>
        <v>0</v>
      </c>
      <c r="N98" s="601">
        <f>Simulador!N158</f>
        <v>0</v>
      </c>
      <c r="O98" s="608">
        <v>0</v>
      </c>
      <c r="P98" s="600">
        <f t="shared" si="37"/>
        <v>10629.163590106607</v>
      </c>
      <c r="Q98" s="600">
        <f t="shared" si="20"/>
        <v>952628.50376861717</v>
      </c>
      <c r="S98" s="120">
        <v>0.11</v>
      </c>
      <c r="T98" s="198">
        <f t="shared" si="21"/>
        <v>92</v>
      </c>
      <c r="U98" s="347">
        <f t="shared" si="38"/>
        <v>954096.17400903977</v>
      </c>
      <c r="V98" s="347">
        <f t="shared" si="27"/>
        <v>1467.670240422638</v>
      </c>
      <c r="W98" s="347">
        <f t="shared" si="28"/>
        <v>8862.4933496839694</v>
      </c>
      <c r="X98" s="600">
        <f>IF(T98="","",IF(U98=0,0,($C$2/1000)*'Tabla de Incrementos'!$J$8))</f>
        <v>10330.163590106607</v>
      </c>
      <c r="Y98" s="600">
        <f t="shared" si="22"/>
        <v>0</v>
      </c>
      <c r="Z98" s="600">
        <f t="shared" si="29"/>
        <v>0</v>
      </c>
      <c r="AA98" s="557">
        <f t="shared" si="30"/>
        <v>299</v>
      </c>
      <c r="AB98" s="557">
        <f t="shared" si="31"/>
        <v>10629.163590106607</v>
      </c>
    </row>
    <row r="99" spans="1:28" x14ac:dyDescent="0.35">
      <c r="A99" s="595">
        <f t="shared" si="23"/>
        <v>1</v>
      </c>
      <c r="B99" s="596">
        <f t="shared" si="32"/>
        <v>93</v>
      </c>
      <c r="C99" s="597">
        <f ca="1">IF(B99="","",'Fecha Pago'!K96)</f>
        <v>48978</v>
      </c>
      <c r="D99" s="598">
        <f t="shared" si="33"/>
        <v>30.4</v>
      </c>
      <c r="E99" s="599">
        <f>IF(B99="","",'Tabla de Incrementos'!$C$4)</f>
        <v>0.11</v>
      </c>
      <c r="F99" s="600">
        <f t="shared" si="24"/>
        <v>952628.50376861717</v>
      </c>
      <c r="G99" s="600">
        <f t="shared" si="34"/>
        <v>1481.3032662114529</v>
      </c>
      <c r="H99" s="600">
        <f t="shared" si="25"/>
        <v>8848.8603238951546</v>
      </c>
      <c r="I99" s="600">
        <f>IF(B99="","",IF(F99=0,0,($C$2/1000)*'Tabla de Incrementos'!$J$8))</f>
        <v>10330.163590106607</v>
      </c>
      <c r="J99" s="600">
        <f t="shared" si="35"/>
        <v>0</v>
      </c>
      <c r="K99" s="600">
        <f t="shared" si="36"/>
        <v>0</v>
      </c>
      <c r="L99" s="600">
        <f t="shared" si="26"/>
        <v>299</v>
      </c>
      <c r="M99" s="600">
        <f>IF(B99="","",IF(A99=0,0,AportPat!L96))</f>
        <v>0</v>
      </c>
      <c r="N99" s="601">
        <f>Simulador!N159</f>
        <v>0</v>
      </c>
      <c r="O99" s="608">
        <v>0</v>
      </c>
      <c r="P99" s="600">
        <f t="shared" si="37"/>
        <v>10629.163590106607</v>
      </c>
      <c r="Q99" s="600">
        <f t="shared" si="20"/>
        <v>951147.20050240576</v>
      </c>
      <c r="S99" s="120">
        <v>0.11</v>
      </c>
      <c r="T99" s="198">
        <f t="shared" si="21"/>
        <v>93</v>
      </c>
      <c r="U99" s="347">
        <f t="shared" si="38"/>
        <v>952628.50376861717</v>
      </c>
      <c r="V99" s="347">
        <f t="shared" si="27"/>
        <v>1481.3032662114529</v>
      </c>
      <c r="W99" s="347">
        <f t="shared" si="28"/>
        <v>8848.8603238951546</v>
      </c>
      <c r="X99" s="600">
        <f>IF(T99="","",IF(U99=0,0,($C$2/1000)*'Tabla de Incrementos'!$J$8))</f>
        <v>10330.163590106607</v>
      </c>
      <c r="Y99" s="600">
        <f t="shared" si="22"/>
        <v>0</v>
      </c>
      <c r="Z99" s="600">
        <f t="shared" si="29"/>
        <v>0</v>
      </c>
      <c r="AA99" s="557">
        <f t="shared" si="30"/>
        <v>299</v>
      </c>
      <c r="AB99" s="557">
        <f t="shared" si="31"/>
        <v>10629.163590106607</v>
      </c>
    </row>
    <row r="100" spans="1:28" x14ac:dyDescent="0.35">
      <c r="A100" s="595">
        <f t="shared" si="23"/>
        <v>1</v>
      </c>
      <c r="B100" s="596">
        <f t="shared" si="32"/>
        <v>94</v>
      </c>
      <c r="C100" s="597">
        <f ca="1">IF(B100="","",'Fecha Pago'!K97)</f>
        <v>49006</v>
      </c>
      <c r="D100" s="598">
        <f t="shared" si="33"/>
        <v>30.4</v>
      </c>
      <c r="E100" s="599">
        <f>IF(B100="","",'Tabla de Incrementos'!$C$4)</f>
        <v>0.11</v>
      </c>
      <c r="F100" s="600">
        <f t="shared" si="24"/>
        <v>951147.20050240576</v>
      </c>
      <c r="G100" s="600">
        <f t="shared" si="34"/>
        <v>1495.0629276620384</v>
      </c>
      <c r="H100" s="600">
        <f t="shared" si="25"/>
        <v>8835.100662444569</v>
      </c>
      <c r="I100" s="600">
        <f>IF(B100="","",IF(F100=0,0,($C$2/1000)*'Tabla de Incrementos'!$J$8))</f>
        <v>10330.163590106607</v>
      </c>
      <c r="J100" s="600">
        <f t="shared" si="35"/>
        <v>0</v>
      </c>
      <c r="K100" s="600">
        <f t="shared" si="36"/>
        <v>0</v>
      </c>
      <c r="L100" s="600">
        <f t="shared" si="26"/>
        <v>299</v>
      </c>
      <c r="M100" s="600">
        <f>IF(B100="","",IF(A100=0,0,AportPat!L97))</f>
        <v>0</v>
      </c>
      <c r="N100" s="601">
        <f>Simulador!N160</f>
        <v>0</v>
      </c>
      <c r="O100" s="608">
        <v>0</v>
      </c>
      <c r="P100" s="600">
        <f t="shared" si="37"/>
        <v>10629.163590106607</v>
      </c>
      <c r="Q100" s="600">
        <f t="shared" si="20"/>
        <v>949652.13757474371</v>
      </c>
      <c r="S100" s="120">
        <v>0.11</v>
      </c>
      <c r="T100" s="198">
        <f t="shared" si="21"/>
        <v>94</v>
      </c>
      <c r="U100" s="347">
        <f t="shared" si="38"/>
        <v>951147.20050240576</v>
      </c>
      <c r="V100" s="347">
        <f t="shared" si="27"/>
        <v>1495.0629276620384</v>
      </c>
      <c r="W100" s="347">
        <f t="shared" si="28"/>
        <v>8835.100662444569</v>
      </c>
      <c r="X100" s="600">
        <f>IF(T100="","",IF(U100=0,0,($C$2/1000)*'Tabla de Incrementos'!$J$8))</f>
        <v>10330.163590106607</v>
      </c>
      <c r="Y100" s="600">
        <f t="shared" si="22"/>
        <v>0</v>
      </c>
      <c r="Z100" s="600">
        <f t="shared" si="29"/>
        <v>0</v>
      </c>
      <c r="AA100" s="557">
        <f t="shared" si="30"/>
        <v>299</v>
      </c>
      <c r="AB100" s="557">
        <f t="shared" si="31"/>
        <v>10629.163590106607</v>
      </c>
    </row>
    <row r="101" spans="1:28" x14ac:dyDescent="0.35">
      <c r="A101" s="595">
        <f t="shared" si="23"/>
        <v>1</v>
      </c>
      <c r="B101" s="596">
        <f t="shared" si="32"/>
        <v>95</v>
      </c>
      <c r="C101" s="597">
        <f ca="1">IF(B101="","",'Fecha Pago'!K98)</f>
        <v>49037</v>
      </c>
      <c r="D101" s="598">
        <f t="shared" si="33"/>
        <v>30.4</v>
      </c>
      <c r="E101" s="599">
        <f>IF(B101="","",'Tabla de Incrementos'!$C$4)</f>
        <v>0.11</v>
      </c>
      <c r="F101" s="600">
        <f t="shared" si="24"/>
        <v>949652.13757474371</v>
      </c>
      <c r="G101" s="600">
        <f t="shared" si="34"/>
        <v>1508.9504010789879</v>
      </c>
      <c r="H101" s="600">
        <f t="shared" si="25"/>
        <v>8821.2131890276196</v>
      </c>
      <c r="I101" s="600">
        <f>IF(B101="","",IF(F101=0,0,($C$2/1000)*'Tabla de Incrementos'!$J$8))</f>
        <v>10330.163590106607</v>
      </c>
      <c r="J101" s="600">
        <f t="shared" si="35"/>
        <v>0</v>
      </c>
      <c r="K101" s="600">
        <f t="shared" si="36"/>
        <v>0</v>
      </c>
      <c r="L101" s="600">
        <f t="shared" si="26"/>
        <v>299</v>
      </c>
      <c r="M101" s="600">
        <f>IF(B101="","",IF(A101=0,0,AportPat!L98))</f>
        <v>0</v>
      </c>
      <c r="N101" s="601">
        <f>Simulador!N161</f>
        <v>0</v>
      </c>
      <c r="O101" s="608">
        <v>0</v>
      </c>
      <c r="P101" s="600">
        <f t="shared" si="37"/>
        <v>10629.163590106607</v>
      </c>
      <c r="Q101" s="600">
        <f t="shared" si="20"/>
        <v>948143.18717366469</v>
      </c>
      <c r="S101" s="120">
        <v>0.11</v>
      </c>
      <c r="T101" s="198">
        <f t="shared" si="21"/>
        <v>95</v>
      </c>
      <c r="U101" s="347">
        <f t="shared" si="38"/>
        <v>949652.13757474371</v>
      </c>
      <c r="V101" s="347">
        <f t="shared" si="27"/>
        <v>1508.9504010789879</v>
      </c>
      <c r="W101" s="347">
        <f t="shared" si="28"/>
        <v>8821.2131890276196</v>
      </c>
      <c r="X101" s="600">
        <f>IF(T101="","",IF(U101=0,0,($C$2/1000)*'Tabla de Incrementos'!$J$8))</f>
        <v>10330.163590106607</v>
      </c>
      <c r="Y101" s="600">
        <f t="shared" si="22"/>
        <v>0</v>
      </c>
      <c r="Z101" s="600">
        <f t="shared" si="29"/>
        <v>0</v>
      </c>
      <c r="AA101" s="557">
        <f t="shared" si="30"/>
        <v>299</v>
      </c>
      <c r="AB101" s="557">
        <f t="shared" si="31"/>
        <v>10629.163590106607</v>
      </c>
    </row>
    <row r="102" spans="1:28" x14ac:dyDescent="0.35">
      <c r="A102" s="595">
        <f t="shared" si="23"/>
        <v>1</v>
      </c>
      <c r="B102" s="596">
        <f t="shared" si="32"/>
        <v>96</v>
      </c>
      <c r="C102" s="597">
        <f ca="1">IF(B102="","",'Fecha Pago'!K99)</f>
        <v>49067</v>
      </c>
      <c r="D102" s="598">
        <f t="shared" si="33"/>
        <v>30.4</v>
      </c>
      <c r="E102" s="599">
        <f>IF(B102="","",'Tabla de Incrementos'!$C$4)</f>
        <v>0.11</v>
      </c>
      <c r="F102" s="600">
        <f t="shared" si="24"/>
        <v>948143.18717366469</v>
      </c>
      <c r="G102" s="600">
        <f t="shared" si="34"/>
        <v>1522.9668736934564</v>
      </c>
      <c r="H102" s="600">
        <f t="shared" si="25"/>
        <v>8807.1967164131511</v>
      </c>
      <c r="I102" s="600">
        <f>IF(B102="","",IF(F102=0,0,($C$2/1000)*'Tabla de Incrementos'!$J$8))</f>
        <v>10330.163590106607</v>
      </c>
      <c r="J102" s="600">
        <f t="shared" si="35"/>
        <v>0</v>
      </c>
      <c r="K102" s="600">
        <f t="shared" si="36"/>
        <v>0</v>
      </c>
      <c r="L102" s="600">
        <f t="shared" si="26"/>
        <v>299</v>
      </c>
      <c r="M102" s="600">
        <f>IF(B102="","",IF(A102=0,0,AportPat!L99))</f>
        <v>0</v>
      </c>
      <c r="N102" s="601">
        <f>Simulador!N162</f>
        <v>0</v>
      </c>
      <c r="O102" s="608">
        <v>0</v>
      </c>
      <c r="P102" s="600">
        <f t="shared" si="37"/>
        <v>10629.163590106607</v>
      </c>
      <c r="Q102" s="600">
        <f t="shared" si="20"/>
        <v>946620.22029997117</v>
      </c>
      <c r="S102" s="120">
        <v>0.11</v>
      </c>
      <c r="T102" s="198">
        <f t="shared" si="21"/>
        <v>96</v>
      </c>
      <c r="U102" s="347">
        <f t="shared" si="38"/>
        <v>948143.18717366469</v>
      </c>
      <c r="V102" s="347">
        <f t="shared" si="27"/>
        <v>1522.9668736934564</v>
      </c>
      <c r="W102" s="347">
        <f t="shared" si="28"/>
        <v>8807.1967164131511</v>
      </c>
      <c r="X102" s="600">
        <f>IF(T102="","",IF(U102=0,0,($C$2/1000)*'Tabla de Incrementos'!$J$8))</f>
        <v>10330.163590106607</v>
      </c>
      <c r="Y102" s="600">
        <f t="shared" si="22"/>
        <v>0</v>
      </c>
      <c r="Z102" s="600">
        <f t="shared" si="29"/>
        <v>0</v>
      </c>
      <c r="AA102" s="557">
        <f t="shared" si="30"/>
        <v>299</v>
      </c>
      <c r="AB102" s="557">
        <f t="shared" si="31"/>
        <v>10629.163590106607</v>
      </c>
    </row>
    <row r="103" spans="1:28" x14ac:dyDescent="0.35">
      <c r="A103" s="595">
        <f t="shared" si="23"/>
        <v>1</v>
      </c>
      <c r="B103" s="596">
        <f t="shared" si="32"/>
        <v>97</v>
      </c>
      <c r="C103" s="597">
        <f ca="1">IF(B103="","",'Fecha Pago'!K100)</f>
        <v>49098</v>
      </c>
      <c r="D103" s="598">
        <f t="shared" si="33"/>
        <v>30.4</v>
      </c>
      <c r="E103" s="599">
        <f>IF(B103="","",'Tabla de Incrementos'!$C$4)</f>
        <v>0.11</v>
      </c>
      <c r="F103" s="600">
        <f t="shared" si="24"/>
        <v>946620.22029997117</v>
      </c>
      <c r="G103" s="600">
        <f t="shared" si="34"/>
        <v>1537.1135437646535</v>
      </c>
      <c r="H103" s="600">
        <f t="shared" si="25"/>
        <v>8793.0500463419539</v>
      </c>
      <c r="I103" s="600">
        <f>IF(B103="","",IF(F103=0,0,($C$2/1000)*'Tabla de Incrementos'!$J$8))</f>
        <v>10330.163590106607</v>
      </c>
      <c r="J103" s="600">
        <f t="shared" si="35"/>
        <v>0</v>
      </c>
      <c r="K103" s="600">
        <f t="shared" si="36"/>
        <v>0</v>
      </c>
      <c r="L103" s="600">
        <f t="shared" si="26"/>
        <v>299</v>
      </c>
      <c r="M103" s="600">
        <f>IF(B103="","",IF(A103=0,0,AportPat!L100))</f>
        <v>0</v>
      </c>
      <c r="N103" s="601">
        <f>Simulador!N163</f>
        <v>0</v>
      </c>
      <c r="O103" s="608">
        <v>0</v>
      </c>
      <c r="P103" s="600">
        <f t="shared" si="37"/>
        <v>10629.163590106607</v>
      </c>
      <c r="Q103" s="600">
        <f t="shared" si="20"/>
        <v>945083.10675620649</v>
      </c>
      <c r="S103" s="120">
        <v>0.11</v>
      </c>
      <c r="T103" s="198">
        <f t="shared" si="21"/>
        <v>97</v>
      </c>
      <c r="U103" s="347">
        <f t="shared" si="38"/>
        <v>946620.22029997117</v>
      </c>
      <c r="V103" s="347">
        <f t="shared" si="27"/>
        <v>1537.1135437646535</v>
      </c>
      <c r="W103" s="347">
        <f t="shared" si="28"/>
        <v>8793.0500463419539</v>
      </c>
      <c r="X103" s="600">
        <f>IF(T103="","",IF(U103=0,0,($C$2/1000)*'Tabla de Incrementos'!$J$8))</f>
        <v>10330.163590106607</v>
      </c>
      <c r="Y103" s="600">
        <f t="shared" si="22"/>
        <v>0</v>
      </c>
      <c r="Z103" s="600">
        <f t="shared" si="29"/>
        <v>0</v>
      </c>
      <c r="AA103" s="557">
        <f t="shared" si="30"/>
        <v>299</v>
      </c>
      <c r="AB103" s="557">
        <f t="shared" si="31"/>
        <v>10629.163590106607</v>
      </c>
    </row>
    <row r="104" spans="1:28" x14ac:dyDescent="0.35">
      <c r="A104" s="595">
        <f t="shared" si="23"/>
        <v>1</v>
      </c>
      <c r="B104" s="604">
        <f t="shared" si="32"/>
        <v>98</v>
      </c>
      <c r="C104" s="597">
        <f ca="1">IF(B104="","",'Fecha Pago'!K101)</f>
        <v>49128</v>
      </c>
      <c r="D104" s="605">
        <f t="shared" si="33"/>
        <v>30.4</v>
      </c>
      <c r="E104" s="606">
        <f>IF(B104="","",'Tabla de Incrementos'!$C$4)</f>
        <v>0.11</v>
      </c>
      <c r="F104" s="607">
        <f t="shared" si="24"/>
        <v>945083.10675620649</v>
      </c>
      <c r="G104" s="607">
        <f t="shared" si="34"/>
        <v>1843.9316305648226</v>
      </c>
      <c r="H104" s="607">
        <f t="shared" si="25"/>
        <v>8778.7719694243169</v>
      </c>
      <c r="I104" s="607">
        <f>IF(B104="","",IF(F104=0,0,($C$2/1000)*'Tabla de Incrementos'!$J$9))</f>
        <v>10622.70359998914</v>
      </c>
      <c r="J104" s="607">
        <f t="shared" si="35"/>
        <v>0</v>
      </c>
      <c r="K104" s="607">
        <f t="shared" si="36"/>
        <v>0</v>
      </c>
      <c r="L104" s="607">
        <f t="shared" si="26"/>
        <v>299</v>
      </c>
      <c r="M104" s="607">
        <f>IF(B104="","",IF(A104=0,0,AportPat!L101))</f>
        <v>0</v>
      </c>
      <c r="N104" s="601">
        <f>Simulador!N164</f>
        <v>0</v>
      </c>
      <c r="O104" s="608">
        <v>0</v>
      </c>
      <c r="P104" s="607">
        <f t="shared" si="37"/>
        <v>10921.70359998914</v>
      </c>
      <c r="Q104" s="607">
        <f t="shared" si="20"/>
        <v>943239.17512564163</v>
      </c>
      <c r="S104" s="120">
        <v>0.11</v>
      </c>
      <c r="T104" s="198">
        <f t="shared" si="21"/>
        <v>98</v>
      </c>
      <c r="U104" s="347">
        <f t="shared" si="38"/>
        <v>945083.10675620649</v>
      </c>
      <c r="V104" s="347">
        <f t="shared" si="27"/>
        <v>1843.9316305648226</v>
      </c>
      <c r="W104" s="347">
        <f t="shared" si="28"/>
        <v>8778.7719694243169</v>
      </c>
      <c r="X104" s="607">
        <f>IF(T104="","",IF(U104=0,0,($C$2/1000)*'Tabla de Incrementos'!$J$9))</f>
        <v>10622.70359998914</v>
      </c>
      <c r="Y104" s="607">
        <f t="shared" si="22"/>
        <v>0</v>
      </c>
      <c r="Z104" s="607">
        <f t="shared" si="29"/>
        <v>0</v>
      </c>
      <c r="AA104" s="557">
        <f t="shared" si="30"/>
        <v>299</v>
      </c>
      <c r="AB104" s="557">
        <f t="shared" si="31"/>
        <v>10921.70359998914</v>
      </c>
    </row>
    <row r="105" spans="1:28" x14ac:dyDescent="0.35">
      <c r="A105" s="595">
        <f t="shared" si="23"/>
        <v>1</v>
      </c>
      <c r="B105" s="596">
        <f t="shared" si="32"/>
        <v>99</v>
      </c>
      <c r="C105" s="597">
        <f ca="1">IF(B105="","",'Fecha Pago'!K102)</f>
        <v>49159</v>
      </c>
      <c r="D105" s="598">
        <f t="shared" si="33"/>
        <v>30.4</v>
      </c>
      <c r="E105" s="599">
        <f>IF(B105="","",'Tabla de Incrementos'!$C$4)</f>
        <v>0.11</v>
      </c>
      <c r="F105" s="600">
        <f t="shared" si="24"/>
        <v>943239.17512564163</v>
      </c>
      <c r="G105" s="600">
        <f t="shared" si="34"/>
        <v>1861.0597065998463</v>
      </c>
      <c r="H105" s="600">
        <f t="shared" si="25"/>
        <v>8761.6438933892932</v>
      </c>
      <c r="I105" s="600">
        <f>IF(B105="","",IF(F105=0,0,($C$2/1000)*'Tabla de Incrementos'!$J$9))</f>
        <v>10622.70359998914</v>
      </c>
      <c r="J105" s="600">
        <f t="shared" si="35"/>
        <v>0</v>
      </c>
      <c r="K105" s="600">
        <f t="shared" si="36"/>
        <v>0</v>
      </c>
      <c r="L105" s="600">
        <f t="shared" si="26"/>
        <v>299</v>
      </c>
      <c r="M105" s="600">
        <f>IF(B105="","",IF(A105=0,0,AportPat!L102))</f>
        <v>0</v>
      </c>
      <c r="N105" s="601">
        <f>Simulador!N165</f>
        <v>0</v>
      </c>
      <c r="O105" s="608">
        <v>0</v>
      </c>
      <c r="P105" s="600">
        <f t="shared" si="37"/>
        <v>10921.70359998914</v>
      </c>
      <c r="Q105" s="600">
        <f t="shared" si="20"/>
        <v>941378.11541904183</v>
      </c>
      <c r="S105" s="120">
        <v>0.11</v>
      </c>
      <c r="T105" s="198">
        <f t="shared" si="21"/>
        <v>99</v>
      </c>
      <c r="U105" s="347">
        <f t="shared" si="38"/>
        <v>943239.17512564163</v>
      </c>
      <c r="V105" s="347">
        <f t="shared" si="27"/>
        <v>1861.0597065998463</v>
      </c>
      <c r="W105" s="347">
        <f t="shared" si="28"/>
        <v>8761.6438933892932</v>
      </c>
      <c r="X105" s="600">
        <f>IF(T105="","",IF(U105=0,0,($C$2/1000)*'Tabla de Incrementos'!$J$9))</f>
        <v>10622.70359998914</v>
      </c>
      <c r="Y105" s="600">
        <f t="shared" si="22"/>
        <v>0</v>
      </c>
      <c r="Z105" s="600">
        <f t="shared" si="29"/>
        <v>0</v>
      </c>
      <c r="AA105" s="557">
        <f t="shared" si="30"/>
        <v>299</v>
      </c>
      <c r="AB105" s="557">
        <f t="shared" si="31"/>
        <v>10921.70359998914</v>
      </c>
    </row>
    <row r="106" spans="1:28" x14ac:dyDescent="0.35">
      <c r="A106" s="595">
        <f t="shared" si="23"/>
        <v>1</v>
      </c>
      <c r="B106" s="596">
        <f t="shared" si="32"/>
        <v>100</v>
      </c>
      <c r="C106" s="597">
        <f ca="1">IF(B106="","",'Fecha Pago'!K103)</f>
        <v>49190</v>
      </c>
      <c r="D106" s="598">
        <f t="shared" si="33"/>
        <v>30.4</v>
      </c>
      <c r="E106" s="599">
        <f>IF(B106="","",'Tabla de Incrementos'!$C$4)</f>
        <v>0.11</v>
      </c>
      <c r="F106" s="600">
        <f t="shared" si="24"/>
        <v>941378.11541904183</v>
      </c>
      <c r="G106" s="600">
        <f t="shared" si="34"/>
        <v>1878.3468834300402</v>
      </c>
      <c r="H106" s="600">
        <f t="shared" si="25"/>
        <v>8744.3567165590994</v>
      </c>
      <c r="I106" s="600">
        <f>IF(B106="","",IF(F106=0,0,($C$2/1000)*'Tabla de Incrementos'!$J$9))</f>
        <v>10622.70359998914</v>
      </c>
      <c r="J106" s="600">
        <f t="shared" si="35"/>
        <v>0</v>
      </c>
      <c r="K106" s="600">
        <f t="shared" si="36"/>
        <v>0</v>
      </c>
      <c r="L106" s="600">
        <f t="shared" si="26"/>
        <v>299</v>
      </c>
      <c r="M106" s="600">
        <f>IF(B106="","",IF(A106=0,0,AportPat!L103))</f>
        <v>0</v>
      </c>
      <c r="N106" s="601">
        <f>Simulador!N166</f>
        <v>0</v>
      </c>
      <c r="O106" s="608">
        <v>0</v>
      </c>
      <c r="P106" s="600">
        <f t="shared" si="37"/>
        <v>10921.70359998914</v>
      </c>
      <c r="Q106" s="600">
        <f t="shared" si="20"/>
        <v>939499.7685356118</v>
      </c>
      <c r="S106" s="120">
        <v>0.11</v>
      </c>
      <c r="T106" s="198">
        <f t="shared" si="21"/>
        <v>100</v>
      </c>
      <c r="U106" s="347">
        <f t="shared" si="38"/>
        <v>941378.11541904183</v>
      </c>
      <c r="V106" s="347">
        <f t="shared" si="27"/>
        <v>1878.3468834300402</v>
      </c>
      <c r="W106" s="347">
        <f t="shared" si="28"/>
        <v>8744.3567165590994</v>
      </c>
      <c r="X106" s="600">
        <f>IF(T106="","",IF(U106=0,0,($C$2/1000)*'Tabla de Incrementos'!$J$9))</f>
        <v>10622.70359998914</v>
      </c>
      <c r="Y106" s="600">
        <f t="shared" si="22"/>
        <v>0</v>
      </c>
      <c r="Z106" s="600">
        <f t="shared" si="29"/>
        <v>0</v>
      </c>
      <c r="AA106" s="557">
        <f t="shared" si="30"/>
        <v>299</v>
      </c>
      <c r="AB106" s="557">
        <f t="shared" si="31"/>
        <v>10921.70359998914</v>
      </c>
    </row>
    <row r="107" spans="1:28" x14ac:dyDescent="0.35">
      <c r="A107" s="595">
        <f t="shared" si="23"/>
        <v>1</v>
      </c>
      <c r="B107" s="596">
        <f t="shared" si="32"/>
        <v>101</v>
      </c>
      <c r="C107" s="597">
        <f ca="1">IF(B107="","",'Fecha Pago'!K104)</f>
        <v>49220</v>
      </c>
      <c r="D107" s="598">
        <f t="shared" si="33"/>
        <v>30.4</v>
      </c>
      <c r="E107" s="599">
        <f>IF(B107="","",'Tabla de Incrementos'!$C$4)</f>
        <v>0.11</v>
      </c>
      <c r="F107" s="600">
        <f t="shared" si="24"/>
        <v>939499.7685356118</v>
      </c>
      <c r="G107" s="600">
        <f t="shared" si="34"/>
        <v>1895.7946389250119</v>
      </c>
      <c r="H107" s="600">
        <f t="shared" si="25"/>
        <v>8726.9089610641277</v>
      </c>
      <c r="I107" s="600">
        <f>IF(B107="","",IF(F107=0,0,($C$2/1000)*'Tabla de Incrementos'!$J$9))</f>
        <v>10622.70359998914</v>
      </c>
      <c r="J107" s="600">
        <f t="shared" si="35"/>
        <v>0</v>
      </c>
      <c r="K107" s="600">
        <f t="shared" si="36"/>
        <v>0</v>
      </c>
      <c r="L107" s="600">
        <f t="shared" si="26"/>
        <v>299</v>
      </c>
      <c r="M107" s="600">
        <f>IF(B107="","",IF(A107=0,0,AportPat!L104))</f>
        <v>0</v>
      </c>
      <c r="N107" s="601">
        <f>Simulador!N167</f>
        <v>0</v>
      </c>
      <c r="O107" s="608">
        <v>0</v>
      </c>
      <c r="P107" s="600">
        <f t="shared" si="37"/>
        <v>10921.70359998914</v>
      </c>
      <c r="Q107" s="600">
        <f t="shared" si="20"/>
        <v>937603.9738966868</v>
      </c>
      <c r="S107" s="120">
        <v>0.11</v>
      </c>
      <c r="T107" s="198">
        <f t="shared" si="21"/>
        <v>101</v>
      </c>
      <c r="U107" s="347">
        <f t="shared" si="38"/>
        <v>939499.7685356118</v>
      </c>
      <c r="V107" s="347">
        <f t="shared" si="27"/>
        <v>1895.7946389250119</v>
      </c>
      <c r="W107" s="347">
        <f t="shared" si="28"/>
        <v>8726.9089610641277</v>
      </c>
      <c r="X107" s="600">
        <f>IF(T107="","",IF(U107=0,0,($C$2/1000)*'Tabla de Incrementos'!$J$9))</f>
        <v>10622.70359998914</v>
      </c>
      <c r="Y107" s="600">
        <f t="shared" si="22"/>
        <v>0</v>
      </c>
      <c r="Z107" s="600">
        <f t="shared" si="29"/>
        <v>0</v>
      </c>
      <c r="AA107" s="557">
        <f t="shared" si="30"/>
        <v>299</v>
      </c>
      <c r="AB107" s="557">
        <f t="shared" si="31"/>
        <v>10921.70359998914</v>
      </c>
    </row>
    <row r="108" spans="1:28" x14ac:dyDescent="0.35">
      <c r="A108" s="595">
        <f t="shared" si="23"/>
        <v>1</v>
      </c>
      <c r="B108" s="596">
        <f t="shared" si="32"/>
        <v>102</v>
      </c>
      <c r="C108" s="597">
        <f ca="1">IF(B108="","",'Fecha Pago'!K105)</f>
        <v>49251</v>
      </c>
      <c r="D108" s="598">
        <f t="shared" si="33"/>
        <v>30.4</v>
      </c>
      <c r="E108" s="599">
        <f>IF(B108="","",'Tabla de Incrementos'!$C$4)</f>
        <v>0.11</v>
      </c>
      <c r="F108" s="600">
        <f t="shared" si="24"/>
        <v>937603.9738966868</v>
      </c>
      <c r="G108" s="600">
        <f t="shared" si="34"/>
        <v>1913.4044646821385</v>
      </c>
      <c r="H108" s="600">
        <f t="shared" si="25"/>
        <v>8709.2991353070011</v>
      </c>
      <c r="I108" s="600">
        <f>IF(B108="","",IF(F108=0,0,($C$2/1000)*'Tabla de Incrementos'!$J$9))</f>
        <v>10622.70359998914</v>
      </c>
      <c r="J108" s="600">
        <f t="shared" si="35"/>
        <v>0</v>
      </c>
      <c r="K108" s="600">
        <f t="shared" si="36"/>
        <v>0</v>
      </c>
      <c r="L108" s="600">
        <f t="shared" si="26"/>
        <v>299</v>
      </c>
      <c r="M108" s="600">
        <f>IF(B108="","",IF(A108=0,0,AportPat!L105))</f>
        <v>0</v>
      </c>
      <c r="N108" s="601">
        <f>Simulador!N168</f>
        <v>0</v>
      </c>
      <c r="O108" s="608">
        <v>0</v>
      </c>
      <c r="P108" s="600">
        <f t="shared" si="37"/>
        <v>10921.70359998914</v>
      </c>
      <c r="Q108" s="600">
        <f t="shared" si="20"/>
        <v>935690.5694320047</v>
      </c>
      <c r="S108" s="120">
        <v>0.11</v>
      </c>
      <c r="T108" s="198">
        <f t="shared" si="21"/>
        <v>102</v>
      </c>
      <c r="U108" s="347">
        <f t="shared" si="38"/>
        <v>937603.9738966868</v>
      </c>
      <c r="V108" s="347">
        <f t="shared" si="27"/>
        <v>1913.4044646821385</v>
      </c>
      <c r="W108" s="347">
        <f t="shared" si="28"/>
        <v>8709.2991353070011</v>
      </c>
      <c r="X108" s="600">
        <f>IF(T108="","",IF(U108=0,0,($C$2/1000)*'Tabla de Incrementos'!$J$9))</f>
        <v>10622.70359998914</v>
      </c>
      <c r="Y108" s="600">
        <f t="shared" si="22"/>
        <v>0</v>
      </c>
      <c r="Z108" s="600">
        <f t="shared" si="29"/>
        <v>0</v>
      </c>
      <c r="AA108" s="557">
        <f t="shared" si="30"/>
        <v>299</v>
      </c>
      <c r="AB108" s="557">
        <f t="shared" si="31"/>
        <v>10921.70359998914</v>
      </c>
    </row>
    <row r="109" spans="1:28" x14ac:dyDescent="0.35">
      <c r="A109" s="595">
        <f t="shared" si="23"/>
        <v>1</v>
      </c>
      <c r="B109" s="596">
        <f t="shared" si="32"/>
        <v>103</v>
      </c>
      <c r="C109" s="597">
        <f ca="1">IF(B109="","",'Fecha Pago'!K106)</f>
        <v>49281</v>
      </c>
      <c r="D109" s="598">
        <f t="shared" si="33"/>
        <v>30.4</v>
      </c>
      <c r="E109" s="599">
        <f>IF(B109="","",'Tabla de Incrementos'!$C$4)</f>
        <v>0.11</v>
      </c>
      <c r="F109" s="600">
        <f t="shared" si="24"/>
        <v>935690.5694320047</v>
      </c>
      <c r="G109" s="600">
        <f t="shared" si="34"/>
        <v>1931.1778661540739</v>
      </c>
      <c r="H109" s="600">
        <f t="shared" si="25"/>
        <v>8691.5257338350657</v>
      </c>
      <c r="I109" s="600">
        <f>IF(B109="","",IF(F109=0,0,($C$2/1000)*'Tabla de Incrementos'!$J$9))</f>
        <v>10622.70359998914</v>
      </c>
      <c r="J109" s="600">
        <f t="shared" si="35"/>
        <v>0</v>
      </c>
      <c r="K109" s="600">
        <f t="shared" si="36"/>
        <v>0</v>
      </c>
      <c r="L109" s="600">
        <f t="shared" si="26"/>
        <v>299</v>
      </c>
      <c r="M109" s="600">
        <f>IF(B109="","",IF(A109=0,0,AportPat!L106))</f>
        <v>0</v>
      </c>
      <c r="N109" s="601">
        <f>Simulador!N169</f>
        <v>0</v>
      </c>
      <c r="O109" s="608">
        <v>0</v>
      </c>
      <c r="P109" s="600">
        <f t="shared" si="37"/>
        <v>10921.70359998914</v>
      </c>
      <c r="Q109" s="600">
        <f t="shared" si="20"/>
        <v>933759.39156585059</v>
      </c>
      <c r="S109" s="120">
        <v>0.11</v>
      </c>
      <c r="T109" s="198">
        <f t="shared" si="21"/>
        <v>103</v>
      </c>
      <c r="U109" s="347">
        <f t="shared" si="38"/>
        <v>935690.5694320047</v>
      </c>
      <c r="V109" s="347">
        <f t="shared" si="27"/>
        <v>1931.1778661540739</v>
      </c>
      <c r="W109" s="347">
        <f t="shared" si="28"/>
        <v>8691.5257338350657</v>
      </c>
      <c r="X109" s="600">
        <f>IF(T109="","",IF(U109=0,0,($C$2/1000)*'Tabla de Incrementos'!$J$9))</f>
        <v>10622.70359998914</v>
      </c>
      <c r="Y109" s="600">
        <f t="shared" si="22"/>
        <v>0</v>
      </c>
      <c r="Z109" s="600">
        <f t="shared" si="29"/>
        <v>0</v>
      </c>
      <c r="AA109" s="557">
        <f t="shared" si="30"/>
        <v>299</v>
      </c>
      <c r="AB109" s="557">
        <f t="shared" si="31"/>
        <v>10921.70359998914</v>
      </c>
    </row>
    <row r="110" spans="1:28" x14ac:dyDescent="0.35">
      <c r="A110" s="595">
        <f t="shared" si="23"/>
        <v>1</v>
      </c>
      <c r="B110" s="596">
        <f t="shared" si="32"/>
        <v>104</v>
      </c>
      <c r="C110" s="597">
        <f ca="1">IF(B110="","",'Fecha Pago'!K107)</f>
        <v>49312</v>
      </c>
      <c r="D110" s="598">
        <f t="shared" si="33"/>
        <v>30.4</v>
      </c>
      <c r="E110" s="599">
        <f>IF(B110="","",'Tabla de Incrementos'!$C$4)</f>
        <v>0.11</v>
      </c>
      <c r="F110" s="600">
        <f t="shared" si="24"/>
        <v>933759.39156585059</v>
      </c>
      <c r="G110" s="600">
        <f t="shared" si="34"/>
        <v>1949.1163627774622</v>
      </c>
      <c r="H110" s="600">
        <f t="shared" si="25"/>
        <v>8673.5872372116773</v>
      </c>
      <c r="I110" s="600">
        <f>IF(B110="","",IF(F110=0,0,($C$2/1000)*'Tabla de Incrementos'!$J$9))</f>
        <v>10622.70359998914</v>
      </c>
      <c r="J110" s="600">
        <f t="shared" si="35"/>
        <v>0</v>
      </c>
      <c r="K110" s="600">
        <f t="shared" si="36"/>
        <v>0</v>
      </c>
      <c r="L110" s="600">
        <f t="shared" si="26"/>
        <v>299</v>
      </c>
      <c r="M110" s="600">
        <f>IF(B110="","",IF(A110=0,0,AportPat!L107))</f>
        <v>0</v>
      </c>
      <c r="N110" s="601">
        <f>Simulador!N170</f>
        <v>0</v>
      </c>
      <c r="O110" s="608">
        <v>0</v>
      </c>
      <c r="P110" s="600">
        <f t="shared" si="37"/>
        <v>10921.70359998914</v>
      </c>
      <c r="Q110" s="600">
        <f t="shared" si="20"/>
        <v>931810.27520307316</v>
      </c>
      <c r="S110" s="120">
        <v>0.11</v>
      </c>
      <c r="T110" s="198">
        <f t="shared" si="21"/>
        <v>104</v>
      </c>
      <c r="U110" s="347">
        <f t="shared" si="38"/>
        <v>933759.39156585059</v>
      </c>
      <c r="V110" s="347">
        <f t="shared" si="27"/>
        <v>1949.1163627774622</v>
      </c>
      <c r="W110" s="347">
        <f t="shared" si="28"/>
        <v>8673.5872372116773</v>
      </c>
      <c r="X110" s="600">
        <f>IF(T110="","",IF(U110=0,0,($C$2/1000)*'Tabla de Incrementos'!$J$9))</f>
        <v>10622.70359998914</v>
      </c>
      <c r="Y110" s="600">
        <f t="shared" si="22"/>
        <v>0</v>
      </c>
      <c r="Z110" s="600">
        <f t="shared" si="29"/>
        <v>0</v>
      </c>
      <c r="AA110" s="557">
        <f t="shared" si="30"/>
        <v>299</v>
      </c>
      <c r="AB110" s="557">
        <f t="shared" si="31"/>
        <v>10921.70359998914</v>
      </c>
    </row>
    <row r="111" spans="1:28" x14ac:dyDescent="0.35">
      <c r="A111" s="595">
        <f t="shared" si="23"/>
        <v>1</v>
      </c>
      <c r="B111" s="596">
        <f t="shared" si="32"/>
        <v>105</v>
      </c>
      <c r="C111" s="597">
        <f ca="1">IF(B111="","",'Fecha Pago'!K108)</f>
        <v>49343</v>
      </c>
      <c r="D111" s="598">
        <f t="shared" si="33"/>
        <v>30.4</v>
      </c>
      <c r="E111" s="599">
        <f>IF(B111="","",'Tabla de Incrementos'!$C$4)</f>
        <v>0.11</v>
      </c>
      <c r="F111" s="600">
        <f t="shared" si="24"/>
        <v>931810.27520307316</v>
      </c>
      <c r="G111" s="600">
        <f t="shared" si="34"/>
        <v>1967.2214881028158</v>
      </c>
      <c r="H111" s="600">
        <f t="shared" si="25"/>
        <v>8655.4821118863238</v>
      </c>
      <c r="I111" s="600">
        <f>IF(B111="","",IF(F111=0,0,($C$2/1000)*'Tabla de Incrementos'!$J$9))</f>
        <v>10622.70359998914</v>
      </c>
      <c r="J111" s="600">
        <f t="shared" si="35"/>
        <v>0</v>
      </c>
      <c r="K111" s="600">
        <f t="shared" si="36"/>
        <v>0</v>
      </c>
      <c r="L111" s="600">
        <f t="shared" si="26"/>
        <v>299</v>
      </c>
      <c r="M111" s="600">
        <f>IF(B111="","",IF(A111=0,0,AportPat!L108))</f>
        <v>0</v>
      </c>
      <c r="N111" s="601">
        <f>Simulador!N171</f>
        <v>0</v>
      </c>
      <c r="O111" s="608">
        <v>0</v>
      </c>
      <c r="P111" s="600">
        <f t="shared" si="37"/>
        <v>10921.70359998914</v>
      </c>
      <c r="Q111" s="600">
        <f t="shared" si="20"/>
        <v>929843.05371497036</v>
      </c>
      <c r="S111" s="120">
        <v>0.11</v>
      </c>
      <c r="T111" s="198">
        <f t="shared" si="21"/>
        <v>105</v>
      </c>
      <c r="U111" s="347">
        <f t="shared" si="38"/>
        <v>931810.27520307316</v>
      </c>
      <c r="V111" s="347">
        <f t="shared" si="27"/>
        <v>1967.2214881028158</v>
      </c>
      <c r="W111" s="347">
        <f t="shared" si="28"/>
        <v>8655.4821118863238</v>
      </c>
      <c r="X111" s="600">
        <f>IF(T111="","",IF(U111=0,0,($C$2/1000)*'Tabla de Incrementos'!$J$9))</f>
        <v>10622.70359998914</v>
      </c>
      <c r="Y111" s="600">
        <f t="shared" si="22"/>
        <v>0</v>
      </c>
      <c r="Z111" s="600">
        <f t="shared" si="29"/>
        <v>0</v>
      </c>
      <c r="AA111" s="557">
        <f t="shared" si="30"/>
        <v>299</v>
      </c>
      <c r="AB111" s="557">
        <f t="shared" si="31"/>
        <v>10921.70359998914</v>
      </c>
    </row>
    <row r="112" spans="1:28" x14ac:dyDescent="0.35">
      <c r="A112" s="595">
        <f t="shared" si="23"/>
        <v>1</v>
      </c>
      <c r="B112" s="596">
        <f t="shared" si="32"/>
        <v>106</v>
      </c>
      <c r="C112" s="597">
        <f ca="1">IF(B112="","",'Fecha Pago'!K109)</f>
        <v>49371</v>
      </c>
      <c r="D112" s="598">
        <f t="shared" si="33"/>
        <v>30.4</v>
      </c>
      <c r="E112" s="599">
        <f>IF(B112="","",'Tabla de Incrementos'!$C$4)</f>
        <v>0.11</v>
      </c>
      <c r="F112" s="600">
        <f t="shared" si="24"/>
        <v>929843.05371497036</v>
      </c>
      <c r="G112" s="600">
        <f t="shared" si="34"/>
        <v>1985.4947899256385</v>
      </c>
      <c r="H112" s="600">
        <f t="shared" si="25"/>
        <v>8637.208810063501</v>
      </c>
      <c r="I112" s="600">
        <f>IF(B112="","",IF(F112=0,0,($C$2/1000)*'Tabla de Incrementos'!$J$9))</f>
        <v>10622.70359998914</v>
      </c>
      <c r="J112" s="600">
        <f t="shared" si="35"/>
        <v>0</v>
      </c>
      <c r="K112" s="600">
        <f t="shared" si="36"/>
        <v>0</v>
      </c>
      <c r="L112" s="600">
        <f t="shared" si="26"/>
        <v>299</v>
      </c>
      <c r="M112" s="600">
        <f>IF(B112="","",IF(A112=0,0,AportPat!L109))</f>
        <v>0</v>
      </c>
      <c r="N112" s="601">
        <f>Simulador!N172</f>
        <v>0</v>
      </c>
      <c r="O112" s="608">
        <v>0</v>
      </c>
      <c r="P112" s="600">
        <f t="shared" si="37"/>
        <v>10921.70359998914</v>
      </c>
      <c r="Q112" s="600">
        <f t="shared" si="20"/>
        <v>927857.55892504472</v>
      </c>
      <c r="S112" s="120">
        <v>0.11</v>
      </c>
      <c r="T112" s="198">
        <f t="shared" si="21"/>
        <v>106</v>
      </c>
      <c r="U112" s="347">
        <f t="shared" si="38"/>
        <v>929843.05371497036</v>
      </c>
      <c r="V112" s="347">
        <f t="shared" si="27"/>
        <v>1985.4947899256385</v>
      </c>
      <c r="W112" s="347">
        <f t="shared" si="28"/>
        <v>8637.208810063501</v>
      </c>
      <c r="X112" s="600">
        <f>IF(T112="","",IF(U112=0,0,($C$2/1000)*'Tabla de Incrementos'!$J$9))</f>
        <v>10622.70359998914</v>
      </c>
      <c r="Y112" s="600">
        <f t="shared" si="22"/>
        <v>0</v>
      </c>
      <c r="Z112" s="600">
        <f t="shared" si="29"/>
        <v>0</v>
      </c>
      <c r="AA112" s="557">
        <f t="shared" si="30"/>
        <v>299</v>
      </c>
      <c r="AB112" s="557">
        <f t="shared" si="31"/>
        <v>10921.70359998914</v>
      </c>
    </row>
    <row r="113" spans="1:28" x14ac:dyDescent="0.35">
      <c r="A113" s="595">
        <f t="shared" si="23"/>
        <v>1</v>
      </c>
      <c r="B113" s="596">
        <f t="shared" si="32"/>
        <v>107</v>
      </c>
      <c r="C113" s="597">
        <f ca="1">IF(B113="","",'Fecha Pago'!K110)</f>
        <v>49402</v>
      </c>
      <c r="D113" s="598">
        <f t="shared" si="33"/>
        <v>30.4</v>
      </c>
      <c r="E113" s="599">
        <f>IF(B113="","",'Tabla de Incrementos'!$C$4)</f>
        <v>0.11</v>
      </c>
      <c r="F113" s="600">
        <f t="shared" si="24"/>
        <v>927857.55892504472</v>
      </c>
      <c r="G113" s="600">
        <f t="shared" si="34"/>
        <v>2003.9378304187248</v>
      </c>
      <c r="H113" s="600">
        <f t="shared" si="25"/>
        <v>8618.7657695704147</v>
      </c>
      <c r="I113" s="600">
        <f>IF(B113="","",IF(F113=0,0,($C$2/1000)*'Tabla de Incrementos'!$J$9))</f>
        <v>10622.70359998914</v>
      </c>
      <c r="J113" s="600">
        <f t="shared" si="35"/>
        <v>0</v>
      </c>
      <c r="K113" s="600">
        <f t="shared" si="36"/>
        <v>0</v>
      </c>
      <c r="L113" s="600">
        <f t="shared" si="26"/>
        <v>299</v>
      </c>
      <c r="M113" s="600">
        <f>IF(B113="","",IF(A113=0,0,AportPat!L110))</f>
        <v>0</v>
      </c>
      <c r="N113" s="601">
        <f>Simulador!N173</f>
        <v>0</v>
      </c>
      <c r="O113" s="608">
        <v>0</v>
      </c>
      <c r="P113" s="600">
        <f t="shared" si="37"/>
        <v>10921.70359998914</v>
      </c>
      <c r="Q113" s="600">
        <f t="shared" si="20"/>
        <v>925853.62109462603</v>
      </c>
      <c r="S113" s="120">
        <v>0.11</v>
      </c>
      <c r="T113" s="198">
        <f t="shared" si="21"/>
        <v>107</v>
      </c>
      <c r="U113" s="347">
        <f t="shared" si="38"/>
        <v>927857.55892504472</v>
      </c>
      <c r="V113" s="347">
        <f t="shared" si="27"/>
        <v>2003.9378304187248</v>
      </c>
      <c r="W113" s="347">
        <f t="shared" si="28"/>
        <v>8618.7657695704147</v>
      </c>
      <c r="X113" s="600">
        <f>IF(T113="","",IF(U113=0,0,($C$2/1000)*'Tabla de Incrementos'!$J$9))</f>
        <v>10622.70359998914</v>
      </c>
      <c r="Y113" s="600">
        <f t="shared" si="22"/>
        <v>0</v>
      </c>
      <c r="Z113" s="600">
        <f t="shared" si="29"/>
        <v>0</v>
      </c>
      <c r="AA113" s="557">
        <f t="shared" si="30"/>
        <v>299</v>
      </c>
      <c r="AB113" s="557">
        <f t="shared" si="31"/>
        <v>10921.70359998914</v>
      </c>
    </row>
    <row r="114" spans="1:28" x14ac:dyDescent="0.35">
      <c r="A114" s="595">
        <f t="shared" si="23"/>
        <v>1</v>
      </c>
      <c r="B114" s="596">
        <f t="shared" si="32"/>
        <v>108</v>
      </c>
      <c r="C114" s="597">
        <f ca="1">IF(B114="","",'Fecha Pago'!K111)</f>
        <v>49432</v>
      </c>
      <c r="D114" s="598">
        <f t="shared" si="33"/>
        <v>30.4</v>
      </c>
      <c r="E114" s="599">
        <f>IF(B114="","",'Tabla de Incrementos'!$C$4)</f>
        <v>0.11</v>
      </c>
      <c r="F114" s="600">
        <f t="shared" si="24"/>
        <v>925853.62109462603</v>
      </c>
      <c r="G114" s="600">
        <f t="shared" si="34"/>
        <v>2022.5521862657242</v>
      </c>
      <c r="H114" s="600">
        <f t="shared" si="25"/>
        <v>8600.1514137234153</v>
      </c>
      <c r="I114" s="600">
        <f>IF(B114="","",IF(F114=0,0,($C$2/1000)*'Tabla de Incrementos'!$J$9))</f>
        <v>10622.70359998914</v>
      </c>
      <c r="J114" s="600">
        <f t="shared" si="35"/>
        <v>0</v>
      </c>
      <c r="K114" s="600">
        <f t="shared" si="36"/>
        <v>0</v>
      </c>
      <c r="L114" s="600">
        <f t="shared" si="26"/>
        <v>299</v>
      </c>
      <c r="M114" s="600">
        <f>IF(B114="","",IF(A114=0,0,AportPat!L111))</f>
        <v>0</v>
      </c>
      <c r="N114" s="601">
        <f>Simulador!N174</f>
        <v>0</v>
      </c>
      <c r="O114" s="608">
        <v>0</v>
      </c>
      <c r="P114" s="600">
        <f t="shared" si="37"/>
        <v>10921.70359998914</v>
      </c>
      <c r="Q114" s="600">
        <f t="shared" si="20"/>
        <v>923831.06890836032</v>
      </c>
      <c r="S114" s="120">
        <v>0.11</v>
      </c>
      <c r="T114" s="198">
        <f t="shared" si="21"/>
        <v>108</v>
      </c>
      <c r="U114" s="347">
        <f t="shared" si="38"/>
        <v>925853.62109462603</v>
      </c>
      <c r="V114" s="347">
        <f t="shared" si="27"/>
        <v>2022.5521862657242</v>
      </c>
      <c r="W114" s="347">
        <f t="shared" si="28"/>
        <v>8600.1514137234153</v>
      </c>
      <c r="X114" s="600">
        <f>IF(T114="","",IF(U114=0,0,($C$2/1000)*'Tabla de Incrementos'!$J$9))</f>
        <v>10622.70359998914</v>
      </c>
      <c r="Y114" s="600">
        <f t="shared" si="22"/>
        <v>0</v>
      </c>
      <c r="Z114" s="600">
        <f t="shared" si="29"/>
        <v>0</v>
      </c>
      <c r="AA114" s="557">
        <f t="shared" si="30"/>
        <v>299</v>
      </c>
      <c r="AB114" s="557">
        <f t="shared" si="31"/>
        <v>10921.70359998914</v>
      </c>
    </row>
    <row r="115" spans="1:28" x14ac:dyDescent="0.35">
      <c r="A115" s="595">
        <f t="shared" si="23"/>
        <v>1</v>
      </c>
      <c r="B115" s="596">
        <f t="shared" si="32"/>
        <v>109</v>
      </c>
      <c r="C115" s="597">
        <f ca="1">IF(B115="","",'Fecha Pago'!K112)</f>
        <v>49463</v>
      </c>
      <c r="D115" s="598">
        <f t="shared" si="33"/>
        <v>30.4</v>
      </c>
      <c r="E115" s="599">
        <f>IF(B115="","",'Tabla de Incrementos'!$C$4)</f>
        <v>0.11</v>
      </c>
      <c r="F115" s="600">
        <f t="shared" si="24"/>
        <v>923831.06890836032</v>
      </c>
      <c r="G115" s="600">
        <f t="shared" si="34"/>
        <v>2041.3394487959267</v>
      </c>
      <c r="H115" s="600">
        <f t="shared" si="25"/>
        <v>8581.3641511932128</v>
      </c>
      <c r="I115" s="600">
        <f>IF(B115="","",IF(F115=0,0,($C$2/1000)*'Tabla de Incrementos'!$J$9))</f>
        <v>10622.70359998914</v>
      </c>
      <c r="J115" s="600">
        <f t="shared" si="35"/>
        <v>0</v>
      </c>
      <c r="K115" s="600">
        <f t="shared" si="36"/>
        <v>0</v>
      </c>
      <c r="L115" s="600">
        <f t="shared" si="26"/>
        <v>299</v>
      </c>
      <c r="M115" s="600">
        <f>IF(B115="","",IF(A115=0,0,AportPat!L112))</f>
        <v>0</v>
      </c>
      <c r="N115" s="601">
        <f>Simulador!N175</f>
        <v>0</v>
      </c>
      <c r="O115" s="608">
        <v>0</v>
      </c>
      <c r="P115" s="600">
        <f t="shared" si="37"/>
        <v>10921.70359998914</v>
      </c>
      <c r="Q115" s="600">
        <f t="shared" si="20"/>
        <v>921789.72945956443</v>
      </c>
      <c r="S115" s="120">
        <v>0.11</v>
      </c>
      <c r="T115" s="198">
        <f t="shared" si="21"/>
        <v>109</v>
      </c>
      <c r="U115" s="347">
        <f t="shared" si="38"/>
        <v>923831.06890836032</v>
      </c>
      <c r="V115" s="347">
        <f t="shared" si="27"/>
        <v>2041.3394487959267</v>
      </c>
      <c r="W115" s="347">
        <f t="shared" si="28"/>
        <v>8581.3641511932128</v>
      </c>
      <c r="X115" s="600">
        <f>IF(T115="","",IF(U115=0,0,($C$2/1000)*'Tabla de Incrementos'!$J$9))</f>
        <v>10622.70359998914</v>
      </c>
      <c r="Y115" s="600">
        <f t="shared" si="22"/>
        <v>0</v>
      </c>
      <c r="Z115" s="600">
        <f t="shared" si="29"/>
        <v>0</v>
      </c>
      <c r="AA115" s="557">
        <f t="shared" si="30"/>
        <v>299</v>
      </c>
      <c r="AB115" s="557">
        <f t="shared" si="31"/>
        <v>10921.70359998914</v>
      </c>
    </row>
    <row r="116" spans="1:28" x14ac:dyDescent="0.35">
      <c r="A116" s="595">
        <f t="shared" si="23"/>
        <v>1</v>
      </c>
      <c r="B116" s="604">
        <f t="shared" si="32"/>
        <v>110</v>
      </c>
      <c r="C116" s="597">
        <f ca="1">IF(B116="","",'Fecha Pago'!K113)</f>
        <v>49493</v>
      </c>
      <c r="D116" s="605">
        <f t="shared" si="33"/>
        <v>30.4</v>
      </c>
      <c r="E116" s="606">
        <f>IF(B116="","",'Tabla de Incrementos'!$C$4)</f>
        <v>0.11</v>
      </c>
      <c r="F116" s="607">
        <f t="shared" si="24"/>
        <v>921789.72945956443</v>
      </c>
      <c r="G116" s="607">
        <f t="shared" si="34"/>
        <v>2361.125677577762</v>
      </c>
      <c r="H116" s="607">
        <f t="shared" si="25"/>
        <v>8562.4023758688418</v>
      </c>
      <c r="I116" s="607">
        <f>IF(B116="","",IF(F116=0,0,($C$2/1000)*'Tabla de Incrementos'!$J$10))</f>
        <v>10923.528053446604</v>
      </c>
      <c r="J116" s="607">
        <f t="shared" si="35"/>
        <v>0</v>
      </c>
      <c r="K116" s="607">
        <f t="shared" si="36"/>
        <v>0</v>
      </c>
      <c r="L116" s="607">
        <f t="shared" si="26"/>
        <v>299</v>
      </c>
      <c r="M116" s="607">
        <f>IF(B116="","",IF(A116=0,0,AportPat!L113))</f>
        <v>0</v>
      </c>
      <c r="N116" s="601">
        <f>Simulador!N176</f>
        <v>0</v>
      </c>
      <c r="O116" s="608">
        <v>0</v>
      </c>
      <c r="P116" s="607">
        <f t="shared" si="37"/>
        <v>11222.528053446604</v>
      </c>
      <c r="Q116" s="607">
        <f t="shared" si="20"/>
        <v>919428.60378198663</v>
      </c>
      <c r="S116" s="120">
        <v>0.11</v>
      </c>
      <c r="T116" s="198">
        <f t="shared" si="21"/>
        <v>110</v>
      </c>
      <c r="U116" s="347">
        <f t="shared" si="38"/>
        <v>921789.72945956443</v>
      </c>
      <c r="V116" s="347">
        <f t="shared" si="27"/>
        <v>2361.125677577762</v>
      </c>
      <c r="W116" s="347">
        <f t="shared" si="28"/>
        <v>8562.4023758688418</v>
      </c>
      <c r="X116" s="607">
        <f>IF(T116="","",IF(U116=0,0,($C$2/1000)*'Tabla de Incrementos'!$J$10))</f>
        <v>10923.528053446604</v>
      </c>
      <c r="Y116" s="607">
        <f t="shared" si="22"/>
        <v>0</v>
      </c>
      <c r="Z116" s="607">
        <f t="shared" si="29"/>
        <v>0</v>
      </c>
      <c r="AA116" s="557">
        <f t="shared" si="30"/>
        <v>299</v>
      </c>
      <c r="AB116" s="557">
        <f t="shared" si="31"/>
        <v>11222.528053446604</v>
      </c>
    </row>
    <row r="117" spans="1:28" x14ac:dyDescent="0.35">
      <c r="A117" s="595">
        <f t="shared" si="23"/>
        <v>1</v>
      </c>
      <c r="B117" s="596">
        <f t="shared" si="32"/>
        <v>111</v>
      </c>
      <c r="C117" s="597">
        <f ca="1">IF(B117="","",'Fecha Pago'!K114)</f>
        <v>49524</v>
      </c>
      <c r="D117" s="598">
        <f t="shared" si="33"/>
        <v>30.4</v>
      </c>
      <c r="E117" s="599">
        <f>IF(B117="","",'Tabla de Incrementos'!$C$4)</f>
        <v>0.11</v>
      </c>
      <c r="F117" s="600">
        <f t="shared" si="24"/>
        <v>919428.60378198663</v>
      </c>
      <c r="G117" s="600">
        <f t="shared" si="34"/>
        <v>2383.0579116494846</v>
      </c>
      <c r="H117" s="600">
        <f t="shared" si="25"/>
        <v>8540.4701417971191</v>
      </c>
      <c r="I117" s="600">
        <f>IF(B117="","",IF(F117=0,0,($C$2/1000)*'Tabla de Incrementos'!$J$10))</f>
        <v>10923.528053446604</v>
      </c>
      <c r="J117" s="600">
        <f t="shared" si="35"/>
        <v>0</v>
      </c>
      <c r="K117" s="600">
        <f t="shared" si="36"/>
        <v>0</v>
      </c>
      <c r="L117" s="600">
        <f t="shared" si="26"/>
        <v>299</v>
      </c>
      <c r="M117" s="600">
        <f>IF(B117="","",IF(A117=0,0,AportPat!L114))</f>
        <v>0</v>
      </c>
      <c r="N117" s="601">
        <f>Simulador!N177</f>
        <v>0</v>
      </c>
      <c r="O117" s="608">
        <v>0</v>
      </c>
      <c r="P117" s="600">
        <f t="shared" si="37"/>
        <v>11222.528053446604</v>
      </c>
      <c r="Q117" s="600">
        <f t="shared" si="20"/>
        <v>917045.54587033717</v>
      </c>
      <c r="S117" s="120">
        <v>0.11</v>
      </c>
      <c r="T117" s="198">
        <f t="shared" si="21"/>
        <v>111</v>
      </c>
      <c r="U117" s="347">
        <f t="shared" si="38"/>
        <v>919428.60378198663</v>
      </c>
      <c r="V117" s="347">
        <f t="shared" si="27"/>
        <v>2383.0579116494846</v>
      </c>
      <c r="W117" s="347">
        <f t="shared" si="28"/>
        <v>8540.4701417971191</v>
      </c>
      <c r="X117" s="600">
        <f>IF(T117="","",IF(U117=0,0,($C$2/1000)*'Tabla de Incrementos'!$J$10))</f>
        <v>10923.528053446604</v>
      </c>
      <c r="Y117" s="600">
        <f t="shared" si="22"/>
        <v>0</v>
      </c>
      <c r="Z117" s="600">
        <f t="shared" si="29"/>
        <v>0</v>
      </c>
      <c r="AA117" s="557">
        <f t="shared" si="30"/>
        <v>299</v>
      </c>
      <c r="AB117" s="557">
        <f t="shared" si="31"/>
        <v>11222.528053446604</v>
      </c>
    </row>
    <row r="118" spans="1:28" x14ac:dyDescent="0.35">
      <c r="A118" s="595">
        <f t="shared" si="23"/>
        <v>1</v>
      </c>
      <c r="B118" s="596">
        <f t="shared" si="32"/>
        <v>112</v>
      </c>
      <c r="C118" s="597">
        <f ca="1">IF(B118="","",'Fecha Pago'!K115)</f>
        <v>49555</v>
      </c>
      <c r="D118" s="598">
        <f t="shared" si="33"/>
        <v>30.4</v>
      </c>
      <c r="E118" s="599">
        <f>IF(B118="","",'Tabla de Incrementos'!$C$4)</f>
        <v>0.11</v>
      </c>
      <c r="F118" s="600">
        <f t="shared" si="24"/>
        <v>917045.54587033717</v>
      </c>
      <c r="G118" s="600">
        <f t="shared" si="34"/>
        <v>2405.193871806583</v>
      </c>
      <c r="H118" s="600">
        <f t="shared" si="25"/>
        <v>8518.3341816400207</v>
      </c>
      <c r="I118" s="600">
        <f>IF(B118="","",IF(F118=0,0,($C$2/1000)*'Tabla de Incrementos'!$J$10))</f>
        <v>10923.528053446604</v>
      </c>
      <c r="J118" s="600">
        <f t="shared" si="35"/>
        <v>0</v>
      </c>
      <c r="K118" s="600">
        <f t="shared" si="36"/>
        <v>0</v>
      </c>
      <c r="L118" s="600">
        <f t="shared" si="26"/>
        <v>299</v>
      </c>
      <c r="M118" s="600">
        <f>IF(B118="","",IF(A118=0,0,AportPat!L115))</f>
        <v>0</v>
      </c>
      <c r="N118" s="601">
        <f>Simulador!N178</f>
        <v>0</v>
      </c>
      <c r="O118" s="608">
        <v>0</v>
      </c>
      <c r="P118" s="600">
        <f t="shared" si="37"/>
        <v>11222.528053446604</v>
      </c>
      <c r="Q118" s="600">
        <f t="shared" si="20"/>
        <v>914640.35199853056</v>
      </c>
      <c r="S118" s="120">
        <v>0.11</v>
      </c>
      <c r="T118" s="198">
        <f t="shared" si="21"/>
        <v>112</v>
      </c>
      <c r="U118" s="347">
        <f t="shared" si="38"/>
        <v>917045.54587033717</v>
      </c>
      <c r="V118" s="347">
        <f t="shared" si="27"/>
        <v>2405.193871806583</v>
      </c>
      <c r="W118" s="347">
        <f t="shared" si="28"/>
        <v>8518.3341816400207</v>
      </c>
      <c r="X118" s="600">
        <f>IF(T118="","",IF(U118=0,0,($C$2/1000)*'Tabla de Incrementos'!$J$10))</f>
        <v>10923.528053446604</v>
      </c>
      <c r="Y118" s="600">
        <f t="shared" si="22"/>
        <v>0</v>
      </c>
      <c r="Z118" s="600">
        <f t="shared" si="29"/>
        <v>0</v>
      </c>
      <c r="AA118" s="557">
        <f t="shared" si="30"/>
        <v>299</v>
      </c>
      <c r="AB118" s="557">
        <f t="shared" si="31"/>
        <v>11222.528053446604</v>
      </c>
    </row>
    <row r="119" spans="1:28" x14ac:dyDescent="0.35">
      <c r="A119" s="595">
        <f t="shared" si="23"/>
        <v>1</v>
      </c>
      <c r="B119" s="596">
        <f t="shared" si="32"/>
        <v>113</v>
      </c>
      <c r="C119" s="597">
        <f ca="1">IF(B119="","",'Fecha Pago'!K116)</f>
        <v>49585</v>
      </c>
      <c r="D119" s="598">
        <f t="shared" si="33"/>
        <v>30.4</v>
      </c>
      <c r="E119" s="599">
        <f>IF(B119="","",'Tabla de Incrementos'!$C$4)</f>
        <v>0.11</v>
      </c>
      <c r="F119" s="600">
        <f t="shared" si="24"/>
        <v>914640.35199853056</v>
      </c>
      <c r="G119" s="600">
        <f t="shared" si="34"/>
        <v>2427.5354504380321</v>
      </c>
      <c r="H119" s="600">
        <f t="shared" si="25"/>
        <v>8495.9926030085717</v>
      </c>
      <c r="I119" s="600">
        <f>IF(B119="","",IF(F119=0,0,($C$2/1000)*'Tabla de Incrementos'!$J$10))</f>
        <v>10923.528053446604</v>
      </c>
      <c r="J119" s="600">
        <f t="shared" si="35"/>
        <v>0</v>
      </c>
      <c r="K119" s="600">
        <f t="shared" si="36"/>
        <v>0</v>
      </c>
      <c r="L119" s="600">
        <f t="shared" si="26"/>
        <v>299</v>
      </c>
      <c r="M119" s="600">
        <f>IF(B119="","",IF(A119=0,0,AportPat!L116))</f>
        <v>0</v>
      </c>
      <c r="N119" s="601">
        <f>Simulador!N179</f>
        <v>0</v>
      </c>
      <c r="O119" s="608">
        <v>0</v>
      </c>
      <c r="P119" s="600">
        <f t="shared" si="37"/>
        <v>11222.528053446604</v>
      </c>
      <c r="Q119" s="600">
        <f t="shared" si="20"/>
        <v>912212.81654809252</v>
      </c>
      <c r="S119" s="120">
        <v>0.11</v>
      </c>
      <c r="T119" s="198">
        <f t="shared" si="21"/>
        <v>113</v>
      </c>
      <c r="U119" s="347">
        <f t="shared" si="38"/>
        <v>914640.35199853056</v>
      </c>
      <c r="V119" s="347">
        <f t="shared" si="27"/>
        <v>2427.5354504380321</v>
      </c>
      <c r="W119" s="347">
        <f t="shared" si="28"/>
        <v>8495.9926030085717</v>
      </c>
      <c r="X119" s="600">
        <f>IF(T119="","",IF(U119=0,0,($C$2/1000)*'Tabla de Incrementos'!$J$10))</f>
        <v>10923.528053446604</v>
      </c>
      <c r="Y119" s="600">
        <f t="shared" si="22"/>
        <v>0</v>
      </c>
      <c r="Z119" s="600">
        <f t="shared" si="29"/>
        <v>0</v>
      </c>
      <c r="AA119" s="557">
        <f t="shared" si="30"/>
        <v>299</v>
      </c>
      <c r="AB119" s="557">
        <f t="shared" si="31"/>
        <v>11222.528053446604</v>
      </c>
    </row>
    <row r="120" spans="1:28" x14ac:dyDescent="0.35">
      <c r="A120" s="595">
        <f t="shared" si="23"/>
        <v>1</v>
      </c>
      <c r="B120" s="596">
        <f t="shared" si="32"/>
        <v>114</v>
      </c>
      <c r="C120" s="597">
        <f ca="1">IF(B120="","",'Fecha Pago'!K117)</f>
        <v>49616</v>
      </c>
      <c r="D120" s="598">
        <f t="shared" si="33"/>
        <v>30.4</v>
      </c>
      <c r="E120" s="599">
        <f>IF(B120="","",'Tabla de Incrementos'!$C$4)</f>
        <v>0.11</v>
      </c>
      <c r="F120" s="600">
        <f t="shared" si="24"/>
        <v>912212.81654809252</v>
      </c>
      <c r="G120" s="600">
        <f t="shared" si="34"/>
        <v>2450.0845575109888</v>
      </c>
      <c r="H120" s="600">
        <f t="shared" si="25"/>
        <v>8473.4434959356149</v>
      </c>
      <c r="I120" s="600">
        <f>IF(B120="","",IF(F120=0,0,($C$2/1000)*'Tabla de Incrementos'!$J$10))</f>
        <v>10923.528053446604</v>
      </c>
      <c r="J120" s="600">
        <f t="shared" si="35"/>
        <v>0</v>
      </c>
      <c r="K120" s="600">
        <f t="shared" si="36"/>
        <v>0</v>
      </c>
      <c r="L120" s="600">
        <f t="shared" si="26"/>
        <v>299</v>
      </c>
      <c r="M120" s="600">
        <f>IF(B120="","",IF(A120=0,0,AportPat!L117))</f>
        <v>0</v>
      </c>
      <c r="N120" s="601">
        <f>Simulador!N180</f>
        <v>0</v>
      </c>
      <c r="O120" s="608">
        <v>0</v>
      </c>
      <c r="P120" s="600">
        <f t="shared" si="37"/>
        <v>11222.528053446604</v>
      </c>
      <c r="Q120" s="600">
        <f t="shared" si="20"/>
        <v>909762.73199058149</v>
      </c>
      <c r="S120" s="120">
        <v>0.11</v>
      </c>
      <c r="T120" s="198">
        <f t="shared" si="21"/>
        <v>114</v>
      </c>
      <c r="U120" s="347">
        <f t="shared" si="38"/>
        <v>912212.81654809252</v>
      </c>
      <c r="V120" s="347">
        <f t="shared" si="27"/>
        <v>2450.0845575109888</v>
      </c>
      <c r="W120" s="347">
        <f t="shared" si="28"/>
        <v>8473.4434959356149</v>
      </c>
      <c r="X120" s="600">
        <f>IF(T120="","",IF(U120=0,0,($C$2/1000)*'Tabla de Incrementos'!$J$10))</f>
        <v>10923.528053446604</v>
      </c>
      <c r="Y120" s="600">
        <f t="shared" si="22"/>
        <v>0</v>
      </c>
      <c r="Z120" s="600">
        <f t="shared" si="29"/>
        <v>0</v>
      </c>
      <c r="AA120" s="557">
        <f t="shared" si="30"/>
        <v>299</v>
      </c>
      <c r="AB120" s="557">
        <f t="shared" si="31"/>
        <v>11222.528053446604</v>
      </c>
    </row>
    <row r="121" spans="1:28" x14ac:dyDescent="0.35">
      <c r="A121" s="595">
        <f t="shared" si="23"/>
        <v>1</v>
      </c>
      <c r="B121" s="596">
        <f t="shared" si="32"/>
        <v>115</v>
      </c>
      <c r="C121" s="597">
        <f ca="1">IF(B121="","",'Fecha Pago'!K118)</f>
        <v>49646</v>
      </c>
      <c r="D121" s="598">
        <f t="shared" si="33"/>
        <v>30.4</v>
      </c>
      <c r="E121" s="599">
        <f>IF(B121="","",'Tabla de Incrementos'!$C$4)</f>
        <v>0.11</v>
      </c>
      <c r="F121" s="600">
        <f t="shared" si="24"/>
        <v>909762.73199058149</v>
      </c>
      <c r="G121" s="600">
        <f t="shared" si="34"/>
        <v>2472.8431207340909</v>
      </c>
      <c r="H121" s="600">
        <f t="shared" si="25"/>
        <v>8450.6849327125128</v>
      </c>
      <c r="I121" s="600">
        <f>IF(B121="","",IF(F121=0,0,($C$2/1000)*'Tabla de Incrementos'!$J$10))</f>
        <v>10923.528053446604</v>
      </c>
      <c r="J121" s="600">
        <f t="shared" si="35"/>
        <v>0</v>
      </c>
      <c r="K121" s="600">
        <f t="shared" si="36"/>
        <v>0</v>
      </c>
      <c r="L121" s="600">
        <f t="shared" si="26"/>
        <v>299</v>
      </c>
      <c r="M121" s="600">
        <f>IF(B121="","",IF(A121=0,0,AportPat!L118))</f>
        <v>0</v>
      </c>
      <c r="N121" s="601">
        <f>Simulador!N181</f>
        <v>0</v>
      </c>
      <c r="O121" s="608">
        <v>0</v>
      </c>
      <c r="P121" s="600">
        <f t="shared" si="37"/>
        <v>11222.528053446604</v>
      </c>
      <c r="Q121" s="600">
        <f t="shared" si="20"/>
        <v>907289.8888698474</v>
      </c>
      <c r="S121" s="120">
        <v>0.11</v>
      </c>
      <c r="T121" s="198">
        <f t="shared" si="21"/>
        <v>115</v>
      </c>
      <c r="U121" s="347">
        <f t="shared" si="38"/>
        <v>909762.73199058149</v>
      </c>
      <c r="V121" s="347">
        <f t="shared" si="27"/>
        <v>2472.8431207340909</v>
      </c>
      <c r="W121" s="347">
        <f t="shared" si="28"/>
        <v>8450.6849327125128</v>
      </c>
      <c r="X121" s="600">
        <f>IF(T121="","",IF(U121=0,0,($C$2/1000)*'Tabla de Incrementos'!$J$10))</f>
        <v>10923.528053446604</v>
      </c>
      <c r="Y121" s="600">
        <f t="shared" si="22"/>
        <v>0</v>
      </c>
      <c r="Z121" s="600">
        <f t="shared" si="29"/>
        <v>0</v>
      </c>
      <c r="AA121" s="557">
        <f t="shared" si="30"/>
        <v>299</v>
      </c>
      <c r="AB121" s="557">
        <f t="shared" si="31"/>
        <v>11222.528053446604</v>
      </c>
    </row>
    <row r="122" spans="1:28" x14ac:dyDescent="0.35">
      <c r="A122" s="595">
        <f t="shared" si="23"/>
        <v>1</v>
      </c>
      <c r="B122" s="596">
        <f t="shared" si="32"/>
        <v>116</v>
      </c>
      <c r="C122" s="597">
        <f ca="1">IF(B122="","",'Fecha Pago'!K119)</f>
        <v>49677</v>
      </c>
      <c r="D122" s="598">
        <f t="shared" si="33"/>
        <v>30.4</v>
      </c>
      <c r="E122" s="599">
        <f>IF(B122="","",'Tabla de Incrementos'!$C$4)</f>
        <v>0.11</v>
      </c>
      <c r="F122" s="600">
        <f t="shared" si="24"/>
        <v>907289.8888698474</v>
      </c>
      <c r="G122" s="600">
        <f t="shared" si="34"/>
        <v>2495.8130857222441</v>
      </c>
      <c r="H122" s="600">
        <f t="shared" si="25"/>
        <v>8427.7149677243597</v>
      </c>
      <c r="I122" s="600">
        <f>IF(B122="","",IF(F122=0,0,($C$2/1000)*'Tabla de Incrementos'!$J$10))</f>
        <v>10923.528053446604</v>
      </c>
      <c r="J122" s="600">
        <f t="shared" si="35"/>
        <v>0</v>
      </c>
      <c r="K122" s="600">
        <f t="shared" si="36"/>
        <v>0</v>
      </c>
      <c r="L122" s="600">
        <f t="shared" si="26"/>
        <v>299</v>
      </c>
      <c r="M122" s="600">
        <f>IF(B122="","",IF(A122=0,0,AportPat!L119))</f>
        <v>0</v>
      </c>
      <c r="N122" s="601">
        <f>Simulador!N182</f>
        <v>0</v>
      </c>
      <c r="O122" s="608">
        <v>0</v>
      </c>
      <c r="P122" s="600">
        <f t="shared" si="37"/>
        <v>11222.528053446604</v>
      </c>
      <c r="Q122" s="600">
        <f t="shared" si="20"/>
        <v>904794.07578412513</v>
      </c>
      <c r="S122" s="120">
        <v>0.11</v>
      </c>
      <c r="T122" s="198">
        <f t="shared" si="21"/>
        <v>116</v>
      </c>
      <c r="U122" s="347">
        <f t="shared" si="38"/>
        <v>907289.8888698474</v>
      </c>
      <c r="V122" s="347">
        <f t="shared" si="27"/>
        <v>2495.8130857222441</v>
      </c>
      <c r="W122" s="347">
        <f t="shared" si="28"/>
        <v>8427.7149677243597</v>
      </c>
      <c r="X122" s="600">
        <f>IF(T122="","",IF(U122=0,0,($C$2/1000)*'Tabla de Incrementos'!$J$10))</f>
        <v>10923.528053446604</v>
      </c>
      <c r="Y122" s="600">
        <f t="shared" si="22"/>
        <v>0</v>
      </c>
      <c r="Z122" s="600">
        <f t="shared" si="29"/>
        <v>0</v>
      </c>
      <c r="AA122" s="557">
        <f t="shared" si="30"/>
        <v>299</v>
      </c>
      <c r="AB122" s="557">
        <f t="shared" si="31"/>
        <v>11222.528053446604</v>
      </c>
    </row>
    <row r="123" spans="1:28" x14ac:dyDescent="0.35">
      <c r="A123" s="595">
        <f t="shared" si="23"/>
        <v>1</v>
      </c>
      <c r="B123" s="596">
        <f t="shared" si="32"/>
        <v>117</v>
      </c>
      <c r="C123" s="597">
        <f ca="1">IF(B123="","",'Fecha Pago'!K120)</f>
        <v>49708</v>
      </c>
      <c r="D123" s="598">
        <f t="shared" si="33"/>
        <v>30.4</v>
      </c>
      <c r="E123" s="599">
        <f>IF(B123="","",'Tabla de Incrementos'!$C$4)</f>
        <v>0.11</v>
      </c>
      <c r="F123" s="600">
        <f t="shared" si="24"/>
        <v>904794.07578412513</v>
      </c>
      <c r="G123" s="600">
        <f t="shared" si="34"/>
        <v>2518.9964161629523</v>
      </c>
      <c r="H123" s="600">
        <f t="shared" si="25"/>
        <v>8404.5316372836514</v>
      </c>
      <c r="I123" s="600">
        <f>IF(B123="","",IF(F123=0,0,($C$2/1000)*'Tabla de Incrementos'!$J$10))</f>
        <v>10923.528053446604</v>
      </c>
      <c r="J123" s="600">
        <f t="shared" si="35"/>
        <v>0</v>
      </c>
      <c r="K123" s="600">
        <f t="shared" si="36"/>
        <v>0</v>
      </c>
      <c r="L123" s="600">
        <f t="shared" si="26"/>
        <v>299</v>
      </c>
      <c r="M123" s="600">
        <f>IF(B123="","",IF(A123=0,0,AportPat!L120))</f>
        <v>0</v>
      </c>
      <c r="N123" s="601">
        <f>Simulador!N183</f>
        <v>0</v>
      </c>
      <c r="O123" s="608">
        <v>0</v>
      </c>
      <c r="P123" s="600">
        <f t="shared" si="37"/>
        <v>11222.528053446604</v>
      </c>
      <c r="Q123" s="600">
        <f t="shared" si="20"/>
        <v>902275.0793679622</v>
      </c>
      <c r="S123" s="120">
        <v>0.11</v>
      </c>
      <c r="T123" s="198">
        <f t="shared" si="21"/>
        <v>117</v>
      </c>
      <c r="U123" s="347">
        <f t="shared" si="38"/>
        <v>904794.07578412513</v>
      </c>
      <c r="V123" s="347">
        <f t="shared" si="27"/>
        <v>2518.9964161629523</v>
      </c>
      <c r="W123" s="347">
        <f t="shared" si="28"/>
        <v>8404.5316372836514</v>
      </c>
      <c r="X123" s="600">
        <f>IF(T123="","",IF(U123=0,0,($C$2/1000)*'Tabla de Incrementos'!$J$10))</f>
        <v>10923.528053446604</v>
      </c>
      <c r="Y123" s="600">
        <f t="shared" si="22"/>
        <v>0</v>
      </c>
      <c r="Z123" s="600">
        <f t="shared" si="29"/>
        <v>0</v>
      </c>
      <c r="AA123" s="557">
        <f t="shared" si="30"/>
        <v>299</v>
      </c>
      <c r="AB123" s="557">
        <f t="shared" si="31"/>
        <v>11222.528053446604</v>
      </c>
    </row>
    <row r="124" spans="1:28" x14ac:dyDescent="0.35">
      <c r="A124" s="595">
        <f t="shared" si="23"/>
        <v>1</v>
      </c>
      <c r="B124" s="596">
        <f t="shared" si="32"/>
        <v>118</v>
      </c>
      <c r="C124" s="597">
        <f ca="1">IF(B124="","",'Fecha Pago'!K121)</f>
        <v>49737</v>
      </c>
      <c r="D124" s="598">
        <f t="shared" si="33"/>
        <v>30.4</v>
      </c>
      <c r="E124" s="599">
        <f>IF(B124="","",'Tabla de Incrementos'!$C$4)</f>
        <v>0.11</v>
      </c>
      <c r="F124" s="600">
        <f t="shared" si="24"/>
        <v>902275.0793679622</v>
      </c>
      <c r="G124" s="600">
        <f t="shared" si="34"/>
        <v>2542.3950939841998</v>
      </c>
      <c r="H124" s="600">
        <f t="shared" si="25"/>
        <v>8381.132959462404</v>
      </c>
      <c r="I124" s="600">
        <f>IF(B124="","",IF(F124=0,0,($C$2/1000)*'Tabla de Incrementos'!$J$10))</f>
        <v>10923.528053446604</v>
      </c>
      <c r="J124" s="600">
        <f t="shared" si="35"/>
        <v>0</v>
      </c>
      <c r="K124" s="600">
        <f t="shared" si="36"/>
        <v>0</v>
      </c>
      <c r="L124" s="600">
        <f t="shared" si="26"/>
        <v>299</v>
      </c>
      <c r="M124" s="600">
        <f>IF(B124="","",IF(A124=0,0,AportPat!L121))</f>
        <v>0</v>
      </c>
      <c r="N124" s="601">
        <f>Simulador!N184</f>
        <v>0</v>
      </c>
      <c r="O124" s="608">
        <v>0</v>
      </c>
      <c r="P124" s="600">
        <f t="shared" si="37"/>
        <v>11222.528053446604</v>
      </c>
      <c r="Q124" s="600">
        <f t="shared" si="20"/>
        <v>899732.684273978</v>
      </c>
      <c r="S124" s="120">
        <v>0.11</v>
      </c>
      <c r="T124" s="198">
        <f t="shared" si="21"/>
        <v>118</v>
      </c>
      <c r="U124" s="347">
        <f t="shared" si="38"/>
        <v>902275.0793679622</v>
      </c>
      <c r="V124" s="347">
        <f t="shared" si="27"/>
        <v>2542.3950939841998</v>
      </c>
      <c r="W124" s="347">
        <f t="shared" si="28"/>
        <v>8381.132959462404</v>
      </c>
      <c r="X124" s="600">
        <f>IF(T124="","",IF(U124=0,0,($C$2/1000)*'Tabla de Incrementos'!$J$10))</f>
        <v>10923.528053446604</v>
      </c>
      <c r="Y124" s="600">
        <f t="shared" si="22"/>
        <v>0</v>
      </c>
      <c r="Z124" s="600">
        <f t="shared" si="29"/>
        <v>0</v>
      </c>
      <c r="AA124" s="557">
        <f t="shared" si="30"/>
        <v>299</v>
      </c>
      <c r="AB124" s="557">
        <f t="shared" si="31"/>
        <v>11222.528053446604</v>
      </c>
    </row>
    <row r="125" spans="1:28" x14ac:dyDescent="0.35">
      <c r="A125" s="595">
        <f t="shared" si="23"/>
        <v>1</v>
      </c>
      <c r="B125" s="596">
        <f t="shared" si="32"/>
        <v>119</v>
      </c>
      <c r="C125" s="597">
        <f ca="1">IF(B125="","",'Fecha Pago'!K122)</f>
        <v>49768</v>
      </c>
      <c r="D125" s="598">
        <f t="shared" si="33"/>
        <v>30.4</v>
      </c>
      <c r="E125" s="599">
        <f>IF(B125="","",'Tabla de Incrementos'!$C$4)</f>
        <v>0.11</v>
      </c>
      <c r="F125" s="600">
        <f t="shared" si="24"/>
        <v>899732.684273978</v>
      </c>
      <c r="G125" s="600">
        <f t="shared" si="34"/>
        <v>2566.0111195238751</v>
      </c>
      <c r="H125" s="600">
        <f t="shared" si="25"/>
        <v>8357.5169339227286</v>
      </c>
      <c r="I125" s="600">
        <f>IF(B125="","",IF(F125=0,0,($C$2/1000)*'Tabla de Incrementos'!$J$10))</f>
        <v>10923.528053446604</v>
      </c>
      <c r="J125" s="600">
        <f t="shared" si="35"/>
        <v>0</v>
      </c>
      <c r="K125" s="600">
        <f t="shared" si="36"/>
        <v>0</v>
      </c>
      <c r="L125" s="600">
        <f t="shared" si="26"/>
        <v>299</v>
      </c>
      <c r="M125" s="600">
        <f>IF(B125="","",IF(A125=0,0,AportPat!L122))</f>
        <v>0</v>
      </c>
      <c r="N125" s="601">
        <f>Simulador!N185</f>
        <v>0</v>
      </c>
      <c r="O125" s="608">
        <v>0</v>
      </c>
      <c r="P125" s="600">
        <f t="shared" si="37"/>
        <v>11222.528053446604</v>
      </c>
      <c r="Q125" s="600">
        <f t="shared" si="20"/>
        <v>897166.6731544541</v>
      </c>
      <c r="S125" s="120">
        <v>0.11</v>
      </c>
      <c r="T125" s="198">
        <f t="shared" si="21"/>
        <v>119</v>
      </c>
      <c r="U125" s="347">
        <f t="shared" si="38"/>
        <v>899732.684273978</v>
      </c>
      <c r="V125" s="347">
        <f t="shared" si="27"/>
        <v>2566.0111195238751</v>
      </c>
      <c r="W125" s="347">
        <f t="shared" si="28"/>
        <v>8357.5169339227286</v>
      </c>
      <c r="X125" s="600">
        <f>IF(T125="","",IF(U125=0,0,($C$2/1000)*'Tabla de Incrementos'!$J$10))</f>
        <v>10923.528053446604</v>
      </c>
      <c r="Y125" s="600">
        <f t="shared" si="22"/>
        <v>0</v>
      </c>
      <c r="Z125" s="600">
        <f t="shared" si="29"/>
        <v>0</v>
      </c>
      <c r="AA125" s="557">
        <f t="shared" si="30"/>
        <v>299</v>
      </c>
      <c r="AB125" s="557">
        <f t="shared" si="31"/>
        <v>11222.528053446604</v>
      </c>
    </row>
    <row r="126" spans="1:28" x14ac:dyDescent="0.35">
      <c r="A126" s="595">
        <f t="shared" si="23"/>
        <v>1</v>
      </c>
      <c r="B126" s="596">
        <f t="shared" si="32"/>
        <v>120</v>
      </c>
      <c r="C126" s="597">
        <f ca="1">IF(B126="","",'Fecha Pago'!K123)</f>
        <v>49798</v>
      </c>
      <c r="D126" s="598">
        <f t="shared" si="33"/>
        <v>30.4</v>
      </c>
      <c r="E126" s="599">
        <f>IF(B126="","",'Tabla de Incrementos'!$C$4)</f>
        <v>0.11</v>
      </c>
      <c r="F126" s="600">
        <f t="shared" si="24"/>
        <v>897166.6731544541</v>
      </c>
      <c r="G126" s="600">
        <f t="shared" si="34"/>
        <v>2589.8465117007854</v>
      </c>
      <c r="H126" s="600">
        <f t="shared" si="25"/>
        <v>8333.6815417458183</v>
      </c>
      <c r="I126" s="600">
        <f>IF(B126="","",IF(F126=0,0,($C$2/1000)*'Tabla de Incrementos'!$J$10))</f>
        <v>10923.528053446604</v>
      </c>
      <c r="J126" s="600">
        <f t="shared" si="35"/>
        <v>0</v>
      </c>
      <c r="K126" s="600">
        <f t="shared" si="36"/>
        <v>0</v>
      </c>
      <c r="L126" s="600">
        <f t="shared" si="26"/>
        <v>299</v>
      </c>
      <c r="M126" s="600">
        <f>IF(B126="","",IF(A126=0,0,AportPat!L123))</f>
        <v>0</v>
      </c>
      <c r="N126" s="601">
        <f>Simulador!N186</f>
        <v>0</v>
      </c>
      <c r="O126" s="608">
        <v>0</v>
      </c>
      <c r="P126" s="600">
        <f t="shared" si="37"/>
        <v>11222.528053446604</v>
      </c>
      <c r="Q126" s="600">
        <f t="shared" si="20"/>
        <v>894576.82664275332</v>
      </c>
      <c r="S126" s="120">
        <v>0.11</v>
      </c>
      <c r="T126" s="198">
        <f t="shared" si="21"/>
        <v>120</v>
      </c>
      <c r="U126" s="347">
        <f t="shared" si="38"/>
        <v>897166.6731544541</v>
      </c>
      <c r="V126" s="347">
        <f t="shared" si="27"/>
        <v>2589.8465117007854</v>
      </c>
      <c r="W126" s="347">
        <f t="shared" si="28"/>
        <v>8333.6815417458183</v>
      </c>
      <c r="X126" s="600">
        <f>IF(T126="","",IF(U126=0,0,($C$2/1000)*'Tabla de Incrementos'!$J$10))</f>
        <v>10923.528053446604</v>
      </c>
      <c r="Y126" s="600">
        <f t="shared" si="22"/>
        <v>0</v>
      </c>
      <c r="Z126" s="600">
        <f t="shared" si="29"/>
        <v>0</v>
      </c>
      <c r="AA126" s="557">
        <f t="shared" si="30"/>
        <v>299</v>
      </c>
      <c r="AB126" s="557">
        <f t="shared" si="31"/>
        <v>11222.528053446604</v>
      </c>
    </row>
    <row r="127" spans="1:28" x14ac:dyDescent="0.35">
      <c r="A127" s="595">
        <f t="shared" si="23"/>
        <v>1</v>
      </c>
      <c r="B127" s="596">
        <f t="shared" si="32"/>
        <v>121</v>
      </c>
      <c r="C127" s="597">
        <f ca="1">IF(B127="","",'Fecha Pago'!K124)</f>
        <v>49829</v>
      </c>
      <c r="D127" s="598">
        <f t="shared" si="33"/>
        <v>30.4</v>
      </c>
      <c r="E127" s="599">
        <f>IF(B127="","",'Tabla de Incrementos'!$C$4)</f>
        <v>0.11</v>
      </c>
      <c r="F127" s="600">
        <f t="shared" si="24"/>
        <v>894576.82664275332</v>
      </c>
      <c r="G127" s="600">
        <f t="shared" si="34"/>
        <v>2613.9033081872512</v>
      </c>
      <c r="H127" s="600">
        <f t="shared" si="25"/>
        <v>8309.6247452593525</v>
      </c>
      <c r="I127" s="600">
        <f>IF(B127="","",IF(F127=0,0,($C$2/1000)*'Tabla de Incrementos'!$J$10))</f>
        <v>10923.528053446604</v>
      </c>
      <c r="J127" s="600">
        <f t="shared" si="35"/>
        <v>0</v>
      </c>
      <c r="K127" s="600">
        <f t="shared" si="36"/>
        <v>0</v>
      </c>
      <c r="L127" s="600">
        <f t="shared" si="26"/>
        <v>299</v>
      </c>
      <c r="M127" s="600">
        <f>IF(B127="","",IF(A127=0,0,AportPat!L124))</f>
        <v>0</v>
      </c>
      <c r="N127" s="601">
        <f>Simulador!N187</f>
        <v>0</v>
      </c>
      <c r="O127" s="608">
        <v>0</v>
      </c>
      <c r="P127" s="600">
        <f t="shared" si="37"/>
        <v>11222.528053446604</v>
      </c>
      <c r="Q127" s="600">
        <f t="shared" si="20"/>
        <v>891962.92333456606</v>
      </c>
      <c r="S127" s="120">
        <v>0.11</v>
      </c>
      <c r="T127" s="198">
        <f t="shared" si="21"/>
        <v>121</v>
      </c>
      <c r="U127" s="347">
        <f t="shared" si="38"/>
        <v>894576.82664275332</v>
      </c>
      <c r="V127" s="347">
        <f t="shared" si="27"/>
        <v>2613.9033081872512</v>
      </c>
      <c r="W127" s="347">
        <f t="shared" si="28"/>
        <v>8309.6247452593525</v>
      </c>
      <c r="X127" s="600">
        <f>IF(T127="","",IF(U127=0,0,($C$2/1000)*'Tabla de Incrementos'!$J$10))</f>
        <v>10923.528053446604</v>
      </c>
      <c r="Y127" s="600">
        <f t="shared" si="22"/>
        <v>0</v>
      </c>
      <c r="Z127" s="600">
        <f t="shared" si="29"/>
        <v>0</v>
      </c>
      <c r="AA127" s="557">
        <f t="shared" si="30"/>
        <v>299</v>
      </c>
      <c r="AB127" s="557">
        <f t="shared" si="31"/>
        <v>11222.528053446604</v>
      </c>
    </row>
    <row r="128" spans="1:28" x14ac:dyDescent="0.35">
      <c r="A128" s="595">
        <f t="shared" si="23"/>
        <v>1</v>
      </c>
      <c r="B128" s="604">
        <f t="shared" si="32"/>
        <v>122</v>
      </c>
      <c r="C128" s="597">
        <f ca="1">IF(B128="","",'Fecha Pago'!K125)</f>
        <v>49859</v>
      </c>
      <c r="D128" s="605">
        <f t="shared" si="33"/>
        <v>30.4</v>
      </c>
      <c r="E128" s="606">
        <f>IF(B128="","",'Tabla de Incrementos'!$C$4)</f>
        <v>0.11</v>
      </c>
      <c r="F128" s="607">
        <f t="shared" si="24"/>
        <v>891962.92333456606</v>
      </c>
      <c r="G128" s="607">
        <f t="shared" si="34"/>
        <v>2947.5270698592485</v>
      </c>
      <c r="H128" s="607">
        <f t="shared" si="25"/>
        <v>8285.3444878633018</v>
      </c>
      <c r="I128" s="607">
        <f>IF(B128="","",IF(F128=0,0,($C$2/1000)*'Tabla de Incrementos'!$J$11))</f>
        <v>11232.87155772255</v>
      </c>
      <c r="J128" s="607">
        <f t="shared" si="35"/>
        <v>0</v>
      </c>
      <c r="K128" s="607">
        <f t="shared" si="36"/>
        <v>0</v>
      </c>
      <c r="L128" s="607">
        <f t="shared" si="26"/>
        <v>299</v>
      </c>
      <c r="M128" s="607">
        <f>IF(B128="","",IF(A128=0,0,AportPat!L125))</f>
        <v>0</v>
      </c>
      <c r="N128" s="601">
        <f>Simulador!N188</f>
        <v>0</v>
      </c>
      <c r="O128" s="608">
        <v>0</v>
      </c>
      <c r="P128" s="607">
        <f t="shared" si="37"/>
        <v>11531.87155772255</v>
      </c>
      <c r="Q128" s="607">
        <f t="shared" si="20"/>
        <v>889015.39626470685</v>
      </c>
      <c r="S128" s="120">
        <v>0.11</v>
      </c>
      <c r="T128" s="198">
        <f t="shared" si="21"/>
        <v>122</v>
      </c>
      <c r="U128" s="347">
        <f t="shared" si="38"/>
        <v>891962.92333456606</v>
      </c>
      <c r="V128" s="347">
        <f t="shared" si="27"/>
        <v>2947.5270698592485</v>
      </c>
      <c r="W128" s="347">
        <f t="shared" si="28"/>
        <v>8285.3444878633018</v>
      </c>
      <c r="X128" s="607">
        <f>IF(T128="","",IF(U128=0,0,($C$2/1000)*'Tabla de Incrementos'!$J$11))</f>
        <v>11232.87155772255</v>
      </c>
      <c r="Y128" s="607">
        <f t="shared" si="22"/>
        <v>0</v>
      </c>
      <c r="Z128" s="607">
        <f t="shared" si="29"/>
        <v>0</v>
      </c>
      <c r="AA128" s="557">
        <f t="shared" si="30"/>
        <v>299</v>
      </c>
      <c r="AB128" s="557">
        <f t="shared" si="31"/>
        <v>11531.87155772255</v>
      </c>
    </row>
    <row r="129" spans="1:28" x14ac:dyDescent="0.35">
      <c r="A129" s="595">
        <f t="shared" si="23"/>
        <v>1</v>
      </c>
      <c r="B129" s="596">
        <f t="shared" si="32"/>
        <v>123</v>
      </c>
      <c r="C129" s="597">
        <f ca="1">IF(B129="","",'Fecha Pago'!K126)</f>
        <v>49890</v>
      </c>
      <c r="D129" s="598">
        <f t="shared" si="33"/>
        <v>30.4</v>
      </c>
      <c r="E129" s="599">
        <f>IF(B129="","",'Tabla de Incrementos'!$C$4)</f>
        <v>0.11</v>
      </c>
      <c r="F129" s="600">
        <f t="shared" si="24"/>
        <v>889015.39626470685</v>
      </c>
      <c r="G129" s="600">
        <f t="shared" si="34"/>
        <v>2974.9063213081627</v>
      </c>
      <c r="H129" s="600">
        <f t="shared" si="25"/>
        <v>8257.9652364143876</v>
      </c>
      <c r="I129" s="600">
        <f>IF(B129="","",IF(F129=0,0,($C$2/1000)*'Tabla de Incrementos'!$J$11))</f>
        <v>11232.87155772255</v>
      </c>
      <c r="J129" s="600">
        <f t="shared" si="35"/>
        <v>0</v>
      </c>
      <c r="K129" s="600">
        <f t="shared" si="36"/>
        <v>0</v>
      </c>
      <c r="L129" s="600">
        <f t="shared" si="26"/>
        <v>299</v>
      </c>
      <c r="M129" s="600">
        <f>IF(B129="","",IF(A129=0,0,AportPat!L126))</f>
        <v>0</v>
      </c>
      <c r="N129" s="601">
        <f>Simulador!N189</f>
        <v>0</v>
      </c>
      <c r="O129" s="608">
        <v>0</v>
      </c>
      <c r="P129" s="600">
        <f t="shared" si="37"/>
        <v>11531.87155772255</v>
      </c>
      <c r="Q129" s="600">
        <f t="shared" si="20"/>
        <v>886040.48994339874</v>
      </c>
      <c r="S129" s="120">
        <v>0.11</v>
      </c>
      <c r="T129" s="198">
        <f t="shared" si="21"/>
        <v>123</v>
      </c>
      <c r="U129" s="347">
        <f t="shared" si="38"/>
        <v>889015.39626470685</v>
      </c>
      <c r="V129" s="347">
        <f t="shared" si="27"/>
        <v>2974.9063213081627</v>
      </c>
      <c r="W129" s="347">
        <f t="shared" si="28"/>
        <v>8257.9652364143876</v>
      </c>
      <c r="X129" s="600">
        <f>IF(T129="","",IF(U129=0,0,($C$2/1000)*'Tabla de Incrementos'!$J$11))</f>
        <v>11232.87155772255</v>
      </c>
      <c r="Y129" s="600">
        <f t="shared" si="22"/>
        <v>0</v>
      </c>
      <c r="Z129" s="600">
        <f t="shared" si="29"/>
        <v>0</v>
      </c>
      <c r="AA129" s="557">
        <f t="shared" si="30"/>
        <v>299</v>
      </c>
      <c r="AB129" s="557">
        <f t="shared" si="31"/>
        <v>11531.87155772255</v>
      </c>
    </row>
    <row r="130" spans="1:28" x14ac:dyDescent="0.35">
      <c r="A130" s="595">
        <f t="shared" si="23"/>
        <v>1</v>
      </c>
      <c r="B130" s="596">
        <f t="shared" si="32"/>
        <v>124</v>
      </c>
      <c r="C130" s="597">
        <f ca="1">IF(B130="","",'Fecha Pago'!K127)</f>
        <v>49921</v>
      </c>
      <c r="D130" s="598">
        <f t="shared" si="33"/>
        <v>30.4</v>
      </c>
      <c r="E130" s="599">
        <f>IF(B130="","",'Tabla de Incrementos'!$C$4)</f>
        <v>0.11</v>
      </c>
      <c r="F130" s="600">
        <f t="shared" si="24"/>
        <v>886040.48994339874</v>
      </c>
      <c r="G130" s="600">
        <f t="shared" si="34"/>
        <v>3002.5398955816472</v>
      </c>
      <c r="H130" s="600">
        <f t="shared" si="25"/>
        <v>8230.3316621409031</v>
      </c>
      <c r="I130" s="600">
        <f>IF(B130="","",IF(F130=0,0,($C$2/1000)*'Tabla de Incrementos'!$J$11))</f>
        <v>11232.87155772255</v>
      </c>
      <c r="J130" s="600">
        <f t="shared" si="35"/>
        <v>0</v>
      </c>
      <c r="K130" s="600">
        <f t="shared" si="36"/>
        <v>0</v>
      </c>
      <c r="L130" s="600">
        <f t="shared" si="26"/>
        <v>299</v>
      </c>
      <c r="M130" s="600">
        <f>IF(B130="","",IF(A130=0,0,AportPat!L127))</f>
        <v>0</v>
      </c>
      <c r="N130" s="601">
        <f>Simulador!N190</f>
        <v>0</v>
      </c>
      <c r="O130" s="608">
        <v>0</v>
      </c>
      <c r="P130" s="600">
        <f t="shared" si="37"/>
        <v>11531.87155772255</v>
      </c>
      <c r="Q130" s="600">
        <f t="shared" si="20"/>
        <v>883037.95004781708</v>
      </c>
      <c r="S130" s="120">
        <v>0.11</v>
      </c>
      <c r="T130" s="198">
        <f t="shared" si="21"/>
        <v>124</v>
      </c>
      <c r="U130" s="347">
        <f t="shared" si="38"/>
        <v>886040.48994339874</v>
      </c>
      <c r="V130" s="347">
        <f t="shared" si="27"/>
        <v>3002.5398955816472</v>
      </c>
      <c r="W130" s="347">
        <f t="shared" si="28"/>
        <v>8230.3316621409031</v>
      </c>
      <c r="X130" s="600">
        <f>IF(T130="","",IF(U130=0,0,($C$2/1000)*'Tabla de Incrementos'!$J$11))</f>
        <v>11232.87155772255</v>
      </c>
      <c r="Y130" s="600">
        <f t="shared" si="22"/>
        <v>0</v>
      </c>
      <c r="Z130" s="600">
        <f t="shared" si="29"/>
        <v>0</v>
      </c>
      <c r="AA130" s="557">
        <f t="shared" si="30"/>
        <v>299</v>
      </c>
      <c r="AB130" s="557">
        <f t="shared" si="31"/>
        <v>11531.87155772255</v>
      </c>
    </row>
    <row r="131" spans="1:28" x14ac:dyDescent="0.35">
      <c r="A131" s="595">
        <f t="shared" si="23"/>
        <v>1</v>
      </c>
      <c r="B131" s="596">
        <f t="shared" si="32"/>
        <v>125</v>
      </c>
      <c r="C131" s="597">
        <f ca="1">IF(B131="","",'Fecha Pago'!K128)</f>
        <v>49951</v>
      </c>
      <c r="D131" s="598">
        <f t="shared" si="33"/>
        <v>30.4</v>
      </c>
      <c r="E131" s="599">
        <f>IF(B131="","",'Tabla de Incrementos'!$C$4)</f>
        <v>0.11</v>
      </c>
      <c r="F131" s="600">
        <f t="shared" si="24"/>
        <v>883037.95004781708</v>
      </c>
      <c r="G131" s="600">
        <f t="shared" si="34"/>
        <v>3030.4301550561613</v>
      </c>
      <c r="H131" s="600">
        <f t="shared" si="25"/>
        <v>8202.441402666389</v>
      </c>
      <c r="I131" s="600">
        <f>IF(B131="","",IF(F131=0,0,($C$2/1000)*'Tabla de Incrementos'!$J$11))</f>
        <v>11232.87155772255</v>
      </c>
      <c r="J131" s="600">
        <f t="shared" si="35"/>
        <v>0</v>
      </c>
      <c r="K131" s="600">
        <f t="shared" si="36"/>
        <v>0</v>
      </c>
      <c r="L131" s="600">
        <f t="shared" si="26"/>
        <v>299</v>
      </c>
      <c r="M131" s="600">
        <f>IF(B131="","",IF(A131=0,0,AportPat!L128))</f>
        <v>0</v>
      </c>
      <c r="N131" s="601">
        <f>Simulador!N191</f>
        <v>0</v>
      </c>
      <c r="O131" s="608">
        <v>0</v>
      </c>
      <c r="P131" s="600">
        <f t="shared" si="37"/>
        <v>11531.87155772255</v>
      </c>
      <c r="Q131" s="600">
        <f t="shared" si="20"/>
        <v>880007.5198927609</v>
      </c>
      <c r="S131" s="120">
        <v>0.11</v>
      </c>
      <c r="T131" s="198">
        <f t="shared" si="21"/>
        <v>125</v>
      </c>
      <c r="U131" s="347">
        <f t="shared" si="38"/>
        <v>883037.95004781708</v>
      </c>
      <c r="V131" s="347">
        <f t="shared" si="27"/>
        <v>3030.4301550561613</v>
      </c>
      <c r="W131" s="347">
        <f t="shared" si="28"/>
        <v>8202.441402666389</v>
      </c>
      <c r="X131" s="600">
        <f>IF(T131="","",IF(U131=0,0,($C$2/1000)*'Tabla de Incrementos'!$J$11))</f>
        <v>11232.87155772255</v>
      </c>
      <c r="Y131" s="600">
        <f t="shared" si="22"/>
        <v>0</v>
      </c>
      <c r="Z131" s="600">
        <f t="shared" si="29"/>
        <v>0</v>
      </c>
      <c r="AA131" s="557">
        <f t="shared" si="30"/>
        <v>299</v>
      </c>
      <c r="AB131" s="557">
        <f t="shared" si="31"/>
        <v>11531.87155772255</v>
      </c>
    </row>
    <row r="132" spans="1:28" x14ac:dyDescent="0.35">
      <c r="A132" s="595">
        <f t="shared" si="23"/>
        <v>1</v>
      </c>
      <c r="B132" s="596">
        <f t="shared" si="32"/>
        <v>126</v>
      </c>
      <c r="C132" s="597">
        <f ca="1">IF(B132="","",'Fecha Pago'!K129)</f>
        <v>49982</v>
      </c>
      <c r="D132" s="598">
        <f t="shared" si="33"/>
        <v>30.4</v>
      </c>
      <c r="E132" s="599">
        <f>IF(B132="","",'Tabla de Incrementos'!$C$4)</f>
        <v>0.11</v>
      </c>
      <c r="F132" s="600">
        <f t="shared" si="24"/>
        <v>880007.5198927609</v>
      </c>
      <c r="G132" s="600">
        <f t="shared" si="34"/>
        <v>3058.5794840520166</v>
      </c>
      <c r="H132" s="600">
        <f t="shared" si="25"/>
        <v>8174.2920736705337</v>
      </c>
      <c r="I132" s="600">
        <f>IF(B132="","",IF(F132=0,0,($C$2/1000)*'Tabla de Incrementos'!$J$11))</f>
        <v>11232.87155772255</v>
      </c>
      <c r="J132" s="600">
        <f t="shared" si="35"/>
        <v>0</v>
      </c>
      <c r="K132" s="600">
        <f t="shared" si="36"/>
        <v>0</v>
      </c>
      <c r="L132" s="600">
        <f t="shared" si="26"/>
        <v>299</v>
      </c>
      <c r="M132" s="600">
        <f>IF(B132="","",IF(A132=0,0,AportPat!L129))</f>
        <v>0</v>
      </c>
      <c r="N132" s="601">
        <f>Simulador!N192</f>
        <v>0</v>
      </c>
      <c r="O132" s="608">
        <v>0</v>
      </c>
      <c r="P132" s="600">
        <f t="shared" si="37"/>
        <v>11531.87155772255</v>
      </c>
      <c r="Q132" s="600">
        <f t="shared" si="20"/>
        <v>876948.94040870888</v>
      </c>
      <c r="S132" s="120">
        <v>0.11</v>
      </c>
      <c r="T132" s="198">
        <f t="shared" si="21"/>
        <v>126</v>
      </c>
      <c r="U132" s="347">
        <f t="shared" si="38"/>
        <v>880007.5198927609</v>
      </c>
      <c r="V132" s="347">
        <f t="shared" si="27"/>
        <v>3058.5794840520166</v>
      </c>
      <c r="W132" s="347">
        <f t="shared" si="28"/>
        <v>8174.2920736705337</v>
      </c>
      <c r="X132" s="600">
        <f>IF(T132="","",IF(U132=0,0,($C$2/1000)*'Tabla de Incrementos'!$J$11))</f>
        <v>11232.87155772255</v>
      </c>
      <c r="Y132" s="600">
        <f t="shared" si="22"/>
        <v>0</v>
      </c>
      <c r="Z132" s="600">
        <f t="shared" si="29"/>
        <v>0</v>
      </c>
      <c r="AA132" s="557">
        <f t="shared" si="30"/>
        <v>299</v>
      </c>
      <c r="AB132" s="557">
        <f t="shared" si="31"/>
        <v>11531.87155772255</v>
      </c>
    </row>
    <row r="133" spans="1:28" x14ac:dyDescent="0.35">
      <c r="A133" s="595">
        <f t="shared" si="23"/>
        <v>1</v>
      </c>
      <c r="B133" s="596">
        <f t="shared" si="32"/>
        <v>127</v>
      </c>
      <c r="C133" s="597">
        <f ca="1">IF(B133="","",'Fecha Pago'!K130)</f>
        <v>50012</v>
      </c>
      <c r="D133" s="598">
        <f t="shared" si="33"/>
        <v>30.4</v>
      </c>
      <c r="E133" s="599">
        <f>IF(B133="","",'Tabla de Incrementos'!$C$4)</f>
        <v>0.11</v>
      </c>
      <c r="F133" s="600">
        <f t="shared" si="24"/>
        <v>876948.94040870888</v>
      </c>
      <c r="G133" s="600">
        <f t="shared" si="34"/>
        <v>3086.9902890372105</v>
      </c>
      <c r="H133" s="600">
        <f t="shared" si="25"/>
        <v>8145.8812686853398</v>
      </c>
      <c r="I133" s="600">
        <f>IF(B133="","",IF(F133=0,0,($C$2/1000)*'Tabla de Incrementos'!$J$11))</f>
        <v>11232.87155772255</v>
      </c>
      <c r="J133" s="600">
        <f t="shared" si="35"/>
        <v>0</v>
      </c>
      <c r="K133" s="600">
        <f t="shared" si="36"/>
        <v>0</v>
      </c>
      <c r="L133" s="600">
        <f t="shared" si="26"/>
        <v>299</v>
      </c>
      <c r="M133" s="600">
        <f>IF(B133="","",IF(A133=0,0,AportPat!L130))</f>
        <v>0</v>
      </c>
      <c r="N133" s="601">
        <f>Simulador!N193</f>
        <v>0</v>
      </c>
      <c r="O133" s="608">
        <v>0</v>
      </c>
      <c r="P133" s="600">
        <f t="shared" si="37"/>
        <v>11531.87155772255</v>
      </c>
      <c r="Q133" s="600">
        <f t="shared" si="20"/>
        <v>873861.95011967164</v>
      </c>
      <c r="S133" s="120">
        <v>0.11</v>
      </c>
      <c r="T133" s="198">
        <f t="shared" si="21"/>
        <v>127</v>
      </c>
      <c r="U133" s="347">
        <f t="shared" si="38"/>
        <v>876948.94040870888</v>
      </c>
      <c r="V133" s="347">
        <f t="shared" si="27"/>
        <v>3086.9902890372105</v>
      </c>
      <c r="W133" s="347">
        <f t="shared" si="28"/>
        <v>8145.8812686853398</v>
      </c>
      <c r="X133" s="600">
        <f>IF(T133="","",IF(U133=0,0,($C$2/1000)*'Tabla de Incrementos'!$J$11))</f>
        <v>11232.87155772255</v>
      </c>
      <c r="Y133" s="600">
        <f t="shared" si="22"/>
        <v>0</v>
      </c>
      <c r="Z133" s="600">
        <f t="shared" si="29"/>
        <v>0</v>
      </c>
      <c r="AA133" s="557">
        <f t="shared" si="30"/>
        <v>299</v>
      </c>
      <c r="AB133" s="557">
        <f t="shared" si="31"/>
        <v>11531.87155772255</v>
      </c>
    </row>
    <row r="134" spans="1:28" x14ac:dyDescent="0.35">
      <c r="A134" s="595">
        <f t="shared" si="23"/>
        <v>1</v>
      </c>
      <c r="B134" s="596">
        <f t="shared" si="32"/>
        <v>128</v>
      </c>
      <c r="C134" s="597">
        <f ca="1">IF(B134="","",'Fecha Pago'!K131)</f>
        <v>50043</v>
      </c>
      <c r="D134" s="598">
        <f t="shared" si="33"/>
        <v>30.4</v>
      </c>
      <c r="E134" s="599">
        <f>IF(B134="","",'Tabla de Incrementos'!$C$4)</f>
        <v>0.11</v>
      </c>
      <c r="F134" s="600">
        <f t="shared" si="24"/>
        <v>873861.95011967164</v>
      </c>
      <c r="G134" s="600">
        <f t="shared" si="34"/>
        <v>3115.6649988331565</v>
      </c>
      <c r="H134" s="600">
        <f t="shared" si="25"/>
        <v>8117.2065588893938</v>
      </c>
      <c r="I134" s="600">
        <f>IF(B134="","",IF(F134=0,0,($C$2/1000)*'Tabla de Incrementos'!$J$11))</f>
        <v>11232.87155772255</v>
      </c>
      <c r="J134" s="600">
        <f t="shared" si="35"/>
        <v>0</v>
      </c>
      <c r="K134" s="600">
        <f t="shared" si="36"/>
        <v>0</v>
      </c>
      <c r="L134" s="600">
        <f t="shared" si="26"/>
        <v>299</v>
      </c>
      <c r="M134" s="600">
        <f>IF(B134="","",IF(A134=0,0,AportPat!L131))</f>
        <v>0</v>
      </c>
      <c r="N134" s="601">
        <f>Simulador!N194</f>
        <v>0</v>
      </c>
      <c r="O134" s="608">
        <v>0</v>
      </c>
      <c r="P134" s="600">
        <f t="shared" si="37"/>
        <v>11531.87155772255</v>
      </c>
      <c r="Q134" s="600">
        <f t="shared" si="20"/>
        <v>870746.28512083844</v>
      </c>
      <c r="S134" s="120">
        <v>0.11</v>
      </c>
      <c r="T134" s="198">
        <f t="shared" si="21"/>
        <v>128</v>
      </c>
      <c r="U134" s="347">
        <f t="shared" si="38"/>
        <v>873861.95011967164</v>
      </c>
      <c r="V134" s="347">
        <f t="shared" si="27"/>
        <v>3115.6649988331565</v>
      </c>
      <c r="W134" s="347">
        <f t="shared" si="28"/>
        <v>8117.2065588893938</v>
      </c>
      <c r="X134" s="600">
        <f>IF(T134="","",IF(U134=0,0,($C$2/1000)*'Tabla de Incrementos'!$J$11))</f>
        <v>11232.87155772255</v>
      </c>
      <c r="Y134" s="600">
        <f t="shared" si="22"/>
        <v>0</v>
      </c>
      <c r="Z134" s="600">
        <f t="shared" si="29"/>
        <v>0</v>
      </c>
      <c r="AA134" s="557">
        <f t="shared" si="30"/>
        <v>299</v>
      </c>
      <c r="AB134" s="557">
        <f t="shared" si="31"/>
        <v>11531.87155772255</v>
      </c>
    </row>
    <row r="135" spans="1:28" x14ac:dyDescent="0.35">
      <c r="A135" s="595">
        <f t="shared" si="23"/>
        <v>1</v>
      </c>
      <c r="B135" s="596">
        <f t="shared" si="32"/>
        <v>129</v>
      </c>
      <c r="C135" s="597">
        <f ca="1">IF(B135="","",'Fecha Pago'!K132)</f>
        <v>50074</v>
      </c>
      <c r="D135" s="598">
        <f t="shared" si="33"/>
        <v>30.4</v>
      </c>
      <c r="E135" s="599">
        <f>IF(B135="","",'Tabla de Incrementos'!$C$4)</f>
        <v>0.11</v>
      </c>
      <c r="F135" s="600">
        <f t="shared" si="24"/>
        <v>870746.28512083844</v>
      </c>
      <c r="G135" s="600">
        <f t="shared" si="34"/>
        <v>3144.6060648223183</v>
      </c>
      <c r="H135" s="600">
        <f t="shared" si="25"/>
        <v>8088.2654929002319</v>
      </c>
      <c r="I135" s="600">
        <f>IF(B135="","",IF(F135=0,0,($C$2/1000)*'Tabla de Incrementos'!$J$11))</f>
        <v>11232.87155772255</v>
      </c>
      <c r="J135" s="600">
        <f t="shared" si="35"/>
        <v>0</v>
      </c>
      <c r="K135" s="600">
        <f t="shared" si="36"/>
        <v>0</v>
      </c>
      <c r="L135" s="600">
        <f t="shared" si="26"/>
        <v>299</v>
      </c>
      <c r="M135" s="600">
        <f>IF(B135="","",IF(A135=0,0,AportPat!L132))</f>
        <v>0</v>
      </c>
      <c r="N135" s="601">
        <f>Simulador!N195</f>
        <v>0</v>
      </c>
      <c r="O135" s="608">
        <v>0</v>
      </c>
      <c r="P135" s="600">
        <f t="shared" si="37"/>
        <v>11531.87155772255</v>
      </c>
      <c r="Q135" s="600">
        <f t="shared" ref="Q135:Q198" si="39">IF(B135="","",F135-G135)</f>
        <v>867601.67905601615</v>
      </c>
      <c r="S135" s="120">
        <v>0.11</v>
      </c>
      <c r="T135" s="198">
        <f t="shared" ref="T135:T198" si="40">B135</f>
        <v>129</v>
      </c>
      <c r="U135" s="347">
        <f t="shared" si="38"/>
        <v>870746.28512083844</v>
      </c>
      <c r="V135" s="347">
        <f t="shared" si="27"/>
        <v>3144.6060648223183</v>
      </c>
      <c r="W135" s="347">
        <f t="shared" si="28"/>
        <v>8088.2654929002319</v>
      </c>
      <c r="X135" s="600">
        <f>IF(T135="","",IF(U135=0,0,($C$2/1000)*'Tabla de Incrementos'!$J$11))</f>
        <v>11232.87155772255</v>
      </c>
      <c r="Y135" s="600">
        <f t="shared" ref="Y135:Y198" si="41">IF(T135="","",IF(U135=0,0,U135*$G$3))</f>
        <v>0</v>
      </c>
      <c r="Z135" s="600">
        <f t="shared" si="29"/>
        <v>0</v>
      </c>
      <c r="AA135" s="557">
        <f t="shared" si="30"/>
        <v>299</v>
      </c>
      <c r="AB135" s="557">
        <f t="shared" si="31"/>
        <v>11531.87155772255</v>
      </c>
    </row>
    <row r="136" spans="1:28" x14ac:dyDescent="0.35">
      <c r="A136" s="595">
        <f t="shared" ref="A136:A199" si="42">IF(B136="","",IF(F136&gt;0,1,0))</f>
        <v>1</v>
      </c>
      <c r="B136" s="596">
        <f t="shared" si="32"/>
        <v>130</v>
      </c>
      <c r="C136" s="597">
        <f ca="1">IF(B136="","",'Fecha Pago'!K133)</f>
        <v>50102</v>
      </c>
      <c r="D136" s="598">
        <f t="shared" si="33"/>
        <v>30.4</v>
      </c>
      <c r="E136" s="599">
        <f>IF(B136="","",'Tabla de Incrementos'!$C$4)</f>
        <v>0.11</v>
      </c>
      <c r="F136" s="600">
        <f t="shared" ref="F136:F199" si="43">IF(B136="","",Q135)</f>
        <v>867601.67905601615</v>
      </c>
      <c r="G136" s="600">
        <f t="shared" si="34"/>
        <v>3173.8159611577785</v>
      </c>
      <c r="H136" s="600">
        <f t="shared" ref="H136:H199" si="44">IF(B136="","",(E136/360*D136)*F136)</f>
        <v>8059.0555965647718</v>
      </c>
      <c r="I136" s="600">
        <f>IF(B136="","",IF(F136=0,0,($C$2/1000)*'Tabla de Incrementos'!$J$11))</f>
        <v>11232.87155772255</v>
      </c>
      <c r="J136" s="600">
        <f t="shared" si="35"/>
        <v>0</v>
      </c>
      <c r="K136" s="600">
        <f t="shared" si="36"/>
        <v>0</v>
      </c>
      <c r="L136" s="600">
        <f t="shared" ref="L136:L199" si="45">IF(B136="","",IF(F136=0,0,$J$3))</f>
        <v>299</v>
      </c>
      <c r="M136" s="600">
        <f>IF(B136="","",IF(A136=0,0,AportPat!L133))</f>
        <v>0</v>
      </c>
      <c r="N136" s="601">
        <f>Simulador!N196</f>
        <v>0</v>
      </c>
      <c r="O136" s="608">
        <v>0</v>
      </c>
      <c r="P136" s="600">
        <f t="shared" si="37"/>
        <v>11531.87155772255</v>
      </c>
      <c r="Q136" s="600">
        <f t="shared" si="39"/>
        <v>864427.86309485836</v>
      </c>
      <c r="S136" s="120">
        <v>0.11</v>
      </c>
      <c r="T136" s="198">
        <f t="shared" si="40"/>
        <v>130</v>
      </c>
      <c r="U136" s="347">
        <f t="shared" si="38"/>
        <v>867601.67905601615</v>
      </c>
      <c r="V136" s="347">
        <f t="shared" ref="V136:V199" si="46">IF(T136="","",IF(X136-W136&gt;U136,U136,X136-W136))</f>
        <v>3173.8159611577785</v>
      </c>
      <c r="W136" s="347">
        <f t="shared" ref="W136:W199" si="47">IF(T136="","",(S136/360*30.4)*U136)</f>
        <v>8059.0555965647718</v>
      </c>
      <c r="X136" s="600">
        <f>IF(T136="","",IF(U136=0,0,($C$2/1000)*'Tabla de Incrementos'!$J$11))</f>
        <v>11232.87155772255</v>
      </c>
      <c r="Y136" s="600">
        <f t="shared" si="41"/>
        <v>0</v>
      </c>
      <c r="Z136" s="600">
        <f t="shared" ref="Z136:Z199" si="48">IF(T136="","",IF(U136=0,0,$C$4*($G$4/1.16)))</f>
        <v>0</v>
      </c>
      <c r="AA136" s="557">
        <f t="shared" ref="AA136:AA199" si="49">IF(T136="","",$J$3)</f>
        <v>299</v>
      </c>
      <c r="AB136" s="557">
        <f t="shared" ref="AB136:AB199" si="50">IF(T136="","",V136+W136+Y136+Z136+AA136)</f>
        <v>11531.87155772255</v>
      </c>
    </row>
    <row r="137" spans="1:28" x14ac:dyDescent="0.35">
      <c r="A137" s="595">
        <f t="shared" si="42"/>
        <v>1</v>
      </c>
      <c r="B137" s="596">
        <f t="shared" ref="B137:B200" si="51">IF(B136=$C$3,"",IF(B136="","",B136+1))</f>
        <v>131</v>
      </c>
      <c r="C137" s="597">
        <f ca="1">IF(B137="","",'Fecha Pago'!K134)</f>
        <v>50133</v>
      </c>
      <c r="D137" s="598">
        <f t="shared" ref="D137:D200" si="52">IF(B137="","",30.4)</f>
        <v>30.4</v>
      </c>
      <c r="E137" s="599">
        <f>IF(B137="","",'Tabla de Incrementos'!$C$4)</f>
        <v>0.11</v>
      </c>
      <c r="F137" s="600">
        <f t="shared" si="43"/>
        <v>864427.86309485836</v>
      </c>
      <c r="G137" s="600">
        <f t="shared" ref="G137:G200" si="53">IF(B137="","",IF(F137=0,0,IF((I137-H137)&gt;F137,F137,I137-H137))+M137+(N137-O137))</f>
        <v>3203.2971849747555</v>
      </c>
      <c r="H137" s="600">
        <f t="shared" si="44"/>
        <v>8029.5743727477948</v>
      </c>
      <c r="I137" s="600">
        <f>IF(B137="","",IF(F137=0,0,($C$2/1000)*'Tabla de Incrementos'!$J$11))</f>
        <v>11232.87155772255</v>
      </c>
      <c r="J137" s="600">
        <f t="shared" ref="J137:J200" si="54">IF(B137="","",IF(F137=0,0,F137*$G$3))</f>
        <v>0</v>
      </c>
      <c r="K137" s="600">
        <f t="shared" ref="K137:K200" si="55">IF(B137="","",IF(F137=0,0,$C$4*$G$4))</f>
        <v>0</v>
      </c>
      <c r="L137" s="600">
        <f t="shared" si="45"/>
        <v>299</v>
      </c>
      <c r="M137" s="600">
        <f>IF(B137="","",IF(A137=0,0,AportPat!L134))</f>
        <v>0</v>
      </c>
      <c r="N137" s="601">
        <f>Simulador!N197</f>
        <v>0</v>
      </c>
      <c r="O137" s="608">
        <v>0</v>
      </c>
      <c r="P137" s="600">
        <f t="shared" ref="P137:P200" si="56">IF(B137="","",G137+H137+J137+K137+L137+O137-M137)</f>
        <v>11531.87155772255</v>
      </c>
      <c r="Q137" s="600">
        <f t="shared" si="39"/>
        <v>861224.56590988359</v>
      </c>
      <c r="S137" s="120">
        <v>0.11</v>
      </c>
      <c r="T137" s="198">
        <f t="shared" si="40"/>
        <v>131</v>
      </c>
      <c r="U137" s="347">
        <f t="shared" ref="U137:U200" si="57">IF(T137="","",U136-V136)</f>
        <v>864427.86309485836</v>
      </c>
      <c r="V137" s="347">
        <f t="shared" si="46"/>
        <v>3203.2971849747555</v>
      </c>
      <c r="W137" s="347">
        <f t="shared" si="47"/>
        <v>8029.5743727477948</v>
      </c>
      <c r="X137" s="600">
        <f>IF(T137="","",IF(U137=0,0,($C$2/1000)*'Tabla de Incrementos'!$J$11))</f>
        <v>11232.87155772255</v>
      </c>
      <c r="Y137" s="600">
        <f t="shared" si="41"/>
        <v>0</v>
      </c>
      <c r="Z137" s="600">
        <f t="shared" si="48"/>
        <v>0</v>
      </c>
      <c r="AA137" s="557">
        <f t="shared" si="49"/>
        <v>299</v>
      </c>
      <c r="AB137" s="557">
        <f t="shared" si="50"/>
        <v>11531.87155772255</v>
      </c>
    </row>
    <row r="138" spans="1:28" x14ac:dyDescent="0.35">
      <c r="A138" s="595">
        <f t="shared" si="42"/>
        <v>1</v>
      </c>
      <c r="B138" s="596">
        <f t="shared" si="51"/>
        <v>132</v>
      </c>
      <c r="C138" s="597">
        <f ca="1">IF(B138="","",'Fecha Pago'!K135)</f>
        <v>50163</v>
      </c>
      <c r="D138" s="598">
        <f t="shared" si="52"/>
        <v>30.4</v>
      </c>
      <c r="E138" s="599">
        <f>IF(B138="","",'Tabla de Incrementos'!$C$4)</f>
        <v>0.11</v>
      </c>
      <c r="F138" s="600">
        <f t="shared" si="43"/>
        <v>861224.56590988359</v>
      </c>
      <c r="G138" s="600">
        <f t="shared" si="53"/>
        <v>3233.0522566040763</v>
      </c>
      <c r="H138" s="600">
        <f t="shared" si="44"/>
        <v>7999.819301118474</v>
      </c>
      <c r="I138" s="600">
        <f>IF(B138="","",IF(F138=0,0,($C$2/1000)*'Tabla de Incrementos'!$J$11))</f>
        <v>11232.87155772255</v>
      </c>
      <c r="J138" s="600">
        <f t="shared" si="54"/>
        <v>0</v>
      </c>
      <c r="K138" s="600">
        <f t="shared" si="55"/>
        <v>0</v>
      </c>
      <c r="L138" s="600">
        <f t="shared" si="45"/>
        <v>299</v>
      </c>
      <c r="M138" s="600">
        <f>IF(B138="","",IF(A138=0,0,AportPat!L135))</f>
        <v>0</v>
      </c>
      <c r="N138" s="601">
        <f>Simulador!N198</f>
        <v>0</v>
      </c>
      <c r="O138" s="608">
        <v>0</v>
      </c>
      <c r="P138" s="600">
        <f t="shared" si="56"/>
        <v>11531.87155772255</v>
      </c>
      <c r="Q138" s="600">
        <f t="shared" si="39"/>
        <v>857991.51365327951</v>
      </c>
      <c r="S138" s="120">
        <v>0.11</v>
      </c>
      <c r="T138" s="198">
        <f t="shared" si="40"/>
        <v>132</v>
      </c>
      <c r="U138" s="347">
        <f t="shared" si="57"/>
        <v>861224.56590988359</v>
      </c>
      <c r="V138" s="347">
        <f t="shared" si="46"/>
        <v>3233.0522566040763</v>
      </c>
      <c r="W138" s="347">
        <f t="shared" si="47"/>
        <v>7999.819301118474</v>
      </c>
      <c r="X138" s="600">
        <f>IF(T138="","",IF(U138=0,0,($C$2/1000)*'Tabla de Incrementos'!$J$11))</f>
        <v>11232.87155772255</v>
      </c>
      <c r="Y138" s="600">
        <f t="shared" si="41"/>
        <v>0</v>
      </c>
      <c r="Z138" s="600">
        <f t="shared" si="48"/>
        <v>0</v>
      </c>
      <c r="AA138" s="557">
        <f t="shared" si="49"/>
        <v>299</v>
      </c>
      <c r="AB138" s="557">
        <f t="shared" si="50"/>
        <v>11531.87155772255</v>
      </c>
    </row>
    <row r="139" spans="1:28" x14ac:dyDescent="0.35">
      <c r="A139" s="595">
        <f t="shared" si="42"/>
        <v>1</v>
      </c>
      <c r="B139" s="596">
        <f t="shared" si="51"/>
        <v>133</v>
      </c>
      <c r="C139" s="597">
        <f ca="1">IF(B139="","",'Fecha Pago'!K136)</f>
        <v>50194</v>
      </c>
      <c r="D139" s="598">
        <f t="shared" si="52"/>
        <v>30.4</v>
      </c>
      <c r="E139" s="599">
        <f>IF(B139="","",'Tabla de Incrementos'!$C$4)</f>
        <v>0.11</v>
      </c>
      <c r="F139" s="600">
        <f t="shared" si="43"/>
        <v>857991.51365327951</v>
      </c>
      <c r="G139" s="600">
        <f t="shared" si="53"/>
        <v>3263.0837197876435</v>
      </c>
      <c r="H139" s="600">
        <f t="shared" si="44"/>
        <v>7969.7878379349067</v>
      </c>
      <c r="I139" s="600">
        <f>IF(B139="","",IF(F139=0,0,($C$2/1000)*'Tabla de Incrementos'!$J$11))</f>
        <v>11232.87155772255</v>
      </c>
      <c r="J139" s="600">
        <f t="shared" si="54"/>
        <v>0</v>
      </c>
      <c r="K139" s="600">
        <f t="shared" si="55"/>
        <v>0</v>
      </c>
      <c r="L139" s="600">
        <f t="shared" si="45"/>
        <v>299</v>
      </c>
      <c r="M139" s="600">
        <f>IF(B139="","",IF(A139=0,0,AportPat!L136))</f>
        <v>0</v>
      </c>
      <c r="N139" s="601">
        <f>Simulador!N199</f>
        <v>0</v>
      </c>
      <c r="O139" s="608">
        <v>0</v>
      </c>
      <c r="P139" s="600">
        <f t="shared" si="56"/>
        <v>11531.87155772255</v>
      </c>
      <c r="Q139" s="600">
        <f t="shared" si="39"/>
        <v>854728.42993349186</v>
      </c>
      <c r="S139" s="120">
        <v>0.11</v>
      </c>
      <c r="T139" s="198">
        <f t="shared" si="40"/>
        <v>133</v>
      </c>
      <c r="U139" s="347">
        <f t="shared" si="57"/>
        <v>857991.51365327951</v>
      </c>
      <c r="V139" s="347">
        <f t="shared" si="46"/>
        <v>3263.0837197876435</v>
      </c>
      <c r="W139" s="347">
        <f t="shared" si="47"/>
        <v>7969.7878379349067</v>
      </c>
      <c r="X139" s="600">
        <f>IF(T139="","",IF(U139=0,0,($C$2/1000)*'Tabla de Incrementos'!$J$11))</f>
        <v>11232.87155772255</v>
      </c>
      <c r="Y139" s="600">
        <f t="shared" si="41"/>
        <v>0</v>
      </c>
      <c r="Z139" s="600">
        <f t="shared" si="48"/>
        <v>0</v>
      </c>
      <c r="AA139" s="557">
        <f t="shared" si="49"/>
        <v>299</v>
      </c>
      <c r="AB139" s="557">
        <f t="shared" si="50"/>
        <v>11531.87155772255</v>
      </c>
    </row>
    <row r="140" spans="1:28" x14ac:dyDescent="0.35">
      <c r="A140" s="595">
        <f t="shared" si="42"/>
        <v>1</v>
      </c>
      <c r="B140" s="604">
        <f t="shared" si="51"/>
        <v>134</v>
      </c>
      <c r="C140" s="597">
        <f ca="1">IF(B140="","",'Fecha Pago'!K137)</f>
        <v>50224</v>
      </c>
      <c r="D140" s="605">
        <f t="shared" si="52"/>
        <v>30.4</v>
      </c>
      <c r="E140" s="606">
        <f>IF(B140="","",'Tabla de Incrementos'!$C$4)</f>
        <v>0.11</v>
      </c>
      <c r="F140" s="607">
        <f t="shared" si="43"/>
        <v>854728.42993349186</v>
      </c>
      <c r="G140" s="607">
        <f t="shared" si="53"/>
        <v>3611.4979480788352</v>
      </c>
      <c r="H140" s="607">
        <f t="shared" si="44"/>
        <v>7939.4774158266573</v>
      </c>
      <c r="I140" s="607">
        <f>IF(B140="","",IF(F140=0,0,($C$2/1000)*'Tabla de Incrementos'!$J$12))</f>
        <v>11550.975363905492</v>
      </c>
      <c r="J140" s="607">
        <f t="shared" si="54"/>
        <v>0</v>
      </c>
      <c r="K140" s="607">
        <f t="shared" si="55"/>
        <v>0</v>
      </c>
      <c r="L140" s="607">
        <f t="shared" si="45"/>
        <v>299</v>
      </c>
      <c r="M140" s="607">
        <f>IF(B140="","",IF(A140=0,0,AportPat!L137))</f>
        <v>0</v>
      </c>
      <c r="N140" s="601">
        <f>Simulador!N200</f>
        <v>0</v>
      </c>
      <c r="O140" s="608">
        <v>0</v>
      </c>
      <c r="P140" s="607">
        <f t="shared" si="56"/>
        <v>11849.975363905492</v>
      </c>
      <c r="Q140" s="607">
        <f t="shared" si="39"/>
        <v>851116.93198541307</v>
      </c>
      <c r="S140" s="120">
        <v>0.11</v>
      </c>
      <c r="T140" s="198">
        <f t="shared" si="40"/>
        <v>134</v>
      </c>
      <c r="U140" s="347">
        <f t="shared" si="57"/>
        <v>854728.42993349186</v>
      </c>
      <c r="V140" s="347">
        <f t="shared" si="46"/>
        <v>3611.4979480788352</v>
      </c>
      <c r="W140" s="347">
        <f t="shared" si="47"/>
        <v>7939.4774158266573</v>
      </c>
      <c r="X140" s="607">
        <f>IF(T140="","",IF(U140=0,0,($C$2/1000)*'Tabla de Incrementos'!$J$12))</f>
        <v>11550.975363905492</v>
      </c>
      <c r="Y140" s="607">
        <f t="shared" si="41"/>
        <v>0</v>
      </c>
      <c r="Z140" s="607">
        <f t="shared" si="48"/>
        <v>0</v>
      </c>
      <c r="AA140" s="557">
        <f t="shared" si="49"/>
        <v>299</v>
      </c>
      <c r="AB140" s="557">
        <f t="shared" si="50"/>
        <v>11849.975363905492</v>
      </c>
    </row>
    <row r="141" spans="1:28" x14ac:dyDescent="0.35">
      <c r="A141" s="595">
        <f t="shared" si="42"/>
        <v>1</v>
      </c>
      <c r="B141" s="596">
        <f t="shared" si="51"/>
        <v>135</v>
      </c>
      <c r="C141" s="597">
        <f ca="1">IF(B141="","",'Fecha Pago'!K138)</f>
        <v>50255</v>
      </c>
      <c r="D141" s="598">
        <f t="shared" si="52"/>
        <v>30.4</v>
      </c>
      <c r="E141" s="599">
        <f>IF(B141="","",'Tabla de Incrementos'!$C$4)</f>
        <v>0.11</v>
      </c>
      <c r="F141" s="600">
        <f t="shared" si="43"/>
        <v>851116.93198541307</v>
      </c>
      <c r="G141" s="600">
        <f t="shared" si="53"/>
        <v>3645.0447512409892</v>
      </c>
      <c r="H141" s="600">
        <f t="shared" si="44"/>
        <v>7905.9306126645033</v>
      </c>
      <c r="I141" s="600">
        <f>IF(B141="","",IF(F141=0,0,($C$2/1000)*'Tabla de Incrementos'!$J$12))</f>
        <v>11550.975363905492</v>
      </c>
      <c r="J141" s="600">
        <f t="shared" si="54"/>
        <v>0</v>
      </c>
      <c r="K141" s="600">
        <f t="shared" si="55"/>
        <v>0</v>
      </c>
      <c r="L141" s="600">
        <f t="shared" si="45"/>
        <v>299</v>
      </c>
      <c r="M141" s="600">
        <f>IF(B141="","",IF(A141=0,0,AportPat!L138))</f>
        <v>0</v>
      </c>
      <c r="N141" s="601">
        <f>Simulador!N201</f>
        <v>0</v>
      </c>
      <c r="O141" s="608">
        <v>0</v>
      </c>
      <c r="P141" s="600">
        <f t="shared" si="56"/>
        <v>11849.975363905492</v>
      </c>
      <c r="Q141" s="600">
        <f t="shared" si="39"/>
        <v>847471.88723417209</v>
      </c>
      <c r="S141" s="120">
        <v>0.11</v>
      </c>
      <c r="T141" s="198">
        <f t="shared" si="40"/>
        <v>135</v>
      </c>
      <c r="U141" s="347">
        <f t="shared" si="57"/>
        <v>851116.93198541307</v>
      </c>
      <c r="V141" s="347">
        <f t="shared" si="46"/>
        <v>3645.0447512409892</v>
      </c>
      <c r="W141" s="347">
        <f t="shared" si="47"/>
        <v>7905.9306126645033</v>
      </c>
      <c r="X141" s="600">
        <f>IF(T141="","",IF(U141=0,0,($C$2/1000)*'Tabla de Incrementos'!$J$12))</f>
        <v>11550.975363905492</v>
      </c>
      <c r="Y141" s="600">
        <f t="shared" si="41"/>
        <v>0</v>
      </c>
      <c r="Z141" s="600">
        <f t="shared" si="48"/>
        <v>0</v>
      </c>
      <c r="AA141" s="557">
        <f t="shared" si="49"/>
        <v>299</v>
      </c>
      <c r="AB141" s="557">
        <f t="shared" si="50"/>
        <v>11849.975363905492</v>
      </c>
    </row>
    <row r="142" spans="1:28" x14ac:dyDescent="0.35">
      <c r="A142" s="595">
        <f t="shared" si="42"/>
        <v>1</v>
      </c>
      <c r="B142" s="596">
        <f t="shared" si="51"/>
        <v>136</v>
      </c>
      <c r="C142" s="597">
        <f ca="1">IF(B142="","",'Fecha Pago'!K139)</f>
        <v>50286</v>
      </c>
      <c r="D142" s="598">
        <f t="shared" si="52"/>
        <v>30.4</v>
      </c>
      <c r="E142" s="599">
        <f>IF(B142="","",'Tabla de Incrementos'!$C$4)</f>
        <v>0.11</v>
      </c>
      <c r="F142" s="600">
        <f t="shared" si="43"/>
        <v>847471.88723417209</v>
      </c>
      <c r="G142" s="600">
        <f t="shared" si="53"/>
        <v>3678.9031669302949</v>
      </c>
      <c r="H142" s="600">
        <f t="shared" si="44"/>
        <v>7872.0721969751976</v>
      </c>
      <c r="I142" s="600">
        <f>IF(B142="","",IF(F142=0,0,($C$2/1000)*'Tabla de Incrementos'!$J$12))</f>
        <v>11550.975363905492</v>
      </c>
      <c r="J142" s="600">
        <f t="shared" si="54"/>
        <v>0</v>
      </c>
      <c r="K142" s="600">
        <f t="shared" si="55"/>
        <v>0</v>
      </c>
      <c r="L142" s="600">
        <f t="shared" si="45"/>
        <v>299</v>
      </c>
      <c r="M142" s="600">
        <f>IF(B142="","",IF(A142=0,0,AportPat!L139))</f>
        <v>0</v>
      </c>
      <c r="N142" s="601">
        <f>Simulador!N202</f>
        <v>0</v>
      </c>
      <c r="O142" s="608">
        <v>0</v>
      </c>
      <c r="P142" s="600">
        <f t="shared" si="56"/>
        <v>11849.975363905492</v>
      </c>
      <c r="Q142" s="600">
        <f t="shared" si="39"/>
        <v>843792.98406724178</v>
      </c>
      <c r="S142" s="120">
        <v>0.11</v>
      </c>
      <c r="T142" s="198">
        <f t="shared" si="40"/>
        <v>136</v>
      </c>
      <c r="U142" s="347">
        <f t="shared" si="57"/>
        <v>847471.88723417209</v>
      </c>
      <c r="V142" s="347">
        <f t="shared" si="46"/>
        <v>3678.9031669302949</v>
      </c>
      <c r="W142" s="347">
        <f t="shared" si="47"/>
        <v>7872.0721969751976</v>
      </c>
      <c r="X142" s="600">
        <f>IF(T142="","",IF(U142=0,0,($C$2/1000)*'Tabla de Incrementos'!$J$12))</f>
        <v>11550.975363905492</v>
      </c>
      <c r="Y142" s="600">
        <f t="shared" si="41"/>
        <v>0</v>
      </c>
      <c r="Z142" s="600">
        <f t="shared" si="48"/>
        <v>0</v>
      </c>
      <c r="AA142" s="557">
        <f t="shared" si="49"/>
        <v>299</v>
      </c>
      <c r="AB142" s="557">
        <f t="shared" si="50"/>
        <v>11849.975363905492</v>
      </c>
    </row>
    <row r="143" spans="1:28" x14ac:dyDescent="0.35">
      <c r="A143" s="595">
        <f t="shared" si="42"/>
        <v>1</v>
      </c>
      <c r="B143" s="596">
        <f t="shared" si="51"/>
        <v>137</v>
      </c>
      <c r="C143" s="597">
        <f ca="1">IF(B143="","",'Fecha Pago'!K140)</f>
        <v>50316</v>
      </c>
      <c r="D143" s="598">
        <f t="shared" si="52"/>
        <v>30.4</v>
      </c>
      <c r="E143" s="599">
        <f>IF(B143="","",'Tabla de Incrementos'!$C$4)</f>
        <v>0.11</v>
      </c>
      <c r="F143" s="600">
        <f t="shared" si="43"/>
        <v>843792.98406724178</v>
      </c>
      <c r="G143" s="600">
        <f t="shared" si="53"/>
        <v>3713.0760896808915</v>
      </c>
      <c r="H143" s="600">
        <f t="shared" si="44"/>
        <v>7837.899274224601</v>
      </c>
      <c r="I143" s="600">
        <f>IF(B143="","",IF(F143=0,0,($C$2/1000)*'Tabla de Incrementos'!$J$12))</f>
        <v>11550.975363905492</v>
      </c>
      <c r="J143" s="600">
        <f t="shared" si="54"/>
        <v>0</v>
      </c>
      <c r="K143" s="600">
        <f t="shared" si="55"/>
        <v>0</v>
      </c>
      <c r="L143" s="600">
        <f t="shared" si="45"/>
        <v>299</v>
      </c>
      <c r="M143" s="600">
        <f>IF(B143="","",IF(A143=0,0,AportPat!L140))</f>
        <v>0</v>
      </c>
      <c r="N143" s="601">
        <f>Simulador!N203</f>
        <v>0</v>
      </c>
      <c r="O143" s="608">
        <v>0</v>
      </c>
      <c r="P143" s="600">
        <f t="shared" si="56"/>
        <v>11849.975363905492</v>
      </c>
      <c r="Q143" s="600">
        <f t="shared" si="39"/>
        <v>840079.90797756088</v>
      </c>
      <c r="S143" s="120">
        <v>0.11</v>
      </c>
      <c r="T143" s="198">
        <f t="shared" si="40"/>
        <v>137</v>
      </c>
      <c r="U143" s="347">
        <f t="shared" si="57"/>
        <v>843792.98406724178</v>
      </c>
      <c r="V143" s="347">
        <f t="shared" si="46"/>
        <v>3713.0760896808915</v>
      </c>
      <c r="W143" s="347">
        <f t="shared" si="47"/>
        <v>7837.899274224601</v>
      </c>
      <c r="X143" s="600">
        <f>IF(T143="","",IF(U143=0,0,($C$2/1000)*'Tabla de Incrementos'!$J$12))</f>
        <v>11550.975363905492</v>
      </c>
      <c r="Y143" s="600">
        <f t="shared" si="41"/>
        <v>0</v>
      </c>
      <c r="Z143" s="600">
        <f t="shared" si="48"/>
        <v>0</v>
      </c>
      <c r="AA143" s="557">
        <f t="shared" si="49"/>
        <v>299</v>
      </c>
      <c r="AB143" s="557">
        <f t="shared" si="50"/>
        <v>11849.975363905492</v>
      </c>
    </row>
    <row r="144" spans="1:28" x14ac:dyDescent="0.35">
      <c r="A144" s="595">
        <f t="shared" si="42"/>
        <v>1</v>
      </c>
      <c r="B144" s="596">
        <f t="shared" si="51"/>
        <v>138</v>
      </c>
      <c r="C144" s="597">
        <f ca="1">IF(B144="","",'Fecha Pago'!K141)</f>
        <v>50347</v>
      </c>
      <c r="D144" s="598">
        <f t="shared" si="52"/>
        <v>30.4</v>
      </c>
      <c r="E144" s="599">
        <f>IF(B144="","",'Tabla de Incrementos'!$C$4)</f>
        <v>0.11</v>
      </c>
      <c r="F144" s="600">
        <f t="shared" si="43"/>
        <v>840079.90797756088</v>
      </c>
      <c r="G144" s="600">
        <f t="shared" si="53"/>
        <v>3747.5664409139272</v>
      </c>
      <c r="H144" s="600">
        <f t="shared" si="44"/>
        <v>7803.4089229915653</v>
      </c>
      <c r="I144" s="600">
        <f>IF(B144="","",IF(F144=0,0,($C$2/1000)*'Tabla de Incrementos'!$J$12))</f>
        <v>11550.975363905492</v>
      </c>
      <c r="J144" s="600">
        <f t="shared" si="54"/>
        <v>0</v>
      </c>
      <c r="K144" s="600">
        <f t="shared" si="55"/>
        <v>0</v>
      </c>
      <c r="L144" s="600">
        <f t="shared" si="45"/>
        <v>299</v>
      </c>
      <c r="M144" s="600">
        <f>IF(B144="","",IF(A144=0,0,AportPat!L141))</f>
        <v>0</v>
      </c>
      <c r="N144" s="601">
        <f>Simulador!N204</f>
        <v>0</v>
      </c>
      <c r="O144" s="608">
        <v>0</v>
      </c>
      <c r="P144" s="600">
        <f t="shared" si="56"/>
        <v>11849.975363905492</v>
      </c>
      <c r="Q144" s="600">
        <f t="shared" si="39"/>
        <v>836332.34153664694</v>
      </c>
      <c r="S144" s="120">
        <v>0.11</v>
      </c>
      <c r="T144" s="198">
        <f t="shared" si="40"/>
        <v>138</v>
      </c>
      <c r="U144" s="347">
        <f t="shared" si="57"/>
        <v>840079.90797756088</v>
      </c>
      <c r="V144" s="347">
        <f t="shared" si="46"/>
        <v>3747.5664409139272</v>
      </c>
      <c r="W144" s="347">
        <f t="shared" si="47"/>
        <v>7803.4089229915653</v>
      </c>
      <c r="X144" s="600">
        <f>IF(T144="","",IF(U144=0,0,($C$2/1000)*'Tabla de Incrementos'!$J$12))</f>
        <v>11550.975363905492</v>
      </c>
      <c r="Y144" s="600">
        <f t="shared" si="41"/>
        <v>0</v>
      </c>
      <c r="Z144" s="600">
        <f t="shared" si="48"/>
        <v>0</v>
      </c>
      <c r="AA144" s="557">
        <f t="shared" si="49"/>
        <v>299</v>
      </c>
      <c r="AB144" s="557">
        <f t="shared" si="50"/>
        <v>11849.975363905492</v>
      </c>
    </row>
    <row r="145" spans="1:28" x14ac:dyDescent="0.35">
      <c r="A145" s="595">
        <f t="shared" si="42"/>
        <v>1</v>
      </c>
      <c r="B145" s="596">
        <f t="shared" si="51"/>
        <v>139</v>
      </c>
      <c r="C145" s="597">
        <f ca="1">IF(B145="","",'Fecha Pago'!K142)</f>
        <v>50377</v>
      </c>
      <c r="D145" s="598">
        <f t="shared" si="52"/>
        <v>30.4</v>
      </c>
      <c r="E145" s="599">
        <f>IF(B145="","",'Tabla de Incrementos'!$C$4)</f>
        <v>0.11</v>
      </c>
      <c r="F145" s="600">
        <f t="shared" si="43"/>
        <v>836332.34153664694</v>
      </c>
      <c r="G145" s="600">
        <f t="shared" si="53"/>
        <v>3782.3771691873062</v>
      </c>
      <c r="H145" s="600">
        <f t="shared" si="44"/>
        <v>7768.5981947181863</v>
      </c>
      <c r="I145" s="600">
        <f>IF(B145="","",IF(F145=0,0,($C$2/1000)*'Tabla de Incrementos'!$J$12))</f>
        <v>11550.975363905492</v>
      </c>
      <c r="J145" s="600">
        <f t="shared" si="54"/>
        <v>0</v>
      </c>
      <c r="K145" s="600">
        <f t="shared" si="55"/>
        <v>0</v>
      </c>
      <c r="L145" s="600">
        <f t="shared" si="45"/>
        <v>299</v>
      </c>
      <c r="M145" s="600">
        <f>IF(B145="","",IF(A145=0,0,AportPat!L142))</f>
        <v>0</v>
      </c>
      <c r="N145" s="601">
        <f>Simulador!N205</f>
        <v>0</v>
      </c>
      <c r="O145" s="608">
        <v>0</v>
      </c>
      <c r="P145" s="600">
        <f t="shared" si="56"/>
        <v>11849.975363905492</v>
      </c>
      <c r="Q145" s="600">
        <f t="shared" si="39"/>
        <v>832549.96436745964</v>
      </c>
      <c r="S145" s="120">
        <v>0.11</v>
      </c>
      <c r="T145" s="198">
        <f t="shared" si="40"/>
        <v>139</v>
      </c>
      <c r="U145" s="347">
        <f t="shared" si="57"/>
        <v>836332.34153664694</v>
      </c>
      <c r="V145" s="347">
        <f t="shared" si="46"/>
        <v>3782.3771691873062</v>
      </c>
      <c r="W145" s="347">
        <f t="shared" si="47"/>
        <v>7768.5981947181863</v>
      </c>
      <c r="X145" s="600">
        <f>IF(T145="","",IF(U145=0,0,($C$2/1000)*'Tabla de Incrementos'!$J$12))</f>
        <v>11550.975363905492</v>
      </c>
      <c r="Y145" s="600">
        <f t="shared" si="41"/>
        <v>0</v>
      </c>
      <c r="Z145" s="600">
        <f t="shared" si="48"/>
        <v>0</v>
      </c>
      <c r="AA145" s="557">
        <f t="shared" si="49"/>
        <v>299</v>
      </c>
      <c r="AB145" s="557">
        <f t="shared" si="50"/>
        <v>11849.975363905492</v>
      </c>
    </row>
    <row r="146" spans="1:28" x14ac:dyDescent="0.35">
      <c r="A146" s="595">
        <f t="shared" si="42"/>
        <v>1</v>
      </c>
      <c r="B146" s="596">
        <f t="shared" si="51"/>
        <v>140</v>
      </c>
      <c r="C146" s="597">
        <f ca="1">IF(B146="","",'Fecha Pago'!K143)</f>
        <v>50408</v>
      </c>
      <c r="D146" s="598">
        <f t="shared" si="52"/>
        <v>30.4</v>
      </c>
      <c r="E146" s="599">
        <f>IF(B146="","",'Tabla de Incrementos'!$C$4)</f>
        <v>0.11</v>
      </c>
      <c r="F146" s="600">
        <f t="shared" si="43"/>
        <v>832549.96436745964</v>
      </c>
      <c r="G146" s="600">
        <f t="shared" si="53"/>
        <v>3817.5112504477565</v>
      </c>
      <c r="H146" s="600">
        <f t="shared" si="44"/>
        <v>7733.4641134577359</v>
      </c>
      <c r="I146" s="600">
        <f>IF(B146="","",IF(F146=0,0,($C$2/1000)*'Tabla de Incrementos'!$J$12))</f>
        <v>11550.975363905492</v>
      </c>
      <c r="J146" s="600">
        <f t="shared" si="54"/>
        <v>0</v>
      </c>
      <c r="K146" s="600">
        <f t="shared" si="55"/>
        <v>0</v>
      </c>
      <c r="L146" s="600">
        <f t="shared" si="45"/>
        <v>299</v>
      </c>
      <c r="M146" s="600">
        <f>IF(B146="","",IF(A146=0,0,AportPat!L143))</f>
        <v>0</v>
      </c>
      <c r="N146" s="601">
        <f>Simulador!N206</f>
        <v>0</v>
      </c>
      <c r="O146" s="608">
        <v>0</v>
      </c>
      <c r="P146" s="600">
        <f t="shared" si="56"/>
        <v>11849.975363905492</v>
      </c>
      <c r="Q146" s="600">
        <f t="shared" si="39"/>
        <v>828732.45311701193</v>
      </c>
      <c r="S146" s="120">
        <v>0.11</v>
      </c>
      <c r="T146" s="198">
        <f t="shared" si="40"/>
        <v>140</v>
      </c>
      <c r="U146" s="347">
        <f t="shared" si="57"/>
        <v>832549.96436745964</v>
      </c>
      <c r="V146" s="347">
        <f t="shared" si="46"/>
        <v>3817.5112504477565</v>
      </c>
      <c r="W146" s="347">
        <f t="shared" si="47"/>
        <v>7733.4641134577359</v>
      </c>
      <c r="X146" s="600">
        <f>IF(T146="","",IF(U146=0,0,($C$2/1000)*'Tabla de Incrementos'!$J$12))</f>
        <v>11550.975363905492</v>
      </c>
      <c r="Y146" s="600">
        <f t="shared" si="41"/>
        <v>0</v>
      </c>
      <c r="Z146" s="600">
        <f t="shared" si="48"/>
        <v>0</v>
      </c>
      <c r="AA146" s="557">
        <f t="shared" si="49"/>
        <v>299</v>
      </c>
      <c r="AB146" s="557">
        <f t="shared" si="50"/>
        <v>11849.975363905492</v>
      </c>
    </row>
    <row r="147" spans="1:28" x14ac:dyDescent="0.35">
      <c r="A147" s="595">
        <f t="shared" si="42"/>
        <v>1</v>
      </c>
      <c r="B147" s="596">
        <f t="shared" si="51"/>
        <v>141</v>
      </c>
      <c r="C147" s="597">
        <f ca="1">IF(B147="","",'Fecha Pago'!K144)</f>
        <v>50439</v>
      </c>
      <c r="D147" s="598">
        <f t="shared" si="52"/>
        <v>30.4</v>
      </c>
      <c r="E147" s="599">
        <f>IF(B147="","",'Tabla de Incrementos'!$C$4)</f>
        <v>0.11</v>
      </c>
      <c r="F147" s="600">
        <f t="shared" si="43"/>
        <v>828732.45311701193</v>
      </c>
      <c r="G147" s="600">
        <f t="shared" si="53"/>
        <v>3852.971688285249</v>
      </c>
      <c r="H147" s="600">
        <f t="shared" si="44"/>
        <v>7698.0036756202435</v>
      </c>
      <c r="I147" s="600">
        <f>IF(B147="","",IF(F147=0,0,($C$2/1000)*'Tabla de Incrementos'!$J$12))</f>
        <v>11550.975363905492</v>
      </c>
      <c r="J147" s="600">
        <f t="shared" si="54"/>
        <v>0</v>
      </c>
      <c r="K147" s="600">
        <f t="shared" si="55"/>
        <v>0</v>
      </c>
      <c r="L147" s="600">
        <f t="shared" si="45"/>
        <v>299</v>
      </c>
      <c r="M147" s="600">
        <f>IF(B147="","",IF(A147=0,0,AportPat!L144))</f>
        <v>0</v>
      </c>
      <c r="N147" s="601">
        <f>Simulador!N207</f>
        <v>0</v>
      </c>
      <c r="O147" s="608">
        <v>0</v>
      </c>
      <c r="P147" s="600">
        <f t="shared" si="56"/>
        <v>11849.975363905492</v>
      </c>
      <c r="Q147" s="600">
        <f t="shared" si="39"/>
        <v>824879.48142872669</v>
      </c>
      <c r="S147" s="120">
        <v>0.11</v>
      </c>
      <c r="T147" s="198">
        <f t="shared" si="40"/>
        <v>141</v>
      </c>
      <c r="U147" s="347">
        <f t="shared" si="57"/>
        <v>828732.45311701193</v>
      </c>
      <c r="V147" s="347">
        <f t="shared" si="46"/>
        <v>3852.971688285249</v>
      </c>
      <c r="W147" s="347">
        <f t="shared" si="47"/>
        <v>7698.0036756202435</v>
      </c>
      <c r="X147" s="600">
        <f>IF(T147="","",IF(U147=0,0,($C$2/1000)*'Tabla de Incrementos'!$J$12))</f>
        <v>11550.975363905492</v>
      </c>
      <c r="Y147" s="600">
        <f t="shared" si="41"/>
        <v>0</v>
      </c>
      <c r="Z147" s="600">
        <f t="shared" si="48"/>
        <v>0</v>
      </c>
      <c r="AA147" s="557">
        <f t="shared" si="49"/>
        <v>299</v>
      </c>
      <c r="AB147" s="557">
        <f t="shared" si="50"/>
        <v>11849.975363905492</v>
      </c>
    </row>
    <row r="148" spans="1:28" x14ac:dyDescent="0.35">
      <c r="A148" s="595">
        <f t="shared" si="42"/>
        <v>1</v>
      </c>
      <c r="B148" s="596">
        <f t="shared" si="51"/>
        <v>142</v>
      </c>
      <c r="C148" s="597">
        <f ca="1">IF(B148="","",'Fecha Pago'!K145)</f>
        <v>50467</v>
      </c>
      <c r="D148" s="598">
        <f t="shared" si="52"/>
        <v>30.4</v>
      </c>
      <c r="E148" s="599">
        <f>IF(B148="","",'Tabla de Incrementos'!$C$4)</f>
        <v>0.11</v>
      </c>
      <c r="F148" s="600">
        <f t="shared" si="43"/>
        <v>824879.48142872669</v>
      </c>
      <c r="G148" s="600">
        <f t="shared" si="53"/>
        <v>3888.761514189765</v>
      </c>
      <c r="H148" s="600">
        <f t="shared" si="44"/>
        <v>7662.2138497157275</v>
      </c>
      <c r="I148" s="600">
        <f>IF(B148="","",IF(F148=0,0,($C$2/1000)*'Tabla de Incrementos'!$J$12))</f>
        <v>11550.975363905492</v>
      </c>
      <c r="J148" s="600">
        <f t="shared" si="54"/>
        <v>0</v>
      </c>
      <c r="K148" s="600">
        <f t="shared" si="55"/>
        <v>0</v>
      </c>
      <c r="L148" s="600">
        <f t="shared" si="45"/>
        <v>299</v>
      </c>
      <c r="M148" s="600">
        <f>IF(B148="","",IF(A148=0,0,AportPat!L145))</f>
        <v>0</v>
      </c>
      <c r="N148" s="601">
        <f>Simulador!N208</f>
        <v>0</v>
      </c>
      <c r="O148" s="608">
        <v>0</v>
      </c>
      <c r="P148" s="600">
        <f t="shared" si="56"/>
        <v>11849.975363905492</v>
      </c>
      <c r="Q148" s="600">
        <f t="shared" si="39"/>
        <v>820990.71991453692</v>
      </c>
      <c r="S148" s="120">
        <v>0.11</v>
      </c>
      <c r="T148" s="198">
        <f t="shared" si="40"/>
        <v>142</v>
      </c>
      <c r="U148" s="347">
        <f t="shared" si="57"/>
        <v>824879.48142872669</v>
      </c>
      <c r="V148" s="347">
        <f t="shared" si="46"/>
        <v>3888.761514189765</v>
      </c>
      <c r="W148" s="347">
        <f t="shared" si="47"/>
        <v>7662.2138497157275</v>
      </c>
      <c r="X148" s="600">
        <f>IF(T148="","",IF(U148=0,0,($C$2/1000)*'Tabla de Incrementos'!$J$12))</f>
        <v>11550.975363905492</v>
      </c>
      <c r="Y148" s="600">
        <f t="shared" si="41"/>
        <v>0</v>
      </c>
      <c r="Z148" s="600">
        <f t="shared" si="48"/>
        <v>0</v>
      </c>
      <c r="AA148" s="557">
        <f t="shared" si="49"/>
        <v>299</v>
      </c>
      <c r="AB148" s="557">
        <f t="shared" si="50"/>
        <v>11849.975363905492</v>
      </c>
    </row>
    <row r="149" spans="1:28" x14ac:dyDescent="0.35">
      <c r="A149" s="595">
        <f t="shared" si="42"/>
        <v>1</v>
      </c>
      <c r="B149" s="596">
        <f t="shared" si="51"/>
        <v>143</v>
      </c>
      <c r="C149" s="597">
        <f ca="1">IF(B149="","",'Fecha Pago'!K146)</f>
        <v>50498</v>
      </c>
      <c r="D149" s="598">
        <f t="shared" si="52"/>
        <v>30.4</v>
      </c>
      <c r="E149" s="599">
        <f>IF(B149="","",'Tabla de Incrementos'!$C$4)</f>
        <v>0.11</v>
      </c>
      <c r="F149" s="600">
        <f t="shared" si="43"/>
        <v>820990.71991453692</v>
      </c>
      <c r="G149" s="600">
        <f t="shared" si="53"/>
        <v>3924.8837878104614</v>
      </c>
      <c r="H149" s="600">
        <f t="shared" si="44"/>
        <v>7626.0915760950311</v>
      </c>
      <c r="I149" s="600">
        <f>IF(B149="","",IF(F149=0,0,($C$2/1000)*'Tabla de Incrementos'!$J$12))</f>
        <v>11550.975363905492</v>
      </c>
      <c r="J149" s="600">
        <f t="shared" si="54"/>
        <v>0</v>
      </c>
      <c r="K149" s="600">
        <f t="shared" si="55"/>
        <v>0</v>
      </c>
      <c r="L149" s="600">
        <f t="shared" si="45"/>
        <v>299</v>
      </c>
      <c r="M149" s="600">
        <f>IF(B149="","",IF(A149=0,0,AportPat!L146))</f>
        <v>0</v>
      </c>
      <c r="N149" s="601">
        <f>Simulador!N209</f>
        <v>0</v>
      </c>
      <c r="O149" s="608">
        <v>0</v>
      </c>
      <c r="P149" s="600">
        <f t="shared" si="56"/>
        <v>11849.975363905492</v>
      </c>
      <c r="Q149" s="600">
        <f t="shared" si="39"/>
        <v>817065.83612672647</v>
      </c>
      <c r="S149" s="120">
        <v>0.11</v>
      </c>
      <c r="T149" s="198">
        <f t="shared" si="40"/>
        <v>143</v>
      </c>
      <c r="U149" s="347">
        <f t="shared" si="57"/>
        <v>820990.71991453692</v>
      </c>
      <c r="V149" s="347">
        <f t="shared" si="46"/>
        <v>3924.8837878104614</v>
      </c>
      <c r="W149" s="347">
        <f t="shared" si="47"/>
        <v>7626.0915760950311</v>
      </c>
      <c r="X149" s="600">
        <f>IF(T149="","",IF(U149=0,0,($C$2/1000)*'Tabla de Incrementos'!$J$12))</f>
        <v>11550.975363905492</v>
      </c>
      <c r="Y149" s="600">
        <f t="shared" si="41"/>
        <v>0</v>
      </c>
      <c r="Z149" s="600">
        <f t="shared" si="48"/>
        <v>0</v>
      </c>
      <c r="AA149" s="557">
        <f t="shared" si="49"/>
        <v>299</v>
      </c>
      <c r="AB149" s="557">
        <f t="shared" si="50"/>
        <v>11849.975363905492</v>
      </c>
    </row>
    <row r="150" spans="1:28" x14ac:dyDescent="0.35">
      <c r="A150" s="595">
        <f t="shared" si="42"/>
        <v>1</v>
      </c>
      <c r="B150" s="596">
        <f t="shared" si="51"/>
        <v>144</v>
      </c>
      <c r="C150" s="597">
        <f ca="1">IF(B150="","",'Fecha Pago'!K147)</f>
        <v>50528</v>
      </c>
      <c r="D150" s="598">
        <f t="shared" si="52"/>
        <v>30.4</v>
      </c>
      <c r="E150" s="599">
        <f>IF(B150="","",'Tabla de Incrementos'!$C$4)</f>
        <v>0.11</v>
      </c>
      <c r="F150" s="600">
        <f t="shared" si="43"/>
        <v>817065.83612672647</v>
      </c>
      <c r="G150" s="600">
        <f t="shared" si="53"/>
        <v>3961.3415972172343</v>
      </c>
      <c r="H150" s="600">
        <f t="shared" si="44"/>
        <v>7589.6337666882582</v>
      </c>
      <c r="I150" s="600">
        <f>IF(B150="","",IF(F150=0,0,($C$2/1000)*'Tabla de Incrementos'!$J$12))</f>
        <v>11550.975363905492</v>
      </c>
      <c r="J150" s="600">
        <f t="shared" si="54"/>
        <v>0</v>
      </c>
      <c r="K150" s="600">
        <f t="shared" si="55"/>
        <v>0</v>
      </c>
      <c r="L150" s="600">
        <f t="shared" si="45"/>
        <v>299</v>
      </c>
      <c r="M150" s="600">
        <f>IF(B150="","",IF(A150=0,0,AportPat!L147))</f>
        <v>0</v>
      </c>
      <c r="N150" s="601">
        <f>Simulador!N210</f>
        <v>0</v>
      </c>
      <c r="O150" s="608">
        <v>0</v>
      </c>
      <c r="P150" s="600">
        <f t="shared" si="56"/>
        <v>11849.975363905492</v>
      </c>
      <c r="Q150" s="600">
        <f t="shared" si="39"/>
        <v>813104.49452950922</v>
      </c>
      <c r="S150" s="120">
        <v>0.11</v>
      </c>
      <c r="T150" s="198">
        <f t="shared" si="40"/>
        <v>144</v>
      </c>
      <c r="U150" s="347">
        <f t="shared" si="57"/>
        <v>817065.83612672647</v>
      </c>
      <c r="V150" s="347">
        <f t="shared" si="46"/>
        <v>3961.3415972172343</v>
      </c>
      <c r="W150" s="347">
        <f t="shared" si="47"/>
        <v>7589.6337666882582</v>
      </c>
      <c r="X150" s="600">
        <f>IF(T150="","",IF(U150=0,0,($C$2/1000)*'Tabla de Incrementos'!$J$12))</f>
        <v>11550.975363905492</v>
      </c>
      <c r="Y150" s="600">
        <f t="shared" si="41"/>
        <v>0</v>
      </c>
      <c r="Z150" s="600">
        <f t="shared" si="48"/>
        <v>0</v>
      </c>
      <c r="AA150" s="557">
        <f t="shared" si="49"/>
        <v>299</v>
      </c>
      <c r="AB150" s="557">
        <f t="shared" si="50"/>
        <v>11849.975363905492</v>
      </c>
    </row>
    <row r="151" spans="1:28" x14ac:dyDescent="0.35">
      <c r="A151" s="595">
        <f t="shared" si="42"/>
        <v>1</v>
      </c>
      <c r="B151" s="596">
        <f t="shared" si="51"/>
        <v>145</v>
      </c>
      <c r="C151" s="597">
        <f ca="1">IF(B151="","",'Fecha Pago'!K148)</f>
        <v>50559</v>
      </c>
      <c r="D151" s="598">
        <f t="shared" si="52"/>
        <v>30.4</v>
      </c>
      <c r="E151" s="599">
        <f>IF(B151="","",'Tabla de Incrementos'!$C$4)</f>
        <v>0.11</v>
      </c>
      <c r="F151" s="600">
        <f t="shared" si="43"/>
        <v>813104.49452950922</v>
      </c>
      <c r="G151" s="600">
        <f t="shared" si="53"/>
        <v>3998.1380591647185</v>
      </c>
      <c r="H151" s="600">
        <f t="shared" si="44"/>
        <v>7552.837304740774</v>
      </c>
      <c r="I151" s="600">
        <f>IF(B151="","",IF(F151=0,0,($C$2/1000)*'Tabla de Incrementos'!$J$12))</f>
        <v>11550.975363905492</v>
      </c>
      <c r="J151" s="600">
        <f t="shared" si="54"/>
        <v>0</v>
      </c>
      <c r="K151" s="600">
        <f t="shared" si="55"/>
        <v>0</v>
      </c>
      <c r="L151" s="600">
        <f t="shared" si="45"/>
        <v>299</v>
      </c>
      <c r="M151" s="600">
        <f>IF(B151="","",IF(A151=0,0,AportPat!L148))</f>
        <v>0</v>
      </c>
      <c r="N151" s="601">
        <f>Simulador!N211</f>
        <v>0</v>
      </c>
      <c r="O151" s="608">
        <v>0</v>
      </c>
      <c r="P151" s="600">
        <f t="shared" si="56"/>
        <v>11849.975363905492</v>
      </c>
      <c r="Q151" s="600">
        <f t="shared" si="39"/>
        <v>809106.35647034447</v>
      </c>
      <c r="S151" s="120">
        <v>0.11</v>
      </c>
      <c r="T151" s="198">
        <f t="shared" si="40"/>
        <v>145</v>
      </c>
      <c r="U151" s="347">
        <f t="shared" si="57"/>
        <v>813104.49452950922</v>
      </c>
      <c r="V151" s="347">
        <f t="shared" si="46"/>
        <v>3998.1380591647185</v>
      </c>
      <c r="W151" s="347">
        <f t="shared" si="47"/>
        <v>7552.837304740774</v>
      </c>
      <c r="X151" s="600">
        <f>IF(T151="","",IF(U151=0,0,($C$2/1000)*'Tabla de Incrementos'!$J$12))</f>
        <v>11550.975363905492</v>
      </c>
      <c r="Y151" s="600">
        <f t="shared" si="41"/>
        <v>0</v>
      </c>
      <c r="Z151" s="600">
        <f t="shared" si="48"/>
        <v>0</v>
      </c>
      <c r="AA151" s="557">
        <f t="shared" si="49"/>
        <v>299</v>
      </c>
      <c r="AB151" s="557">
        <f t="shared" si="50"/>
        <v>11849.975363905492</v>
      </c>
    </row>
    <row r="152" spans="1:28" x14ac:dyDescent="0.35">
      <c r="A152" s="595">
        <f t="shared" si="42"/>
        <v>1</v>
      </c>
      <c r="B152" s="604">
        <f t="shared" si="51"/>
        <v>146</v>
      </c>
      <c r="C152" s="597">
        <f ca="1">IF(B152="","",'Fecha Pago'!K149)</f>
        <v>50589</v>
      </c>
      <c r="D152" s="605">
        <f t="shared" si="52"/>
        <v>30.4</v>
      </c>
      <c r="E152" s="606">
        <f>IF(B152="","",'Tabla de Incrementos'!$C$4)</f>
        <v>0.11</v>
      </c>
      <c r="F152" s="607">
        <f t="shared" si="43"/>
        <v>809106.35647034447</v>
      </c>
      <c r="G152" s="607">
        <f t="shared" si="53"/>
        <v>4362.3885105292647</v>
      </c>
      <c r="H152" s="607">
        <f t="shared" si="44"/>
        <v>7515.6990445467545</v>
      </c>
      <c r="I152" s="607">
        <f>IF(B152="","",IF(F152=0,0,($C$2/1000)*'Tabla de Incrementos'!$J$13))</f>
        <v>11878.087555076019</v>
      </c>
      <c r="J152" s="607">
        <f t="shared" si="54"/>
        <v>0</v>
      </c>
      <c r="K152" s="607">
        <f t="shared" si="55"/>
        <v>0</v>
      </c>
      <c r="L152" s="607">
        <f t="shared" si="45"/>
        <v>299</v>
      </c>
      <c r="M152" s="607">
        <f>IF(B152="","",IF(A152=0,0,AportPat!L149))</f>
        <v>0</v>
      </c>
      <c r="N152" s="601">
        <f>Simulador!N212</f>
        <v>0</v>
      </c>
      <c r="O152" s="608">
        <v>0</v>
      </c>
      <c r="P152" s="607">
        <f t="shared" si="56"/>
        <v>12177.087555076019</v>
      </c>
      <c r="Q152" s="607">
        <f t="shared" si="39"/>
        <v>804743.96795981517</v>
      </c>
      <c r="S152" s="120">
        <v>0.11</v>
      </c>
      <c r="T152" s="198">
        <f t="shared" si="40"/>
        <v>146</v>
      </c>
      <c r="U152" s="347">
        <f t="shared" si="57"/>
        <v>809106.35647034447</v>
      </c>
      <c r="V152" s="347">
        <f t="shared" si="46"/>
        <v>4362.3885105292647</v>
      </c>
      <c r="W152" s="347">
        <f t="shared" si="47"/>
        <v>7515.6990445467545</v>
      </c>
      <c r="X152" s="607">
        <f>IF(T152="","",IF(U152=0,0,($C$2/1000)*'Tabla de Incrementos'!$J$13))</f>
        <v>11878.087555076019</v>
      </c>
      <c r="Y152" s="607">
        <f t="shared" si="41"/>
        <v>0</v>
      </c>
      <c r="Z152" s="607">
        <f t="shared" si="48"/>
        <v>0</v>
      </c>
      <c r="AA152" s="557">
        <f t="shared" si="49"/>
        <v>299</v>
      </c>
      <c r="AB152" s="557">
        <f t="shared" si="50"/>
        <v>12177.087555076019</v>
      </c>
    </row>
    <row r="153" spans="1:28" x14ac:dyDescent="0.35">
      <c r="A153" s="595">
        <f t="shared" si="42"/>
        <v>1</v>
      </c>
      <c r="B153" s="596">
        <f t="shared" si="51"/>
        <v>147</v>
      </c>
      <c r="C153" s="597">
        <f ca="1">IF(B153="","",'Fecha Pago'!K150)</f>
        <v>50620</v>
      </c>
      <c r="D153" s="598">
        <f t="shared" si="52"/>
        <v>30.4</v>
      </c>
      <c r="E153" s="599">
        <f>IF(B153="","",'Tabla de Incrementos'!$C$4)</f>
        <v>0.11</v>
      </c>
      <c r="F153" s="600">
        <f t="shared" si="43"/>
        <v>804743.96795981517</v>
      </c>
      <c r="G153" s="600">
        <f t="shared" si="53"/>
        <v>4402.9102526937368</v>
      </c>
      <c r="H153" s="600">
        <f t="shared" si="44"/>
        <v>7475.1773023822825</v>
      </c>
      <c r="I153" s="600">
        <f>IF(B153="","",IF(F153=0,0,($C$2/1000)*'Tabla de Incrementos'!$J$13))</f>
        <v>11878.087555076019</v>
      </c>
      <c r="J153" s="600">
        <f t="shared" si="54"/>
        <v>0</v>
      </c>
      <c r="K153" s="600">
        <f t="shared" si="55"/>
        <v>0</v>
      </c>
      <c r="L153" s="600">
        <f t="shared" si="45"/>
        <v>299</v>
      </c>
      <c r="M153" s="600">
        <f>IF(B153="","",IF(A153=0,0,AportPat!L150))</f>
        <v>0</v>
      </c>
      <c r="N153" s="601">
        <f>Simulador!N213</f>
        <v>0</v>
      </c>
      <c r="O153" s="608">
        <v>0</v>
      </c>
      <c r="P153" s="600">
        <f t="shared" si="56"/>
        <v>12177.087555076019</v>
      </c>
      <c r="Q153" s="600">
        <f t="shared" si="39"/>
        <v>800341.05770712148</v>
      </c>
      <c r="S153" s="120">
        <v>0.11</v>
      </c>
      <c r="T153" s="198">
        <f t="shared" si="40"/>
        <v>147</v>
      </c>
      <c r="U153" s="347">
        <f t="shared" si="57"/>
        <v>804743.96795981517</v>
      </c>
      <c r="V153" s="347">
        <f t="shared" si="46"/>
        <v>4402.9102526937368</v>
      </c>
      <c r="W153" s="347">
        <f t="shared" si="47"/>
        <v>7475.1773023822825</v>
      </c>
      <c r="X153" s="600">
        <f>IF(T153="","",IF(U153=0,0,($C$2/1000)*'Tabla de Incrementos'!$J$13))</f>
        <v>11878.087555076019</v>
      </c>
      <c r="Y153" s="600">
        <f t="shared" si="41"/>
        <v>0</v>
      </c>
      <c r="Z153" s="600">
        <f t="shared" si="48"/>
        <v>0</v>
      </c>
      <c r="AA153" s="557">
        <f t="shared" si="49"/>
        <v>299</v>
      </c>
      <c r="AB153" s="557">
        <f t="shared" si="50"/>
        <v>12177.087555076019</v>
      </c>
    </row>
    <row r="154" spans="1:28" x14ac:dyDescent="0.35">
      <c r="A154" s="595">
        <f t="shared" si="42"/>
        <v>1</v>
      </c>
      <c r="B154" s="596">
        <f t="shared" si="51"/>
        <v>148</v>
      </c>
      <c r="C154" s="597">
        <f ca="1">IF(B154="","",'Fecha Pago'!K151)</f>
        <v>50651</v>
      </c>
      <c r="D154" s="598">
        <f t="shared" si="52"/>
        <v>30.4</v>
      </c>
      <c r="E154" s="599">
        <f>IF(B154="","",'Tabla de Incrementos'!$C$4)</f>
        <v>0.11</v>
      </c>
      <c r="F154" s="600">
        <f t="shared" si="43"/>
        <v>800341.05770712148</v>
      </c>
      <c r="G154" s="600">
        <f t="shared" si="53"/>
        <v>4443.8083968187584</v>
      </c>
      <c r="H154" s="600">
        <f t="shared" si="44"/>
        <v>7434.2791582572609</v>
      </c>
      <c r="I154" s="600">
        <f>IF(B154="","",IF(F154=0,0,($C$2/1000)*'Tabla de Incrementos'!$J$13))</f>
        <v>11878.087555076019</v>
      </c>
      <c r="J154" s="600">
        <f t="shared" si="54"/>
        <v>0</v>
      </c>
      <c r="K154" s="600">
        <f t="shared" si="55"/>
        <v>0</v>
      </c>
      <c r="L154" s="600">
        <f t="shared" si="45"/>
        <v>299</v>
      </c>
      <c r="M154" s="600">
        <f>IF(B154="","",IF(A154=0,0,AportPat!L151))</f>
        <v>0</v>
      </c>
      <c r="N154" s="601">
        <f>Simulador!N214</f>
        <v>0</v>
      </c>
      <c r="O154" s="608">
        <v>0</v>
      </c>
      <c r="P154" s="600">
        <f t="shared" si="56"/>
        <v>12177.087555076019</v>
      </c>
      <c r="Q154" s="600">
        <f t="shared" si="39"/>
        <v>795897.24931030266</v>
      </c>
      <c r="S154" s="120">
        <v>0.11</v>
      </c>
      <c r="T154" s="198">
        <f t="shared" si="40"/>
        <v>148</v>
      </c>
      <c r="U154" s="347">
        <f t="shared" si="57"/>
        <v>800341.05770712148</v>
      </c>
      <c r="V154" s="347">
        <f t="shared" si="46"/>
        <v>4443.8083968187584</v>
      </c>
      <c r="W154" s="347">
        <f t="shared" si="47"/>
        <v>7434.2791582572609</v>
      </c>
      <c r="X154" s="600">
        <f>IF(T154="","",IF(U154=0,0,($C$2/1000)*'Tabla de Incrementos'!$J$13))</f>
        <v>11878.087555076019</v>
      </c>
      <c r="Y154" s="600">
        <f t="shared" si="41"/>
        <v>0</v>
      </c>
      <c r="Z154" s="600">
        <f t="shared" si="48"/>
        <v>0</v>
      </c>
      <c r="AA154" s="557">
        <f t="shared" si="49"/>
        <v>299</v>
      </c>
      <c r="AB154" s="557">
        <f t="shared" si="50"/>
        <v>12177.087555076019</v>
      </c>
    </row>
    <row r="155" spans="1:28" x14ac:dyDescent="0.35">
      <c r="A155" s="595">
        <f t="shared" si="42"/>
        <v>1</v>
      </c>
      <c r="B155" s="596">
        <f t="shared" si="51"/>
        <v>149</v>
      </c>
      <c r="C155" s="597">
        <f ca="1">IF(B155="","",'Fecha Pago'!K152)</f>
        <v>50681</v>
      </c>
      <c r="D155" s="598">
        <f t="shared" si="52"/>
        <v>30.4</v>
      </c>
      <c r="E155" s="599">
        <f>IF(B155="","",'Tabla de Incrementos'!$C$4)</f>
        <v>0.11</v>
      </c>
      <c r="F155" s="600">
        <f t="shared" si="43"/>
        <v>795897.24931030266</v>
      </c>
      <c r="G155" s="600">
        <f t="shared" si="53"/>
        <v>4485.0864392603198</v>
      </c>
      <c r="H155" s="600">
        <f t="shared" si="44"/>
        <v>7393.0011158156994</v>
      </c>
      <c r="I155" s="600">
        <f>IF(B155="","",IF(F155=0,0,($C$2/1000)*'Tabla de Incrementos'!$J$13))</f>
        <v>11878.087555076019</v>
      </c>
      <c r="J155" s="600">
        <f t="shared" si="54"/>
        <v>0</v>
      </c>
      <c r="K155" s="600">
        <f t="shared" si="55"/>
        <v>0</v>
      </c>
      <c r="L155" s="600">
        <f t="shared" si="45"/>
        <v>299</v>
      </c>
      <c r="M155" s="600">
        <f>IF(B155="","",IF(A155=0,0,AportPat!L152))</f>
        <v>0</v>
      </c>
      <c r="N155" s="601">
        <f>Simulador!N215</f>
        <v>0</v>
      </c>
      <c r="O155" s="608">
        <v>0</v>
      </c>
      <c r="P155" s="600">
        <f t="shared" si="56"/>
        <v>12177.087555076019</v>
      </c>
      <c r="Q155" s="600">
        <f t="shared" si="39"/>
        <v>791412.16287104238</v>
      </c>
      <c r="S155" s="120">
        <v>0.11</v>
      </c>
      <c r="T155" s="198">
        <f t="shared" si="40"/>
        <v>149</v>
      </c>
      <c r="U155" s="347">
        <f t="shared" si="57"/>
        <v>795897.24931030266</v>
      </c>
      <c r="V155" s="347">
        <f t="shared" si="46"/>
        <v>4485.0864392603198</v>
      </c>
      <c r="W155" s="347">
        <f t="shared" si="47"/>
        <v>7393.0011158156994</v>
      </c>
      <c r="X155" s="600">
        <f>IF(T155="","",IF(U155=0,0,($C$2/1000)*'Tabla de Incrementos'!$J$13))</f>
        <v>11878.087555076019</v>
      </c>
      <c r="Y155" s="600">
        <f t="shared" si="41"/>
        <v>0</v>
      </c>
      <c r="Z155" s="600">
        <f t="shared" si="48"/>
        <v>0</v>
      </c>
      <c r="AA155" s="557">
        <f t="shared" si="49"/>
        <v>299</v>
      </c>
      <c r="AB155" s="557">
        <f t="shared" si="50"/>
        <v>12177.087555076019</v>
      </c>
    </row>
    <row r="156" spans="1:28" x14ac:dyDescent="0.35">
      <c r="A156" s="595">
        <f t="shared" si="42"/>
        <v>1</v>
      </c>
      <c r="B156" s="596">
        <f t="shared" si="51"/>
        <v>150</v>
      </c>
      <c r="C156" s="597">
        <f ca="1">IF(B156="","",'Fecha Pago'!K153)</f>
        <v>50712</v>
      </c>
      <c r="D156" s="598">
        <f t="shared" si="52"/>
        <v>30.4</v>
      </c>
      <c r="E156" s="599">
        <f>IF(B156="","",'Tabla de Incrementos'!$C$4)</f>
        <v>0.11</v>
      </c>
      <c r="F156" s="600">
        <f t="shared" si="43"/>
        <v>791412.16287104238</v>
      </c>
      <c r="G156" s="600">
        <f t="shared" si="53"/>
        <v>4526.7479088516702</v>
      </c>
      <c r="H156" s="600">
        <f t="shared" si="44"/>
        <v>7351.3396462243491</v>
      </c>
      <c r="I156" s="600">
        <f>IF(B156="","",IF(F156=0,0,($C$2/1000)*'Tabla de Incrementos'!$J$13))</f>
        <v>11878.087555076019</v>
      </c>
      <c r="J156" s="600">
        <f t="shared" si="54"/>
        <v>0</v>
      </c>
      <c r="K156" s="600">
        <f t="shared" si="55"/>
        <v>0</v>
      </c>
      <c r="L156" s="600">
        <f t="shared" si="45"/>
        <v>299</v>
      </c>
      <c r="M156" s="600">
        <f>IF(B156="","",IF(A156=0,0,AportPat!L153))</f>
        <v>0</v>
      </c>
      <c r="N156" s="601">
        <f>Simulador!N216</f>
        <v>0</v>
      </c>
      <c r="O156" s="608">
        <v>0</v>
      </c>
      <c r="P156" s="600">
        <f t="shared" si="56"/>
        <v>12177.087555076019</v>
      </c>
      <c r="Q156" s="600">
        <f t="shared" si="39"/>
        <v>786885.41496219067</v>
      </c>
      <c r="S156" s="120">
        <v>0.11</v>
      </c>
      <c r="T156" s="198">
        <f t="shared" si="40"/>
        <v>150</v>
      </c>
      <c r="U156" s="347">
        <f t="shared" si="57"/>
        <v>791412.16287104238</v>
      </c>
      <c r="V156" s="347">
        <f t="shared" si="46"/>
        <v>4526.7479088516702</v>
      </c>
      <c r="W156" s="347">
        <f t="shared" si="47"/>
        <v>7351.3396462243491</v>
      </c>
      <c r="X156" s="600">
        <f>IF(T156="","",IF(U156=0,0,($C$2/1000)*'Tabla de Incrementos'!$J$13))</f>
        <v>11878.087555076019</v>
      </c>
      <c r="Y156" s="600">
        <f t="shared" si="41"/>
        <v>0</v>
      </c>
      <c r="Z156" s="600">
        <f t="shared" si="48"/>
        <v>0</v>
      </c>
      <c r="AA156" s="557">
        <f t="shared" si="49"/>
        <v>299</v>
      </c>
      <c r="AB156" s="557">
        <f t="shared" si="50"/>
        <v>12177.087555076019</v>
      </c>
    </row>
    <row r="157" spans="1:28" x14ac:dyDescent="0.35">
      <c r="A157" s="595">
        <f t="shared" si="42"/>
        <v>1</v>
      </c>
      <c r="B157" s="596">
        <f t="shared" si="51"/>
        <v>151</v>
      </c>
      <c r="C157" s="597">
        <f ca="1">IF(B157="","",'Fecha Pago'!K154)</f>
        <v>50742</v>
      </c>
      <c r="D157" s="598">
        <f t="shared" si="52"/>
        <v>30.4</v>
      </c>
      <c r="E157" s="599">
        <f>IF(B157="","",'Tabla de Incrementos'!$C$4)</f>
        <v>0.11</v>
      </c>
      <c r="F157" s="600">
        <f t="shared" si="43"/>
        <v>786885.41496219067</v>
      </c>
      <c r="G157" s="600">
        <f t="shared" si="53"/>
        <v>4568.7963672050046</v>
      </c>
      <c r="H157" s="600">
        <f t="shared" si="44"/>
        <v>7309.2911878710147</v>
      </c>
      <c r="I157" s="600">
        <f>IF(B157="","",IF(F157=0,0,($C$2/1000)*'Tabla de Incrementos'!$J$13))</f>
        <v>11878.087555076019</v>
      </c>
      <c r="J157" s="600">
        <f t="shared" si="54"/>
        <v>0</v>
      </c>
      <c r="K157" s="600">
        <f t="shared" si="55"/>
        <v>0</v>
      </c>
      <c r="L157" s="600">
        <f t="shared" si="45"/>
        <v>299</v>
      </c>
      <c r="M157" s="600">
        <f>IF(B157="","",IF(A157=0,0,AportPat!L154))</f>
        <v>0</v>
      </c>
      <c r="N157" s="601">
        <f>Simulador!N217</f>
        <v>0</v>
      </c>
      <c r="O157" s="608">
        <v>0</v>
      </c>
      <c r="P157" s="600">
        <f t="shared" si="56"/>
        <v>12177.087555076019</v>
      </c>
      <c r="Q157" s="600">
        <f t="shared" si="39"/>
        <v>782316.61859498569</v>
      </c>
      <c r="S157" s="120">
        <v>0.11</v>
      </c>
      <c r="T157" s="198">
        <f t="shared" si="40"/>
        <v>151</v>
      </c>
      <c r="U157" s="347">
        <f t="shared" si="57"/>
        <v>786885.41496219067</v>
      </c>
      <c r="V157" s="347">
        <f t="shared" si="46"/>
        <v>4568.7963672050046</v>
      </c>
      <c r="W157" s="347">
        <f t="shared" si="47"/>
        <v>7309.2911878710147</v>
      </c>
      <c r="X157" s="600">
        <f>IF(T157="","",IF(U157=0,0,($C$2/1000)*'Tabla de Incrementos'!$J$13))</f>
        <v>11878.087555076019</v>
      </c>
      <c r="Y157" s="600">
        <f t="shared" si="41"/>
        <v>0</v>
      </c>
      <c r="Z157" s="600">
        <f t="shared" si="48"/>
        <v>0</v>
      </c>
      <c r="AA157" s="557">
        <f t="shared" si="49"/>
        <v>299</v>
      </c>
      <c r="AB157" s="557">
        <f t="shared" si="50"/>
        <v>12177.087555076019</v>
      </c>
    </row>
    <row r="158" spans="1:28" x14ac:dyDescent="0.35">
      <c r="A158" s="595">
        <f t="shared" si="42"/>
        <v>1</v>
      </c>
      <c r="B158" s="596">
        <f t="shared" si="51"/>
        <v>152</v>
      </c>
      <c r="C158" s="597">
        <f ca="1">IF(B158="","",'Fecha Pago'!K155)</f>
        <v>50773</v>
      </c>
      <c r="D158" s="598">
        <f t="shared" si="52"/>
        <v>30.4</v>
      </c>
      <c r="E158" s="599">
        <f>IF(B158="","",'Tabla de Incrementos'!$C$4)</f>
        <v>0.11</v>
      </c>
      <c r="F158" s="600">
        <f t="shared" si="43"/>
        <v>782316.61859498569</v>
      </c>
      <c r="G158" s="600">
        <f t="shared" si="53"/>
        <v>4611.2354090159306</v>
      </c>
      <c r="H158" s="600">
        <f t="shared" si="44"/>
        <v>7266.8521460600887</v>
      </c>
      <c r="I158" s="600">
        <f>IF(B158="","",IF(F158=0,0,($C$2/1000)*'Tabla de Incrementos'!$J$13))</f>
        <v>11878.087555076019</v>
      </c>
      <c r="J158" s="600">
        <f t="shared" si="54"/>
        <v>0</v>
      </c>
      <c r="K158" s="600">
        <f t="shared" si="55"/>
        <v>0</v>
      </c>
      <c r="L158" s="600">
        <f t="shared" si="45"/>
        <v>299</v>
      </c>
      <c r="M158" s="600">
        <f>IF(B158="","",IF(A158=0,0,AportPat!L155))</f>
        <v>0</v>
      </c>
      <c r="N158" s="601">
        <f>Simulador!N218</f>
        <v>0</v>
      </c>
      <c r="O158" s="608">
        <v>0</v>
      </c>
      <c r="P158" s="600">
        <f t="shared" si="56"/>
        <v>12177.087555076019</v>
      </c>
      <c r="Q158" s="600">
        <f t="shared" si="39"/>
        <v>777705.38318596978</v>
      </c>
      <c r="S158" s="120">
        <v>0.11</v>
      </c>
      <c r="T158" s="198">
        <f t="shared" si="40"/>
        <v>152</v>
      </c>
      <c r="U158" s="347">
        <f t="shared" si="57"/>
        <v>782316.61859498569</v>
      </c>
      <c r="V158" s="347">
        <f t="shared" si="46"/>
        <v>4611.2354090159306</v>
      </c>
      <c r="W158" s="347">
        <f t="shared" si="47"/>
        <v>7266.8521460600887</v>
      </c>
      <c r="X158" s="600">
        <f>IF(T158="","",IF(U158=0,0,($C$2/1000)*'Tabla de Incrementos'!$J$13))</f>
        <v>11878.087555076019</v>
      </c>
      <c r="Y158" s="600">
        <f t="shared" si="41"/>
        <v>0</v>
      </c>
      <c r="Z158" s="600">
        <f t="shared" si="48"/>
        <v>0</v>
      </c>
      <c r="AA158" s="557">
        <f t="shared" si="49"/>
        <v>299</v>
      </c>
      <c r="AB158" s="557">
        <f t="shared" si="50"/>
        <v>12177.087555076019</v>
      </c>
    </row>
    <row r="159" spans="1:28" x14ac:dyDescent="0.35">
      <c r="A159" s="595">
        <f t="shared" si="42"/>
        <v>1</v>
      </c>
      <c r="B159" s="596">
        <f t="shared" si="51"/>
        <v>153</v>
      </c>
      <c r="C159" s="597">
        <f ca="1">IF(B159="","",'Fecha Pago'!K156)</f>
        <v>50804</v>
      </c>
      <c r="D159" s="598">
        <f t="shared" si="52"/>
        <v>30.4</v>
      </c>
      <c r="E159" s="599">
        <f>IF(B159="","",'Tabla de Incrementos'!$C$4)</f>
        <v>0.11</v>
      </c>
      <c r="F159" s="600">
        <f t="shared" si="43"/>
        <v>777705.38318596978</v>
      </c>
      <c r="G159" s="600">
        <f t="shared" si="53"/>
        <v>4654.0686623707898</v>
      </c>
      <c r="H159" s="600">
        <f t="shared" si="44"/>
        <v>7224.0188927052295</v>
      </c>
      <c r="I159" s="600">
        <f>IF(B159="","",IF(F159=0,0,($C$2/1000)*'Tabla de Incrementos'!$J$13))</f>
        <v>11878.087555076019</v>
      </c>
      <c r="J159" s="600">
        <f t="shared" si="54"/>
        <v>0</v>
      </c>
      <c r="K159" s="600">
        <f t="shared" si="55"/>
        <v>0</v>
      </c>
      <c r="L159" s="600">
        <f t="shared" si="45"/>
        <v>299</v>
      </c>
      <c r="M159" s="600">
        <f>IF(B159="","",IF(A159=0,0,AportPat!L156))</f>
        <v>0</v>
      </c>
      <c r="N159" s="601">
        <f>Simulador!N219</f>
        <v>0</v>
      </c>
      <c r="O159" s="608">
        <v>0</v>
      </c>
      <c r="P159" s="600">
        <f t="shared" si="56"/>
        <v>12177.087555076019</v>
      </c>
      <c r="Q159" s="600">
        <f t="shared" si="39"/>
        <v>773051.31452359899</v>
      </c>
      <c r="S159" s="120">
        <v>0.11</v>
      </c>
      <c r="T159" s="198">
        <f t="shared" si="40"/>
        <v>153</v>
      </c>
      <c r="U159" s="347">
        <f t="shared" si="57"/>
        <v>777705.38318596978</v>
      </c>
      <c r="V159" s="347">
        <f t="shared" si="46"/>
        <v>4654.0686623707898</v>
      </c>
      <c r="W159" s="347">
        <f t="shared" si="47"/>
        <v>7224.0188927052295</v>
      </c>
      <c r="X159" s="600">
        <f>IF(T159="","",IF(U159=0,0,($C$2/1000)*'Tabla de Incrementos'!$J$13))</f>
        <v>11878.087555076019</v>
      </c>
      <c r="Y159" s="600">
        <f t="shared" si="41"/>
        <v>0</v>
      </c>
      <c r="Z159" s="600">
        <f t="shared" si="48"/>
        <v>0</v>
      </c>
      <c r="AA159" s="557">
        <f t="shared" si="49"/>
        <v>299</v>
      </c>
      <c r="AB159" s="557">
        <f t="shared" si="50"/>
        <v>12177.087555076019</v>
      </c>
    </row>
    <row r="160" spans="1:28" x14ac:dyDescent="0.35">
      <c r="A160" s="595">
        <f t="shared" si="42"/>
        <v>1</v>
      </c>
      <c r="B160" s="596">
        <f t="shared" si="51"/>
        <v>154</v>
      </c>
      <c r="C160" s="597">
        <f ca="1">IF(B160="","",'Fecha Pago'!K157)</f>
        <v>50832</v>
      </c>
      <c r="D160" s="598">
        <f t="shared" si="52"/>
        <v>30.4</v>
      </c>
      <c r="E160" s="599">
        <f>IF(B160="","",'Tabla de Incrementos'!$C$4)</f>
        <v>0.11</v>
      </c>
      <c r="F160" s="600">
        <f t="shared" si="43"/>
        <v>773051.31452359899</v>
      </c>
      <c r="G160" s="600">
        <f t="shared" si="53"/>
        <v>4697.2997890568113</v>
      </c>
      <c r="H160" s="600">
        <f t="shared" si="44"/>
        <v>7180.787766019208</v>
      </c>
      <c r="I160" s="600">
        <f>IF(B160="","",IF(F160=0,0,($C$2/1000)*'Tabla de Incrementos'!$J$13))</f>
        <v>11878.087555076019</v>
      </c>
      <c r="J160" s="600">
        <f t="shared" si="54"/>
        <v>0</v>
      </c>
      <c r="K160" s="600">
        <f t="shared" si="55"/>
        <v>0</v>
      </c>
      <c r="L160" s="600">
        <f t="shared" si="45"/>
        <v>299</v>
      </c>
      <c r="M160" s="600">
        <f>IF(B160="","",IF(A160=0,0,AportPat!L157))</f>
        <v>0</v>
      </c>
      <c r="N160" s="601">
        <f>Simulador!N220</f>
        <v>0</v>
      </c>
      <c r="O160" s="608">
        <v>0</v>
      </c>
      <c r="P160" s="600">
        <f t="shared" si="56"/>
        <v>12177.087555076019</v>
      </c>
      <c r="Q160" s="600">
        <f t="shared" si="39"/>
        <v>768354.01473454223</v>
      </c>
      <c r="S160" s="120">
        <v>0.11</v>
      </c>
      <c r="T160" s="198">
        <f t="shared" si="40"/>
        <v>154</v>
      </c>
      <c r="U160" s="347">
        <f t="shared" si="57"/>
        <v>773051.31452359899</v>
      </c>
      <c r="V160" s="347">
        <f t="shared" si="46"/>
        <v>4697.2997890568113</v>
      </c>
      <c r="W160" s="347">
        <f t="shared" si="47"/>
        <v>7180.787766019208</v>
      </c>
      <c r="X160" s="600">
        <f>IF(T160="","",IF(U160=0,0,($C$2/1000)*'Tabla de Incrementos'!$J$13))</f>
        <v>11878.087555076019</v>
      </c>
      <c r="Y160" s="600">
        <f t="shared" si="41"/>
        <v>0</v>
      </c>
      <c r="Z160" s="600">
        <f t="shared" si="48"/>
        <v>0</v>
      </c>
      <c r="AA160" s="557">
        <f t="shared" si="49"/>
        <v>299</v>
      </c>
      <c r="AB160" s="557">
        <f t="shared" si="50"/>
        <v>12177.087555076019</v>
      </c>
    </row>
    <row r="161" spans="1:28" x14ac:dyDescent="0.35">
      <c r="A161" s="595">
        <f t="shared" si="42"/>
        <v>1</v>
      </c>
      <c r="B161" s="596">
        <f t="shared" si="51"/>
        <v>155</v>
      </c>
      <c r="C161" s="597">
        <f ca="1">IF(B161="","",'Fecha Pago'!K158)</f>
        <v>50863</v>
      </c>
      <c r="D161" s="598">
        <f t="shared" si="52"/>
        <v>30.4</v>
      </c>
      <c r="E161" s="599">
        <f>IF(B161="","",'Tabla de Incrementos'!$C$4)</f>
        <v>0.11</v>
      </c>
      <c r="F161" s="600">
        <f t="shared" si="43"/>
        <v>768354.01473454223</v>
      </c>
      <c r="G161" s="600">
        <f t="shared" si="53"/>
        <v>4740.9324848751612</v>
      </c>
      <c r="H161" s="600">
        <f t="shared" si="44"/>
        <v>7137.1550702008581</v>
      </c>
      <c r="I161" s="600">
        <f>IF(B161="","",IF(F161=0,0,($C$2/1000)*'Tabla de Incrementos'!$J$13))</f>
        <v>11878.087555076019</v>
      </c>
      <c r="J161" s="600">
        <f t="shared" si="54"/>
        <v>0</v>
      </c>
      <c r="K161" s="600">
        <f t="shared" si="55"/>
        <v>0</v>
      </c>
      <c r="L161" s="600">
        <f t="shared" si="45"/>
        <v>299</v>
      </c>
      <c r="M161" s="600">
        <f>IF(B161="","",IF(A161=0,0,AportPat!L158))</f>
        <v>0</v>
      </c>
      <c r="N161" s="601">
        <f>Simulador!N221</f>
        <v>0</v>
      </c>
      <c r="O161" s="608">
        <v>0</v>
      </c>
      <c r="P161" s="600">
        <f t="shared" si="56"/>
        <v>12177.087555076019</v>
      </c>
      <c r="Q161" s="600">
        <f t="shared" si="39"/>
        <v>763613.08224966703</v>
      </c>
      <c r="S161" s="120">
        <v>0.11</v>
      </c>
      <c r="T161" s="198">
        <f t="shared" si="40"/>
        <v>155</v>
      </c>
      <c r="U161" s="347">
        <f t="shared" si="57"/>
        <v>768354.01473454223</v>
      </c>
      <c r="V161" s="347">
        <f t="shared" si="46"/>
        <v>4740.9324848751612</v>
      </c>
      <c r="W161" s="347">
        <f t="shared" si="47"/>
        <v>7137.1550702008581</v>
      </c>
      <c r="X161" s="600">
        <f>IF(T161="","",IF(U161=0,0,($C$2/1000)*'Tabla de Incrementos'!$J$13))</f>
        <v>11878.087555076019</v>
      </c>
      <c r="Y161" s="600">
        <f t="shared" si="41"/>
        <v>0</v>
      </c>
      <c r="Z161" s="600">
        <f t="shared" si="48"/>
        <v>0</v>
      </c>
      <c r="AA161" s="557">
        <f t="shared" si="49"/>
        <v>299</v>
      </c>
      <c r="AB161" s="557">
        <f t="shared" si="50"/>
        <v>12177.087555076019</v>
      </c>
    </row>
    <row r="162" spans="1:28" x14ac:dyDescent="0.35">
      <c r="A162" s="595">
        <f t="shared" si="42"/>
        <v>1</v>
      </c>
      <c r="B162" s="596">
        <f t="shared" si="51"/>
        <v>156</v>
      </c>
      <c r="C162" s="597">
        <f ca="1">IF(B162="","",'Fecha Pago'!K159)</f>
        <v>50893</v>
      </c>
      <c r="D162" s="598">
        <f t="shared" si="52"/>
        <v>30.4</v>
      </c>
      <c r="E162" s="599">
        <f>IF(B162="","",'Tabla de Incrementos'!$C$4)</f>
        <v>0.11</v>
      </c>
      <c r="F162" s="600">
        <f t="shared" si="43"/>
        <v>763613.08224966703</v>
      </c>
      <c r="G162" s="600">
        <f t="shared" si="53"/>
        <v>4784.9704799568908</v>
      </c>
      <c r="H162" s="600">
        <f t="shared" si="44"/>
        <v>7093.1170751191285</v>
      </c>
      <c r="I162" s="600">
        <f>IF(B162="","",IF(F162=0,0,($C$2/1000)*'Tabla de Incrementos'!$J$13))</f>
        <v>11878.087555076019</v>
      </c>
      <c r="J162" s="600">
        <f t="shared" si="54"/>
        <v>0</v>
      </c>
      <c r="K162" s="600">
        <f t="shared" si="55"/>
        <v>0</v>
      </c>
      <c r="L162" s="600">
        <f t="shared" si="45"/>
        <v>299</v>
      </c>
      <c r="M162" s="600">
        <f>IF(B162="","",IF(A162=0,0,AportPat!L159))</f>
        <v>0</v>
      </c>
      <c r="N162" s="601">
        <f>Simulador!N222</f>
        <v>0</v>
      </c>
      <c r="O162" s="608">
        <v>0</v>
      </c>
      <c r="P162" s="600">
        <f t="shared" si="56"/>
        <v>12177.087555076019</v>
      </c>
      <c r="Q162" s="600">
        <f t="shared" si="39"/>
        <v>758828.11176971009</v>
      </c>
      <c r="S162" s="120">
        <v>0.11</v>
      </c>
      <c r="T162" s="198">
        <f t="shared" si="40"/>
        <v>156</v>
      </c>
      <c r="U162" s="347">
        <f t="shared" si="57"/>
        <v>763613.08224966703</v>
      </c>
      <c r="V162" s="347">
        <f t="shared" si="46"/>
        <v>4784.9704799568908</v>
      </c>
      <c r="W162" s="347">
        <f t="shared" si="47"/>
        <v>7093.1170751191285</v>
      </c>
      <c r="X162" s="600">
        <f>IF(T162="","",IF(U162=0,0,($C$2/1000)*'Tabla de Incrementos'!$J$13))</f>
        <v>11878.087555076019</v>
      </c>
      <c r="Y162" s="600">
        <f t="shared" si="41"/>
        <v>0</v>
      </c>
      <c r="Z162" s="600">
        <f t="shared" si="48"/>
        <v>0</v>
      </c>
      <c r="AA162" s="557">
        <f t="shared" si="49"/>
        <v>299</v>
      </c>
      <c r="AB162" s="557">
        <f t="shared" si="50"/>
        <v>12177.087555076019</v>
      </c>
    </row>
    <row r="163" spans="1:28" x14ac:dyDescent="0.35">
      <c r="A163" s="595">
        <f t="shared" si="42"/>
        <v>1</v>
      </c>
      <c r="B163" s="596">
        <f t="shared" si="51"/>
        <v>157</v>
      </c>
      <c r="C163" s="597">
        <f ca="1">IF(B163="","",'Fecha Pago'!K160)</f>
        <v>50924</v>
      </c>
      <c r="D163" s="598">
        <f t="shared" si="52"/>
        <v>30.4</v>
      </c>
      <c r="E163" s="599">
        <f>IF(B163="","",'Tabla de Incrementos'!$C$4)</f>
        <v>0.11</v>
      </c>
      <c r="F163" s="600">
        <f t="shared" si="43"/>
        <v>758828.11176971009</v>
      </c>
      <c r="G163" s="600">
        <f t="shared" si="53"/>
        <v>4829.4175390818236</v>
      </c>
      <c r="H163" s="600">
        <f t="shared" si="44"/>
        <v>7048.6700159941956</v>
      </c>
      <c r="I163" s="600">
        <f>IF(B163="","",IF(F163=0,0,($C$2/1000)*'Tabla de Incrementos'!$J$13))</f>
        <v>11878.087555076019</v>
      </c>
      <c r="J163" s="600">
        <f t="shared" si="54"/>
        <v>0</v>
      </c>
      <c r="K163" s="600">
        <f t="shared" si="55"/>
        <v>0</v>
      </c>
      <c r="L163" s="600">
        <f t="shared" si="45"/>
        <v>299</v>
      </c>
      <c r="M163" s="600">
        <f>IF(B163="","",IF(A163=0,0,AportPat!L160))</f>
        <v>0</v>
      </c>
      <c r="N163" s="601">
        <f>Simulador!N223</f>
        <v>0</v>
      </c>
      <c r="O163" s="608">
        <v>0</v>
      </c>
      <c r="P163" s="600">
        <f t="shared" si="56"/>
        <v>12177.087555076019</v>
      </c>
      <c r="Q163" s="600">
        <f t="shared" si="39"/>
        <v>753998.69423062832</v>
      </c>
      <c r="S163" s="120">
        <v>0.11</v>
      </c>
      <c r="T163" s="198">
        <f t="shared" si="40"/>
        <v>157</v>
      </c>
      <c r="U163" s="347">
        <f t="shared" si="57"/>
        <v>758828.11176971009</v>
      </c>
      <c r="V163" s="347">
        <f t="shared" si="46"/>
        <v>4829.4175390818236</v>
      </c>
      <c r="W163" s="347">
        <f t="shared" si="47"/>
        <v>7048.6700159941956</v>
      </c>
      <c r="X163" s="600">
        <f>IF(T163="","",IF(U163=0,0,($C$2/1000)*'Tabla de Incrementos'!$J$13))</f>
        <v>11878.087555076019</v>
      </c>
      <c r="Y163" s="600">
        <f t="shared" si="41"/>
        <v>0</v>
      </c>
      <c r="Z163" s="600">
        <f t="shared" si="48"/>
        <v>0</v>
      </c>
      <c r="AA163" s="557">
        <f t="shared" si="49"/>
        <v>299</v>
      </c>
      <c r="AB163" s="557">
        <f t="shared" si="50"/>
        <v>12177.087555076019</v>
      </c>
    </row>
    <row r="164" spans="1:28" x14ac:dyDescent="0.35">
      <c r="A164" s="595">
        <f t="shared" si="42"/>
        <v>1</v>
      </c>
      <c r="B164" s="604">
        <f t="shared" si="51"/>
        <v>158</v>
      </c>
      <c r="C164" s="597">
        <f ca="1">IF(B164="","",'Fecha Pago'!K161)</f>
        <v>50954</v>
      </c>
      <c r="D164" s="605">
        <f t="shared" si="52"/>
        <v>30.4</v>
      </c>
      <c r="E164" s="606">
        <f>IF(B164="","",'Tabla de Incrementos'!$C$4)</f>
        <v>0.11</v>
      </c>
      <c r="F164" s="607">
        <f t="shared" si="43"/>
        <v>753998.69423062832</v>
      </c>
      <c r="G164" s="607">
        <f t="shared" si="53"/>
        <v>5210.6531467064451</v>
      </c>
      <c r="H164" s="607">
        <f t="shared" si="44"/>
        <v>7003.8100930756136</v>
      </c>
      <c r="I164" s="607">
        <f>IF(B164="","",IF(F164=0,0,($C$2/1000)*'Tabla de Incrementos'!$J$14))</f>
        <v>12214.463239782059</v>
      </c>
      <c r="J164" s="607">
        <f t="shared" si="54"/>
        <v>0</v>
      </c>
      <c r="K164" s="607">
        <f t="shared" si="55"/>
        <v>0</v>
      </c>
      <c r="L164" s="607">
        <f t="shared" si="45"/>
        <v>299</v>
      </c>
      <c r="M164" s="607">
        <f>IF(B164="","",IF(A164=0,0,AportPat!L161))</f>
        <v>0</v>
      </c>
      <c r="N164" s="601">
        <f>Simulador!N224</f>
        <v>0</v>
      </c>
      <c r="O164" s="608">
        <v>0</v>
      </c>
      <c r="P164" s="607">
        <f t="shared" si="56"/>
        <v>12513.463239782059</v>
      </c>
      <c r="Q164" s="607">
        <f t="shared" si="39"/>
        <v>748788.04108392191</v>
      </c>
      <c r="S164" s="120">
        <v>0.11</v>
      </c>
      <c r="T164" s="198">
        <f t="shared" si="40"/>
        <v>158</v>
      </c>
      <c r="U164" s="347">
        <f t="shared" si="57"/>
        <v>753998.69423062832</v>
      </c>
      <c r="V164" s="347">
        <f t="shared" si="46"/>
        <v>5210.6531467064451</v>
      </c>
      <c r="W164" s="347">
        <f t="shared" si="47"/>
        <v>7003.8100930756136</v>
      </c>
      <c r="X164" s="607">
        <f>IF(T164="","",IF(U164=0,0,($C$2/1000)*'Tabla de Incrementos'!$J$14))</f>
        <v>12214.463239782059</v>
      </c>
      <c r="Y164" s="607">
        <f t="shared" si="41"/>
        <v>0</v>
      </c>
      <c r="Z164" s="607">
        <f t="shared" si="48"/>
        <v>0</v>
      </c>
      <c r="AA164" s="557">
        <f t="shared" si="49"/>
        <v>299</v>
      </c>
      <c r="AB164" s="557">
        <f t="shared" si="50"/>
        <v>12513.463239782059</v>
      </c>
    </row>
    <row r="165" spans="1:28" x14ac:dyDescent="0.35">
      <c r="A165" s="595">
        <f t="shared" si="42"/>
        <v>1</v>
      </c>
      <c r="B165" s="596">
        <f t="shared" si="51"/>
        <v>159</v>
      </c>
      <c r="C165" s="597">
        <f ca="1">IF(B165="","",'Fecha Pago'!K162)</f>
        <v>50985</v>
      </c>
      <c r="D165" s="598">
        <f t="shared" si="52"/>
        <v>30.4</v>
      </c>
      <c r="E165" s="599">
        <f>IF(B165="","",'Tabla de Incrementos'!$C$4)</f>
        <v>0.11</v>
      </c>
      <c r="F165" s="600">
        <f t="shared" si="43"/>
        <v>748788.04108392191</v>
      </c>
      <c r="G165" s="600">
        <f t="shared" si="53"/>
        <v>5259.0543248247404</v>
      </c>
      <c r="H165" s="600">
        <f t="shared" si="44"/>
        <v>6955.4089149573183</v>
      </c>
      <c r="I165" s="600">
        <f>IF(B165="","",IF(F165=0,0,($C$2/1000)*'Tabla de Incrementos'!$J$14))</f>
        <v>12214.463239782059</v>
      </c>
      <c r="J165" s="600">
        <f t="shared" si="54"/>
        <v>0</v>
      </c>
      <c r="K165" s="600">
        <f t="shared" si="55"/>
        <v>0</v>
      </c>
      <c r="L165" s="600">
        <f t="shared" si="45"/>
        <v>299</v>
      </c>
      <c r="M165" s="600">
        <f>IF(B165="","",IF(A165=0,0,AportPat!L162))</f>
        <v>0</v>
      </c>
      <c r="N165" s="601">
        <f>Simulador!N225</f>
        <v>0</v>
      </c>
      <c r="O165" s="608">
        <v>0</v>
      </c>
      <c r="P165" s="600">
        <f t="shared" si="56"/>
        <v>12513.463239782059</v>
      </c>
      <c r="Q165" s="600">
        <f t="shared" si="39"/>
        <v>743528.9867590972</v>
      </c>
      <c r="S165" s="120">
        <v>0.11</v>
      </c>
      <c r="T165" s="198">
        <f t="shared" si="40"/>
        <v>159</v>
      </c>
      <c r="U165" s="347">
        <f t="shared" si="57"/>
        <v>748788.04108392191</v>
      </c>
      <c r="V165" s="347">
        <f t="shared" si="46"/>
        <v>5259.0543248247404</v>
      </c>
      <c r="W165" s="347">
        <f t="shared" si="47"/>
        <v>6955.4089149573183</v>
      </c>
      <c r="X165" s="600">
        <f>IF(T165="","",IF(U165=0,0,($C$2/1000)*'Tabla de Incrementos'!$J$14))</f>
        <v>12214.463239782059</v>
      </c>
      <c r="Y165" s="600">
        <f t="shared" si="41"/>
        <v>0</v>
      </c>
      <c r="Z165" s="600">
        <f t="shared" si="48"/>
        <v>0</v>
      </c>
      <c r="AA165" s="557">
        <f t="shared" si="49"/>
        <v>299</v>
      </c>
      <c r="AB165" s="557">
        <f t="shared" si="50"/>
        <v>12513.463239782059</v>
      </c>
    </row>
    <row r="166" spans="1:28" x14ac:dyDescent="0.35">
      <c r="A166" s="595">
        <f t="shared" si="42"/>
        <v>1</v>
      </c>
      <c r="B166" s="596">
        <f t="shared" si="51"/>
        <v>160</v>
      </c>
      <c r="C166" s="597">
        <f ca="1">IF(B166="","",'Fecha Pago'!K163)</f>
        <v>51016</v>
      </c>
      <c r="D166" s="598">
        <f t="shared" si="52"/>
        <v>30.4</v>
      </c>
      <c r="E166" s="599">
        <f>IF(B166="","",'Tabla de Incrementos'!$C$4)</f>
        <v>0.11</v>
      </c>
      <c r="F166" s="600">
        <f t="shared" si="43"/>
        <v>743528.9867590972</v>
      </c>
      <c r="G166" s="600">
        <f t="shared" si="53"/>
        <v>5307.9050961086677</v>
      </c>
      <c r="H166" s="600">
        <f t="shared" si="44"/>
        <v>6906.558143673391</v>
      </c>
      <c r="I166" s="600">
        <f>IF(B166="","",IF(F166=0,0,($C$2/1000)*'Tabla de Incrementos'!$J$14))</f>
        <v>12214.463239782059</v>
      </c>
      <c r="J166" s="600">
        <f t="shared" si="54"/>
        <v>0</v>
      </c>
      <c r="K166" s="600">
        <f t="shared" si="55"/>
        <v>0</v>
      </c>
      <c r="L166" s="600">
        <f t="shared" si="45"/>
        <v>299</v>
      </c>
      <c r="M166" s="600">
        <f>IF(B166="","",IF(A166=0,0,AportPat!L163))</f>
        <v>0</v>
      </c>
      <c r="N166" s="601">
        <f>Simulador!N226</f>
        <v>0</v>
      </c>
      <c r="O166" s="608">
        <v>0</v>
      </c>
      <c r="P166" s="600">
        <f t="shared" si="56"/>
        <v>12513.463239782059</v>
      </c>
      <c r="Q166" s="600">
        <f t="shared" si="39"/>
        <v>738221.08166298852</v>
      </c>
      <c r="S166" s="120">
        <v>0.11</v>
      </c>
      <c r="T166" s="198">
        <f t="shared" si="40"/>
        <v>160</v>
      </c>
      <c r="U166" s="347">
        <f t="shared" si="57"/>
        <v>743528.9867590972</v>
      </c>
      <c r="V166" s="347">
        <f t="shared" si="46"/>
        <v>5307.9050961086677</v>
      </c>
      <c r="W166" s="347">
        <f t="shared" si="47"/>
        <v>6906.558143673391</v>
      </c>
      <c r="X166" s="600">
        <f>IF(T166="","",IF(U166=0,0,($C$2/1000)*'Tabla de Incrementos'!$J$14))</f>
        <v>12214.463239782059</v>
      </c>
      <c r="Y166" s="600">
        <f t="shared" si="41"/>
        <v>0</v>
      </c>
      <c r="Z166" s="600">
        <f t="shared" si="48"/>
        <v>0</v>
      </c>
      <c r="AA166" s="557">
        <f t="shared" si="49"/>
        <v>299</v>
      </c>
      <c r="AB166" s="557">
        <f t="shared" si="50"/>
        <v>12513.463239782059</v>
      </c>
    </row>
    <row r="167" spans="1:28" x14ac:dyDescent="0.35">
      <c r="A167" s="595">
        <f t="shared" si="42"/>
        <v>1</v>
      </c>
      <c r="B167" s="596">
        <f t="shared" si="51"/>
        <v>161</v>
      </c>
      <c r="C167" s="597">
        <f ca="1">IF(B167="","",'Fecha Pago'!K164)</f>
        <v>51046</v>
      </c>
      <c r="D167" s="598">
        <f t="shared" si="52"/>
        <v>30.4</v>
      </c>
      <c r="E167" s="599">
        <f>IF(B167="","",'Tabla de Incrementos'!$C$4)</f>
        <v>0.11</v>
      </c>
      <c r="F167" s="600">
        <f t="shared" si="43"/>
        <v>738221.08166298852</v>
      </c>
      <c r="G167" s="600">
        <f t="shared" si="53"/>
        <v>5357.2096367791883</v>
      </c>
      <c r="H167" s="600">
        <f t="shared" si="44"/>
        <v>6857.2536030028705</v>
      </c>
      <c r="I167" s="600">
        <f>IF(B167="","",IF(F167=0,0,($C$2/1000)*'Tabla de Incrementos'!$J$14))</f>
        <v>12214.463239782059</v>
      </c>
      <c r="J167" s="600">
        <f t="shared" si="54"/>
        <v>0</v>
      </c>
      <c r="K167" s="600">
        <f t="shared" si="55"/>
        <v>0</v>
      </c>
      <c r="L167" s="600">
        <f t="shared" si="45"/>
        <v>299</v>
      </c>
      <c r="M167" s="600">
        <f>IF(B167="","",IF(A167=0,0,AportPat!L164))</f>
        <v>0</v>
      </c>
      <c r="N167" s="601">
        <f>Simulador!N227</f>
        <v>0</v>
      </c>
      <c r="O167" s="608">
        <v>0</v>
      </c>
      <c r="P167" s="600">
        <f t="shared" si="56"/>
        <v>12513.463239782059</v>
      </c>
      <c r="Q167" s="600">
        <f t="shared" si="39"/>
        <v>732863.87202620937</v>
      </c>
      <c r="S167" s="120">
        <v>0.11</v>
      </c>
      <c r="T167" s="198">
        <f t="shared" si="40"/>
        <v>161</v>
      </c>
      <c r="U167" s="347">
        <f t="shared" si="57"/>
        <v>738221.08166298852</v>
      </c>
      <c r="V167" s="347">
        <f t="shared" si="46"/>
        <v>5357.2096367791883</v>
      </c>
      <c r="W167" s="347">
        <f t="shared" si="47"/>
        <v>6857.2536030028705</v>
      </c>
      <c r="X167" s="600">
        <f>IF(T167="","",IF(U167=0,0,($C$2/1000)*'Tabla de Incrementos'!$J$14))</f>
        <v>12214.463239782059</v>
      </c>
      <c r="Y167" s="600">
        <f t="shared" si="41"/>
        <v>0</v>
      </c>
      <c r="Z167" s="600">
        <f t="shared" si="48"/>
        <v>0</v>
      </c>
      <c r="AA167" s="557">
        <f t="shared" si="49"/>
        <v>299</v>
      </c>
      <c r="AB167" s="557">
        <f t="shared" si="50"/>
        <v>12513.463239782059</v>
      </c>
    </row>
    <row r="168" spans="1:28" x14ac:dyDescent="0.35">
      <c r="A168" s="595">
        <f t="shared" si="42"/>
        <v>1</v>
      </c>
      <c r="B168" s="596">
        <f t="shared" si="51"/>
        <v>162</v>
      </c>
      <c r="C168" s="597">
        <f ca="1">IF(B168="","",'Fecha Pago'!K165)</f>
        <v>51077</v>
      </c>
      <c r="D168" s="598">
        <f t="shared" si="52"/>
        <v>30.4</v>
      </c>
      <c r="E168" s="599">
        <f>IF(B168="","",'Tabla de Incrementos'!$C$4)</f>
        <v>0.11</v>
      </c>
      <c r="F168" s="600">
        <f t="shared" si="43"/>
        <v>732863.87202620937</v>
      </c>
      <c r="G168" s="600">
        <f t="shared" si="53"/>
        <v>5406.9721618497142</v>
      </c>
      <c r="H168" s="600">
        <f t="shared" si="44"/>
        <v>6807.4910779323445</v>
      </c>
      <c r="I168" s="600">
        <f>IF(B168="","",IF(F168=0,0,($C$2/1000)*'Tabla de Incrementos'!$J$14))</f>
        <v>12214.463239782059</v>
      </c>
      <c r="J168" s="600">
        <f t="shared" si="54"/>
        <v>0</v>
      </c>
      <c r="K168" s="600">
        <f t="shared" si="55"/>
        <v>0</v>
      </c>
      <c r="L168" s="600">
        <f t="shared" si="45"/>
        <v>299</v>
      </c>
      <c r="M168" s="600">
        <f>IF(B168="","",IF(A168=0,0,AportPat!L165))</f>
        <v>0</v>
      </c>
      <c r="N168" s="601">
        <f>Simulador!N228</f>
        <v>0</v>
      </c>
      <c r="O168" s="608">
        <v>0</v>
      </c>
      <c r="P168" s="600">
        <f t="shared" si="56"/>
        <v>12513.463239782059</v>
      </c>
      <c r="Q168" s="600">
        <f t="shared" si="39"/>
        <v>727456.89986435964</v>
      </c>
      <c r="S168" s="120">
        <v>0.11</v>
      </c>
      <c r="T168" s="198">
        <f t="shared" si="40"/>
        <v>162</v>
      </c>
      <c r="U168" s="347">
        <f t="shared" si="57"/>
        <v>732863.87202620937</v>
      </c>
      <c r="V168" s="347">
        <f t="shared" si="46"/>
        <v>5406.9721618497142</v>
      </c>
      <c r="W168" s="347">
        <f t="shared" si="47"/>
        <v>6807.4910779323445</v>
      </c>
      <c r="X168" s="600">
        <f>IF(T168="","",IF(U168=0,0,($C$2/1000)*'Tabla de Incrementos'!$J$14))</f>
        <v>12214.463239782059</v>
      </c>
      <c r="Y168" s="600">
        <f t="shared" si="41"/>
        <v>0</v>
      </c>
      <c r="Z168" s="600">
        <f t="shared" si="48"/>
        <v>0</v>
      </c>
      <c r="AA168" s="557">
        <f t="shared" si="49"/>
        <v>299</v>
      </c>
      <c r="AB168" s="557">
        <f t="shared" si="50"/>
        <v>12513.463239782059</v>
      </c>
    </row>
    <row r="169" spans="1:28" x14ac:dyDescent="0.35">
      <c r="A169" s="595">
        <f t="shared" si="42"/>
        <v>1</v>
      </c>
      <c r="B169" s="596">
        <f t="shared" si="51"/>
        <v>163</v>
      </c>
      <c r="C169" s="597">
        <f ca="1">IF(B169="","",'Fecha Pago'!K166)</f>
        <v>51107</v>
      </c>
      <c r="D169" s="598">
        <f t="shared" si="52"/>
        <v>30.4</v>
      </c>
      <c r="E169" s="599">
        <f>IF(B169="","",'Tabla de Incrementos'!$C$4)</f>
        <v>0.11</v>
      </c>
      <c r="F169" s="600">
        <f t="shared" si="43"/>
        <v>727456.89986435964</v>
      </c>
      <c r="G169" s="600">
        <f t="shared" si="53"/>
        <v>5457.1969254864516</v>
      </c>
      <c r="H169" s="600">
        <f t="shared" si="44"/>
        <v>6757.2663142956071</v>
      </c>
      <c r="I169" s="600">
        <f>IF(B169="","",IF(F169=0,0,($C$2/1000)*'Tabla de Incrementos'!$J$14))</f>
        <v>12214.463239782059</v>
      </c>
      <c r="J169" s="600">
        <f t="shared" si="54"/>
        <v>0</v>
      </c>
      <c r="K169" s="600">
        <f t="shared" si="55"/>
        <v>0</v>
      </c>
      <c r="L169" s="600">
        <f t="shared" si="45"/>
        <v>299</v>
      </c>
      <c r="M169" s="600">
        <f>IF(B169="","",IF(A169=0,0,AportPat!L166))</f>
        <v>0</v>
      </c>
      <c r="N169" s="601">
        <f>Simulador!N229</f>
        <v>0</v>
      </c>
      <c r="O169" s="608">
        <v>0</v>
      </c>
      <c r="P169" s="600">
        <f t="shared" si="56"/>
        <v>12513.463239782059</v>
      </c>
      <c r="Q169" s="600">
        <f t="shared" si="39"/>
        <v>721999.7029388732</v>
      </c>
      <c r="S169" s="120">
        <v>0.11</v>
      </c>
      <c r="T169" s="198">
        <f t="shared" si="40"/>
        <v>163</v>
      </c>
      <c r="U169" s="347">
        <f t="shared" si="57"/>
        <v>727456.89986435964</v>
      </c>
      <c r="V169" s="347">
        <f t="shared" si="46"/>
        <v>5457.1969254864516</v>
      </c>
      <c r="W169" s="347">
        <f t="shared" si="47"/>
        <v>6757.2663142956071</v>
      </c>
      <c r="X169" s="600">
        <f>IF(T169="","",IF(U169=0,0,($C$2/1000)*'Tabla de Incrementos'!$J$14))</f>
        <v>12214.463239782059</v>
      </c>
      <c r="Y169" s="600">
        <f t="shared" si="41"/>
        <v>0</v>
      </c>
      <c r="Z169" s="600">
        <f t="shared" si="48"/>
        <v>0</v>
      </c>
      <c r="AA169" s="557">
        <f t="shared" si="49"/>
        <v>299</v>
      </c>
      <c r="AB169" s="557">
        <f t="shared" si="50"/>
        <v>12513.463239782059</v>
      </c>
    </row>
    <row r="170" spans="1:28" x14ac:dyDescent="0.35">
      <c r="A170" s="595">
        <f t="shared" si="42"/>
        <v>1</v>
      </c>
      <c r="B170" s="596">
        <f t="shared" si="51"/>
        <v>164</v>
      </c>
      <c r="C170" s="597">
        <f ca="1">IF(B170="","",'Fecha Pago'!K167)</f>
        <v>51138</v>
      </c>
      <c r="D170" s="598">
        <f t="shared" si="52"/>
        <v>30.4</v>
      </c>
      <c r="E170" s="599">
        <f>IF(B170="","",'Tabla de Incrementos'!$C$4)</f>
        <v>0.11</v>
      </c>
      <c r="F170" s="600">
        <f t="shared" si="43"/>
        <v>721999.7029388732</v>
      </c>
      <c r="G170" s="600">
        <f t="shared" si="53"/>
        <v>5507.8882213720817</v>
      </c>
      <c r="H170" s="600">
        <f t="shared" si="44"/>
        <v>6706.575018409977</v>
      </c>
      <c r="I170" s="600">
        <f>IF(B170="","",IF(F170=0,0,($C$2/1000)*'Tabla de Incrementos'!$J$14))</f>
        <v>12214.463239782059</v>
      </c>
      <c r="J170" s="600">
        <f t="shared" si="54"/>
        <v>0</v>
      </c>
      <c r="K170" s="600">
        <f t="shared" si="55"/>
        <v>0</v>
      </c>
      <c r="L170" s="600">
        <f t="shared" si="45"/>
        <v>299</v>
      </c>
      <c r="M170" s="600">
        <f>IF(B170="","",IF(A170=0,0,AportPat!L167))</f>
        <v>0</v>
      </c>
      <c r="N170" s="601">
        <f>Simulador!N230</f>
        <v>0</v>
      </c>
      <c r="O170" s="608">
        <v>0</v>
      </c>
      <c r="P170" s="600">
        <f t="shared" si="56"/>
        <v>12513.463239782059</v>
      </c>
      <c r="Q170" s="600">
        <f t="shared" si="39"/>
        <v>716491.81471750117</v>
      </c>
      <c r="S170" s="120">
        <v>0.11</v>
      </c>
      <c r="T170" s="198">
        <f t="shared" si="40"/>
        <v>164</v>
      </c>
      <c r="U170" s="347">
        <f t="shared" si="57"/>
        <v>721999.7029388732</v>
      </c>
      <c r="V170" s="347">
        <f t="shared" si="46"/>
        <v>5507.8882213720817</v>
      </c>
      <c r="W170" s="347">
        <f t="shared" si="47"/>
        <v>6706.575018409977</v>
      </c>
      <c r="X170" s="600">
        <f>IF(T170="","",IF(U170=0,0,($C$2/1000)*'Tabla de Incrementos'!$J$14))</f>
        <v>12214.463239782059</v>
      </c>
      <c r="Y170" s="600">
        <f t="shared" si="41"/>
        <v>0</v>
      </c>
      <c r="Z170" s="600">
        <f t="shared" si="48"/>
        <v>0</v>
      </c>
      <c r="AA170" s="557">
        <f t="shared" si="49"/>
        <v>299</v>
      </c>
      <c r="AB170" s="557">
        <f t="shared" si="50"/>
        <v>12513.463239782059</v>
      </c>
    </row>
    <row r="171" spans="1:28" x14ac:dyDescent="0.35">
      <c r="A171" s="595">
        <f t="shared" si="42"/>
        <v>1</v>
      </c>
      <c r="B171" s="596">
        <f t="shared" si="51"/>
        <v>165</v>
      </c>
      <c r="C171" s="597">
        <f ca="1">IF(B171="","",'Fecha Pago'!K168)</f>
        <v>51169</v>
      </c>
      <c r="D171" s="598">
        <f t="shared" si="52"/>
        <v>30.4</v>
      </c>
      <c r="E171" s="599">
        <f>IF(B171="","",'Tabla de Incrementos'!$C$4)</f>
        <v>0.11</v>
      </c>
      <c r="F171" s="600">
        <f t="shared" si="43"/>
        <v>716491.81471750117</v>
      </c>
      <c r="G171" s="600">
        <f t="shared" si="53"/>
        <v>5559.0503830728258</v>
      </c>
      <c r="H171" s="600">
        <f t="shared" si="44"/>
        <v>6655.412856709233</v>
      </c>
      <c r="I171" s="600">
        <f>IF(B171="","",IF(F171=0,0,($C$2/1000)*'Tabla de Incrementos'!$J$14))</f>
        <v>12214.463239782059</v>
      </c>
      <c r="J171" s="600">
        <f t="shared" si="54"/>
        <v>0</v>
      </c>
      <c r="K171" s="600">
        <f t="shared" si="55"/>
        <v>0</v>
      </c>
      <c r="L171" s="600">
        <f t="shared" si="45"/>
        <v>299</v>
      </c>
      <c r="M171" s="600">
        <f>IF(B171="","",IF(A171=0,0,AportPat!L168))</f>
        <v>0</v>
      </c>
      <c r="N171" s="601">
        <f>Simulador!N231</f>
        <v>0</v>
      </c>
      <c r="O171" s="608">
        <v>0</v>
      </c>
      <c r="P171" s="600">
        <f t="shared" si="56"/>
        <v>12513.463239782059</v>
      </c>
      <c r="Q171" s="600">
        <f t="shared" si="39"/>
        <v>710932.76433442836</v>
      </c>
      <c r="S171" s="120">
        <v>0.11</v>
      </c>
      <c r="T171" s="198">
        <f t="shared" si="40"/>
        <v>165</v>
      </c>
      <c r="U171" s="347">
        <f t="shared" si="57"/>
        <v>716491.81471750117</v>
      </c>
      <c r="V171" s="347">
        <f t="shared" si="46"/>
        <v>5559.0503830728258</v>
      </c>
      <c r="W171" s="347">
        <f t="shared" si="47"/>
        <v>6655.412856709233</v>
      </c>
      <c r="X171" s="600">
        <f>IF(T171="","",IF(U171=0,0,($C$2/1000)*'Tabla de Incrementos'!$J$14))</f>
        <v>12214.463239782059</v>
      </c>
      <c r="Y171" s="600">
        <f t="shared" si="41"/>
        <v>0</v>
      </c>
      <c r="Z171" s="600">
        <f t="shared" si="48"/>
        <v>0</v>
      </c>
      <c r="AA171" s="557">
        <f t="shared" si="49"/>
        <v>299</v>
      </c>
      <c r="AB171" s="557">
        <f t="shared" si="50"/>
        <v>12513.463239782059</v>
      </c>
    </row>
    <row r="172" spans="1:28" x14ac:dyDescent="0.35">
      <c r="A172" s="595">
        <f t="shared" si="42"/>
        <v>1</v>
      </c>
      <c r="B172" s="596">
        <f t="shared" si="51"/>
        <v>166</v>
      </c>
      <c r="C172" s="597">
        <f ca="1">IF(B172="","",'Fecha Pago'!K169)</f>
        <v>51198</v>
      </c>
      <c r="D172" s="598">
        <f t="shared" si="52"/>
        <v>30.4</v>
      </c>
      <c r="E172" s="599">
        <f>IF(B172="","",'Tabla de Incrementos'!$C$4)</f>
        <v>0.11</v>
      </c>
      <c r="F172" s="600">
        <f t="shared" si="43"/>
        <v>710932.76433442836</v>
      </c>
      <c r="G172" s="600">
        <f t="shared" si="53"/>
        <v>5610.6877844089249</v>
      </c>
      <c r="H172" s="600">
        <f t="shared" si="44"/>
        <v>6603.7754553731338</v>
      </c>
      <c r="I172" s="600">
        <f>IF(B172="","",IF(F172=0,0,($C$2/1000)*'Tabla de Incrementos'!$J$14))</f>
        <v>12214.463239782059</v>
      </c>
      <c r="J172" s="600">
        <f t="shared" si="54"/>
        <v>0</v>
      </c>
      <c r="K172" s="600">
        <f t="shared" si="55"/>
        <v>0</v>
      </c>
      <c r="L172" s="600">
        <f t="shared" si="45"/>
        <v>299</v>
      </c>
      <c r="M172" s="600">
        <f>IF(B172="","",IF(A172=0,0,AportPat!L169))</f>
        <v>0</v>
      </c>
      <c r="N172" s="601">
        <f>Simulador!N232</f>
        <v>0</v>
      </c>
      <c r="O172" s="608">
        <v>0</v>
      </c>
      <c r="P172" s="600">
        <f t="shared" si="56"/>
        <v>12513.463239782059</v>
      </c>
      <c r="Q172" s="600">
        <f t="shared" si="39"/>
        <v>705322.07655001944</v>
      </c>
      <c r="S172" s="120">
        <v>0.11</v>
      </c>
      <c r="T172" s="198">
        <f t="shared" si="40"/>
        <v>166</v>
      </c>
      <c r="U172" s="347">
        <f t="shared" si="57"/>
        <v>710932.76433442836</v>
      </c>
      <c r="V172" s="347">
        <f t="shared" si="46"/>
        <v>5610.6877844089249</v>
      </c>
      <c r="W172" s="347">
        <f t="shared" si="47"/>
        <v>6603.7754553731338</v>
      </c>
      <c r="X172" s="600">
        <f>IF(T172="","",IF(U172=0,0,($C$2/1000)*'Tabla de Incrementos'!$J$14))</f>
        <v>12214.463239782059</v>
      </c>
      <c r="Y172" s="600">
        <f t="shared" si="41"/>
        <v>0</v>
      </c>
      <c r="Z172" s="600">
        <f t="shared" si="48"/>
        <v>0</v>
      </c>
      <c r="AA172" s="557">
        <f t="shared" si="49"/>
        <v>299</v>
      </c>
      <c r="AB172" s="557">
        <f t="shared" si="50"/>
        <v>12513.463239782059</v>
      </c>
    </row>
    <row r="173" spans="1:28" x14ac:dyDescent="0.35">
      <c r="A173" s="595">
        <f t="shared" si="42"/>
        <v>1</v>
      </c>
      <c r="B173" s="596">
        <f t="shared" si="51"/>
        <v>167</v>
      </c>
      <c r="C173" s="597">
        <f ca="1">IF(B173="","",'Fecha Pago'!K170)</f>
        <v>51229</v>
      </c>
      <c r="D173" s="598">
        <f t="shared" si="52"/>
        <v>30.4</v>
      </c>
      <c r="E173" s="599">
        <f>IF(B173="","",'Tabla de Incrementos'!$C$4)</f>
        <v>0.11</v>
      </c>
      <c r="F173" s="600">
        <f t="shared" si="43"/>
        <v>705322.07655001944</v>
      </c>
      <c r="G173" s="600">
        <f t="shared" si="53"/>
        <v>5662.8048398285455</v>
      </c>
      <c r="H173" s="600">
        <f t="shared" si="44"/>
        <v>6551.6583999535133</v>
      </c>
      <c r="I173" s="600">
        <f>IF(B173="","",IF(F173=0,0,($C$2/1000)*'Tabla de Incrementos'!$J$14))</f>
        <v>12214.463239782059</v>
      </c>
      <c r="J173" s="600">
        <f t="shared" si="54"/>
        <v>0</v>
      </c>
      <c r="K173" s="600">
        <f t="shared" si="55"/>
        <v>0</v>
      </c>
      <c r="L173" s="600">
        <f t="shared" si="45"/>
        <v>299</v>
      </c>
      <c r="M173" s="600">
        <f>IF(B173="","",IF(A173=0,0,AportPat!L170))</f>
        <v>0</v>
      </c>
      <c r="N173" s="601">
        <f>Simulador!N233</f>
        <v>0</v>
      </c>
      <c r="O173" s="608">
        <v>0</v>
      </c>
      <c r="P173" s="600">
        <f t="shared" si="56"/>
        <v>12513.463239782059</v>
      </c>
      <c r="Q173" s="600">
        <f t="shared" si="39"/>
        <v>699659.27171019092</v>
      </c>
      <c r="S173" s="120">
        <v>0.11</v>
      </c>
      <c r="T173" s="198">
        <f t="shared" si="40"/>
        <v>167</v>
      </c>
      <c r="U173" s="347">
        <f t="shared" si="57"/>
        <v>705322.07655001944</v>
      </c>
      <c r="V173" s="347">
        <f t="shared" si="46"/>
        <v>5662.8048398285455</v>
      </c>
      <c r="W173" s="347">
        <f t="shared" si="47"/>
        <v>6551.6583999535133</v>
      </c>
      <c r="X173" s="600">
        <f>IF(T173="","",IF(U173=0,0,($C$2/1000)*'Tabla de Incrementos'!$J$14))</f>
        <v>12214.463239782059</v>
      </c>
      <c r="Y173" s="600">
        <f t="shared" si="41"/>
        <v>0</v>
      </c>
      <c r="Z173" s="600">
        <f t="shared" si="48"/>
        <v>0</v>
      </c>
      <c r="AA173" s="557">
        <f t="shared" si="49"/>
        <v>299</v>
      </c>
      <c r="AB173" s="557">
        <f t="shared" si="50"/>
        <v>12513.463239782059</v>
      </c>
    </row>
    <row r="174" spans="1:28" x14ac:dyDescent="0.35">
      <c r="A174" s="595">
        <f t="shared" si="42"/>
        <v>1</v>
      </c>
      <c r="B174" s="596">
        <f t="shared" si="51"/>
        <v>168</v>
      </c>
      <c r="C174" s="597">
        <f ca="1">IF(B174="","",'Fecha Pago'!K171)</f>
        <v>51259</v>
      </c>
      <c r="D174" s="598">
        <f t="shared" si="52"/>
        <v>30.4</v>
      </c>
      <c r="E174" s="599">
        <f>IF(B174="","",'Tabla de Incrementos'!$C$4)</f>
        <v>0.11</v>
      </c>
      <c r="F174" s="600">
        <f t="shared" si="43"/>
        <v>699659.27171019092</v>
      </c>
      <c r="G174" s="600">
        <f t="shared" si="53"/>
        <v>5715.4060047851744</v>
      </c>
      <c r="H174" s="600">
        <f t="shared" si="44"/>
        <v>6499.0572349968843</v>
      </c>
      <c r="I174" s="600">
        <f>IF(B174="","",IF(F174=0,0,($C$2/1000)*'Tabla de Incrementos'!$J$14))</f>
        <v>12214.463239782059</v>
      </c>
      <c r="J174" s="600">
        <f t="shared" si="54"/>
        <v>0</v>
      </c>
      <c r="K174" s="600">
        <f t="shared" si="55"/>
        <v>0</v>
      </c>
      <c r="L174" s="600">
        <f t="shared" si="45"/>
        <v>299</v>
      </c>
      <c r="M174" s="600">
        <f>IF(B174="","",IF(A174=0,0,AportPat!L171))</f>
        <v>0</v>
      </c>
      <c r="N174" s="601">
        <f>Simulador!N234</f>
        <v>0</v>
      </c>
      <c r="O174" s="608">
        <v>0</v>
      </c>
      <c r="P174" s="600">
        <f t="shared" si="56"/>
        <v>12513.463239782059</v>
      </c>
      <c r="Q174" s="600">
        <f t="shared" si="39"/>
        <v>693943.86570540571</v>
      </c>
      <c r="S174" s="120">
        <v>0.11</v>
      </c>
      <c r="T174" s="198">
        <f t="shared" si="40"/>
        <v>168</v>
      </c>
      <c r="U174" s="347">
        <f t="shared" si="57"/>
        <v>699659.27171019092</v>
      </c>
      <c r="V174" s="347">
        <f t="shared" si="46"/>
        <v>5715.4060047851744</v>
      </c>
      <c r="W174" s="347">
        <f t="shared" si="47"/>
        <v>6499.0572349968843</v>
      </c>
      <c r="X174" s="600">
        <f>IF(T174="","",IF(U174=0,0,($C$2/1000)*'Tabla de Incrementos'!$J$14))</f>
        <v>12214.463239782059</v>
      </c>
      <c r="Y174" s="600">
        <f t="shared" si="41"/>
        <v>0</v>
      </c>
      <c r="Z174" s="600">
        <f t="shared" si="48"/>
        <v>0</v>
      </c>
      <c r="AA174" s="557">
        <f t="shared" si="49"/>
        <v>299</v>
      </c>
      <c r="AB174" s="557">
        <f t="shared" si="50"/>
        <v>12513.463239782059</v>
      </c>
    </row>
    <row r="175" spans="1:28" x14ac:dyDescent="0.35">
      <c r="A175" s="595">
        <f t="shared" si="42"/>
        <v>1</v>
      </c>
      <c r="B175" s="596">
        <f t="shared" si="51"/>
        <v>169</v>
      </c>
      <c r="C175" s="597">
        <f ca="1">IF(B175="","",'Fecha Pago'!K172)</f>
        <v>51290</v>
      </c>
      <c r="D175" s="598">
        <f t="shared" si="52"/>
        <v>30.4</v>
      </c>
      <c r="E175" s="599">
        <f>IF(B175="","",'Tabla de Incrementos'!$C$4)</f>
        <v>0.11</v>
      </c>
      <c r="F175" s="600">
        <f t="shared" si="43"/>
        <v>693943.86570540571</v>
      </c>
      <c r="G175" s="600">
        <f t="shared" si="53"/>
        <v>5768.4957761185133</v>
      </c>
      <c r="H175" s="600">
        <f t="shared" si="44"/>
        <v>6445.9674636635455</v>
      </c>
      <c r="I175" s="600">
        <f>IF(B175="","",IF(F175=0,0,($C$2/1000)*'Tabla de Incrementos'!$J$14))</f>
        <v>12214.463239782059</v>
      </c>
      <c r="J175" s="600">
        <f t="shared" si="54"/>
        <v>0</v>
      </c>
      <c r="K175" s="600">
        <f t="shared" si="55"/>
        <v>0</v>
      </c>
      <c r="L175" s="600">
        <f t="shared" si="45"/>
        <v>299</v>
      </c>
      <c r="M175" s="600">
        <f>IF(B175="","",IF(A175=0,0,AportPat!L172))</f>
        <v>0</v>
      </c>
      <c r="N175" s="601">
        <f>Simulador!N235</f>
        <v>0</v>
      </c>
      <c r="O175" s="608">
        <v>0</v>
      </c>
      <c r="P175" s="600">
        <f t="shared" si="56"/>
        <v>12513.463239782059</v>
      </c>
      <c r="Q175" s="600">
        <f t="shared" si="39"/>
        <v>688175.36992928723</v>
      </c>
      <c r="S175" s="120">
        <v>0.11</v>
      </c>
      <c r="T175" s="198">
        <f t="shared" si="40"/>
        <v>169</v>
      </c>
      <c r="U175" s="347">
        <f t="shared" si="57"/>
        <v>693943.86570540571</v>
      </c>
      <c r="V175" s="347">
        <f t="shared" si="46"/>
        <v>5768.4957761185133</v>
      </c>
      <c r="W175" s="347">
        <f t="shared" si="47"/>
        <v>6445.9674636635455</v>
      </c>
      <c r="X175" s="600">
        <f>IF(T175="","",IF(U175=0,0,($C$2/1000)*'Tabla de Incrementos'!$J$14))</f>
        <v>12214.463239782059</v>
      </c>
      <c r="Y175" s="600">
        <f t="shared" si="41"/>
        <v>0</v>
      </c>
      <c r="Z175" s="600">
        <f t="shared" si="48"/>
        <v>0</v>
      </c>
      <c r="AA175" s="557">
        <f t="shared" si="49"/>
        <v>299</v>
      </c>
      <c r="AB175" s="557">
        <f t="shared" si="50"/>
        <v>12513.463239782059</v>
      </c>
    </row>
    <row r="176" spans="1:28" x14ac:dyDescent="0.35">
      <c r="A176" s="595">
        <f t="shared" si="42"/>
        <v>1</v>
      </c>
      <c r="B176" s="604">
        <f t="shared" si="51"/>
        <v>170</v>
      </c>
      <c r="C176" s="597">
        <f ca="1">IF(B176="","",'Fecha Pago'!K173)</f>
        <v>51320</v>
      </c>
      <c r="D176" s="605">
        <f t="shared" si="52"/>
        <v>30.4</v>
      </c>
      <c r="E176" s="606">
        <f>IF(B176="","",'Tabla de Incrementos'!$C$4)</f>
        <v>0.11</v>
      </c>
      <c r="F176" s="607">
        <f t="shared" si="43"/>
        <v>688175.36992928723</v>
      </c>
      <c r="G176" s="607">
        <f t="shared" si="53"/>
        <v>6167.9802036499941</v>
      </c>
      <c r="H176" s="607">
        <f t="shared" si="44"/>
        <v>6392.3845473431566</v>
      </c>
      <c r="I176" s="607">
        <f>IF(B176="","",IF(F176=0,0,($C$2/1000)*'Tabla de Incrementos'!$J$15))</f>
        <v>12560.364750993151</v>
      </c>
      <c r="J176" s="607">
        <f t="shared" si="54"/>
        <v>0</v>
      </c>
      <c r="K176" s="607">
        <f t="shared" si="55"/>
        <v>0</v>
      </c>
      <c r="L176" s="607">
        <f t="shared" si="45"/>
        <v>299</v>
      </c>
      <c r="M176" s="607">
        <f>IF(B176="","",IF(A176=0,0,AportPat!L173))</f>
        <v>0</v>
      </c>
      <c r="N176" s="601">
        <f>Simulador!N236</f>
        <v>0</v>
      </c>
      <c r="O176" s="608">
        <v>0</v>
      </c>
      <c r="P176" s="607">
        <f t="shared" si="56"/>
        <v>12859.364750993151</v>
      </c>
      <c r="Q176" s="607">
        <f t="shared" si="39"/>
        <v>682007.38972563727</v>
      </c>
      <c r="S176" s="120">
        <v>0.11</v>
      </c>
      <c r="T176" s="198">
        <f t="shared" si="40"/>
        <v>170</v>
      </c>
      <c r="U176" s="347">
        <f t="shared" si="57"/>
        <v>688175.36992928723</v>
      </c>
      <c r="V176" s="347">
        <f t="shared" si="46"/>
        <v>6167.9802036499941</v>
      </c>
      <c r="W176" s="347">
        <f t="shared" si="47"/>
        <v>6392.3845473431566</v>
      </c>
      <c r="X176" s="607">
        <f>IF(T176="","",IF(U176=0,0,($C$2/1000)*'Tabla de Incrementos'!$J$15))</f>
        <v>12560.364750993151</v>
      </c>
      <c r="Y176" s="607">
        <f t="shared" si="41"/>
        <v>0</v>
      </c>
      <c r="Z176" s="607">
        <f t="shared" si="48"/>
        <v>0</v>
      </c>
      <c r="AA176" s="557">
        <f t="shared" si="49"/>
        <v>299</v>
      </c>
      <c r="AB176" s="557">
        <f t="shared" si="50"/>
        <v>12859.364750993151</v>
      </c>
    </row>
    <row r="177" spans="1:28" x14ac:dyDescent="0.35">
      <c r="A177" s="595">
        <f t="shared" si="42"/>
        <v>1</v>
      </c>
      <c r="B177" s="596">
        <f t="shared" si="51"/>
        <v>171</v>
      </c>
      <c r="C177" s="597">
        <f ca="1">IF(B177="","",'Fecha Pago'!K174)</f>
        <v>51351</v>
      </c>
      <c r="D177" s="598">
        <f t="shared" si="52"/>
        <v>30.4</v>
      </c>
      <c r="E177" s="599">
        <f>IF(B177="","",'Tabla de Incrementos'!$C$4)</f>
        <v>0.11</v>
      </c>
      <c r="F177" s="600">
        <f t="shared" si="43"/>
        <v>682007.38972563727</v>
      </c>
      <c r="G177" s="600">
        <f t="shared" si="53"/>
        <v>6225.2738864305647</v>
      </c>
      <c r="H177" s="600">
        <f t="shared" si="44"/>
        <v>6335.0908645625859</v>
      </c>
      <c r="I177" s="600">
        <f>IF(B177="","",IF(F177=0,0,($C$2/1000)*'Tabla de Incrementos'!$J$15))</f>
        <v>12560.364750993151</v>
      </c>
      <c r="J177" s="600">
        <f t="shared" si="54"/>
        <v>0</v>
      </c>
      <c r="K177" s="600">
        <f t="shared" si="55"/>
        <v>0</v>
      </c>
      <c r="L177" s="600">
        <f t="shared" si="45"/>
        <v>299</v>
      </c>
      <c r="M177" s="600">
        <f>IF(B177="","",IF(A177=0,0,AportPat!L174))</f>
        <v>0</v>
      </c>
      <c r="N177" s="601">
        <f>Simulador!N237</f>
        <v>0</v>
      </c>
      <c r="O177" s="608">
        <v>0</v>
      </c>
      <c r="P177" s="600">
        <f t="shared" si="56"/>
        <v>12859.364750993151</v>
      </c>
      <c r="Q177" s="600">
        <f t="shared" si="39"/>
        <v>675782.11583920673</v>
      </c>
      <c r="S177" s="120">
        <v>0.11</v>
      </c>
      <c r="T177" s="198">
        <f t="shared" si="40"/>
        <v>171</v>
      </c>
      <c r="U177" s="347">
        <f t="shared" si="57"/>
        <v>682007.38972563727</v>
      </c>
      <c r="V177" s="347">
        <f t="shared" si="46"/>
        <v>6225.2738864305647</v>
      </c>
      <c r="W177" s="347">
        <f t="shared" si="47"/>
        <v>6335.0908645625859</v>
      </c>
      <c r="X177" s="600">
        <f>IF(T177="","",IF(U177=0,0,($C$2/1000)*'Tabla de Incrementos'!$J$15))</f>
        <v>12560.364750993151</v>
      </c>
      <c r="Y177" s="600">
        <f t="shared" si="41"/>
        <v>0</v>
      </c>
      <c r="Z177" s="600">
        <f t="shared" si="48"/>
        <v>0</v>
      </c>
      <c r="AA177" s="557">
        <f t="shared" si="49"/>
        <v>299</v>
      </c>
      <c r="AB177" s="557">
        <f t="shared" si="50"/>
        <v>12859.364750993151</v>
      </c>
    </row>
    <row r="178" spans="1:28" x14ac:dyDescent="0.35">
      <c r="A178" s="595">
        <f t="shared" si="42"/>
        <v>1</v>
      </c>
      <c r="B178" s="596">
        <f t="shared" si="51"/>
        <v>172</v>
      </c>
      <c r="C178" s="597">
        <f ca="1">IF(B178="","",'Fecha Pago'!K175)</f>
        <v>51382</v>
      </c>
      <c r="D178" s="598">
        <f t="shared" si="52"/>
        <v>30.4</v>
      </c>
      <c r="E178" s="599">
        <f>IF(B178="","",'Tabla de Incrementos'!$C$4)</f>
        <v>0.11</v>
      </c>
      <c r="F178" s="600">
        <f t="shared" si="43"/>
        <v>675782.11583920673</v>
      </c>
      <c r="G178" s="600">
        <f t="shared" si="53"/>
        <v>6283.0997638645194</v>
      </c>
      <c r="H178" s="600">
        <f t="shared" si="44"/>
        <v>6277.2649871286312</v>
      </c>
      <c r="I178" s="600">
        <f>IF(B178="","",IF(F178=0,0,($C$2/1000)*'Tabla de Incrementos'!$J$15))</f>
        <v>12560.364750993151</v>
      </c>
      <c r="J178" s="600">
        <f t="shared" si="54"/>
        <v>0</v>
      </c>
      <c r="K178" s="600">
        <f t="shared" si="55"/>
        <v>0</v>
      </c>
      <c r="L178" s="600">
        <f t="shared" si="45"/>
        <v>299</v>
      </c>
      <c r="M178" s="600">
        <f>IF(B178="","",IF(A178=0,0,AportPat!L175))</f>
        <v>0</v>
      </c>
      <c r="N178" s="601">
        <f>Simulador!N238</f>
        <v>0</v>
      </c>
      <c r="O178" s="608">
        <v>0</v>
      </c>
      <c r="P178" s="600">
        <f t="shared" si="56"/>
        <v>12859.364750993151</v>
      </c>
      <c r="Q178" s="600">
        <f t="shared" si="39"/>
        <v>669499.0160753422</v>
      </c>
      <c r="S178" s="120">
        <v>0.11</v>
      </c>
      <c r="T178" s="198">
        <f t="shared" si="40"/>
        <v>172</v>
      </c>
      <c r="U178" s="347">
        <f t="shared" si="57"/>
        <v>675782.11583920673</v>
      </c>
      <c r="V178" s="347">
        <f t="shared" si="46"/>
        <v>6283.0997638645194</v>
      </c>
      <c r="W178" s="347">
        <f t="shared" si="47"/>
        <v>6277.2649871286312</v>
      </c>
      <c r="X178" s="600">
        <f>IF(T178="","",IF(U178=0,0,($C$2/1000)*'Tabla de Incrementos'!$J$15))</f>
        <v>12560.364750993151</v>
      </c>
      <c r="Y178" s="600">
        <f t="shared" si="41"/>
        <v>0</v>
      </c>
      <c r="Z178" s="600">
        <f t="shared" si="48"/>
        <v>0</v>
      </c>
      <c r="AA178" s="557">
        <f t="shared" si="49"/>
        <v>299</v>
      </c>
      <c r="AB178" s="557">
        <f t="shared" si="50"/>
        <v>12859.364750993151</v>
      </c>
    </row>
    <row r="179" spans="1:28" x14ac:dyDescent="0.35">
      <c r="A179" s="595">
        <f t="shared" si="42"/>
        <v>1</v>
      </c>
      <c r="B179" s="596">
        <f t="shared" si="51"/>
        <v>173</v>
      </c>
      <c r="C179" s="597">
        <f ca="1">IF(B179="","",'Fecha Pago'!K176)</f>
        <v>51412</v>
      </c>
      <c r="D179" s="598">
        <f t="shared" si="52"/>
        <v>30.4</v>
      </c>
      <c r="E179" s="599">
        <f>IF(B179="","",'Tabla de Incrementos'!$C$4)</f>
        <v>0.11</v>
      </c>
      <c r="F179" s="600">
        <f t="shared" si="43"/>
        <v>669499.0160753422</v>
      </c>
      <c r="G179" s="600">
        <f t="shared" si="53"/>
        <v>6341.4627794488615</v>
      </c>
      <c r="H179" s="600">
        <f t="shared" si="44"/>
        <v>6218.9019715442892</v>
      </c>
      <c r="I179" s="600">
        <f>IF(B179="","",IF(F179=0,0,($C$2/1000)*'Tabla de Incrementos'!$J$15))</f>
        <v>12560.364750993151</v>
      </c>
      <c r="J179" s="600">
        <f t="shared" si="54"/>
        <v>0</v>
      </c>
      <c r="K179" s="600">
        <f t="shared" si="55"/>
        <v>0</v>
      </c>
      <c r="L179" s="600">
        <f t="shared" si="45"/>
        <v>299</v>
      </c>
      <c r="M179" s="600">
        <f>IF(B179="","",IF(A179=0,0,AportPat!L176))</f>
        <v>0</v>
      </c>
      <c r="N179" s="601">
        <f>Simulador!N239</f>
        <v>0</v>
      </c>
      <c r="O179" s="608">
        <v>0</v>
      </c>
      <c r="P179" s="600">
        <f t="shared" si="56"/>
        <v>12859.364750993151</v>
      </c>
      <c r="Q179" s="600">
        <f t="shared" si="39"/>
        <v>663157.55329589336</v>
      </c>
      <c r="S179" s="120">
        <v>0.11</v>
      </c>
      <c r="T179" s="198">
        <f t="shared" si="40"/>
        <v>173</v>
      </c>
      <c r="U179" s="347">
        <f t="shared" si="57"/>
        <v>669499.0160753422</v>
      </c>
      <c r="V179" s="347">
        <f t="shared" si="46"/>
        <v>6341.4627794488615</v>
      </c>
      <c r="W179" s="347">
        <f t="shared" si="47"/>
        <v>6218.9019715442892</v>
      </c>
      <c r="X179" s="600">
        <f>IF(T179="","",IF(U179=0,0,($C$2/1000)*'Tabla de Incrementos'!$J$15))</f>
        <v>12560.364750993151</v>
      </c>
      <c r="Y179" s="600">
        <f t="shared" si="41"/>
        <v>0</v>
      </c>
      <c r="Z179" s="600">
        <f t="shared" si="48"/>
        <v>0</v>
      </c>
      <c r="AA179" s="557">
        <f t="shared" si="49"/>
        <v>299</v>
      </c>
      <c r="AB179" s="557">
        <f t="shared" si="50"/>
        <v>12859.364750993151</v>
      </c>
    </row>
    <row r="180" spans="1:28" x14ac:dyDescent="0.35">
      <c r="A180" s="595">
        <f t="shared" si="42"/>
        <v>1</v>
      </c>
      <c r="B180" s="596">
        <f t="shared" si="51"/>
        <v>174</v>
      </c>
      <c r="C180" s="597">
        <f ca="1">IF(B180="","",'Fecha Pago'!K177)</f>
        <v>51443</v>
      </c>
      <c r="D180" s="598">
        <f t="shared" si="52"/>
        <v>30.4</v>
      </c>
      <c r="E180" s="599">
        <f>IF(B180="","",'Tabla de Incrementos'!$C$4)</f>
        <v>0.11</v>
      </c>
      <c r="F180" s="600">
        <f t="shared" si="43"/>
        <v>663157.55329589336</v>
      </c>
      <c r="G180" s="600">
        <f t="shared" si="53"/>
        <v>6400.3679226001859</v>
      </c>
      <c r="H180" s="600">
        <f t="shared" si="44"/>
        <v>6159.9968283929647</v>
      </c>
      <c r="I180" s="600">
        <f>IF(B180="","",IF(F180=0,0,($C$2/1000)*'Tabla de Incrementos'!$J$15))</f>
        <v>12560.364750993151</v>
      </c>
      <c r="J180" s="600">
        <f t="shared" si="54"/>
        <v>0</v>
      </c>
      <c r="K180" s="600">
        <f t="shared" si="55"/>
        <v>0</v>
      </c>
      <c r="L180" s="600">
        <f t="shared" si="45"/>
        <v>299</v>
      </c>
      <c r="M180" s="600">
        <f>IF(B180="","",IF(A180=0,0,AportPat!L177))</f>
        <v>0</v>
      </c>
      <c r="N180" s="601">
        <f>Simulador!N240</f>
        <v>0</v>
      </c>
      <c r="O180" s="608">
        <v>0</v>
      </c>
      <c r="P180" s="600">
        <f t="shared" si="56"/>
        <v>12859.364750993151</v>
      </c>
      <c r="Q180" s="600">
        <f t="shared" si="39"/>
        <v>656757.18537329312</v>
      </c>
      <c r="S180" s="120">
        <v>0.11</v>
      </c>
      <c r="T180" s="198">
        <f t="shared" si="40"/>
        <v>174</v>
      </c>
      <c r="U180" s="347">
        <f t="shared" si="57"/>
        <v>663157.55329589336</v>
      </c>
      <c r="V180" s="347">
        <f t="shared" si="46"/>
        <v>6400.3679226001859</v>
      </c>
      <c r="W180" s="347">
        <f t="shared" si="47"/>
        <v>6159.9968283929647</v>
      </c>
      <c r="X180" s="600">
        <f>IF(T180="","",IF(U180=0,0,($C$2/1000)*'Tabla de Incrementos'!$J$15))</f>
        <v>12560.364750993151</v>
      </c>
      <c r="Y180" s="600">
        <f t="shared" si="41"/>
        <v>0</v>
      </c>
      <c r="Z180" s="600">
        <f t="shared" si="48"/>
        <v>0</v>
      </c>
      <c r="AA180" s="557">
        <f t="shared" si="49"/>
        <v>299</v>
      </c>
      <c r="AB180" s="557">
        <f t="shared" si="50"/>
        <v>12859.364750993151</v>
      </c>
    </row>
    <row r="181" spans="1:28" x14ac:dyDescent="0.35">
      <c r="A181" s="595">
        <f t="shared" si="42"/>
        <v>1</v>
      </c>
      <c r="B181" s="596">
        <f t="shared" si="51"/>
        <v>175</v>
      </c>
      <c r="C181" s="597">
        <f ca="1">IF(B181="","",'Fecha Pago'!K178)</f>
        <v>51473</v>
      </c>
      <c r="D181" s="598">
        <f t="shared" si="52"/>
        <v>30.4</v>
      </c>
      <c r="E181" s="599">
        <f>IF(B181="","",'Tabla de Incrementos'!$C$4)</f>
        <v>0.11</v>
      </c>
      <c r="F181" s="600">
        <f t="shared" si="43"/>
        <v>656757.18537329312</v>
      </c>
      <c r="G181" s="600">
        <f t="shared" si="53"/>
        <v>6459.8202290812287</v>
      </c>
      <c r="H181" s="600">
        <f t="shared" si="44"/>
        <v>6100.5445219119219</v>
      </c>
      <c r="I181" s="600">
        <f>IF(B181="","",IF(F181=0,0,($C$2/1000)*'Tabla de Incrementos'!$J$15))</f>
        <v>12560.364750993151</v>
      </c>
      <c r="J181" s="600">
        <f t="shared" si="54"/>
        <v>0</v>
      </c>
      <c r="K181" s="600">
        <f t="shared" si="55"/>
        <v>0</v>
      </c>
      <c r="L181" s="600">
        <f t="shared" si="45"/>
        <v>299</v>
      </c>
      <c r="M181" s="600">
        <f>IF(B181="","",IF(A181=0,0,AportPat!L178))</f>
        <v>0</v>
      </c>
      <c r="N181" s="601">
        <f>Simulador!N241</f>
        <v>0</v>
      </c>
      <c r="O181" s="608">
        <v>0</v>
      </c>
      <c r="P181" s="600">
        <f t="shared" si="56"/>
        <v>12859.364750993151</v>
      </c>
      <c r="Q181" s="600">
        <f t="shared" si="39"/>
        <v>650297.36514421192</v>
      </c>
      <c r="S181" s="120">
        <v>0.11</v>
      </c>
      <c r="T181" s="198">
        <f t="shared" si="40"/>
        <v>175</v>
      </c>
      <c r="U181" s="347">
        <f t="shared" si="57"/>
        <v>656757.18537329312</v>
      </c>
      <c r="V181" s="347">
        <f t="shared" si="46"/>
        <v>6459.8202290812287</v>
      </c>
      <c r="W181" s="347">
        <f t="shared" si="47"/>
        <v>6100.5445219119219</v>
      </c>
      <c r="X181" s="600">
        <f>IF(T181="","",IF(U181=0,0,($C$2/1000)*'Tabla de Incrementos'!$J$15))</f>
        <v>12560.364750993151</v>
      </c>
      <c r="Y181" s="600">
        <f t="shared" si="41"/>
        <v>0</v>
      </c>
      <c r="Z181" s="600">
        <f t="shared" si="48"/>
        <v>0</v>
      </c>
      <c r="AA181" s="557">
        <f t="shared" si="49"/>
        <v>299</v>
      </c>
      <c r="AB181" s="557">
        <f t="shared" si="50"/>
        <v>12859.364750993151</v>
      </c>
    </row>
    <row r="182" spans="1:28" x14ac:dyDescent="0.35">
      <c r="A182" s="595">
        <f t="shared" si="42"/>
        <v>1</v>
      </c>
      <c r="B182" s="596">
        <f t="shared" si="51"/>
        <v>176</v>
      </c>
      <c r="C182" s="597">
        <f ca="1">IF(B182="","",'Fecha Pago'!K179)</f>
        <v>51504</v>
      </c>
      <c r="D182" s="598">
        <f t="shared" si="52"/>
        <v>30.4</v>
      </c>
      <c r="E182" s="599">
        <f>IF(B182="","",'Tabla de Incrementos'!$C$4)</f>
        <v>0.11</v>
      </c>
      <c r="F182" s="600">
        <f t="shared" si="43"/>
        <v>650297.36514421192</v>
      </c>
      <c r="G182" s="600">
        <f t="shared" si="53"/>
        <v>6519.8247814313609</v>
      </c>
      <c r="H182" s="600">
        <f t="shared" si="44"/>
        <v>6040.5399695617898</v>
      </c>
      <c r="I182" s="600">
        <f>IF(B182="","",IF(F182=0,0,($C$2/1000)*'Tabla de Incrementos'!$J$15))</f>
        <v>12560.364750993151</v>
      </c>
      <c r="J182" s="600">
        <f t="shared" si="54"/>
        <v>0</v>
      </c>
      <c r="K182" s="600">
        <f t="shared" si="55"/>
        <v>0</v>
      </c>
      <c r="L182" s="600">
        <f t="shared" si="45"/>
        <v>299</v>
      </c>
      <c r="M182" s="600">
        <f>IF(B182="","",IF(A182=0,0,AportPat!L179))</f>
        <v>0</v>
      </c>
      <c r="N182" s="601">
        <f>Simulador!N242</f>
        <v>0</v>
      </c>
      <c r="O182" s="608">
        <v>0</v>
      </c>
      <c r="P182" s="600">
        <f t="shared" si="56"/>
        <v>12859.364750993151</v>
      </c>
      <c r="Q182" s="600">
        <f t="shared" si="39"/>
        <v>643777.54036278056</v>
      </c>
      <c r="S182" s="120">
        <v>0.11</v>
      </c>
      <c r="T182" s="198">
        <f t="shared" si="40"/>
        <v>176</v>
      </c>
      <c r="U182" s="347">
        <f t="shared" si="57"/>
        <v>650297.36514421192</v>
      </c>
      <c r="V182" s="347">
        <f t="shared" si="46"/>
        <v>6519.8247814313609</v>
      </c>
      <c r="W182" s="347">
        <f t="shared" si="47"/>
        <v>6040.5399695617898</v>
      </c>
      <c r="X182" s="600">
        <f>IF(T182="","",IF(U182=0,0,($C$2/1000)*'Tabla de Incrementos'!$J$15))</f>
        <v>12560.364750993151</v>
      </c>
      <c r="Y182" s="600">
        <f t="shared" si="41"/>
        <v>0</v>
      </c>
      <c r="Z182" s="600">
        <f t="shared" si="48"/>
        <v>0</v>
      </c>
      <c r="AA182" s="557">
        <f t="shared" si="49"/>
        <v>299</v>
      </c>
      <c r="AB182" s="557">
        <f t="shared" si="50"/>
        <v>12859.364750993151</v>
      </c>
    </row>
    <row r="183" spans="1:28" x14ac:dyDescent="0.35">
      <c r="A183" s="595">
        <f t="shared" si="42"/>
        <v>1</v>
      </c>
      <c r="B183" s="596">
        <f t="shared" si="51"/>
        <v>177</v>
      </c>
      <c r="C183" s="597">
        <f ca="1">IF(B183="","",'Fecha Pago'!K180)</f>
        <v>51535</v>
      </c>
      <c r="D183" s="598">
        <f t="shared" si="52"/>
        <v>30.4</v>
      </c>
      <c r="E183" s="599">
        <f>IF(B183="","",'Tabla de Incrementos'!$C$4)</f>
        <v>0.11</v>
      </c>
      <c r="F183" s="600">
        <f t="shared" si="43"/>
        <v>643777.54036278056</v>
      </c>
      <c r="G183" s="600">
        <f t="shared" si="53"/>
        <v>6580.3867094011002</v>
      </c>
      <c r="H183" s="600">
        <f t="shared" si="44"/>
        <v>5979.9780415920504</v>
      </c>
      <c r="I183" s="600">
        <f>IF(B183="","",IF(F183=0,0,($C$2/1000)*'Tabla de Incrementos'!$J$15))</f>
        <v>12560.364750993151</v>
      </c>
      <c r="J183" s="600">
        <f t="shared" si="54"/>
        <v>0</v>
      </c>
      <c r="K183" s="600">
        <f t="shared" si="55"/>
        <v>0</v>
      </c>
      <c r="L183" s="600">
        <f t="shared" si="45"/>
        <v>299</v>
      </c>
      <c r="M183" s="600">
        <f>IF(B183="","",IF(A183=0,0,AportPat!L180))</f>
        <v>0</v>
      </c>
      <c r="N183" s="601">
        <f>Simulador!N243</f>
        <v>0</v>
      </c>
      <c r="O183" s="608">
        <v>0</v>
      </c>
      <c r="P183" s="600">
        <f t="shared" si="56"/>
        <v>12859.364750993151</v>
      </c>
      <c r="Q183" s="600">
        <f t="shared" si="39"/>
        <v>637197.15365337941</v>
      </c>
      <c r="S183" s="120">
        <v>0.11</v>
      </c>
      <c r="T183" s="198">
        <f t="shared" si="40"/>
        <v>177</v>
      </c>
      <c r="U183" s="347">
        <f t="shared" si="57"/>
        <v>643777.54036278056</v>
      </c>
      <c r="V183" s="347">
        <f t="shared" si="46"/>
        <v>6580.3867094011002</v>
      </c>
      <c r="W183" s="347">
        <f t="shared" si="47"/>
        <v>5979.9780415920504</v>
      </c>
      <c r="X183" s="600">
        <f>IF(T183="","",IF(U183=0,0,($C$2/1000)*'Tabla de Incrementos'!$J$15))</f>
        <v>12560.364750993151</v>
      </c>
      <c r="Y183" s="600">
        <f t="shared" si="41"/>
        <v>0</v>
      </c>
      <c r="Z183" s="600">
        <f t="shared" si="48"/>
        <v>0</v>
      </c>
      <c r="AA183" s="557">
        <f t="shared" si="49"/>
        <v>299</v>
      </c>
      <c r="AB183" s="557">
        <f t="shared" si="50"/>
        <v>12859.364750993151</v>
      </c>
    </row>
    <row r="184" spans="1:28" x14ac:dyDescent="0.35">
      <c r="A184" s="595">
        <f t="shared" si="42"/>
        <v>1</v>
      </c>
      <c r="B184" s="596">
        <f t="shared" si="51"/>
        <v>178</v>
      </c>
      <c r="C184" s="597">
        <f ca="1">IF(B184="","",'Fecha Pago'!K181)</f>
        <v>51563</v>
      </c>
      <c r="D184" s="598">
        <f t="shared" si="52"/>
        <v>30.4</v>
      </c>
      <c r="E184" s="599">
        <f>IF(B184="","",'Tabla de Incrementos'!$C$4)</f>
        <v>0.11</v>
      </c>
      <c r="F184" s="600">
        <f t="shared" si="43"/>
        <v>637197.15365337941</v>
      </c>
      <c r="G184" s="600">
        <f t="shared" si="53"/>
        <v>6641.5111903906491</v>
      </c>
      <c r="H184" s="600">
        <f t="shared" si="44"/>
        <v>5918.8535606025016</v>
      </c>
      <c r="I184" s="600">
        <f>IF(B184="","",IF(F184=0,0,($C$2/1000)*'Tabla de Incrementos'!$J$15))</f>
        <v>12560.364750993151</v>
      </c>
      <c r="J184" s="600">
        <f t="shared" si="54"/>
        <v>0</v>
      </c>
      <c r="K184" s="600">
        <f t="shared" si="55"/>
        <v>0</v>
      </c>
      <c r="L184" s="600">
        <f t="shared" si="45"/>
        <v>299</v>
      </c>
      <c r="M184" s="600">
        <f>IF(B184="","",IF(A184=0,0,AportPat!L181))</f>
        <v>0</v>
      </c>
      <c r="N184" s="601">
        <f>Simulador!N244</f>
        <v>0</v>
      </c>
      <c r="O184" s="608">
        <v>0</v>
      </c>
      <c r="P184" s="600">
        <f t="shared" si="56"/>
        <v>12859.364750993151</v>
      </c>
      <c r="Q184" s="600">
        <f t="shared" si="39"/>
        <v>630555.64246298873</v>
      </c>
      <c r="S184" s="120">
        <v>0.11</v>
      </c>
      <c r="T184" s="198">
        <f t="shared" si="40"/>
        <v>178</v>
      </c>
      <c r="U184" s="347">
        <f t="shared" si="57"/>
        <v>637197.15365337941</v>
      </c>
      <c r="V184" s="347">
        <f t="shared" si="46"/>
        <v>6641.5111903906491</v>
      </c>
      <c r="W184" s="347">
        <f t="shared" si="47"/>
        <v>5918.8535606025016</v>
      </c>
      <c r="X184" s="600">
        <f>IF(T184="","",IF(U184=0,0,($C$2/1000)*'Tabla de Incrementos'!$J$15))</f>
        <v>12560.364750993151</v>
      </c>
      <c r="Y184" s="600">
        <f t="shared" si="41"/>
        <v>0</v>
      </c>
      <c r="Z184" s="600">
        <f t="shared" si="48"/>
        <v>0</v>
      </c>
      <c r="AA184" s="557">
        <f t="shared" si="49"/>
        <v>299</v>
      </c>
      <c r="AB184" s="557">
        <f t="shared" si="50"/>
        <v>12859.364750993151</v>
      </c>
    </row>
    <row r="185" spans="1:28" x14ac:dyDescent="0.35">
      <c r="A185" s="595">
        <f t="shared" si="42"/>
        <v>1</v>
      </c>
      <c r="B185" s="596">
        <f t="shared" si="51"/>
        <v>179</v>
      </c>
      <c r="C185" s="597">
        <f ca="1">IF(B185="","",'Fecha Pago'!K182)</f>
        <v>51594</v>
      </c>
      <c r="D185" s="598">
        <f t="shared" si="52"/>
        <v>30.4</v>
      </c>
      <c r="E185" s="599">
        <f>IF(B185="","",'Tabla de Incrementos'!$C$4)</f>
        <v>0.11</v>
      </c>
      <c r="F185" s="600">
        <f t="shared" si="43"/>
        <v>630555.64246298873</v>
      </c>
      <c r="G185" s="600">
        <f t="shared" si="53"/>
        <v>6703.2034498925004</v>
      </c>
      <c r="H185" s="600">
        <f t="shared" si="44"/>
        <v>5857.1613011006502</v>
      </c>
      <c r="I185" s="600">
        <f>IF(B185="","",IF(F185=0,0,($C$2/1000)*'Tabla de Incrementos'!$J$15))</f>
        <v>12560.364750993151</v>
      </c>
      <c r="J185" s="600">
        <f t="shared" si="54"/>
        <v>0</v>
      </c>
      <c r="K185" s="600">
        <f t="shared" si="55"/>
        <v>0</v>
      </c>
      <c r="L185" s="600">
        <f t="shared" si="45"/>
        <v>299</v>
      </c>
      <c r="M185" s="600">
        <f>IF(B185="","",IF(A185=0,0,AportPat!L182))</f>
        <v>0</v>
      </c>
      <c r="N185" s="601">
        <f>Simulador!N245</f>
        <v>0</v>
      </c>
      <c r="O185" s="608">
        <v>0</v>
      </c>
      <c r="P185" s="600">
        <f t="shared" si="56"/>
        <v>12859.364750993151</v>
      </c>
      <c r="Q185" s="600">
        <f t="shared" si="39"/>
        <v>623852.43901309627</v>
      </c>
      <c r="S185" s="120">
        <v>0.11</v>
      </c>
      <c r="T185" s="198">
        <f t="shared" si="40"/>
        <v>179</v>
      </c>
      <c r="U185" s="347">
        <f t="shared" si="57"/>
        <v>630555.64246298873</v>
      </c>
      <c r="V185" s="347">
        <f t="shared" si="46"/>
        <v>6703.2034498925004</v>
      </c>
      <c r="W185" s="347">
        <f t="shared" si="47"/>
        <v>5857.1613011006502</v>
      </c>
      <c r="X185" s="600">
        <f>IF(T185="","",IF(U185=0,0,($C$2/1000)*'Tabla de Incrementos'!$J$15))</f>
        <v>12560.364750993151</v>
      </c>
      <c r="Y185" s="600">
        <f t="shared" si="41"/>
        <v>0</v>
      </c>
      <c r="Z185" s="600">
        <f t="shared" si="48"/>
        <v>0</v>
      </c>
      <c r="AA185" s="557">
        <f t="shared" si="49"/>
        <v>299</v>
      </c>
      <c r="AB185" s="557">
        <f t="shared" si="50"/>
        <v>12859.364750993151</v>
      </c>
    </row>
    <row r="186" spans="1:28" x14ac:dyDescent="0.35">
      <c r="A186" s="595">
        <f t="shared" si="42"/>
        <v>1</v>
      </c>
      <c r="B186" s="596">
        <f t="shared" si="51"/>
        <v>180</v>
      </c>
      <c r="C186" s="597">
        <f ca="1">IF(B186="","",'Fecha Pago'!K183)</f>
        <v>51624</v>
      </c>
      <c r="D186" s="598">
        <f t="shared" si="52"/>
        <v>30.4</v>
      </c>
      <c r="E186" s="599">
        <f>IF(B186="","",'Tabla de Incrementos'!$C$4)</f>
        <v>0.11</v>
      </c>
      <c r="F186" s="600">
        <f t="shared" si="43"/>
        <v>623852.43901309627</v>
      </c>
      <c r="G186" s="600">
        <f t="shared" si="53"/>
        <v>6765.4687619381675</v>
      </c>
      <c r="H186" s="600">
        <f t="shared" si="44"/>
        <v>5794.8959890549831</v>
      </c>
      <c r="I186" s="600">
        <f>IF(B186="","",IF(F186=0,0,($C$2/1000)*'Tabla de Incrementos'!$J$15))</f>
        <v>12560.364750993151</v>
      </c>
      <c r="J186" s="600">
        <f t="shared" si="54"/>
        <v>0</v>
      </c>
      <c r="K186" s="600">
        <f t="shared" si="55"/>
        <v>0</v>
      </c>
      <c r="L186" s="600">
        <f t="shared" si="45"/>
        <v>299</v>
      </c>
      <c r="M186" s="600">
        <f>IF(B186="","",IF(A186=0,0,AportPat!L183))</f>
        <v>0</v>
      </c>
      <c r="N186" s="601">
        <f>Simulador!N246</f>
        <v>0</v>
      </c>
      <c r="O186" s="608">
        <v>0</v>
      </c>
      <c r="P186" s="600">
        <f t="shared" si="56"/>
        <v>12859.364750993151</v>
      </c>
      <c r="Q186" s="600">
        <f t="shared" si="39"/>
        <v>617086.97025115811</v>
      </c>
      <c r="S186" s="120">
        <v>0.11</v>
      </c>
      <c r="T186" s="198">
        <f t="shared" si="40"/>
        <v>180</v>
      </c>
      <c r="U186" s="347">
        <f t="shared" si="57"/>
        <v>623852.43901309627</v>
      </c>
      <c r="V186" s="347">
        <f t="shared" si="46"/>
        <v>6765.4687619381675</v>
      </c>
      <c r="W186" s="347">
        <f t="shared" si="47"/>
        <v>5794.8959890549831</v>
      </c>
      <c r="X186" s="600">
        <f>IF(T186="","",IF(U186=0,0,($C$2/1000)*'Tabla de Incrementos'!$J$15))</f>
        <v>12560.364750993151</v>
      </c>
      <c r="Y186" s="600">
        <f t="shared" si="41"/>
        <v>0</v>
      </c>
      <c r="Z186" s="600">
        <f t="shared" si="48"/>
        <v>0</v>
      </c>
      <c r="AA186" s="557">
        <f t="shared" si="49"/>
        <v>299</v>
      </c>
      <c r="AB186" s="557">
        <f t="shared" si="50"/>
        <v>12859.364750993151</v>
      </c>
    </row>
    <row r="187" spans="1:28" x14ac:dyDescent="0.35">
      <c r="A187" s="595">
        <f t="shared" si="42"/>
        <v>1</v>
      </c>
      <c r="B187" s="596">
        <f t="shared" si="51"/>
        <v>181</v>
      </c>
      <c r="C187" s="597">
        <f ca="1">IF(B187="","",'Fecha Pago'!K184)</f>
        <v>51655</v>
      </c>
      <c r="D187" s="598">
        <f t="shared" si="52"/>
        <v>30.4</v>
      </c>
      <c r="E187" s="599">
        <f>IF(B187="","",'Tabla de Incrementos'!$C$4)</f>
        <v>0.11</v>
      </c>
      <c r="F187" s="600">
        <f t="shared" si="43"/>
        <v>617086.97025115811</v>
      </c>
      <c r="G187" s="600">
        <f t="shared" si="53"/>
        <v>6828.3124495490601</v>
      </c>
      <c r="H187" s="600">
        <f t="shared" si="44"/>
        <v>5732.0523014440905</v>
      </c>
      <c r="I187" s="600">
        <f>IF(B187="","",IF(F187=0,0,($C$2/1000)*'Tabla de Incrementos'!$J$15))</f>
        <v>12560.364750993151</v>
      </c>
      <c r="J187" s="600">
        <f t="shared" si="54"/>
        <v>0</v>
      </c>
      <c r="K187" s="600">
        <f t="shared" si="55"/>
        <v>0</v>
      </c>
      <c r="L187" s="600">
        <f t="shared" si="45"/>
        <v>299</v>
      </c>
      <c r="M187" s="600">
        <f>IF(B187="","",IF(A187=0,0,AportPat!L184))</f>
        <v>0</v>
      </c>
      <c r="N187" s="601">
        <f>Simulador!N247</f>
        <v>0</v>
      </c>
      <c r="O187" s="608">
        <v>0</v>
      </c>
      <c r="P187" s="600">
        <f t="shared" si="56"/>
        <v>12859.364750993151</v>
      </c>
      <c r="Q187" s="600">
        <f t="shared" si="39"/>
        <v>610258.65780160902</v>
      </c>
      <c r="S187" s="120">
        <v>0.11</v>
      </c>
      <c r="T187" s="198">
        <f t="shared" si="40"/>
        <v>181</v>
      </c>
      <c r="U187" s="347">
        <f t="shared" si="57"/>
        <v>617086.97025115811</v>
      </c>
      <c r="V187" s="347">
        <f t="shared" si="46"/>
        <v>6828.3124495490601</v>
      </c>
      <c r="W187" s="347">
        <f t="shared" si="47"/>
        <v>5732.0523014440905</v>
      </c>
      <c r="X187" s="600">
        <f>IF(T187="","",IF(U187=0,0,($C$2/1000)*'Tabla de Incrementos'!$J$15))</f>
        <v>12560.364750993151</v>
      </c>
      <c r="Y187" s="600">
        <f t="shared" si="41"/>
        <v>0</v>
      </c>
      <c r="Z187" s="600">
        <f t="shared" si="48"/>
        <v>0</v>
      </c>
      <c r="AA187" s="557">
        <f t="shared" si="49"/>
        <v>299</v>
      </c>
      <c r="AB187" s="557">
        <f t="shared" si="50"/>
        <v>12859.364750993151</v>
      </c>
    </row>
    <row r="188" spans="1:28" x14ac:dyDescent="0.35">
      <c r="A188" s="595">
        <f t="shared" si="42"/>
        <v>1</v>
      </c>
      <c r="B188" s="604">
        <f t="shared" si="51"/>
        <v>182</v>
      </c>
      <c r="C188" s="597">
        <f ca="1">IF(B188="","",'Fecha Pago'!K185)</f>
        <v>51685</v>
      </c>
      <c r="D188" s="605">
        <f t="shared" si="52"/>
        <v>30.4</v>
      </c>
      <c r="E188" s="606">
        <f>IF(B188="","",'Tabla de Incrementos'!$C$4)</f>
        <v>0.11</v>
      </c>
      <c r="F188" s="607">
        <f t="shared" si="43"/>
        <v>610258.65780160902</v>
      </c>
      <c r="G188" s="607">
        <f t="shared" si="53"/>
        <v>7247.4369848873048</v>
      </c>
      <c r="H188" s="607">
        <f t="shared" si="44"/>
        <v>5668.624865801612</v>
      </c>
      <c r="I188" s="607">
        <f>IF(B188="","",IF(F188=0,0,($C$2/1000)*'Tabla de Incrementos'!$J$16))</f>
        <v>12916.061850688917</v>
      </c>
      <c r="J188" s="607">
        <f t="shared" si="54"/>
        <v>0</v>
      </c>
      <c r="K188" s="607">
        <f t="shared" si="55"/>
        <v>0</v>
      </c>
      <c r="L188" s="607">
        <f t="shared" si="45"/>
        <v>299</v>
      </c>
      <c r="M188" s="607">
        <f>IF(B188="","",IF(A188=0,0,AportPat!L185))</f>
        <v>0</v>
      </c>
      <c r="N188" s="601">
        <f>Simulador!N248</f>
        <v>0</v>
      </c>
      <c r="O188" s="608">
        <v>0</v>
      </c>
      <c r="P188" s="607">
        <f t="shared" si="56"/>
        <v>13215.061850688917</v>
      </c>
      <c r="Q188" s="607">
        <f t="shared" si="39"/>
        <v>603011.22081672167</v>
      </c>
      <c r="S188" s="120">
        <v>0.11</v>
      </c>
      <c r="T188" s="198">
        <f t="shared" si="40"/>
        <v>182</v>
      </c>
      <c r="U188" s="347">
        <f t="shared" si="57"/>
        <v>610258.65780160902</v>
      </c>
      <c r="V188" s="347">
        <f t="shared" si="46"/>
        <v>7247.4369848873048</v>
      </c>
      <c r="W188" s="347">
        <f t="shared" si="47"/>
        <v>5668.624865801612</v>
      </c>
      <c r="X188" s="607">
        <f>IF(T188="","",IF(U188=0,0,($C$2/1000)*'Tabla de Incrementos'!$J$16))</f>
        <v>12916.061850688917</v>
      </c>
      <c r="Y188" s="607">
        <f t="shared" si="41"/>
        <v>0</v>
      </c>
      <c r="Z188" s="607">
        <f t="shared" si="48"/>
        <v>0</v>
      </c>
      <c r="AA188" s="557">
        <f t="shared" si="49"/>
        <v>299</v>
      </c>
      <c r="AB188" s="557">
        <f t="shared" si="50"/>
        <v>13215.061850688917</v>
      </c>
    </row>
    <row r="189" spans="1:28" x14ac:dyDescent="0.35">
      <c r="A189" s="595">
        <f t="shared" si="42"/>
        <v>1</v>
      </c>
      <c r="B189" s="596">
        <f t="shared" si="51"/>
        <v>183</v>
      </c>
      <c r="C189" s="597">
        <f ca="1">IF(B189="","",'Fecha Pago'!K186)</f>
        <v>51716</v>
      </c>
      <c r="D189" s="598">
        <f t="shared" si="52"/>
        <v>30.4</v>
      </c>
      <c r="E189" s="599">
        <f>IF(B189="","",'Tabla de Incrementos'!$C$4)</f>
        <v>0.11</v>
      </c>
      <c r="F189" s="600">
        <f t="shared" si="43"/>
        <v>603011.22081672167</v>
      </c>
      <c r="G189" s="600">
        <f t="shared" si="53"/>
        <v>7314.7576217691467</v>
      </c>
      <c r="H189" s="600">
        <f t="shared" si="44"/>
        <v>5601.3042289197701</v>
      </c>
      <c r="I189" s="600">
        <f>IF(B189="","",IF(F189=0,0,($C$2/1000)*'Tabla de Incrementos'!$J$16))</f>
        <v>12916.061850688917</v>
      </c>
      <c r="J189" s="600">
        <f t="shared" si="54"/>
        <v>0</v>
      </c>
      <c r="K189" s="600">
        <f t="shared" si="55"/>
        <v>0</v>
      </c>
      <c r="L189" s="600">
        <f t="shared" si="45"/>
        <v>299</v>
      </c>
      <c r="M189" s="600">
        <f>IF(B189="","",IF(A189=0,0,AportPat!L186))</f>
        <v>0</v>
      </c>
      <c r="N189" s="601">
        <f>Simulador!N249</f>
        <v>0</v>
      </c>
      <c r="O189" s="608">
        <v>0</v>
      </c>
      <c r="P189" s="600">
        <f t="shared" si="56"/>
        <v>13215.061850688917</v>
      </c>
      <c r="Q189" s="600">
        <f t="shared" si="39"/>
        <v>595696.46319495258</v>
      </c>
      <c r="S189" s="120">
        <v>0.11</v>
      </c>
      <c r="T189" s="198">
        <f t="shared" si="40"/>
        <v>183</v>
      </c>
      <c r="U189" s="347">
        <f t="shared" si="57"/>
        <v>603011.22081672167</v>
      </c>
      <c r="V189" s="347">
        <f t="shared" si="46"/>
        <v>7314.7576217691467</v>
      </c>
      <c r="W189" s="347">
        <f t="shared" si="47"/>
        <v>5601.3042289197701</v>
      </c>
      <c r="X189" s="600">
        <f>IF(T189="","",IF(U189=0,0,($C$2/1000)*'Tabla de Incrementos'!$J$16))</f>
        <v>12916.061850688917</v>
      </c>
      <c r="Y189" s="600">
        <f t="shared" si="41"/>
        <v>0</v>
      </c>
      <c r="Z189" s="600">
        <f t="shared" si="48"/>
        <v>0</v>
      </c>
      <c r="AA189" s="557">
        <f t="shared" si="49"/>
        <v>299</v>
      </c>
      <c r="AB189" s="557">
        <f t="shared" si="50"/>
        <v>13215.061850688917</v>
      </c>
    </row>
    <row r="190" spans="1:28" x14ac:dyDescent="0.35">
      <c r="A190" s="595">
        <f t="shared" si="42"/>
        <v>1</v>
      </c>
      <c r="B190" s="596">
        <f t="shared" si="51"/>
        <v>184</v>
      </c>
      <c r="C190" s="597">
        <f ca="1">IF(B190="","",'Fecha Pago'!K187)</f>
        <v>51747</v>
      </c>
      <c r="D190" s="598">
        <f t="shared" si="52"/>
        <v>30.4</v>
      </c>
      <c r="E190" s="599">
        <f>IF(B190="","",'Tabla de Incrementos'!$C$4)</f>
        <v>0.11</v>
      </c>
      <c r="F190" s="600">
        <f t="shared" si="43"/>
        <v>595696.46319495258</v>
      </c>
      <c r="G190" s="600">
        <f t="shared" si="53"/>
        <v>7382.7035925669134</v>
      </c>
      <c r="H190" s="600">
        <f t="shared" si="44"/>
        <v>5533.3582581220035</v>
      </c>
      <c r="I190" s="600">
        <f>IF(B190="","",IF(F190=0,0,($C$2/1000)*'Tabla de Incrementos'!$J$16))</f>
        <v>12916.061850688917</v>
      </c>
      <c r="J190" s="600">
        <f t="shared" si="54"/>
        <v>0</v>
      </c>
      <c r="K190" s="600">
        <f t="shared" si="55"/>
        <v>0</v>
      </c>
      <c r="L190" s="600">
        <f t="shared" si="45"/>
        <v>299</v>
      </c>
      <c r="M190" s="600">
        <f>IF(B190="","",IF(A190=0,0,AportPat!L187))</f>
        <v>0</v>
      </c>
      <c r="N190" s="601">
        <f>Simulador!N250</f>
        <v>0</v>
      </c>
      <c r="O190" s="608">
        <v>0</v>
      </c>
      <c r="P190" s="600">
        <f t="shared" si="56"/>
        <v>13215.061850688917</v>
      </c>
      <c r="Q190" s="600">
        <f t="shared" si="39"/>
        <v>588313.75960238569</v>
      </c>
      <c r="S190" s="120">
        <v>0.11</v>
      </c>
      <c r="T190" s="198">
        <f t="shared" si="40"/>
        <v>184</v>
      </c>
      <c r="U190" s="347">
        <f t="shared" si="57"/>
        <v>595696.46319495258</v>
      </c>
      <c r="V190" s="347">
        <f t="shared" si="46"/>
        <v>7382.7035925669134</v>
      </c>
      <c r="W190" s="347">
        <f t="shared" si="47"/>
        <v>5533.3582581220035</v>
      </c>
      <c r="X190" s="600">
        <f>IF(T190="","",IF(U190=0,0,($C$2/1000)*'Tabla de Incrementos'!$J$16))</f>
        <v>12916.061850688917</v>
      </c>
      <c r="Y190" s="600">
        <f t="shared" si="41"/>
        <v>0</v>
      </c>
      <c r="Z190" s="600">
        <f t="shared" si="48"/>
        <v>0</v>
      </c>
      <c r="AA190" s="557">
        <f t="shared" si="49"/>
        <v>299</v>
      </c>
      <c r="AB190" s="557">
        <f t="shared" si="50"/>
        <v>13215.061850688917</v>
      </c>
    </row>
    <row r="191" spans="1:28" x14ac:dyDescent="0.35">
      <c r="A191" s="595">
        <f t="shared" si="42"/>
        <v>1</v>
      </c>
      <c r="B191" s="596">
        <f t="shared" si="51"/>
        <v>185</v>
      </c>
      <c r="C191" s="597">
        <f ca="1">IF(B191="","",'Fecha Pago'!K188)</f>
        <v>51777</v>
      </c>
      <c r="D191" s="598">
        <f t="shared" si="52"/>
        <v>30.4</v>
      </c>
      <c r="E191" s="599">
        <f>IF(B191="","",'Tabla de Incrementos'!$C$4)</f>
        <v>0.11</v>
      </c>
      <c r="F191" s="600">
        <f t="shared" si="43"/>
        <v>588313.75960238569</v>
      </c>
      <c r="G191" s="600">
        <f t="shared" si="53"/>
        <v>7451.2807059378683</v>
      </c>
      <c r="H191" s="600">
        <f t="shared" si="44"/>
        <v>5464.7811447510485</v>
      </c>
      <c r="I191" s="600">
        <f>IF(B191="","",IF(F191=0,0,($C$2/1000)*'Tabla de Incrementos'!$J$16))</f>
        <v>12916.061850688917</v>
      </c>
      <c r="J191" s="600">
        <f t="shared" si="54"/>
        <v>0</v>
      </c>
      <c r="K191" s="600">
        <f t="shared" si="55"/>
        <v>0</v>
      </c>
      <c r="L191" s="600">
        <f t="shared" si="45"/>
        <v>299</v>
      </c>
      <c r="M191" s="600">
        <f>IF(B191="","",IF(A191=0,0,AportPat!L188))</f>
        <v>0</v>
      </c>
      <c r="N191" s="601">
        <f>Simulador!N251</f>
        <v>0</v>
      </c>
      <c r="O191" s="608">
        <v>0</v>
      </c>
      <c r="P191" s="600">
        <f t="shared" si="56"/>
        <v>13215.061850688917</v>
      </c>
      <c r="Q191" s="600">
        <f t="shared" si="39"/>
        <v>580862.47889644781</v>
      </c>
      <c r="S191" s="120">
        <v>0.11</v>
      </c>
      <c r="T191" s="198">
        <f t="shared" si="40"/>
        <v>185</v>
      </c>
      <c r="U191" s="347">
        <f t="shared" si="57"/>
        <v>588313.75960238569</v>
      </c>
      <c r="V191" s="347">
        <f t="shared" si="46"/>
        <v>7451.2807059378683</v>
      </c>
      <c r="W191" s="347">
        <f t="shared" si="47"/>
        <v>5464.7811447510485</v>
      </c>
      <c r="X191" s="600">
        <f>IF(T191="","",IF(U191=0,0,($C$2/1000)*'Tabla de Incrementos'!$J$16))</f>
        <v>12916.061850688917</v>
      </c>
      <c r="Y191" s="600">
        <f t="shared" si="41"/>
        <v>0</v>
      </c>
      <c r="Z191" s="600">
        <f t="shared" si="48"/>
        <v>0</v>
      </c>
      <c r="AA191" s="557">
        <f t="shared" si="49"/>
        <v>299</v>
      </c>
      <c r="AB191" s="557">
        <f t="shared" si="50"/>
        <v>13215.061850688917</v>
      </c>
    </row>
    <row r="192" spans="1:28" x14ac:dyDescent="0.35">
      <c r="A192" s="595">
        <f t="shared" si="42"/>
        <v>1</v>
      </c>
      <c r="B192" s="596">
        <f t="shared" si="51"/>
        <v>186</v>
      </c>
      <c r="C192" s="597">
        <f ca="1">IF(B192="","",'Fecha Pago'!K189)</f>
        <v>51808</v>
      </c>
      <c r="D192" s="598">
        <f t="shared" si="52"/>
        <v>30.4</v>
      </c>
      <c r="E192" s="599">
        <f>IF(B192="","",'Tabla de Incrementos'!$C$4)</f>
        <v>0.11</v>
      </c>
      <c r="F192" s="600">
        <f t="shared" si="43"/>
        <v>580862.47889644781</v>
      </c>
      <c r="G192" s="600">
        <f t="shared" si="53"/>
        <v>7520.4948244952466</v>
      </c>
      <c r="H192" s="600">
        <f t="shared" si="44"/>
        <v>5395.5670261936702</v>
      </c>
      <c r="I192" s="600">
        <f>IF(B192="","",IF(F192=0,0,($C$2/1000)*'Tabla de Incrementos'!$J$16))</f>
        <v>12916.061850688917</v>
      </c>
      <c r="J192" s="600">
        <f t="shared" si="54"/>
        <v>0</v>
      </c>
      <c r="K192" s="600">
        <f t="shared" si="55"/>
        <v>0</v>
      </c>
      <c r="L192" s="600">
        <f t="shared" si="45"/>
        <v>299</v>
      </c>
      <c r="M192" s="600">
        <f>IF(B192="","",IF(A192=0,0,AportPat!L189))</f>
        <v>0</v>
      </c>
      <c r="N192" s="601">
        <f>Simulador!N252</f>
        <v>0</v>
      </c>
      <c r="O192" s="608">
        <v>0</v>
      </c>
      <c r="P192" s="600">
        <f t="shared" si="56"/>
        <v>13215.061850688917</v>
      </c>
      <c r="Q192" s="600">
        <f t="shared" si="39"/>
        <v>573341.98407195252</v>
      </c>
      <c r="S192" s="120">
        <v>0.11</v>
      </c>
      <c r="T192" s="198">
        <f t="shared" si="40"/>
        <v>186</v>
      </c>
      <c r="U192" s="347">
        <f t="shared" si="57"/>
        <v>580862.47889644781</v>
      </c>
      <c r="V192" s="347">
        <f t="shared" si="46"/>
        <v>7520.4948244952466</v>
      </c>
      <c r="W192" s="347">
        <f t="shared" si="47"/>
        <v>5395.5670261936702</v>
      </c>
      <c r="X192" s="600">
        <f>IF(T192="","",IF(U192=0,0,($C$2/1000)*'Tabla de Incrementos'!$J$16))</f>
        <v>12916.061850688917</v>
      </c>
      <c r="Y192" s="600">
        <f t="shared" si="41"/>
        <v>0</v>
      </c>
      <c r="Z192" s="600">
        <f t="shared" si="48"/>
        <v>0</v>
      </c>
      <c r="AA192" s="557">
        <f t="shared" si="49"/>
        <v>299</v>
      </c>
      <c r="AB192" s="557">
        <f t="shared" si="50"/>
        <v>13215.061850688917</v>
      </c>
    </row>
    <row r="193" spans="1:28" x14ac:dyDescent="0.35">
      <c r="A193" s="595">
        <f t="shared" si="42"/>
        <v>1</v>
      </c>
      <c r="B193" s="596">
        <f t="shared" si="51"/>
        <v>187</v>
      </c>
      <c r="C193" s="597">
        <f ca="1">IF(B193="","",'Fecha Pago'!K190)</f>
        <v>51838</v>
      </c>
      <c r="D193" s="598">
        <f t="shared" si="52"/>
        <v>30.4</v>
      </c>
      <c r="E193" s="599">
        <f>IF(B193="","",'Tabla de Incrementos'!$C$4)</f>
        <v>0.11</v>
      </c>
      <c r="F193" s="600">
        <f t="shared" si="43"/>
        <v>573341.98407195252</v>
      </c>
      <c r="G193" s="600">
        <f t="shared" si="53"/>
        <v>7590.351865309447</v>
      </c>
      <c r="H193" s="600">
        <f t="shared" si="44"/>
        <v>5325.7099853794698</v>
      </c>
      <c r="I193" s="600">
        <f>IF(B193="","",IF(F193=0,0,($C$2/1000)*'Tabla de Incrementos'!$J$16))</f>
        <v>12916.061850688917</v>
      </c>
      <c r="J193" s="600">
        <f t="shared" si="54"/>
        <v>0</v>
      </c>
      <c r="K193" s="600">
        <f t="shared" si="55"/>
        <v>0</v>
      </c>
      <c r="L193" s="600">
        <f t="shared" si="45"/>
        <v>299</v>
      </c>
      <c r="M193" s="600">
        <f>IF(B193="","",IF(A193=0,0,AportPat!L190))</f>
        <v>0</v>
      </c>
      <c r="N193" s="601">
        <f>Simulador!N253</f>
        <v>0</v>
      </c>
      <c r="O193" s="608">
        <v>0</v>
      </c>
      <c r="P193" s="600">
        <f t="shared" si="56"/>
        <v>13215.061850688917</v>
      </c>
      <c r="Q193" s="600">
        <f t="shared" si="39"/>
        <v>565751.63220664312</v>
      </c>
      <c r="S193" s="120">
        <v>0.11</v>
      </c>
      <c r="T193" s="198">
        <f t="shared" si="40"/>
        <v>187</v>
      </c>
      <c r="U193" s="347">
        <f t="shared" si="57"/>
        <v>573341.98407195252</v>
      </c>
      <c r="V193" s="347">
        <f t="shared" si="46"/>
        <v>7590.351865309447</v>
      </c>
      <c r="W193" s="347">
        <f t="shared" si="47"/>
        <v>5325.7099853794698</v>
      </c>
      <c r="X193" s="600">
        <f>IF(T193="","",IF(U193=0,0,($C$2/1000)*'Tabla de Incrementos'!$J$16))</f>
        <v>12916.061850688917</v>
      </c>
      <c r="Y193" s="600">
        <f t="shared" si="41"/>
        <v>0</v>
      </c>
      <c r="Z193" s="600">
        <f t="shared" si="48"/>
        <v>0</v>
      </c>
      <c r="AA193" s="557">
        <f t="shared" si="49"/>
        <v>299</v>
      </c>
      <c r="AB193" s="557">
        <f t="shared" si="50"/>
        <v>13215.061850688917</v>
      </c>
    </row>
    <row r="194" spans="1:28" x14ac:dyDescent="0.35">
      <c r="A194" s="595">
        <f t="shared" si="42"/>
        <v>1</v>
      </c>
      <c r="B194" s="596">
        <f t="shared" si="51"/>
        <v>188</v>
      </c>
      <c r="C194" s="597">
        <f ca="1">IF(B194="","",'Fecha Pago'!K191)</f>
        <v>51869</v>
      </c>
      <c r="D194" s="598">
        <f t="shared" si="52"/>
        <v>30.4</v>
      </c>
      <c r="E194" s="599">
        <f>IF(B194="","",'Tabla de Incrementos'!$C$4)</f>
        <v>0.11</v>
      </c>
      <c r="F194" s="600">
        <f t="shared" si="43"/>
        <v>565751.63220664312</v>
      </c>
      <c r="G194" s="600">
        <f t="shared" si="53"/>
        <v>7660.8578004138772</v>
      </c>
      <c r="H194" s="600">
        <f t="shared" si="44"/>
        <v>5255.2040502750397</v>
      </c>
      <c r="I194" s="600">
        <f>IF(B194="","",IF(F194=0,0,($C$2/1000)*'Tabla de Incrementos'!$J$16))</f>
        <v>12916.061850688917</v>
      </c>
      <c r="J194" s="600">
        <f t="shared" si="54"/>
        <v>0</v>
      </c>
      <c r="K194" s="600">
        <f t="shared" si="55"/>
        <v>0</v>
      </c>
      <c r="L194" s="600">
        <f t="shared" si="45"/>
        <v>299</v>
      </c>
      <c r="M194" s="600">
        <f>IF(B194="","",IF(A194=0,0,AportPat!L191))</f>
        <v>0</v>
      </c>
      <c r="N194" s="601">
        <f>Simulador!N254</f>
        <v>0</v>
      </c>
      <c r="O194" s="608">
        <v>0</v>
      </c>
      <c r="P194" s="600">
        <f t="shared" si="56"/>
        <v>13215.061850688917</v>
      </c>
      <c r="Q194" s="600">
        <f t="shared" si="39"/>
        <v>558090.77440622926</v>
      </c>
      <c r="S194" s="120">
        <v>0.11</v>
      </c>
      <c r="T194" s="198">
        <f t="shared" si="40"/>
        <v>188</v>
      </c>
      <c r="U194" s="347">
        <f t="shared" si="57"/>
        <v>565751.63220664312</v>
      </c>
      <c r="V194" s="347">
        <f t="shared" si="46"/>
        <v>7660.8578004138772</v>
      </c>
      <c r="W194" s="347">
        <f t="shared" si="47"/>
        <v>5255.2040502750397</v>
      </c>
      <c r="X194" s="600">
        <f>IF(T194="","",IF(U194=0,0,($C$2/1000)*'Tabla de Incrementos'!$J$16))</f>
        <v>12916.061850688917</v>
      </c>
      <c r="Y194" s="600">
        <f t="shared" si="41"/>
        <v>0</v>
      </c>
      <c r="Z194" s="600">
        <f t="shared" si="48"/>
        <v>0</v>
      </c>
      <c r="AA194" s="557">
        <f t="shared" si="49"/>
        <v>299</v>
      </c>
      <c r="AB194" s="557">
        <f t="shared" si="50"/>
        <v>13215.061850688917</v>
      </c>
    </row>
    <row r="195" spans="1:28" x14ac:dyDescent="0.35">
      <c r="A195" s="595">
        <f t="shared" si="42"/>
        <v>1</v>
      </c>
      <c r="B195" s="596">
        <f t="shared" si="51"/>
        <v>189</v>
      </c>
      <c r="C195" s="597">
        <f ca="1">IF(B195="","",'Fecha Pago'!K192)</f>
        <v>51900</v>
      </c>
      <c r="D195" s="598">
        <f t="shared" si="52"/>
        <v>30.4</v>
      </c>
      <c r="E195" s="599">
        <f>IF(B195="","",'Tabla de Incrementos'!$C$4)</f>
        <v>0.11</v>
      </c>
      <c r="F195" s="600">
        <f t="shared" si="43"/>
        <v>558090.77440622926</v>
      </c>
      <c r="G195" s="600">
        <f t="shared" si="53"/>
        <v>7732.0186573154988</v>
      </c>
      <c r="H195" s="600">
        <f t="shared" si="44"/>
        <v>5184.043193373418</v>
      </c>
      <c r="I195" s="600">
        <f>IF(B195="","",IF(F195=0,0,($C$2/1000)*'Tabla de Incrementos'!$J$16))</f>
        <v>12916.061850688917</v>
      </c>
      <c r="J195" s="600">
        <f t="shared" si="54"/>
        <v>0</v>
      </c>
      <c r="K195" s="600">
        <f t="shared" si="55"/>
        <v>0</v>
      </c>
      <c r="L195" s="600">
        <f t="shared" si="45"/>
        <v>299</v>
      </c>
      <c r="M195" s="600">
        <f>IF(B195="","",IF(A195=0,0,AportPat!L192))</f>
        <v>0</v>
      </c>
      <c r="N195" s="601">
        <f>Simulador!N255</f>
        <v>0</v>
      </c>
      <c r="O195" s="608">
        <v>0</v>
      </c>
      <c r="P195" s="600">
        <f t="shared" si="56"/>
        <v>13215.061850688917</v>
      </c>
      <c r="Q195" s="600">
        <f t="shared" si="39"/>
        <v>550358.75574891374</v>
      </c>
      <c r="S195" s="120">
        <v>0.11</v>
      </c>
      <c r="T195" s="198">
        <f t="shared" si="40"/>
        <v>189</v>
      </c>
      <c r="U195" s="347">
        <f t="shared" si="57"/>
        <v>558090.77440622926</v>
      </c>
      <c r="V195" s="347">
        <f t="shared" si="46"/>
        <v>7732.0186573154988</v>
      </c>
      <c r="W195" s="347">
        <f t="shared" si="47"/>
        <v>5184.043193373418</v>
      </c>
      <c r="X195" s="600">
        <f>IF(T195="","",IF(U195=0,0,($C$2/1000)*'Tabla de Incrementos'!$J$16))</f>
        <v>12916.061850688917</v>
      </c>
      <c r="Y195" s="600">
        <f t="shared" si="41"/>
        <v>0</v>
      </c>
      <c r="Z195" s="600">
        <f t="shared" si="48"/>
        <v>0</v>
      </c>
      <c r="AA195" s="557">
        <f t="shared" si="49"/>
        <v>299</v>
      </c>
      <c r="AB195" s="557">
        <f t="shared" si="50"/>
        <v>13215.061850688917</v>
      </c>
    </row>
    <row r="196" spans="1:28" x14ac:dyDescent="0.35">
      <c r="A196" s="595">
        <f t="shared" si="42"/>
        <v>1</v>
      </c>
      <c r="B196" s="596">
        <f t="shared" si="51"/>
        <v>190</v>
      </c>
      <c r="C196" s="597">
        <f ca="1">IF(B196="","",'Fecha Pago'!K193)</f>
        <v>51928</v>
      </c>
      <c r="D196" s="598">
        <f t="shared" si="52"/>
        <v>30.4</v>
      </c>
      <c r="E196" s="599">
        <f>IF(B196="","",'Tabla de Incrementos'!$C$4)</f>
        <v>0.11</v>
      </c>
      <c r="F196" s="600">
        <f t="shared" si="43"/>
        <v>550358.75574891374</v>
      </c>
      <c r="G196" s="600">
        <f t="shared" si="53"/>
        <v>7803.8405195101186</v>
      </c>
      <c r="H196" s="600">
        <f t="shared" si="44"/>
        <v>5112.2213311787982</v>
      </c>
      <c r="I196" s="600">
        <f>IF(B196="","",IF(F196=0,0,($C$2/1000)*'Tabla de Incrementos'!$J$16))</f>
        <v>12916.061850688917</v>
      </c>
      <c r="J196" s="600">
        <f t="shared" si="54"/>
        <v>0</v>
      </c>
      <c r="K196" s="600">
        <f t="shared" si="55"/>
        <v>0</v>
      </c>
      <c r="L196" s="600">
        <f t="shared" si="45"/>
        <v>299</v>
      </c>
      <c r="M196" s="600">
        <f>IF(B196="","",IF(A196=0,0,AportPat!L193))</f>
        <v>0</v>
      </c>
      <c r="N196" s="601">
        <f>Simulador!N256</f>
        <v>0</v>
      </c>
      <c r="O196" s="608">
        <v>0</v>
      </c>
      <c r="P196" s="600">
        <f t="shared" si="56"/>
        <v>13215.061850688917</v>
      </c>
      <c r="Q196" s="600">
        <f t="shared" si="39"/>
        <v>542554.91522940365</v>
      </c>
      <c r="S196" s="120">
        <v>0.11</v>
      </c>
      <c r="T196" s="198">
        <f t="shared" si="40"/>
        <v>190</v>
      </c>
      <c r="U196" s="347">
        <f t="shared" si="57"/>
        <v>550358.75574891374</v>
      </c>
      <c r="V196" s="347">
        <f t="shared" si="46"/>
        <v>7803.8405195101186</v>
      </c>
      <c r="W196" s="347">
        <f t="shared" si="47"/>
        <v>5112.2213311787982</v>
      </c>
      <c r="X196" s="600">
        <f>IF(T196="","",IF(U196=0,0,($C$2/1000)*'Tabla de Incrementos'!$J$16))</f>
        <v>12916.061850688917</v>
      </c>
      <c r="Y196" s="600">
        <f t="shared" si="41"/>
        <v>0</v>
      </c>
      <c r="Z196" s="600">
        <f t="shared" si="48"/>
        <v>0</v>
      </c>
      <c r="AA196" s="557">
        <f t="shared" si="49"/>
        <v>299</v>
      </c>
      <c r="AB196" s="557">
        <f t="shared" si="50"/>
        <v>13215.061850688917</v>
      </c>
    </row>
    <row r="197" spans="1:28" x14ac:dyDescent="0.35">
      <c r="A197" s="595">
        <f t="shared" si="42"/>
        <v>1</v>
      </c>
      <c r="B197" s="596">
        <f t="shared" si="51"/>
        <v>191</v>
      </c>
      <c r="C197" s="597">
        <f ca="1">IF(B197="","",'Fecha Pago'!K194)</f>
        <v>51959</v>
      </c>
      <c r="D197" s="598">
        <f t="shared" si="52"/>
        <v>30.4</v>
      </c>
      <c r="E197" s="599">
        <f>IF(B197="","",'Tabla de Incrementos'!$C$4)</f>
        <v>0.11</v>
      </c>
      <c r="F197" s="600">
        <f t="shared" si="43"/>
        <v>542554.91522940365</v>
      </c>
      <c r="G197" s="600">
        <f t="shared" si="53"/>
        <v>7876.3295270024564</v>
      </c>
      <c r="H197" s="600">
        <f t="shared" si="44"/>
        <v>5039.7323236864604</v>
      </c>
      <c r="I197" s="600">
        <f>IF(B197="","",IF(F197=0,0,($C$2/1000)*'Tabla de Incrementos'!$J$16))</f>
        <v>12916.061850688917</v>
      </c>
      <c r="J197" s="600">
        <f t="shared" si="54"/>
        <v>0</v>
      </c>
      <c r="K197" s="600">
        <f t="shared" si="55"/>
        <v>0</v>
      </c>
      <c r="L197" s="600">
        <f t="shared" si="45"/>
        <v>299</v>
      </c>
      <c r="M197" s="600">
        <f>IF(B197="","",IF(A197=0,0,AportPat!L194))</f>
        <v>0</v>
      </c>
      <c r="N197" s="601">
        <f>Simulador!N257</f>
        <v>0</v>
      </c>
      <c r="O197" s="608">
        <v>0</v>
      </c>
      <c r="P197" s="600">
        <f t="shared" si="56"/>
        <v>13215.061850688917</v>
      </c>
      <c r="Q197" s="600">
        <f t="shared" si="39"/>
        <v>534678.58570240124</v>
      </c>
      <c r="S197" s="120">
        <v>0.11</v>
      </c>
      <c r="T197" s="198">
        <f t="shared" si="40"/>
        <v>191</v>
      </c>
      <c r="U197" s="347">
        <f t="shared" si="57"/>
        <v>542554.91522940365</v>
      </c>
      <c r="V197" s="347">
        <f t="shared" si="46"/>
        <v>7876.3295270024564</v>
      </c>
      <c r="W197" s="347">
        <f t="shared" si="47"/>
        <v>5039.7323236864604</v>
      </c>
      <c r="X197" s="600">
        <f>IF(T197="","",IF(U197=0,0,($C$2/1000)*'Tabla de Incrementos'!$J$16))</f>
        <v>12916.061850688917</v>
      </c>
      <c r="Y197" s="600">
        <f t="shared" si="41"/>
        <v>0</v>
      </c>
      <c r="Z197" s="600">
        <f t="shared" si="48"/>
        <v>0</v>
      </c>
      <c r="AA197" s="557">
        <f t="shared" si="49"/>
        <v>299</v>
      </c>
      <c r="AB197" s="557">
        <f t="shared" si="50"/>
        <v>13215.061850688917</v>
      </c>
    </row>
    <row r="198" spans="1:28" x14ac:dyDescent="0.35">
      <c r="A198" s="595">
        <f t="shared" si="42"/>
        <v>1</v>
      </c>
      <c r="B198" s="596">
        <f t="shared" si="51"/>
        <v>192</v>
      </c>
      <c r="C198" s="597">
        <f ca="1">IF(B198="","",'Fecha Pago'!K195)</f>
        <v>51989</v>
      </c>
      <c r="D198" s="598">
        <f t="shared" si="52"/>
        <v>30.4</v>
      </c>
      <c r="E198" s="599">
        <f>IF(B198="","",'Tabla de Incrementos'!$C$4)</f>
        <v>0.11</v>
      </c>
      <c r="F198" s="600">
        <f t="shared" si="43"/>
        <v>534678.58570240124</v>
      </c>
      <c r="G198" s="600">
        <f t="shared" si="53"/>
        <v>7949.4918768310572</v>
      </c>
      <c r="H198" s="600">
        <f t="shared" si="44"/>
        <v>4966.5699738578596</v>
      </c>
      <c r="I198" s="600">
        <f>IF(B198="","",IF(F198=0,0,($C$2/1000)*'Tabla de Incrementos'!$J$16))</f>
        <v>12916.061850688917</v>
      </c>
      <c r="J198" s="600">
        <f t="shared" si="54"/>
        <v>0</v>
      </c>
      <c r="K198" s="600">
        <f t="shared" si="55"/>
        <v>0</v>
      </c>
      <c r="L198" s="600">
        <f t="shared" si="45"/>
        <v>299</v>
      </c>
      <c r="M198" s="600">
        <f>IF(B198="","",IF(A198=0,0,AportPat!L195))</f>
        <v>0</v>
      </c>
      <c r="N198" s="601">
        <f>Simulador!N258</f>
        <v>0</v>
      </c>
      <c r="O198" s="608">
        <v>0</v>
      </c>
      <c r="P198" s="600">
        <f t="shared" si="56"/>
        <v>13215.061850688917</v>
      </c>
      <c r="Q198" s="600">
        <f t="shared" si="39"/>
        <v>526729.09382557019</v>
      </c>
      <c r="S198" s="120">
        <v>0.11</v>
      </c>
      <c r="T198" s="198">
        <f t="shared" si="40"/>
        <v>192</v>
      </c>
      <c r="U198" s="347">
        <f t="shared" si="57"/>
        <v>534678.58570240124</v>
      </c>
      <c r="V198" s="347">
        <f t="shared" si="46"/>
        <v>7949.4918768310572</v>
      </c>
      <c r="W198" s="347">
        <f t="shared" si="47"/>
        <v>4966.5699738578596</v>
      </c>
      <c r="X198" s="600">
        <f>IF(T198="","",IF(U198=0,0,($C$2/1000)*'Tabla de Incrementos'!$J$16))</f>
        <v>12916.061850688917</v>
      </c>
      <c r="Y198" s="600">
        <f t="shared" si="41"/>
        <v>0</v>
      </c>
      <c r="Z198" s="600">
        <f t="shared" si="48"/>
        <v>0</v>
      </c>
      <c r="AA198" s="557">
        <f t="shared" si="49"/>
        <v>299</v>
      </c>
      <c r="AB198" s="557">
        <f t="shared" si="50"/>
        <v>13215.061850688917</v>
      </c>
    </row>
    <row r="199" spans="1:28" x14ac:dyDescent="0.35">
      <c r="A199" s="595">
        <f t="shared" si="42"/>
        <v>1</v>
      </c>
      <c r="B199" s="596">
        <f t="shared" si="51"/>
        <v>193</v>
      </c>
      <c r="C199" s="597">
        <f ca="1">IF(B199="","",'Fecha Pago'!K196)</f>
        <v>52020</v>
      </c>
      <c r="D199" s="598">
        <f t="shared" si="52"/>
        <v>30.4</v>
      </c>
      <c r="E199" s="599">
        <f>IF(B199="","",'Tabla de Incrementos'!$C$4)</f>
        <v>0.11</v>
      </c>
      <c r="F199" s="600">
        <f t="shared" si="43"/>
        <v>526729.09382557019</v>
      </c>
      <c r="G199" s="600">
        <f t="shared" si="53"/>
        <v>8023.3338235980655</v>
      </c>
      <c r="H199" s="600">
        <f t="shared" si="44"/>
        <v>4892.7280270908514</v>
      </c>
      <c r="I199" s="600">
        <f>IF(B199="","",IF(F199=0,0,($C$2/1000)*'Tabla de Incrementos'!$J$16))</f>
        <v>12916.061850688917</v>
      </c>
      <c r="J199" s="600">
        <f t="shared" si="54"/>
        <v>0</v>
      </c>
      <c r="K199" s="600">
        <f t="shared" si="55"/>
        <v>0</v>
      </c>
      <c r="L199" s="600">
        <f t="shared" si="45"/>
        <v>299</v>
      </c>
      <c r="M199" s="600">
        <f>IF(B199="","",IF(A199=0,0,AportPat!L196))</f>
        <v>0</v>
      </c>
      <c r="N199" s="601">
        <f>Simulador!N259</f>
        <v>0</v>
      </c>
      <c r="O199" s="608">
        <v>0</v>
      </c>
      <c r="P199" s="600">
        <f t="shared" si="56"/>
        <v>13215.061850688917</v>
      </c>
      <c r="Q199" s="600">
        <f t="shared" ref="Q199:Q246" si="58">IF(B199="","",F199-G199)</f>
        <v>518705.76000197214</v>
      </c>
      <c r="S199" s="120">
        <v>0.11</v>
      </c>
      <c r="T199" s="198">
        <f t="shared" ref="T199:T246" si="59">B199</f>
        <v>193</v>
      </c>
      <c r="U199" s="347">
        <f t="shared" si="57"/>
        <v>526729.09382557019</v>
      </c>
      <c r="V199" s="347">
        <f t="shared" si="46"/>
        <v>8023.3338235980655</v>
      </c>
      <c r="W199" s="347">
        <f t="shared" si="47"/>
        <v>4892.7280270908514</v>
      </c>
      <c r="X199" s="600">
        <f>IF(T199="","",IF(U199=0,0,($C$2/1000)*'Tabla de Incrementos'!$J$16))</f>
        <v>12916.061850688917</v>
      </c>
      <c r="Y199" s="600">
        <f t="shared" ref="Y199:Y246" si="60">IF(T199="","",IF(U199=0,0,U199*$G$3))</f>
        <v>0</v>
      </c>
      <c r="Z199" s="600">
        <f t="shared" si="48"/>
        <v>0</v>
      </c>
      <c r="AA199" s="557">
        <f t="shared" si="49"/>
        <v>299</v>
      </c>
      <c r="AB199" s="557">
        <f t="shared" si="50"/>
        <v>13215.061850688917</v>
      </c>
    </row>
    <row r="200" spans="1:28" x14ac:dyDescent="0.35">
      <c r="A200" s="595">
        <f t="shared" ref="A200:A246" si="61">IF(B200="","",IF(F200&gt;0,1,0))</f>
        <v>1</v>
      </c>
      <c r="B200" s="604">
        <f t="shared" si="51"/>
        <v>194</v>
      </c>
      <c r="C200" s="597">
        <f ca="1">IF(B200="","",'Fecha Pago'!K197)</f>
        <v>52050</v>
      </c>
      <c r="D200" s="605">
        <f t="shared" si="52"/>
        <v>30.4</v>
      </c>
      <c r="E200" s="606">
        <f>IF(B200="","",'Tabla de Incrementos'!$C$4)</f>
        <v>0.11</v>
      </c>
      <c r="F200" s="607">
        <f t="shared" ref="F200:F246" si="62">IF(B200="","",Q199)</f>
        <v>518705.76000197214</v>
      </c>
      <c r="G200" s="607">
        <f t="shared" si="53"/>
        <v>8463.6317695563012</v>
      </c>
      <c r="H200" s="607">
        <f t="shared" ref="H200:H246" si="63">IF(B200="","",(E200/360*D200)*F200)</f>
        <v>4818.2001706849851</v>
      </c>
      <c r="I200" s="607">
        <f>IF(B200="","",IF(F200=0,0,($C$2/1000)*'Tabla de Incrementos'!$J$17))</f>
        <v>13281.831940241287</v>
      </c>
      <c r="J200" s="607">
        <f t="shared" si="54"/>
        <v>0</v>
      </c>
      <c r="K200" s="607">
        <f t="shared" si="55"/>
        <v>0</v>
      </c>
      <c r="L200" s="607">
        <f t="shared" ref="L200:L246" si="64">IF(B200="","",IF(F200=0,0,$J$3))</f>
        <v>299</v>
      </c>
      <c r="M200" s="607">
        <f>IF(B200="","",IF(A200=0,0,AportPat!L197))</f>
        <v>0</v>
      </c>
      <c r="N200" s="601">
        <f>Simulador!N260</f>
        <v>0</v>
      </c>
      <c r="O200" s="608">
        <v>0</v>
      </c>
      <c r="P200" s="607">
        <f t="shared" si="56"/>
        <v>13580.831940241285</v>
      </c>
      <c r="Q200" s="607">
        <f t="shared" si="58"/>
        <v>510242.12823241582</v>
      </c>
      <c r="S200" s="120">
        <v>0.11</v>
      </c>
      <c r="T200" s="198">
        <f t="shared" si="59"/>
        <v>194</v>
      </c>
      <c r="U200" s="347">
        <f t="shared" si="57"/>
        <v>518705.76000197214</v>
      </c>
      <c r="V200" s="347">
        <f t="shared" ref="V200:V245" si="65">IF(T200="","",IF(X200-W200&gt;U200,U200,X200-W200))</f>
        <v>8463.6317695563012</v>
      </c>
      <c r="W200" s="347">
        <f t="shared" ref="W200:W246" si="66">IF(T200="","",(S200/360*30.4)*U200)</f>
        <v>4818.2001706849851</v>
      </c>
      <c r="X200" s="607">
        <f>IF(T200="","",IF(U200=0,0,($C$2/1000)*'Tabla de Incrementos'!$J$17))</f>
        <v>13281.831940241287</v>
      </c>
      <c r="Y200" s="607">
        <f t="shared" si="60"/>
        <v>0</v>
      </c>
      <c r="Z200" s="607">
        <f t="shared" ref="Z200:Z246" si="67">IF(T200="","",IF(U200=0,0,$C$4*($G$4/1.16)))</f>
        <v>0</v>
      </c>
      <c r="AA200" s="557">
        <f t="shared" ref="AA200:AA246" si="68">IF(T200="","",$J$3)</f>
        <v>299</v>
      </c>
      <c r="AB200" s="557">
        <f t="shared" ref="AB200:AB246" si="69">IF(T200="","",V200+W200+Y200+Z200+AA200)</f>
        <v>13580.831940241285</v>
      </c>
    </row>
    <row r="201" spans="1:28" x14ac:dyDescent="0.35">
      <c r="A201" s="595">
        <f t="shared" si="61"/>
        <v>1</v>
      </c>
      <c r="B201" s="596">
        <f t="shared" ref="B201:B264" si="70">IF(B200=$C$3,"",IF(B200="","",B200+1))</f>
        <v>195</v>
      </c>
      <c r="C201" s="597">
        <f ca="1">IF(B201="","",'Fecha Pago'!K198)</f>
        <v>52081</v>
      </c>
      <c r="D201" s="598">
        <f t="shared" ref="D201:D246" si="71">IF(B201="","",30.4)</f>
        <v>30.4</v>
      </c>
      <c r="E201" s="599">
        <f>IF(B201="","",'Tabla de Incrementos'!$C$4)</f>
        <v>0.11</v>
      </c>
      <c r="F201" s="600">
        <f t="shared" si="62"/>
        <v>510242.12823241582</v>
      </c>
      <c r="G201" s="600">
        <f t="shared" ref="G201:G246" si="72">IF(B201="","",IF(F201=0,0,IF((I201-H201)&gt;F201,F201,I201-H201))+M201+(N201-O201))</f>
        <v>8542.2495046601798</v>
      </c>
      <c r="H201" s="600">
        <f t="shared" si="63"/>
        <v>4739.5824355811064</v>
      </c>
      <c r="I201" s="600">
        <f>IF(B201="","",IF(F201=0,0,($C$2/1000)*'Tabla de Incrementos'!$J$17))</f>
        <v>13281.831940241287</v>
      </c>
      <c r="J201" s="600">
        <f t="shared" ref="J201:J246" si="73">IF(B201="","",IF(F201=0,0,F201*$G$3))</f>
        <v>0</v>
      </c>
      <c r="K201" s="600">
        <f t="shared" ref="K201:K246" si="74">IF(B201="","",IF(F201=0,0,$C$4*$G$4))</f>
        <v>0</v>
      </c>
      <c r="L201" s="600">
        <f t="shared" si="64"/>
        <v>299</v>
      </c>
      <c r="M201" s="600">
        <f>IF(B201="","",IF(A201=0,0,AportPat!L198))</f>
        <v>0</v>
      </c>
      <c r="N201" s="601">
        <f>Simulador!N261</f>
        <v>0</v>
      </c>
      <c r="O201" s="608">
        <v>0</v>
      </c>
      <c r="P201" s="600">
        <f t="shared" ref="P201:P246" si="75">IF(B201="","",G201+H201+J201+K201+L201+O201-M201)</f>
        <v>13580.831940241285</v>
      </c>
      <c r="Q201" s="600">
        <f t="shared" si="58"/>
        <v>501699.87872775563</v>
      </c>
      <c r="S201" s="120">
        <v>0.11</v>
      </c>
      <c r="T201" s="198">
        <f t="shared" si="59"/>
        <v>195</v>
      </c>
      <c r="U201" s="347">
        <f t="shared" ref="U201:U246" si="76">IF(T201="","",U200-V200)</f>
        <v>510242.12823241582</v>
      </c>
      <c r="V201" s="347">
        <f t="shared" si="65"/>
        <v>8542.2495046601798</v>
      </c>
      <c r="W201" s="347">
        <f t="shared" si="66"/>
        <v>4739.5824355811064</v>
      </c>
      <c r="X201" s="600">
        <f>IF(T201="","",IF(U201=0,0,($C$2/1000)*'Tabla de Incrementos'!$J$17))</f>
        <v>13281.831940241287</v>
      </c>
      <c r="Y201" s="600">
        <f t="shared" si="60"/>
        <v>0</v>
      </c>
      <c r="Z201" s="600">
        <f t="shared" si="67"/>
        <v>0</v>
      </c>
      <c r="AA201" s="557">
        <f t="shared" si="68"/>
        <v>299</v>
      </c>
      <c r="AB201" s="557">
        <f t="shared" si="69"/>
        <v>13580.831940241285</v>
      </c>
    </row>
    <row r="202" spans="1:28" x14ac:dyDescent="0.35">
      <c r="A202" s="595">
        <f t="shared" si="61"/>
        <v>1</v>
      </c>
      <c r="B202" s="596">
        <f t="shared" si="70"/>
        <v>196</v>
      </c>
      <c r="C202" s="597">
        <f ca="1">IF(B202="","",'Fecha Pago'!K199)</f>
        <v>52112</v>
      </c>
      <c r="D202" s="598">
        <f t="shared" si="71"/>
        <v>30.4</v>
      </c>
      <c r="E202" s="599">
        <f>IF(B202="","",'Tabla de Incrementos'!$C$4)</f>
        <v>0.11</v>
      </c>
      <c r="F202" s="600">
        <f t="shared" si="62"/>
        <v>501699.87872775563</v>
      </c>
      <c r="G202" s="600">
        <f t="shared" si="72"/>
        <v>8621.5975111701355</v>
      </c>
      <c r="H202" s="600">
        <f t="shared" si="63"/>
        <v>4660.2344290711517</v>
      </c>
      <c r="I202" s="600">
        <f>IF(B202="","",IF(F202=0,0,($C$2/1000)*'Tabla de Incrementos'!$J$17))</f>
        <v>13281.831940241287</v>
      </c>
      <c r="J202" s="600">
        <f t="shared" si="73"/>
        <v>0</v>
      </c>
      <c r="K202" s="600">
        <f t="shared" si="74"/>
        <v>0</v>
      </c>
      <c r="L202" s="600">
        <f t="shared" si="64"/>
        <v>299</v>
      </c>
      <c r="M202" s="600">
        <f>IF(B202="","",IF(A202=0,0,AportPat!L199))</f>
        <v>0</v>
      </c>
      <c r="N202" s="601">
        <f>Simulador!N262</f>
        <v>0</v>
      </c>
      <c r="O202" s="608">
        <v>0</v>
      </c>
      <c r="P202" s="600">
        <f t="shared" si="75"/>
        <v>13580.831940241287</v>
      </c>
      <c r="Q202" s="600">
        <f t="shared" si="58"/>
        <v>493078.28121658548</v>
      </c>
      <c r="S202" s="120">
        <v>0.11</v>
      </c>
      <c r="T202" s="198">
        <f t="shared" si="59"/>
        <v>196</v>
      </c>
      <c r="U202" s="347">
        <f t="shared" si="76"/>
        <v>501699.87872775563</v>
      </c>
      <c r="V202" s="347">
        <f t="shared" si="65"/>
        <v>8621.5975111701355</v>
      </c>
      <c r="W202" s="347">
        <f t="shared" si="66"/>
        <v>4660.2344290711517</v>
      </c>
      <c r="X202" s="600">
        <f>IF(T202="","",IF(U202=0,0,($C$2/1000)*'Tabla de Incrementos'!$J$17))</f>
        <v>13281.831940241287</v>
      </c>
      <c r="Y202" s="600">
        <f t="shared" si="60"/>
        <v>0</v>
      </c>
      <c r="Z202" s="600">
        <f t="shared" si="67"/>
        <v>0</v>
      </c>
      <c r="AA202" s="557">
        <f t="shared" si="68"/>
        <v>299</v>
      </c>
      <c r="AB202" s="557">
        <f t="shared" si="69"/>
        <v>13580.831940241287</v>
      </c>
    </row>
    <row r="203" spans="1:28" x14ac:dyDescent="0.35">
      <c r="A203" s="595">
        <f t="shared" si="61"/>
        <v>1</v>
      </c>
      <c r="B203" s="596">
        <f t="shared" si="70"/>
        <v>197</v>
      </c>
      <c r="C203" s="597">
        <f ca="1">IF(B203="","",'Fecha Pago'!K200)</f>
        <v>52142</v>
      </c>
      <c r="D203" s="598">
        <f t="shared" si="71"/>
        <v>30.4</v>
      </c>
      <c r="E203" s="599">
        <f>IF(B203="","",'Tabla de Incrementos'!$C$4)</f>
        <v>0.11</v>
      </c>
      <c r="F203" s="600">
        <f t="shared" si="62"/>
        <v>493078.28121658548</v>
      </c>
      <c r="G203" s="600">
        <f t="shared" si="72"/>
        <v>8701.6825724961163</v>
      </c>
      <c r="H203" s="600">
        <f t="shared" si="63"/>
        <v>4580.1493677451717</v>
      </c>
      <c r="I203" s="600">
        <f>IF(B203="","",IF(F203=0,0,($C$2/1000)*'Tabla de Incrementos'!$J$17))</f>
        <v>13281.831940241287</v>
      </c>
      <c r="J203" s="600">
        <f t="shared" si="73"/>
        <v>0</v>
      </c>
      <c r="K203" s="600">
        <f t="shared" si="74"/>
        <v>0</v>
      </c>
      <c r="L203" s="600">
        <f t="shared" si="64"/>
        <v>299</v>
      </c>
      <c r="M203" s="600">
        <f>IF(B203="","",IF(A203=0,0,AportPat!L200))</f>
        <v>0</v>
      </c>
      <c r="N203" s="601">
        <f>Simulador!N263</f>
        <v>0</v>
      </c>
      <c r="O203" s="608">
        <v>0</v>
      </c>
      <c r="P203" s="600">
        <f t="shared" si="75"/>
        <v>13580.831940241289</v>
      </c>
      <c r="Q203" s="600">
        <f t="shared" si="58"/>
        <v>484376.59864408936</v>
      </c>
      <c r="S203" s="120">
        <v>0.11</v>
      </c>
      <c r="T203" s="198">
        <f t="shared" si="59"/>
        <v>197</v>
      </c>
      <c r="U203" s="347">
        <f t="shared" si="76"/>
        <v>493078.28121658548</v>
      </c>
      <c r="V203" s="347">
        <f t="shared" si="65"/>
        <v>8701.6825724961163</v>
      </c>
      <c r="W203" s="347">
        <f t="shared" si="66"/>
        <v>4580.1493677451717</v>
      </c>
      <c r="X203" s="600">
        <f>IF(T203="","",IF(U203=0,0,($C$2/1000)*'Tabla de Incrementos'!$J$17))</f>
        <v>13281.831940241287</v>
      </c>
      <c r="Y203" s="600">
        <f t="shared" si="60"/>
        <v>0</v>
      </c>
      <c r="Z203" s="600">
        <f t="shared" si="67"/>
        <v>0</v>
      </c>
      <c r="AA203" s="557">
        <f t="shared" si="68"/>
        <v>299</v>
      </c>
      <c r="AB203" s="557">
        <f t="shared" si="69"/>
        <v>13580.831940241289</v>
      </c>
    </row>
    <row r="204" spans="1:28" x14ac:dyDescent="0.35">
      <c r="A204" s="595">
        <f t="shared" si="61"/>
        <v>1</v>
      </c>
      <c r="B204" s="596">
        <f t="shared" si="70"/>
        <v>198</v>
      </c>
      <c r="C204" s="597">
        <f ca="1">IF(B204="","",'Fecha Pago'!K201)</f>
        <v>52173</v>
      </c>
      <c r="D204" s="598">
        <f t="shared" si="71"/>
        <v>30.4</v>
      </c>
      <c r="E204" s="599">
        <f>IF(B204="","",'Tabla de Incrementos'!$C$4)</f>
        <v>0.11</v>
      </c>
      <c r="F204" s="600">
        <f t="shared" si="62"/>
        <v>484376.59864408936</v>
      </c>
      <c r="G204" s="600">
        <f t="shared" si="72"/>
        <v>8782.5115350584128</v>
      </c>
      <c r="H204" s="600">
        <f t="shared" si="63"/>
        <v>4499.3204051828743</v>
      </c>
      <c r="I204" s="600">
        <f>IF(B204="","",IF(F204=0,0,($C$2/1000)*'Tabla de Incrementos'!$J$17))</f>
        <v>13281.831940241287</v>
      </c>
      <c r="J204" s="600">
        <f t="shared" si="73"/>
        <v>0</v>
      </c>
      <c r="K204" s="600">
        <f t="shared" si="74"/>
        <v>0</v>
      </c>
      <c r="L204" s="600">
        <f t="shared" si="64"/>
        <v>299</v>
      </c>
      <c r="M204" s="600">
        <f>IF(B204="","",IF(A204=0,0,AportPat!L201))</f>
        <v>0</v>
      </c>
      <c r="N204" s="601">
        <f>Simulador!N264</f>
        <v>0</v>
      </c>
      <c r="O204" s="608">
        <v>0</v>
      </c>
      <c r="P204" s="600">
        <f t="shared" si="75"/>
        <v>13580.831940241287</v>
      </c>
      <c r="Q204" s="600">
        <f t="shared" si="58"/>
        <v>475594.08710903092</v>
      </c>
      <c r="S204" s="120">
        <v>0.11</v>
      </c>
      <c r="T204" s="198">
        <f t="shared" si="59"/>
        <v>198</v>
      </c>
      <c r="U204" s="347">
        <f t="shared" si="76"/>
        <v>484376.59864408936</v>
      </c>
      <c r="V204" s="347">
        <f t="shared" si="65"/>
        <v>8782.5115350584128</v>
      </c>
      <c r="W204" s="347">
        <f t="shared" si="66"/>
        <v>4499.3204051828743</v>
      </c>
      <c r="X204" s="600">
        <f>IF(T204="","",IF(U204=0,0,($C$2/1000)*'Tabla de Incrementos'!$J$17))</f>
        <v>13281.831940241287</v>
      </c>
      <c r="Y204" s="600">
        <f t="shared" si="60"/>
        <v>0</v>
      </c>
      <c r="Z204" s="600">
        <f t="shared" si="67"/>
        <v>0</v>
      </c>
      <c r="AA204" s="557">
        <f t="shared" si="68"/>
        <v>299</v>
      </c>
      <c r="AB204" s="557">
        <f t="shared" si="69"/>
        <v>13580.831940241287</v>
      </c>
    </row>
    <row r="205" spans="1:28" x14ac:dyDescent="0.35">
      <c r="A205" s="595">
        <f t="shared" si="61"/>
        <v>1</v>
      </c>
      <c r="B205" s="596">
        <f t="shared" si="70"/>
        <v>199</v>
      </c>
      <c r="C205" s="597">
        <f ca="1">IF(B205="","",'Fecha Pago'!K202)</f>
        <v>52203</v>
      </c>
      <c r="D205" s="598">
        <f t="shared" si="71"/>
        <v>30.4</v>
      </c>
      <c r="E205" s="599">
        <f>IF(B205="","",'Tabla de Incrementos'!$C$4)</f>
        <v>0.11</v>
      </c>
      <c r="F205" s="600">
        <f t="shared" si="62"/>
        <v>475594.08710903092</v>
      </c>
      <c r="G205" s="600">
        <f t="shared" si="72"/>
        <v>8864.0913088729558</v>
      </c>
      <c r="H205" s="600">
        <f t="shared" si="63"/>
        <v>4417.7406313683314</v>
      </c>
      <c r="I205" s="600">
        <f>IF(B205="","",IF(F205=0,0,($C$2/1000)*'Tabla de Incrementos'!$J$17))</f>
        <v>13281.831940241287</v>
      </c>
      <c r="J205" s="600">
        <f t="shared" si="73"/>
        <v>0</v>
      </c>
      <c r="K205" s="600">
        <f t="shared" si="74"/>
        <v>0</v>
      </c>
      <c r="L205" s="600">
        <f t="shared" si="64"/>
        <v>299</v>
      </c>
      <c r="M205" s="600">
        <f>IF(B205="","",IF(A205=0,0,AportPat!L202))</f>
        <v>0</v>
      </c>
      <c r="N205" s="601">
        <f>Simulador!N265</f>
        <v>0</v>
      </c>
      <c r="O205" s="608">
        <v>0</v>
      </c>
      <c r="P205" s="600">
        <f t="shared" si="75"/>
        <v>13580.831940241287</v>
      </c>
      <c r="Q205" s="600">
        <f t="shared" si="58"/>
        <v>466729.99580015795</v>
      </c>
      <c r="S205" s="120">
        <v>0.11</v>
      </c>
      <c r="T205" s="198">
        <f t="shared" si="59"/>
        <v>199</v>
      </c>
      <c r="U205" s="347">
        <f t="shared" si="76"/>
        <v>475594.08710903092</v>
      </c>
      <c r="V205" s="347">
        <f t="shared" si="65"/>
        <v>8864.0913088729558</v>
      </c>
      <c r="W205" s="347">
        <f t="shared" si="66"/>
        <v>4417.7406313683314</v>
      </c>
      <c r="X205" s="600">
        <f>IF(T205="","",IF(U205=0,0,($C$2/1000)*'Tabla de Incrementos'!$J$17))</f>
        <v>13281.831940241287</v>
      </c>
      <c r="Y205" s="600">
        <f t="shared" si="60"/>
        <v>0</v>
      </c>
      <c r="Z205" s="600">
        <f t="shared" si="67"/>
        <v>0</v>
      </c>
      <c r="AA205" s="557">
        <f t="shared" si="68"/>
        <v>299</v>
      </c>
      <c r="AB205" s="557">
        <f t="shared" si="69"/>
        <v>13580.831940241287</v>
      </c>
    </row>
    <row r="206" spans="1:28" x14ac:dyDescent="0.35">
      <c r="A206" s="595">
        <f t="shared" si="61"/>
        <v>1</v>
      </c>
      <c r="B206" s="596">
        <f t="shared" si="70"/>
        <v>200</v>
      </c>
      <c r="C206" s="597">
        <f ca="1">IF(B206="","",'Fecha Pago'!K203)</f>
        <v>52234</v>
      </c>
      <c r="D206" s="598">
        <f t="shared" si="71"/>
        <v>30.4</v>
      </c>
      <c r="E206" s="599">
        <f>IF(B206="","",'Tabla de Incrementos'!$C$4)</f>
        <v>0.11</v>
      </c>
      <c r="F206" s="600">
        <f t="shared" si="62"/>
        <v>466729.99580015795</v>
      </c>
      <c r="G206" s="600">
        <f t="shared" si="72"/>
        <v>8946.4288681420421</v>
      </c>
      <c r="H206" s="600">
        <f t="shared" si="63"/>
        <v>4335.403072099245</v>
      </c>
      <c r="I206" s="600">
        <f>IF(B206="","",IF(F206=0,0,($C$2/1000)*'Tabla de Incrementos'!$J$17))</f>
        <v>13281.831940241287</v>
      </c>
      <c r="J206" s="600">
        <f t="shared" si="73"/>
        <v>0</v>
      </c>
      <c r="K206" s="600">
        <f t="shared" si="74"/>
        <v>0</v>
      </c>
      <c r="L206" s="600">
        <f t="shared" si="64"/>
        <v>299</v>
      </c>
      <c r="M206" s="600">
        <f>IF(B206="","",IF(A206=0,0,AportPat!L203))</f>
        <v>0</v>
      </c>
      <c r="N206" s="601">
        <f>Simulador!N266</f>
        <v>0</v>
      </c>
      <c r="O206" s="608">
        <v>0</v>
      </c>
      <c r="P206" s="600">
        <f t="shared" si="75"/>
        <v>13580.831940241287</v>
      </c>
      <c r="Q206" s="600">
        <f t="shared" si="58"/>
        <v>457783.56693201594</v>
      </c>
      <c r="S206" s="120">
        <v>0.11</v>
      </c>
      <c r="T206" s="198">
        <f t="shared" si="59"/>
        <v>200</v>
      </c>
      <c r="U206" s="347">
        <f t="shared" si="76"/>
        <v>466729.99580015795</v>
      </c>
      <c r="V206" s="347">
        <f t="shared" si="65"/>
        <v>8946.4288681420421</v>
      </c>
      <c r="W206" s="347">
        <f t="shared" si="66"/>
        <v>4335.403072099245</v>
      </c>
      <c r="X206" s="600">
        <f>IF(T206="","",IF(U206=0,0,($C$2/1000)*'Tabla de Incrementos'!$J$17))</f>
        <v>13281.831940241287</v>
      </c>
      <c r="Y206" s="600">
        <f t="shared" si="60"/>
        <v>0</v>
      </c>
      <c r="Z206" s="600">
        <f t="shared" si="67"/>
        <v>0</v>
      </c>
      <c r="AA206" s="557">
        <f t="shared" si="68"/>
        <v>299</v>
      </c>
      <c r="AB206" s="557">
        <f t="shared" si="69"/>
        <v>13580.831940241287</v>
      </c>
    </row>
    <row r="207" spans="1:28" x14ac:dyDescent="0.35">
      <c r="A207" s="595">
        <f t="shared" si="61"/>
        <v>1</v>
      </c>
      <c r="B207" s="596">
        <f t="shared" si="70"/>
        <v>201</v>
      </c>
      <c r="C207" s="597">
        <f ca="1">IF(B207="","",'Fecha Pago'!K204)</f>
        <v>52265</v>
      </c>
      <c r="D207" s="598">
        <f t="shared" si="71"/>
        <v>30.4</v>
      </c>
      <c r="E207" s="599">
        <f>IF(B207="","",'Tabla de Incrementos'!$C$4)</f>
        <v>0.11</v>
      </c>
      <c r="F207" s="600">
        <f t="shared" si="62"/>
        <v>457783.56693201594</v>
      </c>
      <c r="G207" s="600">
        <f t="shared" si="72"/>
        <v>9029.5312518505616</v>
      </c>
      <c r="H207" s="600">
        <f t="shared" si="63"/>
        <v>4252.3006883907256</v>
      </c>
      <c r="I207" s="600">
        <f>IF(B207="","",IF(F207=0,0,($C$2/1000)*'Tabla de Incrementos'!$J$17))</f>
        <v>13281.831940241287</v>
      </c>
      <c r="J207" s="600">
        <f t="shared" si="73"/>
        <v>0</v>
      </c>
      <c r="K207" s="600">
        <f t="shared" si="74"/>
        <v>0</v>
      </c>
      <c r="L207" s="600">
        <f t="shared" si="64"/>
        <v>299</v>
      </c>
      <c r="M207" s="600">
        <f>IF(B207="","",IF(A207=0,0,AportPat!L204))</f>
        <v>0</v>
      </c>
      <c r="N207" s="601">
        <f>Simulador!N267</f>
        <v>0</v>
      </c>
      <c r="O207" s="608">
        <v>0</v>
      </c>
      <c r="P207" s="600">
        <f t="shared" si="75"/>
        <v>13580.831940241287</v>
      </c>
      <c r="Q207" s="600">
        <f t="shared" si="58"/>
        <v>448754.0356801654</v>
      </c>
      <c r="S207" s="120">
        <v>0.11</v>
      </c>
      <c r="T207" s="198">
        <f t="shared" si="59"/>
        <v>201</v>
      </c>
      <c r="U207" s="347">
        <f t="shared" si="76"/>
        <v>457783.56693201594</v>
      </c>
      <c r="V207" s="347">
        <f t="shared" si="65"/>
        <v>9029.5312518505616</v>
      </c>
      <c r="W207" s="347">
        <f t="shared" si="66"/>
        <v>4252.3006883907256</v>
      </c>
      <c r="X207" s="600">
        <f>IF(T207="","",IF(U207=0,0,($C$2/1000)*'Tabla de Incrementos'!$J$17))</f>
        <v>13281.831940241287</v>
      </c>
      <c r="Y207" s="600">
        <f t="shared" si="60"/>
        <v>0</v>
      </c>
      <c r="Z207" s="600">
        <f t="shared" si="67"/>
        <v>0</v>
      </c>
      <c r="AA207" s="557">
        <f t="shared" si="68"/>
        <v>299</v>
      </c>
      <c r="AB207" s="557">
        <f t="shared" si="69"/>
        <v>13580.831940241287</v>
      </c>
    </row>
    <row r="208" spans="1:28" x14ac:dyDescent="0.35">
      <c r="A208" s="595">
        <f t="shared" si="61"/>
        <v>1</v>
      </c>
      <c r="B208" s="596">
        <f t="shared" si="70"/>
        <v>202</v>
      </c>
      <c r="C208" s="597">
        <f ca="1">IF(B208="","",'Fecha Pago'!K205)</f>
        <v>52293</v>
      </c>
      <c r="D208" s="598">
        <f t="shared" si="71"/>
        <v>30.4</v>
      </c>
      <c r="E208" s="599">
        <f>IF(B208="","",'Tabla de Incrementos'!$C$4)</f>
        <v>0.11</v>
      </c>
      <c r="F208" s="600">
        <f t="shared" si="62"/>
        <v>448754.0356801654</v>
      </c>
      <c r="G208" s="600">
        <f t="shared" si="72"/>
        <v>9113.4055643677511</v>
      </c>
      <c r="H208" s="600">
        <f t="shared" si="63"/>
        <v>4168.426375873536</v>
      </c>
      <c r="I208" s="600">
        <f>IF(B208="","",IF(F208=0,0,($C$2/1000)*'Tabla de Incrementos'!$J$17))</f>
        <v>13281.831940241287</v>
      </c>
      <c r="J208" s="600">
        <f t="shared" si="73"/>
        <v>0</v>
      </c>
      <c r="K208" s="600">
        <f t="shared" si="74"/>
        <v>0</v>
      </c>
      <c r="L208" s="600">
        <f t="shared" si="64"/>
        <v>299</v>
      </c>
      <c r="M208" s="600">
        <f>IF(B208="","",IF(A208=0,0,AportPat!L205))</f>
        <v>0</v>
      </c>
      <c r="N208" s="601">
        <f>Simulador!N268</f>
        <v>0</v>
      </c>
      <c r="O208" s="608">
        <v>0</v>
      </c>
      <c r="P208" s="600">
        <f t="shared" si="75"/>
        <v>13580.831940241287</v>
      </c>
      <c r="Q208" s="600">
        <f t="shared" si="58"/>
        <v>439640.63011579763</v>
      </c>
      <c r="S208" s="120">
        <v>0.11</v>
      </c>
      <c r="T208" s="198">
        <f t="shared" si="59"/>
        <v>202</v>
      </c>
      <c r="U208" s="347">
        <f t="shared" si="76"/>
        <v>448754.0356801654</v>
      </c>
      <c r="V208" s="347">
        <f t="shared" si="65"/>
        <v>9113.4055643677511</v>
      </c>
      <c r="W208" s="347">
        <f t="shared" si="66"/>
        <v>4168.426375873536</v>
      </c>
      <c r="X208" s="600">
        <f>IF(T208="","",IF(U208=0,0,($C$2/1000)*'Tabla de Incrementos'!$J$17))</f>
        <v>13281.831940241287</v>
      </c>
      <c r="Y208" s="600">
        <f t="shared" si="60"/>
        <v>0</v>
      </c>
      <c r="Z208" s="600">
        <f t="shared" si="67"/>
        <v>0</v>
      </c>
      <c r="AA208" s="557">
        <f t="shared" si="68"/>
        <v>299</v>
      </c>
      <c r="AB208" s="557">
        <f t="shared" si="69"/>
        <v>13580.831940241287</v>
      </c>
    </row>
    <row r="209" spans="1:28" x14ac:dyDescent="0.35">
      <c r="A209" s="595">
        <f t="shared" si="61"/>
        <v>1</v>
      </c>
      <c r="B209" s="596">
        <f t="shared" si="70"/>
        <v>203</v>
      </c>
      <c r="C209" s="597">
        <f ca="1">IF(B209="","",'Fecha Pago'!K206)</f>
        <v>52324</v>
      </c>
      <c r="D209" s="598">
        <f t="shared" si="71"/>
        <v>30.4</v>
      </c>
      <c r="E209" s="599">
        <f>IF(B209="","",'Tabla de Incrementos'!$C$4)</f>
        <v>0.11</v>
      </c>
      <c r="F209" s="600">
        <f t="shared" si="62"/>
        <v>439640.63011579763</v>
      </c>
      <c r="G209" s="600">
        <f t="shared" si="72"/>
        <v>9198.0589760545445</v>
      </c>
      <c r="H209" s="600">
        <f t="shared" si="63"/>
        <v>4083.7729641867422</v>
      </c>
      <c r="I209" s="600">
        <f>IF(B209="","",IF(F209=0,0,($C$2/1000)*'Tabla de Incrementos'!$J$17))</f>
        <v>13281.831940241287</v>
      </c>
      <c r="J209" s="600">
        <f t="shared" si="73"/>
        <v>0</v>
      </c>
      <c r="K209" s="600">
        <f t="shared" si="74"/>
        <v>0</v>
      </c>
      <c r="L209" s="600">
        <f t="shared" si="64"/>
        <v>299</v>
      </c>
      <c r="M209" s="600">
        <f>IF(B209="","",IF(A209=0,0,AportPat!L206))</f>
        <v>0</v>
      </c>
      <c r="N209" s="601">
        <f>Simulador!N269</f>
        <v>0</v>
      </c>
      <c r="O209" s="608">
        <v>0</v>
      </c>
      <c r="P209" s="600">
        <f t="shared" si="75"/>
        <v>13580.831940241287</v>
      </c>
      <c r="Q209" s="600">
        <f t="shared" si="58"/>
        <v>430442.57113974309</v>
      </c>
      <c r="S209" s="120">
        <v>0.11</v>
      </c>
      <c r="T209" s="198">
        <f t="shared" si="59"/>
        <v>203</v>
      </c>
      <c r="U209" s="347">
        <f t="shared" si="76"/>
        <v>439640.63011579763</v>
      </c>
      <c r="V209" s="347">
        <f t="shared" si="65"/>
        <v>9198.0589760545445</v>
      </c>
      <c r="W209" s="347">
        <f t="shared" si="66"/>
        <v>4083.7729641867422</v>
      </c>
      <c r="X209" s="600">
        <f>IF(T209="","",IF(U209=0,0,($C$2/1000)*'Tabla de Incrementos'!$J$17))</f>
        <v>13281.831940241287</v>
      </c>
      <c r="Y209" s="600">
        <f t="shared" si="60"/>
        <v>0</v>
      </c>
      <c r="Z209" s="600">
        <f t="shared" si="67"/>
        <v>0</v>
      </c>
      <c r="AA209" s="557">
        <f t="shared" si="68"/>
        <v>299</v>
      </c>
      <c r="AB209" s="557">
        <f t="shared" si="69"/>
        <v>13580.831940241287</v>
      </c>
    </row>
    <row r="210" spans="1:28" x14ac:dyDescent="0.35">
      <c r="A210" s="595">
        <f t="shared" si="61"/>
        <v>1</v>
      </c>
      <c r="B210" s="596">
        <f t="shared" si="70"/>
        <v>204</v>
      </c>
      <c r="C210" s="597">
        <f ca="1">IF(B210="","",'Fecha Pago'!K207)</f>
        <v>52354</v>
      </c>
      <c r="D210" s="598">
        <f t="shared" si="71"/>
        <v>30.4</v>
      </c>
      <c r="E210" s="599">
        <f>IF(B210="","",'Tabla de Incrementos'!$C$4)</f>
        <v>0.11</v>
      </c>
      <c r="F210" s="600">
        <f t="shared" si="62"/>
        <v>430442.57113974309</v>
      </c>
      <c r="G210" s="600">
        <f t="shared" si="72"/>
        <v>9283.4987238765625</v>
      </c>
      <c r="H210" s="600">
        <f t="shared" si="63"/>
        <v>3998.3332163647242</v>
      </c>
      <c r="I210" s="600">
        <f>IF(B210="","",IF(F210=0,0,($C$2/1000)*'Tabla de Incrementos'!$J$17))</f>
        <v>13281.831940241287</v>
      </c>
      <c r="J210" s="600">
        <f t="shared" si="73"/>
        <v>0</v>
      </c>
      <c r="K210" s="600">
        <f t="shared" si="74"/>
        <v>0</v>
      </c>
      <c r="L210" s="600">
        <f t="shared" si="64"/>
        <v>299</v>
      </c>
      <c r="M210" s="600">
        <f>IF(B210="","",IF(A210=0,0,AportPat!L207))</f>
        <v>0</v>
      </c>
      <c r="N210" s="601">
        <f>Simulador!N270</f>
        <v>0</v>
      </c>
      <c r="O210" s="608">
        <v>0</v>
      </c>
      <c r="P210" s="600">
        <f t="shared" si="75"/>
        <v>13580.831940241287</v>
      </c>
      <c r="Q210" s="600">
        <f t="shared" si="58"/>
        <v>421159.07241586654</v>
      </c>
      <c r="S210" s="120">
        <v>0.11</v>
      </c>
      <c r="T210" s="198">
        <f t="shared" si="59"/>
        <v>204</v>
      </c>
      <c r="U210" s="347">
        <f t="shared" si="76"/>
        <v>430442.57113974309</v>
      </c>
      <c r="V210" s="347">
        <f t="shared" si="65"/>
        <v>9283.4987238765625</v>
      </c>
      <c r="W210" s="347">
        <f t="shared" si="66"/>
        <v>3998.3332163647242</v>
      </c>
      <c r="X210" s="600">
        <f>IF(T210="","",IF(U210=0,0,($C$2/1000)*'Tabla de Incrementos'!$J$17))</f>
        <v>13281.831940241287</v>
      </c>
      <c r="Y210" s="600">
        <f t="shared" si="60"/>
        <v>0</v>
      </c>
      <c r="Z210" s="600">
        <f t="shared" si="67"/>
        <v>0</v>
      </c>
      <c r="AA210" s="557">
        <f t="shared" si="68"/>
        <v>299</v>
      </c>
      <c r="AB210" s="557">
        <f t="shared" si="69"/>
        <v>13580.831940241287</v>
      </c>
    </row>
    <row r="211" spans="1:28" x14ac:dyDescent="0.35">
      <c r="A211" s="595">
        <f t="shared" si="61"/>
        <v>1</v>
      </c>
      <c r="B211" s="596">
        <f t="shared" si="70"/>
        <v>205</v>
      </c>
      <c r="C211" s="597">
        <f ca="1">IF(B211="","",'Fecha Pago'!K208)</f>
        <v>52385</v>
      </c>
      <c r="D211" s="598">
        <f t="shared" si="71"/>
        <v>30.4</v>
      </c>
      <c r="E211" s="599">
        <f>IF(B211="","",'Tabla de Incrementos'!$C$4)</f>
        <v>0.11</v>
      </c>
      <c r="F211" s="600">
        <f t="shared" si="62"/>
        <v>421159.07241586654</v>
      </c>
      <c r="G211" s="600">
        <f t="shared" si="72"/>
        <v>9369.7321120227934</v>
      </c>
      <c r="H211" s="600">
        <f t="shared" si="63"/>
        <v>3912.0998282184933</v>
      </c>
      <c r="I211" s="600">
        <f>IF(B211="","",IF(F211=0,0,($C$2/1000)*'Tabla de Incrementos'!$J$17))</f>
        <v>13281.831940241287</v>
      </c>
      <c r="J211" s="600">
        <f t="shared" si="73"/>
        <v>0</v>
      </c>
      <c r="K211" s="600">
        <f t="shared" si="74"/>
        <v>0</v>
      </c>
      <c r="L211" s="600">
        <f t="shared" si="64"/>
        <v>299</v>
      </c>
      <c r="M211" s="600">
        <f>IF(B211="","",IF(A211=0,0,AportPat!L208))</f>
        <v>0</v>
      </c>
      <c r="N211" s="601">
        <f>Simulador!N271</f>
        <v>0</v>
      </c>
      <c r="O211" s="608">
        <v>0</v>
      </c>
      <c r="P211" s="600">
        <f t="shared" si="75"/>
        <v>13580.831940241287</v>
      </c>
      <c r="Q211" s="600">
        <f t="shared" si="58"/>
        <v>411789.34030384372</v>
      </c>
      <c r="S211" s="120">
        <v>0.11</v>
      </c>
      <c r="T211" s="198">
        <f t="shared" si="59"/>
        <v>205</v>
      </c>
      <c r="U211" s="347">
        <f t="shared" si="76"/>
        <v>421159.07241586654</v>
      </c>
      <c r="V211" s="347">
        <f t="shared" si="65"/>
        <v>9369.7321120227934</v>
      </c>
      <c r="W211" s="347">
        <f t="shared" si="66"/>
        <v>3912.0998282184933</v>
      </c>
      <c r="X211" s="600">
        <f>IF(T211="","",IF(U211=0,0,($C$2/1000)*'Tabla de Incrementos'!$J$17))</f>
        <v>13281.831940241287</v>
      </c>
      <c r="Y211" s="600">
        <f t="shared" si="60"/>
        <v>0</v>
      </c>
      <c r="Z211" s="600">
        <f t="shared" si="67"/>
        <v>0</v>
      </c>
      <c r="AA211" s="557">
        <f t="shared" si="68"/>
        <v>299</v>
      </c>
      <c r="AB211" s="557">
        <f t="shared" si="69"/>
        <v>13580.831940241287</v>
      </c>
    </row>
    <row r="212" spans="1:28" x14ac:dyDescent="0.35">
      <c r="A212" s="595">
        <f t="shared" si="61"/>
        <v>1</v>
      </c>
      <c r="B212" s="604">
        <f t="shared" si="70"/>
        <v>206</v>
      </c>
      <c r="C212" s="597">
        <f ca="1">IF(B212="","",'Fecha Pago'!K209)</f>
        <v>52415</v>
      </c>
      <c r="D212" s="605">
        <f t="shared" si="71"/>
        <v>30.4</v>
      </c>
      <c r="E212" s="606">
        <f>IF(B212="","",'Tabla de Incrementos'!$C$4)</f>
        <v>0.11</v>
      </c>
      <c r="F212" s="607">
        <f t="shared" si="62"/>
        <v>411789.34030384372</v>
      </c>
      <c r="G212" s="607">
        <f t="shared" si="72"/>
        <v>9832.8948490432558</v>
      </c>
      <c r="H212" s="607">
        <f t="shared" si="63"/>
        <v>3825.0654277112594</v>
      </c>
      <c r="I212" s="607">
        <f>IF(B212="","",IF(F212=0,0,($C$2/1000)*'Tabla de Incrementos'!$J$18))</f>
        <v>13657.960276754515</v>
      </c>
      <c r="J212" s="607">
        <f t="shared" si="73"/>
        <v>0</v>
      </c>
      <c r="K212" s="607">
        <f t="shared" si="74"/>
        <v>0</v>
      </c>
      <c r="L212" s="607">
        <f t="shared" si="64"/>
        <v>299</v>
      </c>
      <c r="M212" s="607">
        <f>IF(B212="","",IF(A212=0,0,AportPat!L209))</f>
        <v>0</v>
      </c>
      <c r="N212" s="601">
        <f>Simulador!N272</f>
        <v>0</v>
      </c>
      <c r="O212" s="608">
        <v>0</v>
      </c>
      <c r="P212" s="607">
        <f t="shared" si="75"/>
        <v>13956.960276754515</v>
      </c>
      <c r="Q212" s="607">
        <f t="shared" si="58"/>
        <v>401956.44545480044</v>
      </c>
      <c r="S212" s="120">
        <v>0.11</v>
      </c>
      <c r="T212" s="198">
        <f t="shared" si="59"/>
        <v>206</v>
      </c>
      <c r="U212" s="347">
        <f t="shared" si="76"/>
        <v>411789.34030384372</v>
      </c>
      <c r="V212" s="347">
        <f t="shared" si="65"/>
        <v>9832.8948490432558</v>
      </c>
      <c r="W212" s="347">
        <f t="shared" si="66"/>
        <v>3825.0654277112594</v>
      </c>
      <c r="X212" s="607">
        <f>IF(T212="","",IF(U212=0,0,($C$2/1000)*'Tabla de Incrementos'!$J$18))</f>
        <v>13657.960276754515</v>
      </c>
      <c r="Y212" s="607">
        <f t="shared" si="60"/>
        <v>0</v>
      </c>
      <c r="Z212" s="607">
        <f t="shared" si="67"/>
        <v>0</v>
      </c>
      <c r="AA212" s="557">
        <f t="shared" si="68"/>
        <v>299</v>
      </c>
      <c r="AB212" s="557">
        <f t="shared" si="69"/>
        <v>13956.960276754515</v>
      </c>
    </row>
    <row r="213" spans="1:28" x14ac:dyDescent="0.35">
      <c r="A213" s="595">
        <f t="shared" si="61"/>
        <v>1</v>
      </c>
      <c r="B213" s="596">
        <f t="shared" si="70"/>
        <v>207</v>
      </c>
      <c r="C213" s="597">
        <f ca="1">IF(B213="","",'Fecha Pago'!K210)</f>
        <v>52446</v>
      </c>
      <c r="D213" s="598">
        <f t="shared" si="71"/>
        <v>30.4</v>
      </c>
      <c r="E213" s="599">
        <f>IF(B213="","",'Tabla de Incrementos'!$C$4)</f>
        <v>0.11</v>
      </c>
      <c r="F213" s="600">
        <f t="shared" si="62"/>
        <v>401956.44545480044</v>
      </c>
      <c r="G213" s="600">
        <f t="shared" si="72"/>
        <v>9924.2315167521465</v>
      </c>
      <c r="H213" s="600">
        <f t="shared" si="63"/>
        <v>3733.7287600023683</v>
      </c>
      <c r="I213" s="600">
        <f>IF(B213="","",IF(F213=0,0,($C$2/1000)*'Tabla de Incrementos'!$J$18))</f>
        <v>13657.960276754515</v>
      </c>
      <c r="J213" s="600">
        <f t="shared" si="73"/>
        <v>0</v>
      </c>
      <c r="K213" s="600">
        <f t="shared" si="74"/>
        <v>0</v>
      </c>
      <c r="L213" s="600">
        <f t="shared" si="64"/>
        <v>299</v>
      </c>
      <c r="M213" s="600">
        <f>IF(B213="","",IF(A213=0,0,AportPat!L210))</f>
        <v>0</v>
      </c>
      <c r="N213" s="601">
        <f>Simulador!N273</f>
        <v>0</v>
      </c>
      <c r="O213" s="608">
        <v>0</v>
      </c>
      <c r="P213" s="600">
        <f t="shared" si="75"/>
        <v>13956.960276754515</v>
      </c>
      <c r="Q213" s="600">
        <f t="shared" si="58"/>
        <v>392032.21393804828</v>
      </c>
      <c r="S213" s="120">
        <v>0.11</v>
      </c>
      <c r="T213" s="198">
        <f t="shared" si="59"/>
        <v>207</v>
      </c>
      <c r="U213" s="347">
        <f t="shared" si="76"/>
        <v>401956.44545480044</v>
      </c>
      <c r="V213" s="347">
        <f t="shared" si="65"/>
        <v>9924.2315167521465</v>
      </c>
      <c r="W213" s="347">
        <f t="shared" si="66"/>
        <v>3733.7287600023683</v>
      </c>
      <c r="X213" s="600">
        <f>IF(T213="","",IF(U213=0,0,($C$2/1000)*'Tabla de Incrementos'!$J$18))</f>
        <v>13657.960276754515</v>
      </c>
      <c r="Y213" s="600">
        <f t="shared" si="60"/>
        <v>0</v>
      </c>
      <c r="Z213" s="600">
        <f t="shared" si="67"/>
        <v>0</v>
      </c>
      <c r="AA213" s="557">
        <f t="shared" si="68"/>
        <v>299</v>
      </c>
      <c r="AB213" s="557">
        <f t="shared" si="69"/>
        <v>13956.960276754515</v>
      </c>
    </row>
    <row r="214" spans="1:28" x14ac:dyDescent="0.35">
      <c r="A214" s="595">
        <f t="shared" si="61"/>
        <v>1</v>
      </c>
      <c r="B214" s="596">
        <f t="shared" si="70"/>
        <v>208</v>
      </c>
      <c r="C214" s="597">
        <f ca="1">IF(B214="","",'Fecha Pago'!K211)</f>
        <v>52477</v>
      </c>
      <c r="D214" s="598">
        <f t="shared" si="71"/>
        <v>30.4</v>
      </c>
      <c r="E214" s="599">
        <f>IF(B214="","",'Tabla de Incrementos'!$C$4)</f>
        <v>0.11</v>
      </c>
      <c r="F214" s="600">
        <f t="shared" si="62"/>
        <v>392032.21393804828</v>
      </c>
      <c r="G214" s="600">
        <f t="shared" si="72"/>
        <v>10016.416600618866</v>
      </c>
      <c r="H214" s="600">
        <f t="shared" si="63"/>
        <v>3641.5436761356482</v>
      </c>
      <c r="I214" s="600">
        <f>IF(B214="","",IF(F214=0,0,($C$2/1000)*'Tabla de Incrementos'!$J$18))</f>
        <v>13657.960276754515</v>
      </c>
      <c r="J214" s="600">
        <f t="shared" si="73"/>
        <v>0</v>
      </c>
      <c r="K214" s="600">
        <f t="shared" si="74"/>
        <v>0</v>
      </c>
      <c r="L214" s="600">
        <f t="shared" si="64"/>
        <v>299</v>
      </c>
      <c r="M214" s="600">
        <f>IF(B214="","",IF(A214=0,0,AportPat!L211))</f>
        <v>0</v>
      </c>
      <c r="N214" s="601">
        <f>Simulador!N274</f>
        <v>0</v>
      </c>
      <c r="O214" s="608">
        <v>0</v>
      </c>
      <c r="P214" s="600">
        <f t="shared" si="75"/>
        <v>13956.960276754515</v>
      </c>
      <c r="Q214" s="600">
        <f t="shared" si="58"/>
        <v>382015.79733742942</v>
      </c>
      <c r="S214" s="120">
        <v>0.11</v>
      </c>
      <c r="T214" s="198">
        <f t="shared" si="59"/>
        <v>208</v>
      </c>
      <c r="U214" s="347">
        <f t="shared" si="76"/>
        <v>392032.21393804828</v>
      </c>
      <c r="V214" s="347">
        <f t="shared" si="65"/>
        <v>10016.416600618866</v>
      </c>
      <c r="W214" s="347">
        <f t="shared" si="66"/>
        <v>3641.5436761356482</v>
      </c>
      <c r="X214" s="600">
        <f>IF(T214="","",IF(U214=0,0,($C$2/1000)*'Tabla de Incrementos'!$J$18))</f>
        <v>13657.960276754515</v>
      </c>
      <c r="Y214" s="600">
        <f t="shared" si="60"/>
        <v>0</v>
      </c>
      <c r="Z214" s="600">
        <f t="shared" si="67"/>
        <v>0</v>
      </c>
      <c r="AA214" s="557">
        <f t="shared" si="68"/>
        <v>299</v>
      </c>
      <c r="AB214" s="557">
        <f t="shared" si="69"/>
        <v>13956.960276754515</v>
      </c>
    </row>
    <row r="215" spans="1:28" x14ac:dyDescent="0.35">
      <c r="A215" s="595">
        <f t="shared" si="61"/>
        <v>1</v>
      </c>
      <c r="B215" s="596">
        <f t="shared" si="70"/>
        <v>209</v>
      </c>
      <c r="C215" s="597">
        <f ca="1">IF(B215="","",'Fecha Pago'!K212)</f>
        <v>52507</v>
      </c>
      <c r="D215" s="598">
        <f t="shared" si="71"/>
        <v>30.4</v>
      </c>
      <c r="E215" s="599">
        <f>IF(B215="","",'Tabla de Incrementos'!$C$4)</f>
        <v>0.11</v>
      </c>
      <c r="F215" s="600">
        <f t="shared" si="62"/>
        <v>382015.79733742942</v>
      </c>
      <c r="G215" s="600">
        <f t="shared" si="72"/>
        <v>10109.457981486838</v>
      </c>
      <c r="H215" s="600">
        <f t="shared" si="63"/>
        <v>3548.5022952676777</v>
      </c>
      <c r="I215" s="600">
        <f>IF(B215="","",IF(F215=0,0,($C$2/1000)*'Tabla de Incrementos'!$J$18))</f>
        <v>13657.960276754515</v>
      </c>
      <c r="J215" s="600">
        <f t="shared" si="73"/>
        <v>0</v>
      </c>
      <c r="K215" s="600">
        <f t="shared" si="74"/>
        <v>0</v>
      </c>
      <c r="L215" s="600">
        <f t="shared" si="64"/>
        <v>299</v>
      </c>
      <c r="M215" s="600">
        <f>IF(B215="","",IF(A215=0,0,AportPat!L212))</f>
        <v>0</v>
      </c>
      <c r="N215" s="601">
        <f>Simulador!N275</f>
        <v>0</v>
      </c>
      <c r="O215" s="608">
        <v>0</v>
      </c>
      <c r="P215" s="600">
        <f t="shared" si="75"/>
        <v>13956.960276754515</v>
      </c>
      <c r="Q215" s="600">
        <f t="shared" si="58"/>
        <v>371906.33935594256</v>
      </c>
      <c r="S215" s="120">
        <v>0.11</v>
      </c>
      <c r="T215" s="198">
        <f t="shared" si="59"/>
        <v>209</v>
      </c>
      <c r="U215" s="347">
        <f t="shared" si="76"/>
        <v>382015.79733742942</v>
      </c>
      <c r="V215" s="347">
        <f t="shared" si="65"/>
        <v>10109.457981486838</v>
      </c>
      <c r="W215" s="347">
        <f t="shared" si="66"/>
        <v>3548.5022952676777</v>
      </c>
      <c r="X215" s="600">
        <f>IF(T215="","",IF(U215=0,0,($C$2/1000)*'Tabla de Incrementos'!$J$18))</f>
        <v>13657.960276754515</v>
      </c>
      <c r="Y215" s="600">
        <f t="shared" si="60"/>
        <v>0</v>
      </c>
      <c r="Z215" s="600">
        <f t="shared" si="67"/>
        <v>0</v>
      </c>
      <c r="AA215" s="557">
        <f t="shared" si="68"/>
        <v>299</v>
      </c>
      <c r="AB215" s="557">
        <f t="shared" si="69"/>
        <v>13956.960276754515</v>
      </c>
    </row>
    <row r="216" spans="1:28" x14ac:dyDescent="0.35">
      <c r="A216" s="595">
        <f t="shared" si="61"/>
        <v>1</v>
      </c>
      <c r="B216" s="596">
        <f t="shared" si="70"/>
        <v>210</v>
      </c>
      <c r="C216" s="597">
        <f ca="1">IF(B216="","",'Fecha Pago'!K213)</f>
        <v>52538</v>
      </c>
      <c r="D216" s="598">
        <f t="shared" si="71"/>
        <v>30.4</v>
      </c>
      <c r="E216" s="599">
        <f>IF(B216="","",'Tabla de Incrementos'!$C$4)</f>
        <v>0.11</v>
      </c>
      <c r="F216" s="600">
        <f t="shared" si="62"/>
        <v>371906.33935594256</v>
      </c>
      <c r="G216" s="600">
        <f t="shared" si="72"/>
        <v>10203.363613403759</v>
      </c>
      <c r="H216" s="600">
        <f t="shared" si="63"/>
        <v>3454.5966633507551</v>
      </c>
      <c r="I216" s="600">
        <f>IF(B216="","",IF(F216=0,0,($C$2/1000)*'Tabla de Incrementos'!$J$18))</f>
        <v>13657.960276754515</v>
      </c>
      <c r="J216" s="600">
        <f t="shared" si="73"/>
        <v>0</v>
      </c>
      <c r="K216" s="600">
        <f t="shared" si="74"/>
        <v>0</v>
      </c>
      <c r="L216" s="600">
        <f t="shared" si="64"/>
        <v>299</v>
      </c>
      <c r="M216" s="600">
        <f>IF(B216="","",IF(A216=0,0,AportPat!L213))</f>
        <v>0</v>
      </c>
      <c r="N216" s="601">
        <f>Simulador!N276</f>
        <v>0</v>
      </c>
      <c r="O216" s="608">
        <v>0</v>
      </c>
      <c r="P216" s="600">
        <f t="shared" si="75"/>
        <v>13956.960276754515</v>
      </c>
      <c r="Q216" s="600">
        <f t="shared" si="58"/>
        <v>361702.97574253881</v>
      </c>
      <c r="S216" s="120">
        <v>0.11</v>
      </c>
      <c r="T216" s="198">
        <f t="shared" si="59"/>
        <v>210</v>
      </c>
      <c r="U216" s="347">
        <f t="shared" si="76"/>
        <v>371906.33935594256</v>
      </c>
      <c r="V216" s="347">
        <f t="shared" si="65"/>
        <v>10203.363613403759</v>
      </c>
      <c r="W216" s="347">
        <f t="shared" si="66"/>
        <v>3454.5966633507551</v>
      </c>
      <c r="X216" s="600">
        <f>IF(T216="","",IF(U216=0,0,($C$2/1000)*'Tabla de Incrementos'!$J$18))</f>
        <v>13657.960276754515</v>
      </c>
      <c r="Y216" s="600">
        <f t="shared" si="60"/>
        <v>0</v>
      </c>
      <c r="Z216" s="600">
        <f t="shared" si="67"/>
        <v>0</v>
      </c>
      <c r="AA216" s="557">
        <f t="shared" si="68"/>
        <v>299</v>
      </c>
      <c r="AB216" s="557">
        <f t="shared" si="69"/>
        <v>13956.960276754515</v>
      </c>
    </row>
    <row r="217" spans="1:28" x14ac:dyDescent="0.35">
      <c r="A217" s="595">
        <f t="shared" si="61"/>
        <v>1</v>
      </c>
      <c r="B217" s="596">
        <f t="shared" si="70"/>
        <v>211</v>
      </c>
      <c r="C217" s="597">
        <f ca="1">IF(B217="","",'Fecha Pago'!K214)</f>
        <v>52568</v>
      </c>
      <c r="D217" s="598">
        <f t="shared" si="71"/>
        <v>30.4</v>
      </c>
      <c r="E217" s="599">
        <f>IF(B217="","",'Tabla de Incrementos'!$C$4)</f>
        <v>0.11</v>
      </c>
      <c r="F217" s="600">
        <f t="shared" si="62"/>
        <v>361702.97574253881</v>
      </c>
      <c r="G217" s="600">
        <f t="shared" si="72"/>
        <v>10298.141524301598</v>
      </c>
      <c r="H217" s="600">
        <f t="shared" si="63"/>
        <v>3359.8187524529158</v>
      </c>
      <c r="I217" s="600">
        <f>IF(B217="","",IF(F217=0,0,($C$2/1000)*'Tabla de Incrementos'!$J$18))</f>
        <v>13657.960276754515</v>
      </c>
      <c r="J217" s="600">
        <f t="shared" si="73"/>
        <v>0</v>
      </c>
      <c r="K217" s="600">
        <f t="shared" si="74"/>
        <v>0</v>
      </c>
      <c r="L217" s="600">
        <f t="shared" si="64"/>
        <v>299</v>
      </c>
      <c r="M217" s="600">
        <f>IF(B217="","",IF(A217=0,0,AportPat!L214))</f>
        <v>0</v>
      </c>
      <c r="N217" s="601">
        <f>Simulador!N277</f>
        <v>0</v>
      </c>
      <c r="O217" s="608">
        <v>0</v>
      </c>
      <c r="P217" s="600">
        <f t="shared" si="75"/>
        <v>13956.960276754515</v>
      </c>
      <c r="Q217" s="600">
        <f t="shared" si="58"/>
        <v>351404.8342182372</v>
      </c>
      <c r="S217" s="120">
        <v>0.11</v>
      </c>
      <c r="T217" s="198">
        <f t="shared" si="59"/>
        <v>211</v>
      </c>
      <c r="U217" s="347">
        <f t="shared" si="76"/>
        <v>361702.97574253881</v>
      </c>
      <c r="V217" s="347">
        <f t="shared" si="65"/>
        <v>10298.141524301598</v>
      </c>
      <c r="W217" s="347">
        <f t="shared" si="66"/>
        <v>3359.8187524529158</v>
      </c>
      <c r="X217" s="600">
        <f>IF(T217="","",IF(U217=0,0,($C$2/1000)*'Tabla de Incrementos'!$J$18))</f>
        <v>13657.960276754515</v>
      </c>
      <c r="Y217" s="600">
        <f t="shared" si="60"/>
        <v>0</v>
      </c>
      <c r="Z217" s="600">
        <f t="shared" si="67"/>
        <v>0</v>
      </c>
      <c r="AA217" s="557">
        <f t="shared" si="68"/>
        <v>299</v>
      </c>
      <c r="AB217" s="557">
        <f t="shared" si="69"/>
        <v>13956.960276754515</v>
      </c>
    </row>
    <row r="218" spans="1:28" x14ac:dyDescent="0.35">
      <c r="A218" s="595">
        <f t="shared" si="61"/>
        <v>1</v>
      </c>
      <c r="B218" s="596">
        <f t="shared" si="70"/>
        <v>212</v>
      </c>
      <c r="C218" s="597">
        <f ca="1">IF(B218="","",'Fecha Pago'!K215)</f>
        <v>52599</v>
      </c>
      <c r="D218" s="598">
        <f t="shared" si="71"/>
        <v>30.4</v>
      </c>
      <c r="E218" s="599">
        <f>IF(B218="","",'Tabla de Incrementos'!$C$4)</f>
        <v>0.11</v>
      </c>
      <c r="F218" s="600">
        <f t="shared" si="62"/>
        <v>351404.8342182372</v>
      </c>
      <c r="G218" s="600">
        <f t="shared" si="72"/>
        <v>10393.799816682889</v>
      </c>
      <c r="H218" s="600">
        <f t="shared" si="63"/>
        <v>3264.1604600716255</v>
      </c>
      <c r="I218" s="600">
        <f>IF(B218="","",IF(F218=0,0,($C$2/1000)*'Tabla de Incrementos'!$J$18))</f>
        <v>13657.960276754515</v>
      </c>
      <c r="J218" s="600">
        <f t="shared" si="73"/>
        <v>0</v>
      </c>
      <c r="K218" s="600">
        <f t="shared" si="74"/>
        <v>0</v>
      </c>
      <c r="L218" s="600">
        <f t="shared" si="64"/>
        <v>299</v>
      </c>
      <c r="M218" s="600">
        <f>IF(B218="","",IF(A218=0,0,AportPat!L215))</f>
        <v>0</v>
      </c>
      <c r="N218" s="601">
        <f>Simulador!N278</f>
        <v>0</v>
      </c>
      <c r="O218" s="608">
        <v>0</v>
      </c>
      <c r="P218" s="600">
        <f t="shared" si="75"/>
        <v>13956.960276754515</v>
      </c>
      <c r="Q218" s="600">
        <f t="shared" si="58"/>
        <v>341011.03440155432</v>
      </c>
      <c r="S218" s="120">
        <v>0.11</v>
      </c>
      <c r="T218" s="198">
        <f t="shared" si="59"/>
        <v>212</v>
      </c>
      <c r="U218" s="347">
        <f t="shared" si="76"/>
        <v>351404.8342182372</v>
      </c>
      <c r="V218" s="347">
        <f t="shared" si="65"/>
        <v>10393.799816682889</v>
      </c>
      <c r="W218" s="347">
        <f t="shared" si="66"/>
        <v>3264.1604600716255</v>
      </c>
      <c r="X218" s="600">
        <f>IF(T218="","",IF(U218=0,0,($C$2/1000)*'Tabla de Incrementos'!$J$18))</f>
        <v>13657.960276754515</v>
      </c>
      <c r="Y218" s="600">
        <f t="shared" si="60"/>
        <v>0</v>
      </c>
      <c r="Z218" s="600">
        <f t="shared" si="67"/>
        <v>0</v>
      </c>
      <c r="AA218" s="557">
        <f t="shared" si="68"/>
        <v>299</v>
      </c>
      <c r="AB218" s="557">
        <f t="shared" si="69"/>
        <v>13956.960276754515</v>
      </c>
    </row>
    <row r="219" spans="1:28" x14ac:dyDescent="0.35">
      <c r="A219" s="595">
        <f t="shared" si="61"/>
        <v>1</v>
      </c>
      <c r="B219" s="596">
        <f t="shared" si="70"/>
        <v>213</v>
      </c>
      <c r="C219" s="597">
        <f ca="1">IF(B219="","",'Fecha Pago'!K216)</f>
        <v>52630</v>
      </c>
      <c r="D219" s="598">
        <f t="shared" si="71"/>
        <v>30.4</v>
      </c>
      <c r="E219" s="599">
        <f>IF(B219="","",'Tabla de Incrementos'!$C$4)</f>
        <v>0.11</v>
      </c>
      <c r="F219" s="600">
        <f t="shared" si="62"/>
        <v>341011.03440155432</v>
      </c>
      <c r="G219" s="600">
        <f t="shared" si="72"/>
        <v>10490.34666831341</v>
      </c>
      <c r="H219" s="600">
        <f t="shared" si="63"/>
        <v>3167.6136084411046</v>
      </c>
      <c r="I219" s="600">
        <f>IF(B219="","",IF(F219=0,0,($C$2/1000)*'Tabla de Incrementos'!$J$18))</f>
        <v>13657.960276754515</v>
      </c>
      <c r="J219" s="600">
        <f t="shared" si="73"/>
        <v>0</v>
      </c>
      <c r="K219" s="600">
        <f t="shared" si="74"/>
        <v>0</v>
      </c>
      <c r="L219" s="600">
        <f t="shared" si="64"/>
        <v>299</v>
      </c>
      <c r="M219" s="600">
        <f>IF(B219="","",IF(A219=0,0,AportPat!L216))</f>
        <v>0</v>
      </c>
      <c r="N219" s="601">
        <f>Simulador!N279</f>
        <v>0</v>
      </c>
      <c r="O219" s="608">
        <v>0</v>
      </c>
      <c r="P219" s="600">
        <f t="shared" si="75"/>
        <v>13956.960276754515</v>
      </c>
      <c r="Q219" s="600">
        <f t="shared" si="58"/>
        <v>330520.68773324089</v>
      </c>
      <c r="S219" s="120">
        <v>0.11</v>
      </c>
      <c r="T219" s="198">
        <f t="shared" si="59"/>
        <v>213</v>
      </c>
      <c r="U219" s="347">
        <f t="shared" si="76"/>
        <v>341011.03440155432</v>
      </c>
      <c r="V219" s="347">
        <f t="shared" si="65"/>
        <v>10490.34666831341</v>
      </c>
      <c r="W219" s="347">
        <f t="shared" si="66"/>
        <v>3167.6136084411046</v>
      </c>
      <c r="X219" s="600">
        <f>IF(T219="","",IF(U219=0,0,($C$2/1000)*'Tabla de Incrementos'!$J$18))</f>
        <v>13657.960276754515</v>
      </c>
      <c r="Y219" s="600">
        <f t="shared" si="60"/>
        <v>0</v>
      </c>
      <c r="Z219" s="600">
        <f t="shared" si="67"/>
        <v>0</v>
      </c>
      <c r="AA219" s="557">
        <f t="shared" si="68"/>
        <v>299</v>
      </c>
      <c r="AB219" s="557">
        <f t="shared" si="69"/>
        <v>13956.960276754515</v>
      </c>
    </row>
    <row r="220" spans="1:28" x14ac:dyDescent="0.35">
      <c r="A220" s="595">
        <f t="shared" si="61"/>
        <v>1</v>
      </c>
      <c r="B220" s="596">
        <f t="shared" si="70"/>
        <v>214</v>
      </c>
      <c r="C220" s="597">
        <f ca="1">IF(B220="","",'Fecha Pago'!K217)</f>
        <v>52659</v>
      </c>
      <c r="D220" s="598">
        <f t="shared" si="71"/>
        <v>30.4</v>
      </c>
      <c r="E220" s="599">
        <f>IF(B220="","",'Tabla de Incrementos'!$C$4)</f>
        <v>0.11</v>
      </c>
      <c r="F220" s="600">
        <f t="shared" si="62"/>
        <v>330520.68773324089</v>
      </c>
      <c r="G220" s="600">
        <f t="shared" si="72"/>
        <v>10587.7903329213</v>
      </c>
      <c r="H220" s="600">
        <f t="shared" si="63"/>
        <v>3070.1699438332153</v>
      </c>
      <c r="I220" s="600">
        <f>IF(B220="","",IF(F220=0,0,($C$2/1000)*'Tabla de Incrementos'!$J$18))</f>
        <v>13657.960276754515</v>
      </c>
      <c r="J220" s="600">
        <f t="shared" si="73"/>
        <v>0</v>
      </c>
      <c r="K220" s="600">
        <f t="shared" si="74"/>
        <v>0</v>
      </c>
      <c r="L220" s="600">
        <f t="shared" si="64"/>
        <v>299</v>
      </c>
      <c r="M220" s="600">
        <f>IF(B220="","",IF(A220=0,0,AportPat!L217))</f>
        <v>0</v>
      </c>
      <c r="N220" s="601">
        <f>Simulador!N280</f>
        <v>0</v>
      </c>
      <c r="O220" s="608">
        <v>0</v>
      </c>
      <c r="P220" s="600">
        <f t="shared" si="75"/>
        <v>13956.960276754515</v>
      </c>
      <c r="Q220" s="600">
        <f t="shared" si="58"/>
        <v>319932.89740031958</v>
      </c>
      <c r="S220" s="120">
        <v>0.11</v>
      </c>
      <c r="T220" s="198">
        <f t="shared" si="59"/>
        <v>214</v>
      </c>
      <c r="U220" s="347">
        <f t="shared" si="76"/>
        <v>330520.68773324089</v>
      </c>
      <c r="V220" s="347">
        <f t="shared" si="65"/>
        <v>10587.7903329213</v>
      </c>
      <c r="W220" s="347">
        <f t="shared" si="66"/>
        <v>3070.1699438332153</v>
      </c>
      <c r="X220" s="600">
        <f>IF(T220="","",IF(U220=0,0,($C$2/1000)*'Tabla de Incrementos'!$J$18))</f>
        <v>13657.960276754515</v>
      </c>
      <c r="Y220" s="600">
        <f t="shared" si="60"/>
        <v>0</v>
      </c>
      <c r="Z220" s="600">
        <f t="shared" si="67"/>
        <v>0</v>
      </c>
      <c r="AA220" s="557">
        <f t="shared" si="68"/>
        <v>299</v>
      </c>
      <c r="AB220" s="557">
        <f t="shared" si="69"/>
        <v>13956.960276754515</v>
      </c>
    </row>
    <row r="221" spans="1:28" x14ac:dyDescent="0.35">
      <c r="A221" s="595">
        <f t="shared" si="61"/>
        <v>1</v>
      </c>
      <c r="B221" s="596">
        <f t="shared" si="70"/>
        <v>215</v>
      </c>
      <c r="C221" s="597">
        <f ca="1">IF(B221="","",'Fecha Pago'!K218)</f>
        <v>52690</v>
      </c>
      <c r="D221" s="598">
        <f t="shared" si="71"/>
        <v>30.4</v>
      </c>
      <c r="E221" s="599">
        <f>IF(B221="","",'Tabla de Incrementos'!$C$4)</f>
        <v>0.11</v>
      </c>
      <c r="F221" s="600">
        <f t="shared" si="62"/>
        <v>319932.89740031958</v>
      </c>
      <c r="G221" s="600">
        <f t="shared" si="72"/>
        <v>10686.139140902658</v>
      </c>
      <c r="H221" s="600">
        <f t="shared" si="63"/>
        <v>2971.821135851857</v>
      </c>
      <c r="I221" s="600">
        <f>IF(B221="","",IF(F221=0,0,($C$2/1000)*'Tabla de Incrementos'!$J$18))</f>
        <v>13657.960276754515</v>
      </c>
      <c r="J221" s="600">
        <f t="shared" si="73"/>
        <v>0</v>
      </c>
      <c r="K221" s="600">
        <f t="shared" si="74"/>
        <v>0</v>
      </c>
      <c r="L221" s="600">
        <f t="shared" si="64"/>
        <v>299</v>
      </c>
      <c r="M221" s="600">
        <f>IF(B221="","",IF(A221=0,0,AportPat!L218))</f>
        <v>0</v>
      </c>
      <c r="N221" s="601">
        <f>Simulador!N281</f>
        <v>0</v>
      </c>
      <c r="O221" s="608">
        <v>0</v>
      </c>
      <c r="P221" s="600">
        <f t="shared" si="75"/>
        <v>13956.960276754515</v>
      </c>
      <c r="Q221" s="600">
        <f t="shared" si="58"/>
        <v>309246.75825941691</v>
      </c>
      <c r="S221" s="120">
        <v>0.11</v>
      </c>
      <c r="T221" s="198">
        <f t="shared" si="59"/>
        <v>215</v>
      </c>
      <c r="U221" s="347">
        <f t="shared" si="76"/>
        <v>319932.89740031958</v>
      </c>
      <c r="V221" s="347">
        <f t="shared" si="65"/>
        <v>10686.139140902658</v>
      </c>
      <c r="W221" s="347">
        <f t="shared" si="66"/>
        <v>2971.821135851857</v>
      </c>
      <c r="X221" s="600">
        <f>IF(T221="","",IF(U221=0,0,($C$2/1000)*'Tabla de Incrementos'!$J$18))</f>
        <v>13657.960276754515</v>
      </c>
      <c r="Y221" s="600">
        <f t="shared" si="60"/>
        <v>0</v>
      </c>
      <c r="Z221" s="600">
        <f t="shared" si="67"/>
        <v>0</v>
      </c>
      <c r="AA221" s="557">
        <f t="shared" si="68"/>
        <v>299</v>
      </c>
      <c r="AB221" s="557">
        <f t="shared" si="69"/>
        <v>13956.960276754515</v>
      </c>
    </row>
    <row r="222" spans="1:28" x14ac:dyDescent="0.35">
      <c r="A222" s="595">
        <f t="shared" si="61"/>
        <v>1</v>
      </c>
      <c r="B222" s="596">
        <f t="shared" si="70"/>
        <v>216</v>
      </c>
      <c r="C222" s="597">
        <f ca="1">IF(B222="","",'Fecha Pago'!K219)</f>
        <v>52720</v>
      </c>
      <c r="D222" s="598">
        <f t="shared" si="71"/>
        <v>30.4</v>
      </c>
      <c r="E222" s="599">
        <f>IF(B222="","",'Tabla de Incrementos'!$C$4)</f>
        <v>0.11</v>
      </c>
      <c r="F222" s="600">
        <f t="shared" si="62"/>
        <v>309246.75825941691</v>
      </c>
      <c r="G222" s="600">
        <f t="shared" si="72"/>
        <v>10785.401500033709</v>
      </c>
      <c r="H222" s="600">
        <f t="shared" si="63"/>
        <v>2872.5587767208058</v>
      </c>
      <c r="I222" s="600">
        <f>IF(B222="","",IF(F222=0,0,($C$2/1000)*'Tabla de Incrementos'!$J$18))</f>
        <v>13657.960276754515</v>
      </c>
      <c r="J222" s="600">
        <f t="shared" si="73"/>
        <v>0</v>
      </c>
      <c r="K222" s="600">
        <f t="shared" si="74"/>
        <v>0</v>
      </c>
      <c r="L222" s="600">
        <f t="shared" si="64"/>
        <v>299</v>
      </c>
      <c r="M222" s="600">
        <f>IF(B222="","",IF(A222=0,0,AportPat!L219))</f>
        <v>0</v>
      </c>
      <c r="N222" s="601">
        <f>Simulador!N282</f>
        <v>0</v>
      </c>
      <c r="O222" s="608">
        <v>0</v>
      </c>
      <c r="P222" s="600">
        <f t="shared" si="75"/>
        <v>13956.960276754515</v>
      </c>
      <c r="Q222" s="600">
        <f t="shared" si="58"/>
        <v>298461.35675938323</v>
      </c>
      <c r="S222" s="120">
        <v>0.11</v>
      </c>
      <c r="T222" s="198">
        <f t="shared" si="59"/>
        <v>216</v>
      </c>
      <c r="U222" s="347">
        <f t="shared" si="76"/>
        <v>309246.75825941691</v>
      </c>
      <c r="V222" s="347">
        <f t="shared" si="65"/>
        <v>10785.401500033709</v>
      </c>
      <c r="W222" s="347">
        <f t="shared" si="66"/>
        <v>2872.5587767208058</v>
      </c>
      <c r="X222" s="600">
        <f>IF(T222="","",IF(U222=0,0,($C$2/1000)*'Tabla de Incrementos'!$J$18))</f>
        <v>13657.960276754515</v>
      </c>
      <c r="Y222" s="600">
        <f t="shared" si="60"/>
        <v>0</v>
      </c>
      <c r="Z222" s="600">
        <f t="shared" si="67"/>
        <v>0</v>
      </c>
      <c r="AA222" s="557">
        <f t="shared" si="68"/>
        <v>299</v>
      </c>
      <c r="AB222" s="557">
        <f t="shared" si="69"/>
        <v>13956.960276754515</v>
      </c>
    </row>
    <row r="223" spans="1:28" x14ac:dyDescent="0.35">
      <c r="A223" s="595">
        <f t="shared" si="61"/>
        <v>1</v>
      </c>
      <c r="B223" s="596">
        <f t="shared" si="70"/>
        <v>217</v>
      </c>
      <c r="C223" s="597">
        <f ca="1">IF(B223="","",'Fecha Pago'!K220)</f>
        <v>52751</v>
      </c>
      <c r="D223" s="598">
        <f t="shared" si="71"/>
        <v>30.4</v>
      </c>
      <c r="E223" s="599">
        <f>IF(B223="","",'Tabla de Incrementos'!$C$4)</f>
        <v>0.11</v>
      </c>
      <c r="F223" s="600">
        <f t="shared" si="62"/>
        <v>298461.35675938323</v>
      </c>
      <c r="G223" s="600">
        <f t="shared" si="72"/>
        <v>10885.585896189577</v>
      </c>
      <c r="H223" s="600">
        <f t="shared" si="63"/>
        <v>2772.3743805649374</v>
      </c>
      <c r="I223" s="600">
        <f>IF(B223="","",IF(F223=0,0,($C$2/1000)*'Tabla de Incrementos'!$J$18))</f>
        <v>13657.960276754515</v>
      </c>
      <c r="J223" s="600">
        <f t="shared" si="73"/>
        <v>0</v>
      </c>
      <c r="K223" s="600">
        <f t="shared" si="74"/>
        <v>0</v>
      </c>
      <c r="L223" s="600">
        <f t="shared" si="64"/>
        <v>299</v>
      </c>
      <c r="M223" s="600">
        <f>IF(B223="","",IF(A223=0,0,AportPat!L220))</f>
        <v>0</v>
      </c>
      <c r="N223" s="601">
        <f>Simulador!N283</f>
        <v>0</v>
      </c>
      <c r="O223" s="608">
        <v>0</v>
      </c>
      <c r="P223" s="600">
        <f t="shared" si="75"/>
        <v>13956.960276754515</v>
      </c>
      <c r="Q223" s="600">
        <f t="shared" si="58"/>
        <v>287575.77086319367</v>
      </c>
      <c r="S223" s="120">
        <v>0.11</v>
      </c>
      <c r="T223" s="198">
        <f t="shared" si="59"/>
        <v>217</v>
      </c>
      <c r="U223" s="347">
        <f t="shared" si="76"/>
        <v>298461.35675938323</v>
      </c>
      <c r="V223" s="347">
        <f t="shared" si="65"/>
        <v>10885.585896189577</v>
      </c>
      <c r="W223" s="347">
        <f t="shared" si="66"/>
        <v>2772.3743805649374</v>
      </c>
      <c r="X223" s="600">
        <f>IF(T223="","",IF(U223=0,0,($C$2/1000)*'Tabla de Incrementos'!$J$18))</f>
        <v>13657.960276754515</v>
      </c>
      <c r="Y223" s="600">
        <f t="shared" si="60"/>
        <v>0</v>
      </c>
      <c r="Z223" s="600">
        <f t="shared" si="67"/>
        <v>0</v>
      </c>
      <c r="AA223" s="557">
        <f t="shared" si="68"/>
        <v>299</v>
      </c>
      <c r="AB223" s="557">
        <f t="shared" si="69"/>
        <v>13956.960276754515</v>
      </c>
    </row>
    <row r="224" spans="1:28" x14ac:dyDescent="0.35">
      <c r="A224" s="595">
        <f t="shared" si="61"/>
        <v>1</v>
      </c>
      <c r="B224" s="604">
        <f t="shared" si="70"/>
        <v>218</v>
      </c>
      <c r="C224" s="597">
        <f ca="1">IF(B224="","",'Fecha Pago'!K221)</f>
        <v>52781</v>
      </c>
      <c r="D224" s="605">
        <f t="shared" si="71"/>
        <v>30.4</v>
      </c>
      <c r="E224" s="606">
        <f>IF(B224="","",'Tabla de Incrementos'!$C$4)</f>
        <v>0.11</v>
      </c>
      <c r="F224" s="607">
        <f t="shared" si="62"/>
        <v>287575.77086319367</v>
      </c>
      <c r="G224" s="607">
        <f t="shared" si="72"/>
        <v>11373.480812846972</v>
      </c>
      <c r="H224" s="607">
        <f t="shared" si="63"/>
        <v>2671.2593826847765</v>
      </c>
      <c r="I224" s="607">
        <f>IF(B224="","",IF(F224=0,0,($C$2/1000)*'Tabla de Incrementos'!$J$19))</f>
        <v>14044.740195531749</v>
      </c>
      <c r="J224" s="607">
        <f t="shared" si="73"/>
        <v>0</v>
      </c>
      <c r="K224" s="607">
        <f t="shared" si="74"/>
        <v>0</v>
      </c>
      <c r="L224" s="607">
        <f t="shared" si="64"/>
        <v>299</v>
      </c>
      <c r="M224" s="607">
        <f>IF(B224="","",IF(A224=0,0,AportPat!L221))</f>
        <v>0</v>
      </c>
      <c r="N224" s="601">
        <f>Simulador!N284</f>
        <v>0</v>
      </c>
      <c r="O224" s="608">
        <v>0</v>
      </c>
      <c r="P224" s="607">
        <f t="shared" si="75"/>
        <v>14343.740195531749</v>
      </c>
      <c r="Q224" s="607">
        <f t="shared" si="58"/>
        <v>276202.2900503467</v>
      </c>
      <c r="S224" s="120">
        <v>0.11</v>
      </c>
      <c r="T224" s="198">
        <f t="shared" si="59"/>
        <v>218</v>
      </c>
      <c r="U224" s="347">
        <f t="shared" si="76"/>
        <v>287575.77086319367</v>
      </c>
      <c r="V224" s="347">
        <f t="shared" si="65"/>
        <v>11373.480812846972</v>
      </c>
      <c r="W224" s="347">
        <f t="shared" si="66"/>
        <v>2671.2593826847765</v>
      </c>
      <c r="X224" s="607">
        <f>IF(T224="","",IF(U224=0,0,($C$2/1000)*'Tabla de Incrementos'!$J$19))</f>
        <v>14044.740195531749</v>
      </c>
      <c r="Y224" s="607">
        <f t="shared" si="60"/>
        <v>0</v>
      </c>
      <c r="Z224" s="607">
        <f t="shared" si="67"/>
        <v>0</v>
      </c>
      <c r="AA224" s="557">
        <f t="shared" si="68"/>
        <v>299</v>
      </c>
      <c r="AB224" s="557">
        <f t="shared" si="69"/>
        <v>14343.740195531749</v>
      </c>
    </row>
    <row r="225" spans="1:28" x14ac:dyDescent="0.35">
      <c r="A225" s="595">
        <f t="shared" si="61"/>
        <v>1</v>
      </c>
      <c r="B225" s="596">
        <f t="shared" si="70"/>
        <v>219</v>
      </c>
      <c r="C225" s="597">
        <f ca="1">IF(B225="","",'Fecha Pago'!K222)</f>
        <v>52812</v>
      </c>
      <c r="D225" s="598">
        <f t="shared" si="71"/>
        <v>30.4</v>
      </c>
      <c r="E225" s="599">
        <f>IF(B225="","",'Tabla de Incrementos'!$C$4)</f>
        <v>0.11</v>
      </c>
      <c r="F225" s="600">
        <f t="shared" si="62"/>
        <v>276202.2900503467</v>
      </c>
      <c r="G225" s="600">
        <f t="shared" si="72"/>
        <v>11479.127812397419</v>
      </c>
      <c r="H225" s="600">
        <f t="shared" si="63"/>
        <v>2565.6123831343311</v>
      </c>
      <c r="I225" s="600">
        <f>IF(B225="","",IF(F225=0,0,($C$2/1000)*'Tabla de Incrementos'!$J$19))</f>
        <v>14044.740195531749</v>
      </c>
      <c r="J225" s="600">
        <f t="shared" si="73"/>
        <v>0</v>
      </c>
      <c r="K225" s="600">
        <f t="shared" si="74"/>
        <v>0</v>
      </c>
      <c r="L225" s="600">
        <f t="shared" si="64"/>
        <v>299</v>
      </c>
      <c r="M225" s="600">
        <f>IF(B225="","",IF(A225=0,0,AportPat!L222))</f>
        <v>0</v>
      </c>
      <c r="N225" s="601">
        <f>Simulador!N285</f>
        <v>0</v>
      </c>
      <c r="O225" s="608">
        <v>0</v>
      </c>
      <c r="P225" s="600">
        <f t="shared" si="75"/>
        <v>14343.740195531751</v>
      </c>
      <c r="Q225" s="600">
        <f t="shared" si="58"/>
        <v>264723.16223794926</v>
      </c>
      <c r="S225" s="120">
        <v>0.11</v>
      </c>
      <c r="T225" s="198">
        <f t="shared" si="59"/>
        <v>219</v>
      </c>
      <c r="U225" s="347">
        <f t="shared" si="76"/>
        <v>276202.2900503467</v>
      </c>
      <c r="V225" s="347">
        <f t="shared" si="65"/>
        <v>11479.127812397419</v>
      </c>
      <c r="W225" s="347">
        <f t="shared" si="66"/>
        <v>2565.6123831343311</v>
      </c>
      <c r="X225" s="600">
        <f>IF(T225="","",IF(U225=0,0,($C$2/1000)*'Tabla de Incrementos'!$J$19))</f>
        <v>14044.740195531749</v>
      </c>
      <c r="Y225" s="600">
        <f t="shared" si="60"/>
        <v>0</v>
      </c>
      <c r="Z225" s="600">
        <f t="shared" si="67"/>
        <v>0</v>
      </c>
      <c r="AA225" s="557">
        <f t="shared" si="68"/>
        <v>299</v>
      </c>
      <c r="AB225" s="557">
        <f t="shared" si="69"/>
        <v>14343.740195531751</v>
      </c>
    </row>
    <row r="226" spans="1:28" x14ac:dyDescent="0.35">
      <c r="A226" s="595">
        <f t="shared" si="61"/>
        <v>1</v>
      </c>
      <c r="B226" s="596">
        <f t="shared" si="70"/>
        <v>220</v>
      </c>
      <c r="C226" s="597">
        <f ca="1">IF(B226="","",'Fecha Pago'!K223)</f>
        <v>52843</v>
      </c>
      <c r="D226" s="598">
        <f t="shared" si="71"/>
        <v>30.4</v>
      </c>
      <c r="E226" s="599">
        <f>IF(B226="","",'Tabla de Incrementos'!$C$4)</f>
        <v>0.11</v>
      </c>
      <c r="F226" s="600">
        <f t="shared" si="62"/>
        <v>264723.16223794926</v>
      </c>
      <c r="G226" s="600">
        <f t="shared" si="72"/>
        <v>11585.756155188132</v>
      </c>
      <c r="H226" s="600">
        <f t="shared" si="63"/>
        <v>2458.9840403436174</v>
      </c>
      <c r="I226" s="600">
        <f>IF(B226="","",IF(F226=0,0,($C$2/1000)*'Tabla de Incrementos'!$J$19))</f>
        <v>14044.740195531749</v>
      </c>
      <c r="J226" s="600">
        <f t="shared" si="73"/>
        <v>0</v>
      </c>
      <c r="K226" s="600">
        <f t="shared" si="74"/>
        <v>0</v>
      </c>
      <c r="L226" s="600">
        <f t="shared" si="64"/>
        <v>299</v>
      </c>
      <c r="M226" s="600">
        <f>IF(B226="","",IF(A226=0,0,AportPat!L223))</f>
        <v>0</v>
      </c>
      <c r="N226" s="601">
        <f>Simulador!N286</f>
        <v>0</v>
      </c>
      <c r="O226" s="608">
        <v>0</v>
      </c>
      <c r="P226" s="600">
        <f t="shared" si="75"/>
        <v>14343.740195531749</v>
      </c>
      <c r="Q226" s="600">
        <f t="shared" si="58"/>
        <v>253137.40608276112</v>
      </c>
      <c r="S226" s="120">
        <v>0.11</v>
      </c>
      <c r="T226" s="198">
        <f t="shared" si="59"/>
        <v>220</v>
      </c>
      <c r="U226" s="347">
        <f t="shared" si="76"/>
        <v>264723.16223794926</v>
      </c>
      <c r="V226" s="347">
        <f t="shared" si="65"/>
        <v>11585.756155188132</v>
      </c>
      <c r="W226" s="347">
        <f t="shared" si="66"/>
        <v>2458.9840403436174</v>
      </c>
      <c r="X226" s="600">
        <f>IF(T226="","",IF(U226=0,0,($C$2/1000)*'Tabla de Incrementos'!$J$19))</f>
        <v>14044.740195531749</v>
      </c>
      <c r="Y226" s="600">
        <f t="shared" si="60"/>
        <v>0</v>
      </c>
      <c r="Z226" s="600">
        <f t="shared" si="67"/>
        <v>0</v>
      </c>
      <c r="AA226" s="557">
        <f t="shared" si="68"/>
        <v>299</v>
      </c>
      <c r="AB226" s="557">
        <f t="shared" si="69"/>
        <v>14343.740195531749</v>
      </c>
    </row>
    <row r="227" spans="1:28" x14ac:dyDescent="0.35">
      <c r="A227" s="595">
        <f t="shared" si="61"/>
        <v>1</v>
      </c>
      <c r="B227" s="596">
        <f t="shared" si="70"/>
        <v>221</v>
      </c>
      <c r="C227" s="597">
        <f ca="1">IF(B227="","",'Fecha Pago'!K224)</f>
        <v>52873</v>
      </c>
      <c r="D227" s="598">
        <f t="shared" si="71"/>
        <v>30.4</v>
      </c>
      <c r="E227" s="599">
        <f>IF(B227="","",'Tabla de Incrementos'!$C$4)</f>
        <v>0.11</v>
      </c>
      <c r="F227" s="600">
        <f t="shared" si="62"/>
        <v>253137.40608276112</v>
      </c>
      <c r="G227" s="600">
        <f t="shared" si="72"/>
        <v>11693.374956807435</v>
      </c>
      <c r="H227" s="600">
        <f t="shared" si="63"/>
        <v>2351.3652387243142</v>
      </c>
      <c r="I227" s="600">
        <f>IF(B227="","",IF(F227=0,0,($C$2/1000)*'Tabla de Incrementos'!$J$19))</f>
        <v>14044.740195531749</v>
      </c>
      <c r="J227" s="600">
        <f t="shared" si="73"/>
        <v>0</v>
      </c>
      <c r="K227" s="600">
        <f t="shared" si="74"/>
        <v>0</v>
      </c>
      <c r="L227" s="600">
        <f t="shared" si="64"/>
        <v>299</v>
      </c>
      <c r="M227" s="600">
        <f>IF(B227="","",IF(A227=0,0,AportPat!L224))</f>
        <v>0</v>
      </c>
      <c r="N227" s="601">
        <f>Simulador!N287</f>
        <v>0</v>
      </c>
      <c r="O227" s="608">
        <v>0</v>
      </c>
      <c r="P227" s="600">
        <f t="shared" si="75"/>
        <v>14343.740195531749</v>
      </c>
      <c r="Q227" s="600">
        <f t="shared" si="58"/>
        <v>241444.03112595368</v>
      </c>
      <c r="S227" s="120">
        <v>0.11</v>
      </c>
      <c r="T227" s="198">
        <f t="shared" si="59"/>
        <v>221</v>
      </c>
      <c r="U227" s="347">
        <f t="shared" si="76"/>
        <v>253137.40608276112</v>
      </c>
      <c r="V227" s="347">
        <f t="shared" si="65"/>
        <v>11693.374956807435</v>
      </c>
      <c r="W227" s="347">
        <f t="shared" si="66"/>
        <v>2351.3652387243142</v>
      </c>
      <c r="X227" s="600">
        <f>IF(T227="","",IF(U227=0,0,($C$2/1000)*'Tabla de Incrementos'!$J$19))</f>
        <v>14044.740195531749</v>
      </c>
      <c r="Y227" s="600">
        <f t="shared" si="60"/>
        <v>0</v>
      </c>
      <c r="Z227" s="600">
        <f t="shared" si="67"/>
        <v>0</v>
      </c>
      <c r="AA227" s="557">
        <f t="shared" si="68"/>
        <v>299</v>
      </c>
      <c r="AB227" s="557">
        <f t="shared" si="69"/>
        <v>14343.740195531749</v>
      </c>
    </row>
    <row r="228" spans="1:28" x14ac:dyDescent="0.35">
      <c r="A228" s="595">
        <f t="shared" si="61"/>
        <v>1</v>
      </c>
      <c r="B228" s="596">
        <f t="shared" si="70"/>
        <v>222</v>
      </c>
      <c r="C228" s="597">
        <f ca="1">IF(B228="","",'Fecha Pago'!K225)</f>
        <v>52904</v>
      </c>
      <c r="D228" s="598">
        <f t="shared" si="71"/>
        <v>30.4</v>
      </c>
      <c r="E228" s="599">
        <f>IF(B228="","",'Tabla de Incrementos'!$C$4)</f>
        <v>0.11</v>
      </c>
      <c r="F228" s="600">
        <f t="shared" si="62"/>
        <v>241444.03112595368</v>
      </c>
      <c r="G228" s="600">
        <f t="shared" si="72"/>
        <v>11801.993417517335</v>
      </c>
      <c r="H228" s="600">
        <f t="shared" si="63"/>
        <v>2242.7467780144138</v>
      </c>
      <c r="I228" s="600">
        <f>IF(B228="","",IF(F228=0,0,($C$2/1000)*'Tabla de Incrementos'!$J$19))</f>
        <v>14044.740195531749</v>
      </c>
      <c r="J228" s="600">
        <f t="shared" si="73"/>
        <v>0</v>
      </c>
      <c r="K228" s="600">
        <f t="shared" si="74"/>
        <v>0</v>
      </c>
      <c r="L228" s="600">
        <f t="shared" si="64"/>
        <v>299</v>
      </c>
      <c r="M228" s="600">
        <f>IF(B228="","",IF(A228=0,0,AportPat!L225))</f>
        <v>0</v>
      </c>
      <c r="N228" s="601">
        <f>Simulador!N288</f>
        <v>0</v>
      </c>
      <c r="O228" s="608">
        <v>0</v>
      </c>
      <c r="P228" s="600">
        <f t="shared" si="75"/>
        <v>14343.740195531749</v>
      </c>
      <c r="Q228" s="600">
        <f t="shared" si="58"/>
        <v>229642.03770843634</v>
      </c>
      <c r="S228" s="120">
        <v>0.11</v>
      </c>
      <c r="T228" s="198">
        <f t="shared" si="59"/>
        <v>222</v>
      </c>
      <c r="U228" s="347">
        <f t="shared" si="76"/>
        <v>241444.03112595368</v>
      </c>
      <c r="V228" s="347">
        <f t="shared" si="65"/>
        <v>11801.993417517335</v>
      </c>
      <c r="W228" s="347">
        <f t="shared" si="66"/>
        <v>2242.7467780144138</v>
      </c>
      <c r="X228" s="600">
        <f>IF(T228="","",IF(U228=0,0,($C$2/1000)*'Tabla de Incrementos'!$J$19))</f>
        <v>14044.740195531749</v>
      </c>
      <c r="Y228" s="600">
        <f t="shared" si="60"/>
        <v>0</v>
      </c>
      <c r="Z228" s="600">
        <f t="shared" si="67"/>
        <v>0</v>
      </c>
      <c r="AA228" s="557">
        <f t="shared" si="68"/>
        <v>299</v>
      </c>
      <c r="AB228" s="557">
        <f t="shared" si="69"/>
        <v>14343.740195531749</v>
      </c>
    </row>
    <row r="229" spans="1:28" x14ac:dyDescent="0.35">
      <c r="A229" s="595">
        <f t="shared" si="61"/>
        <v>1</v>
      </c>
      <c r="B229" s="596">
        <f t="shared" si="70"/>
        <v>223</v>
      </c>
      <c r="C229" s="597">
        <f ca="1">IF(B229="","",'Fecha Pago'!K226)</f>
        <v>52934</v>
      </c>
      <c r="D229" s="598">
        <f t="shared" si="71"/>
        <v>30.4</v>
      </c>
      <c r="E229" s="599">
        <f>IF(B229="","",'Tabla de Incrementos'!$C$4)</f>
        <v>0.11</v>
      </c>
      <c r="F229" s="600">
        <f t="shared" si="62"/>
        <v>229642.03770843634</v>
      </c>
      <c r="G229" s="600">
        <f t="shared" si="72"/>
        <v>11911.620823040052</v>
      </c>
      <c r="H229" s="600">
        <f t="shared" si="63"/>
        <v>2133.1193724916975</v>
      </c>
      <c r="I229" s="600">
        <f>IF(B229="","",IF(F229=0,0,($C$2/1000)*'Tabla de Incrementos'!$J$19))</f>
        <v>14044.740195531749</v>
      </c>
      <c r="J229" s="600">
        <f t="shared" si="73"/>
        <v>0</v>
      </c>
      <c r="K229" s="600">
        <f t="shared" si="74"/>
        <v>0</v>
      </c>
      <c r="L229" s="600">
        <f t="shared" si="64"/>
        <v>299</v>
      </c>
      <c r="M229" s="600">
        <f>IF(B229="","",IF(A229=0,0,AportPat!L226))</f>
        <v>0</v>
      </c>
      <c r="N229" s="601">
        <f>Simulador!N289</f>
        <v>0</v>
      </c>
      <c r="O229" s="608">
        <v>0</v>
      </c>
      <c r="P229" s="600">
        <f t="shared" si="75"/>
        <v>14343.740195531749</v>
      </c>
      <c r="Q229" s="600">
        <f t="shared" si="58"/>
        <v>217730.41688539629</v>
      </c>
      <c r="S229" s="120">
        <v>0.11</v>
      </c>
      <c r="T229" s="198">
        <f t="shared" si="59"/>
        <v>223</v>
      </c>
      <c r="U229" s="347">
        <f t="shared" si="76"/>
        <v>229642.03770843634</v>
      </c>
      <c r="V229" s="347">
        <f t="shared" si="65"/>
        <v>11911.620823040052</v>
      </c>
      <c r="W229" s="347">
        <f t="shared" si="66"/>
        <v>2133.1193724916975</v>
      </c>
      <c r="X229" s="600">
        <f>IF(T229="","",IF(U229=0,0,($C$2/1000)*'Tabla de Incrementos'!$J$19))</f>
        <v>14044.740195531749</v>
      </c>
      <c r="Y229" s="600">
        <f t="shared" si="60"/>
        <v>0</v>
      </c>
      <c r="Z229" s="600">
        <f t="shared" si="67"/>
        <v>0</v>
      </c>
      <c r="AA229" s="557">
        <f t="shared" si="68"/>
        <v>299</v>
      </c>
      <c r="AB229" s="557">
        <f t="shared" si="69"/>
        <v>14343.740195531749</v>
      </c>
    </row>
    <row r="230" spans="1:28" x14ac:dyDescent="0.35">
      <c r="A230" s="595">
        <f t="shared" si="61"/>
        <v>1</v>
      </c>
      <c r="B230" s="596">
        <f t="shared" si="70"/>
        <v>224</v>
      </c>
      <c r="C230" s="597">
        <f ca="1">IF(B230="","",'Fecha Pago'!K227)</f>
        <v>52965</v>
      </c>
      <c r="D230" s="598">
        <f t="shared" si="71"/>
        <v>30.4</v>
      </c>
      <c r="E230" s="599">
        <f>IF(B230="","",'Tabla de Incrementos'!$C$4)</f>
        <v>0.11</v>
      </c>
      <c r="F230" s="600">
        <f t="shared" si="62"/>
        <v>217730.41688539629</v>
      </c>
      <c r="G230" s="600">
        <f t="shared" si="72"/>
        <v>12022.266545351846</v>
      </c>
      <c r="H230" s="600">
        <f t="shared" si="63"/>
        <v>2022.4736501799032</v>
      </c>
      <c r="I230" s="600">
        <f>IF(B230="","",IF(F230=0,0,($C$2/1000)*'Tabla de Incrementos'!$J$19))</f>
        <v>14044.740195531749</v>
      </c>
      <c r="J230" s="600">
        <f t="shared" si="73"/>
        <v>0</v>
      </c>
      <c r="K230" s="600">
        <f t="shared" si="74"/>
        <v>0</v>
      </c>
      <c r="L230" s="600">
        <f t="shared" si="64"/>
        <v>299</v>
      </c>
      <c r="M230" s="600">
        <f>IF(B230="","",IF(A230=0,0,AportPat!L227))</f>
        <v>0</v>
      </c>
      <c r="N230" s="601">
        <f>Simulador!N290</f>
        <v>0</v>
      </c>
      <c r="O230" s="608">
        <v>0</v>
      </c>
      <c r="P230" s="600">
        <f t="shared" si="75"/>
        <v>14343.740195531749</v>
      </c>
      <c r="Q230" s="600">
        <f t="shared" si="58"/>
        <v>205708.15034004443</v>
      </c>
      <c r="S230" s="120">
        <v>0.11</v>
      </c>
      <c r="T230" s="198">
        <f t="shared" si="59"/>
        <v>224</v>
      </c>
      <c r="U230" s="347">
        <f t="shared" si="76"/>
        <v>217730.41688539629</v>
      </c>
      <c r="V230" s="347">
        <f t="shared" si="65"/>
        <v>12022.266545351846</v>
      </c>
      <c r="W230" s="347">
        <f t="shared" si="66"/>
        <v>2022.4736501799032</v>
      </c>
      <c r="X230" s="600">
        <f>IF(T230="","",IF(U230=0,0,($C$2/1000)*'Tabla de Incrementos'!$J$19))</f>
        <v>14044.740195531749</v>
      </c>
      <c r="Y230" s="600">
        <f t="shared" si="60"/>
        <v>0</v>
      </c>
      <c r="Z230" s="600">
        <f t="shared" si="67"/>
        <v>0</v>
      </c>
      <c r="AA230" s="557">
        <f t="shared" si="68"/>
        <v>299</v>
      </c>
      <c r="AB230" s="557">
        <f t="shared" si="69"/>
        <v>14343.740195531749</v>
      </c>
    </row>
    <row r="231" spans="1:28" x14ac:dyDescent="0.35">
      <c r="A231" s="595">
        <f t="shared" si="61"/>
        <v>1</v>
      </c>
      <c r="B231" s="596">
        <f t="shared" si="70"/>
        <v>225</v>
      </c>
      <c r="C231" s="597">
        <f ca="1">IF(B231="","",'Fecha Pago'!K228)</f>
        <v>52996</v>
      </c>
      <c r="D231" s="598">
        <f t="shared" si="71"/>
        <v>30.4</v>
      </c>
      <c r="E231" s="599">
        <f>IF(B231="","",'Tabla de Incrementos'!$C$4)</f>
        <v>0.11</v>
      </c>
      <c r="F231" s="600">
        <f t="shared" si="62"/>
        <v>205708.15034004443</v>
      </c>
      <c r="G231" s="600">
        <f t="shared" si="72"/>
        <v>12133.940043484225</v>
      </c>
      <c r="H231" s="600">
        <f t="shared" si="63"/>
        <v>1910.8001520475236</v>
      </c>
      <c r="I231" s="600">
        <f>IF(B231="","",IF(F231=0,0,($C$2/1000)*'Tabla de Incrementos'!$J$19))</f>
        <v>14044.740195531749</v>
      </c>
      <c r="J231" s="600">
        <f t="shared" si="73"/>
        <v>0</v>
      </c>
      <c r="K231" s="600">
        <f t="shared" si="74"/>
        <v>0</v>
      </c>
      <c r="L231" s="600">
        <f t="shared" si="64"/>
        <v>299</v>
      </c>
      <c r="M231" s="600">
        <f>IF(B231="","",IF(A231=0,0,AportPat!L228))</f>
        <v>0</v>
      </c>
      <c r="N231" s="601">
        <f>Simulador!N291</f>
        <v>0</v>
      </c>
      <c r="O231" s="608">
        <v>0</v>
      </c>
      <c r="P231" s="600">
        <f t="shared" si="75"/>
        <v>14343.740195531747</v>
      </c>
      <c r="Q231" s="600">
        <f t="shared" si="58"/>
        <v>193574.2102965602</v>
      </c>
      <c r="S231" s="120">
        <v>0.11</v>
      </c>
      <c r="T231" s="198">
        <f t="shared" si="59"/>
        <v>225</v>
      </c>
      <c r="U231" s="347">
        <f t="shared" si="76"/>
        <v>205708.15034004443</v>
      </c>
      <c r="V231" s="347">
        <f t="shared" si="65"/>
        <v>12133.940043484225</v>
      </c>
      <c r="W231" s="347">
        <f t="shared" si="66"/>
        <v>1910.8001520475236</v>
      </c>
      <c r="X231" s="600">
        <f>IF(T231="","",IF(U231=0,0,($C$2/1000)*'Tabla de Incrementos'!$J$19))</f>
        <v>14044.740195531749</v>
      </c>
      <c r="Y231" s="600">
        <f t="shared" si="60"/>
        <v>0</v>
      </c>
      <c r="Z231" s="600">
        <f t="shared" si="67"/>
        <v>0</v>
      </c>
      <c r="AA231" s="557">
        <f t="shared" si="68"/>
        <v>299</v>
      </c>
      <c r="AB231" s="557">
        <f t="shared" si="69"/>
        <v>14343.740195531747</v>
      </c>
    </row>
    <row r="232" spans="1:28" x14ac:dyDescent="0.35">
      <c r="A232" s="595">
        <f t="shared" si="61"/>
        <v>1</v>
      </c>
      <c r="B232" s="596">
        <f t="shared" si="70"/>
        <v>226</v>
      </c>
      <c r="C232" s="597">
        <f ca="1">IF(B232="","",'Fecha Pago'!K229)</f>
        <v>53024</v>
      </c>
      <c r="D232" s="598">
        <f t="shared" si="71"/>
        <v>30.4</v>
      </c>
      <c r="E232" s="599">
        <f>IF(B232="","",'Tabla de Incrementos'!$C$4)</f>
        <v>0.11</v>
      </c>
      <c r="F232" s="600">
        <f t="shared" si="62"/>
        <v>193574.2102965602</v>
      </c>
      <c r="G232" s="600">
        <f t="shared" si="72"/>
        <v>12246.650864332591</v>
      </c>
      <c r="H232" s="600">
        <f t="shared" si="63"/>
        <v>1798.089331199159</v>
      </c>
      <c r="I232" s="600">
        <f>IF(B232="","",IF(F232=0,0,($C$2/1000)*'Tabla de Incrementos'!$J$19))</f>
        <v>14044.740195531749</v>
      </c>
      <c r="J232" s="600">
        <f t="shared" si="73"/>
        <v>0</v>
      </c>
      <c r="K232" s="600">
        <f t="shared" si="74"/>
        <v>0</v>
      </c>
      <c r="L232" s="600">
        <f t="shared" si="64"/>
        <v>299</v>
      </c>
      <c r="M232" s="600">
        <f>IF(B232="","",IF(A232=0,0,AportPat!L229))</f>
        <v>0</v>
      </c>
      <c r="N232" s="601">
        <f>Simulador!N292</f>
        <v>0</v>
      </c>
      <c r="O232" s="608">
        <v>0</v>
      </c>
      <c r="P232" s="600">
        <f t="shared" si="75"/>
        <v>14343.740195531749</v>
      </c>
      <c r="Q232" s="600">
        <f t="shared" si="58"/>
        <v>181327.5594322276</v>
      </c>
      <c r="S232" s="120">
        <v>0.11</v>
      </c>
      <c r="T232" s="198">
        <f t="shared" si="59"/>
        <v>226</v>
      </c>
      <c r="U232" s="347">
        <f t="shared" si="76"/>
        <v>193574.2102965602</v>
      </c>
      <c r="V232" s="347">
        <f t="shared" si="65"/>
        <v>12246.650864332591</v>
      </c>
      <c r="W232" s="347">
        <f t="shared" si="66"/>
        <v>1798.089331199159</v>
      </c>
      <c r="X232" s="600">
        <f>IF(T232="","",IF(U232=0,0,($C$2/1000)*'Tabla de Incrementos'!$J$19))</f>
        <v>14044.740195531749</v>
      </c>
      <c r="Y232" s="600">
        <f t="shared" si="60"/>
        <v>0</v>
      </c>
      <c r="Z232" s="600">
        <f t="shared" si="67"/>
        <v>0</v>
      </c>
      <c r="AA232" s="557">
        <f t="shared" si="68"/>
        <v>299</v>
      </c>
      <c r="AB232" s="557">
        <f t="shared" si="69"/>
        <v>14343.740195531749</v>
      </c>
    </row>
    <row r="233" spans="1:28" x14ac:dyDescent="0.35">
      <c r="A233" s="595">
        <f t="shared" si="61"/>
        <v>1</v>
      </c>
      <c r="B233" s="596">
        <f t="shared" si="70"/>
        <v>227</v>
      </c>
      <c r="C233" s="597">
        <f ca="1">IF(B233="","",'Fecha Pago'!K230)</f>
        <v>53055</v>
      </c>
      <c r="D233" s="598">
        <f t="shared" si="71"/>
        <v>30.4</v>
      </c>
      <c r="E233" s="599">
        <f>IF(B233="","",'Tabla de Incrementos'!$C$4)</f>
        <v>0.11</v>
      </c>
      <c r="F233" s="600">
        <f t="shared" si="62"/>
        <v>181327.5594322276</v>
      </c>
      <c r="G233" s="600">
        <f t="shared" si="72"/>
        <v>12360.40864347239</v>
      </c>
      <c r="H233" s="600">
        <f t="shared" si="63"/>
        <v>1684.3315520593585</v>
      </c>
      <c r="I233" s="600">
        <f>IF(B233="","",IF(F233=0,0,($C$2/1000)*'Tabla de Incrementos'!$J$19))</f>
        <v>14044.740195531749</v>
      </c>
      <c r="J233" s="600">
        <f t="shared" si="73"/>
        <v>0</v>
      </c>
      <c r="K233" s="600">
        <f t="shared" si="74"/>
        <v>0</v>
      </c>
      <c r="L233" s="600">
        <f t="shared" si="64"/>
        <v>299</v>
      </c>
      <c r="M233" s="600">
        <f>IF(B233="","",IF(A233=0,0,AportPat!L230))</f>
        <v>0</v>
      </c>
      <c r="N233" s="601">
        <f>Simulador!N293</f>
        <v>0</v>
      </c>
      <c r="O233" s="608">
        <v>0</v>
      </c>
      <c r="P233" s="600">
        <f t="shared" si="75"/>
        <v>14343.740195531749</v>
      </c>
      <c r="Q233" s="600">
        <f t="shared" si="58"/>
        <v>168967.15078875521</v>
      </c>
      <c r="S233" s="120">
        <v>0.11</v>
      </c>
      <c r="T233" s="198">
        <f t="shared" si="59"/>
        <v>227</v>
      </c>
      <c r="U233" s="347">
        <f t="shared" si="76"/>
        <v>181327.5594322276</v>
      </c>
      <c r="V233" s="347">
        <f t="shared" si="65"/>
        <v>12360.40864347239</v>
      </c>
      <c r="W233" s="347">
        <f t="shared" si="66"/>
        <v>1684.3315520593585</v>
      </c>
      <c r="X233" s="600">
        <f>IF(T233="","",IF(U233=0,0,($C$2/1000)*'Tabla de Incrementos'!$J$19))</f>
        <v>14044.740195531749</v>
      </c>
      <c r="Y233" s="600">
        <f t="shared" si="60"/>
        <v>0</v>
      </c>
      <c r="Z233" s="600">
        <f t="shared" si="67"/>
        <v>0</v>
      </c>
      <c r="AA233" s="557">
        <f t="shared" si="68"/>
        <v>299</v>
      </c>
      <c r="AB233" s="557">
        <f t="shared" si="69"/>
        <v>14343.740195531749</v>
      </c>
    </row>
    <row r="234" spans="1:28" x14ac:dyDescent="0.35">
      <c r="A234" s="595">
        <f t="shared" si="61"/>
        <v>1</v>
      </c>
      <c r="B234" s="596">
        <f t="shared" si="70"/>
        <v>228</v>
      </c>
      <c r="C234" s="597">
        <f ca="1">IF(B234="","",'Fecha Pago'!K231)</f>
        <v>53085</v>
      </c>
      <c r="D234" s="598">
        <f t="shared" si="71"/>
        <v>30.4</v>
      </c>
      <c r="E234" s="599">
        <f>IF(B234="","",'Tabla de Incrementos'!$C$4)</f>
        <v>0.11</v>
      </c>
      <c r="F234" s="600">
        <f t="shared" si="62"/>
        <v>168967.15078875521</v>
      </c>
      <c r="G234" s="600">
        <f t="shared" si="72"/>
        <v>12475.223105982868</v>
      </c>
      <c r="H234" s="600">
        <f t="shared" si="63"/>
        <v>1569.5170895488816</v>
      </c>
      <c r="I234" s="600">
        <f>IF(B234="","",IF(F234=0,0,($C$2/1000)*'Tabla de Incrementos'!$J$19))</f>
        <v>14044.740195531749</v>
      </c>
      <c r="J234" s="600">
        <f t="shared" si="73"/>
        <v>0</v>
      </c>
      <c r="K234" s="600">
        <f t="shared" si="74"/>
        <v>0</v>
      </c>
      <c r="L234" s="600">
        <f t="shared" si="64"/>
        <v>299</v>
      </c>
      <c r="M234" s="600">
        <f>IF(B234="","",IF(A234=0,0,AportPat!L231))</f>
        <v>0</v>
      </c>
      <c r="N234" s="601">
        <f>Simulador!N294</f>
        <v>0</v>
      </c>
      <c r="O234" s="608">
        <v>0</v>
      </c>
      <c r="P234" s="600">
        <f t="shared" si="75"/>
        <v>14343.740195531749</v>
      </c>
      <c r="Q234" s="600">
        <f t="shared" si="58"/>
        <v>156491.92768277234</v>
      </c>
      <c r="S234" s="120">
        <v>0.11</v>
      </c>
      <c r="T234" s="198">
        <f t="shared" si="59"/>
        <v>228</v>
      </c>
      <c r="U234" s="347">
        <f t="shared" si="76"/>
        <v>168967.15078875521</v>
      </c>
      <c r="V234" s="347">
        <f t="shared" si="65"/>
        <v>12475.223105982868</v>
      </c>
      <c r="W234" s="347">
        <f t="shared" si="66"/>
        <v>1569.5170895488816</v>
      </c>
      <c r="X234" s="600">
        <f>IF(T234="","",IF(U234=0,0,($C$2/1000)*'Tabla de Incrementos'!$J$19))</f>
        <v>14044.740195531749</v>
      </c>
      <c r="Y234" s="600">
        <f t="shared" si="60"/>
        <v>0</v>
      </c>
      <c r="Z234" s="600">
        <f t="shared" si="67"/>
        <v>0</v>
      </c>
      <c r="AA234" s="557">
        <f t="shared" si="68"/>
        <v>299</v>
      </c>
      <c r="AB234" s="557">
        <f t="shared" si="69"/>
        <v>14343.740195531749</v>
      </c>
    </row>
    <row r="235" spans="1:28" x14ac:dyDescent="0.35">
      <c r="A235" s="595">
        <f t="shared" si="61"/>
        <v>1</v>
      </c>
      <c r="B235" s="596">
        <f t="shared" si="70"/>
        <v>229</v>
      </c>
      <c r="C235" s="597">
        <f ca="1">IF(B235="","",'Fecha Pago'!K232)</f>
        <v>53116</v>
      </c>
      <c r="D235" s="598">
        <f t="shared" si="71"/>
        <v>30.4</v>
      </c>
      <c r="E235" s="599">
        <f>IF(B235="","",'Tabla de Incrementos'!$C$4)</f>
        <v>0.11</v>
      </c>
      <c r="F235" s="600">
        <f t="shared" si="62"/>
        <v>156491.92768277234</v>
      </c>
      <c r="G235" s="600">
        <f t="shared" si="72"/>
        <v>12591.104067278442</v>
      </c>
      <c r="H235" s="600">
        <f t="shared" si="63"/>
        <v>1453.6361282533073</v>
      </c>
      <c r="I235" s="600">
        <f>IF(B235="","",IF(F235=0,0,($C$2/1000)*'Tabla de Incrementos'!$J$19))</f>
        <v>14044.740195531749</v>
      </c>
      <c r="J235" s="600">
        <f t="shared" si="73"/>
        <v>0</v>
      </c>
      <c r="K235" s="600">
        <f t="shared" si="74"/>
        <v>0</v>
      </c>
      <c r="L235" s="600">
        <f t="shared" si="64"/>
        <v>299</v>
      </c>
      <c r="M235" s="600">
        <f>IF(B235="","",IF(A235=0,0,AportPat!L232))</f>
        <v>0</v>
      </c>
      <c r="N235" s="601">
        <f>Simulador!N295</f>
        <v>0</v>
      </c>
      <c r="O235" s="608">
        <v>0</v>
      </c>
      <c r="P235" s="600">
        <f t="shared" si="75"/>
        <v>14343.740195531749</v>
      </c>
      <c r="Q235" s="600">
        <f t="shared" si="58"/>
        <v>143900.82361549389</v>
      </c>
      <c r="S235" s="120">
        <v>0.11</v>
      </c>
      <c r="T235" s="198">
        <f t="shared" si="59"/>
        <v>229</v>
      </c>
      <c r="U235" s="347">
        <f t="shared" si="76"/>
        <v>156491.92768277234</v>
      </c>
      <c r="V235" s="347">
        <f t="shared" si="65"/>
        <v>12591.104067278442</v>
      </c>
      <c r="W235" s="347">
        <f t="shared" si="66"/>
        <v>1453.6361282533073</v>
      </c>
      <c r="X235" s="600">
        <f>IF(T235="","",IF(U235=0,0,($C$2/1000)*'Tabla de Incrementos'!$J$19))</f>
        <v>14044.740195531749</v>
      </c>
      <c r="Y235" s="600">
        <f t="shared" si="60"/>
        <v>0</v>
      </c>
      <c r="Z235" s="600">
        <f t="shared" si="67"/>
        <v>0</v>
      </c>
      <c r="AA235" s="557">
        <f t="shared" si="68"/>
        <v>299</v>
      </c>
      <c r="AB235" s="557">
        <f t="shared" si="69"/>
        <v>14343.740195531749</v>
      </c>
    </row>
    <row r="236" spans="1:28" x14ac:dyDescent="0.35">
      <c r="A236" s="595">
        <f t="shared" si="61"/>
        <v>1</v>
      </c>
      <c r="B236" s="604">
        <f t="shared" si="70"/>
        <v>230</v>
      </c>
      <c r="C236" s="597">
        <f ca="1">IF(B236="","",'Fecha Pago'!K233)</f>
        <v>53146</v>
      </c>
      <c r="D236" s="605">
        <f t="shared" si="71"/>
        <v>30.4</v>
      </c>
      <c r="E236" s="606">
        <f>IF(B236="","",'Tabla de Incrementos'!$C$4)</f>
        <v>0.11</v>
      </c>
      <c r="F236" s="607">
        <f t="shared" si="62"/>
        <v>143900.82361549389</v>
      </c>
      <c r="G236" s="607">
        <f t="shared" si="72"/>
        <v>13105.794577257717</v>
      </c>
      <c r="H236" s="607">
        <f t="shared" si="63"/>
        <v>1336.678761583921</v>
      </c>
      <c r="I236" s="607">
        <f>IF(B236="","",IF(F236=0,0,($C$2/1000)*'Tabla de Incrementos'!$J$20))</f>
        <v>14442.473338841637</v>
      </c>
      <c r="J236" s="607">
        <f t="shared" si="73"/>
        <v>0</v>
      </c>
      <c r="K236" s="607">
        <f t="shared" si="74"/>
        <v>0</v>
      </c>
      <c r="L236" s="607">
        <f t="shared" si="64"/>
        <v>299</v>
      </c>
      <c r="M236" s="607">
        <f>IF(B236="","",IF(A236=0,0,AportPat!L233))</f>
        <v>0</v>
      </c>
      <c r="N236" s="601">
        <f>Simulador!N296</f>
        <v>0</v>
      </c>
      <c r="O236" s="608">
        <v>0</v>
      </c>
      <c r="P236" s="607">
        <f t="shared" si="75"/>
        <v>14741.473338841637</v>
      </c>
      <c r="Q236" s="607">
        <f t="shared" si="58"/>
        <v>130795.02903823617</v>
      </c>
      <c r="S236" s="120">
        <v>0.11</v>
      </c>
      <c r="T236" s="198">
        <f t="shared" si="59"/>
        <v>230</v>
      </c>
      <c r="U236" s="347">
        <f t="shared" si="76"/>
        <v>143900.82361549389</v>
      </c>
      <c r="V236" s="347">
        <f t="shared" si="65"/>
        <v>13105.794577257717</v>
      </c>
      <c r="W236" s="347">
        <f t="shared" si="66"/>
        <v>1336.678761583921</v>
      </c>
      <c r="X236" s="607">
        <f>IF(T236="","",IF(U236=0,0,($C$2/1000)*'Tabla de Incrementos'!$J$20))</f>
        <v>14442.473338841637</v>
      </c>
      <c r="Y236" s="607">
        <f t="shared" si="60"/>
        <v>0</v>
      </c>
      <c r="Z236" s="607">
        <f t="shared" si="67"/>
        <v>0</v>
      </c>
      <c r="AA236" s="557">
        <f t="shared" si="68"/>
        <v>299</v>
      </c>
      <c r="AB236" s="557">
        <f t="shared" si="69"/>
        <v>14741.473338841637</v>
      </c>
    </row>
    <row r="237" spans="1:28" x14ac:dyDescent="0.35">
      <c r="A237" s="595">
        <f t="shared" si="61"/>
        <v>1</v>
      </c>
      <c r="B237" s="596">
        <f t="shared" si="70"/>
        <v>231</v>
      </c>
      <c r="C237" s="597">
        <f ca="1">IF(B237="","",'Fecha Pago'!K234)</f>
        <v>53177</v>
      </c>
      <c r="D237" s="598">
        <f t="shared" si="71"/>
        <v>30.4</v>
      </c>
      <c r="E237" s="599">
        <f>IF(B237="","",'Tabla de Incrementos'!$C$4)</f>
        <v>0.11</v>
      </c>
      <c r="F237" s="600">
        <f t="shared" si="62"/>
        <v>130795.02903823617</v>
      </c>
      <c r="G237" s="600">
        <f t="shared" si="72"/>
        <v>13227.532846886466</v>
      </c>
      <c r="H237" s="600">
        <f t="shared" si="63"/>
        <v>1214.9404919551714</v>
      </c>
      <c r="I237" s="600">
        <f>IF(B237="","",IF(F237=0,0,($C$2/1000)*'Tabla de Incrementos'!$J$20))</f>
        <v>14442.473338841637</v>
      </c>
      <c r="J237" s="600">
        <f t="shared" si="73"/>
        <v>0</v>
      </c>
      <c r="K237" s="600">
        <f t="shared" si="74"/>
        <v>0</v>
      </c>
      <c r="L237" s="600">
        <f t="shared" si="64"/>
        <v>299</v>
      </c>
      <c r="M237" s="600">
        <f>IF(B237="","",IF(A237=0,0,AportPat!L234))</f>
        <v>0</v>
      </c>
      <c r="N237" s="601">
        <f>Simulador!N297</f>
        <v>0</v>
      </c>
      <c r="O237" s="608">
        <v>0</v>
      </c>
      <c r="P237" s="600">
        <f t="shared" si="75"/>
        <v>14741.473338841637</v>
      </c>
      <c r="Q237" s="600">
        <f t="shared" si="58"/>
        <v>117567.49619134971</v>
      </c>
      <c r="S237" s="120">
        <v>0.11</v>
      </c>
      <c r="T237" s="198">
        <f t="shared" si="59"/>
        <v>231</v>
      </c>
      <c r="U237" s="347">
        <f t="shared" si="76"/>
        <v>130795.02903823617</v>
      </c>
      <c r="V237" s="347">
        <f t="shared" si="65"/>
        <v>13227.532846886466</v>
      </c>
      <c r="W237" s="347">
        <f t="shared" si="66"/>
        <v>1214.9404919551714</v>
      </c>
      <c r="X237" s="600">
        <f>IF(T237="","",IF(U237=0,0,($C$2/1000)*'Tabla de Incrementos'!$J$20))</f>
        <v>14442.473338841637</v>
      </c>
      <c r="Y237" s="600">
        <f t="shared" si="60"/>
        <v>0</v>
      </c>
      <c r="Z237" s="600">
        <f t="shared" si="67"/>
        <v>0</v>
      </c>
      <c r="AA237" s="557">
        <f t="shared" si="68"/>
        <v>299</v>
      </c>
      <c r="AB237" s="557">
        <f t="shared" si="69"/>
        <v>14741.473338841637</v>
      </c>
    </row>
    <row r="238" spans="1:28" x14ac:dyDescent="0.35">
      <c r="A238" s="595">
        <f t="shared" si="61"/>
        <v>1</v>
      </c>
      <c r="B238" s="596">
        <f t="shared" si="70"/>
        <v>232</v>
      </c>
      <c r="C238" s="597">
        <f ca="1">IF(B238="","",'Fecha Pago'!K235)</f>
        <v>53208</v>
      </c>
      <c r="D238" s="598">
        <f t="shared" si="71"/>
        <v>30.4</v>
      </c>
      <c r="E238" s="599">
        <f>IF(B238="","",'Tabla de Incrementos'!$C$4)</f>
        <v>0.11</v>
      </c>
      <c r="F238" s="600">
        <f t="shared" si="62"/>
        <v>117567.49619134971</v>
      </c>
      <c r="G238" s="600">
        <f t="shared" si="72"/>
        <v>13350.401929775322</v>
      </c>
      <c r="H238" s="600">
        <f t="shared" si="63"/>
        <v>1092.071409066315</v>
      </c>
      <c r="I238" s="600">
        <f>IF(B238="","",IF(F238=0,0,($C$2/1000)*'Tabla de Incrementos'!$J$20))</f>
        <v>14442.473338841637</v>
      </c>
      <c r="J238" s="600">
        <f t="shared" si="73"/>
        <v>0</v>
      </c>
      <c r="K238" s="600">
        <f t="shared" si="74"/>
        <v>0</v>
      </c>
      <c r="L238" s="600">
        <f t="shared" si="64"/>
        <v>299</v>
      </c>
      <c r="M238" s="600">
        <f>IF(B238="","",IF(A238=0,0,AportPat!L235))</f>
        <v>0</v>
      </c>
      <c r="N238" s="601">
        <f>Simulador!N298</f>
        <v>0</v>
      </c>
      <c r="O238" s="608">
        <v>0</v>
      </c>
      <c r="P238" s="600">
        <f t="shared" si="75"/>
        <v>14741.473338841637</v>
      </c>
      <c r="Q238" s="600">
        <f t="shared" si="58"/>
        <v>104217.09426157438</v>
      </c>
      <c r="S238" s="120">
        <v>0.11</v>
      </c>
      <c r="T238" s="198">
        <f t="shared" si="59"/>
        <v>232</v>
      </c>
      <c r="U238" s="347">
        <f t="shared" si="76"/>
        <v>117567.49619134971</v>
      </c>
      <c r="V238" s="347">
        <f t="shared" si="65"/>
        <v>13350.401929775322</v>
      </c>
      <c r="W238" s="347">
        <f t="shared" si="66"/>
        <v>1092.071409066315</v>
      </c>
      <c r="X238" s="600">
        <f>IF(T238="","",IF(U238=0,0,($C$2/1000)*'Tabla de Incrementos'!$J$20))</f>
        <v>14442.473338841637</v>
      </c>
      <c r="Y238" s="600">
        <f t="shared" si="60"/>
        <v>0</v>
      </c>
      <c r="Z238" s="600">
        <f t="shared" si="67"/>
        <v>0</v>
      </c>
      <c r="AA238" s="557">
        <f t="shared" si="68"/>
        <v>299</v>
      </c>
      <c r="AB238" s="557">
        <f t="shared" si="69"/>
        <v>14741.473338841637</v>
      </c>
    </row>
    <row r="239" spans="1:28" x14ac:dyDescent="0.35">
      <c r="A239" s="595">
        <f t="shared" si="61"/>
        <v>1</v>
      </c>
      <c r="B239" s="596">
        <f t="shared" si="70"/>
        <v>233</v>
      </c>
      <c r="C239" s="597">
        <f ca="1">IF(B239="","",'Fecha Pago'!K236)</f>
        <v>53238</v>
      </c>
      <c r="D239" s="598">
        <f t="shared" si="71"/>
        <v>30.4</v>
      </c>
      <c r="E239" s="599">
        <f>IF(B239="","",'Tabla de Incrementos'!$C$4)</f>
        <v>0.11</v>
      </c>
      <c r="F239" s="600">
        <f t="shared" si="62"/>
        <v>104217.09426157438</v>
      </c>
      <c r="G239" s="600">
        <f t="shared" si="72"/>
        <v>13474.412329923012</v>
      </c>
      <c r="H239" s="600">
        <f t="shared" si="63"/>
        <v>968.06100891862422</v>
      </c>
      <c r="I239" s="600">
        <f>IF(B239="","",IF(F239=0,0,($C$2/1000)*'Tabla de Incrementos'!$J$20))</f>
        <v>14442.473338841637</v>
      </c>
      <c r="J239" s="600">
        <f t="shared" si="73"/>
        <v>0</v>
      </c>
      <c r="K239" s="600">
        <f t="shared" si="74"/>
        <v>0</v>
      </c>
      <c r="L239" s="600">
        <f t="shared" si="64"/>
        <v>299</v>
      </c>
      <c r="M239" s="600">
        <f>IF(B239="","",IF(A239=0,0,AportPat!L236))</f>
        <v>0</v>
      </c>
      <c r="N239" s="601">
        <f>Simulador!N299</f>
        <v>0</v>
      </c>
      <c r="O239" s="608">
        <v>0</v>
      </c>
      <c r="P239" s="600">
        <f t="shared" si="75"/>
        <v>14741.473338841637</v>
      </c>
      <c r="Q239" s="600">
        <f t="shared" si="58"/>
        <v>90742.681931651372</v>
      </c>
      <c r="S239" s="120">
        <v>0.11</v>
      </c>
      <c r="T239" s="198">
        <f t="shared" si="59"/>
        <v>233</v>
      </c>
      <c r="U239" s="347">
        <f t="shared" si="76"/>
        <v>104217.09426157438</v>
      </c>
      <c r="V239" s="347">
        <f t="shared" si="65"/>
        <v>13474.412329923012</v>
      </c>
      <c r="W239" s="347">
        <f t="shared" si="66"/>
        <v>968.06100891862422</v>
      </c>
      <c r="X239" s="600">
        <f>IF(T239="","",IF(U239=0,0,($C$2/1000)*'Tabla de Incrementos'!$J$20))</f>
        <v>14442.473338841637</v>
      </c>
      <c r="Y239" s="600">
        <f t="shared" si="60"/>
        <v>0</v>
      </c>
      <c r="Z239" s="600">
        <f t="shared" si="67"/>
        <v>0</v>
      </c>
      <c r="AA239" s="557">
        <f t="shared" si="68"/>
        <v>299</v>
      </c>
      <c r="AB239" s="557">
        <f t="shared" si="69"/>
        <v>14741.473338841637</v>
      </c>
    </row>
    <row r="240" spans="1:28" x14ac:dyDescent="0.35">
      <c r="A240" s="595">
        <f t="shared" si="61"/>
        <v>1</v>
      </c>
      <c r="B240" s="596">
        <f t="shared" si="70"/>
        <v>234</v>
      </c>
      <c r="C240" s="597">
        <f ca="1">IF(B240="","",'Fecha Pago'!K237)</f>
        <v>53269</v>
      </c>
      <c r="D240" s="598">
        <f t="shared" si="71"/>
        <v>30.4</v>
      </c>
      <c r="E240" s="599">
        <f>IF(B240="","",'Tabla de Incrementos'!$C$4)</f>
        <v>0.11</v>
      </c>
      <c r="F240" s="600">
        <f t="shared" si="62"/>
        <v>90742.681931651372</v>
      </c>
      <c r="G240" s="600">
        <f t="shared" si="72"/>
        <v>13599.574648898742</v>
      </c>
      <c r="H240" s="600">
        <f t="shared" si="63"/>
        <v>842.89868994289486</v>
      </c>
      <c r="I240" s="600">
        <f>IF(B240="","",IF(F240=0,0,($C$2/1000)*'Tabla de Incrementos'!$J$20))</f>
        <v>14442.473338841637</v>
      </c>
      <c r="J240" s="600">
        <f t="shared" si="73"/>
        <v>0</v>
      </c>
      <c r="K240" s="600">
        <f t="shared" si="74"/>
        <v>0</v>
      </c>
      <c r="L240" s="600">
        <f t="shared" si="64"/>
        <v>299</v>
      </c>
      <c r="M240" s="600">
        <f>IF(B240="","",IF(A240=0,0,AportPat!L237))</f>
        <v>0</v>
      </c>
      <c r="N240" s="601">
        <f>Simulador!N300</f>
        <v>0</v>
      </c>
      <c r="O240" s="608">
        <v>0</v>
      </c>
      <c r="P240" s="600">
        <f t="shared" si="75"/>
        <v>14741.473338841637</v>
      </c>
      <c r="Q240" s="600">
        <f t="shared" si="58"/>
        <v>77143.107282752637</v>
      </c>
      <c r="S240" s="120">
        <v>0.11</v>
      </c>
      <c r="T240" s="198">
        <f t="shared" si="59"/>
        <v>234</v>
      </c>
      <c r="U240" s="347">
        <f t="shared" si="76"/>
        <v>90742.681931651372</v>
      </c>
      <c r="V240" s="347">
        <f t="shared" si="65"/>
        <v>13599.574648898742</v>
      </c>
      <c r="W240" s="347">
        <f t="shared" si="66"/>
        <v>842.89868994289486</v>
      </c>
      <c r="X240" s="600">
        <f>IF(T240="","",IF(U240=0,0,($C$2/1000)*'Tabla de Incrementos'!$J$20))</f>
        <v>14442.473338841637</v>
      </c>
      <c r="Y240" s="600">
        <f t="shared" si="60"/>
        <v>0</v>
      </c>
      <c r="Z240" s="600">
        <f t="shared" si="67"/>
        <v>0</v>
      </c>
      <c r="AA240" s="557">
        <f t="shared" si="68"/>
        <v>299</v>
      </c>
      <c r="AB240" s="557">
        <f t="shared" si="69"/>
        <v>14741.473338841637</v>
      </c>
    </row>
    <row r="241" spans="1:28" x14ac:dyDescent="0.35">
      <c r="A241" s="595">
        <f t="shared" si="61"/>
        <v>1</v>
      </c>
      <c r="B241" s="596">
        <f t="shared" si="70"/>
        <v>235</v>
      </c>
      <c r="C241" s="597">
        <f ca="1">IF(B241="","",'Fecha Pago'!K238)</f>
        <v>53299</v>
      </c>
      <c r="D241" s="598">
        <f t="shared" si="71"/>
        <v>30.4</v>
      </c>
      <c r="E241" s="599">
        <f>IF(B241="","",'Tabla de Incrementos'!$C$4)</f>
        <v>0.11</v>
      </c>
      <c r="F241" s="600">
        <f t="shared" si="62"/>
        <v>77143.107282752637</v>
      </c>
      <c r="G241" s="600">
        <f t="shared" si="72"/>
        <v>13725.899586748512</v>
      </c>
      <c r="H241" s="600">
        <f t="shared" si="63"/>
        <v>716.57375209312443</v>
      </c>
      <c r="I241" s="600">
        <f>IF(B241="","",IF(F241=0,0,($C$2/1000)*'Tabla de Incrementos'!$J$20))</f>
        <v>14442.473338841637</v>
      </c>
      <c r="J241" s="600">
        <f t="shared" si="73"/>
        <v>0</v>
      </c>
      <c r="K241" s="600">
        <f t="shared" si="74"/>
        <v>0</v>
      </c>
      <c r="L241" s="600">
        <f t="shared" si="64"/>
        <v>299</v>
      </c>
      <c r="M241" s="600">
        <f>IF(B241="","",IF(A241=0,0,AportPat!L238))</f>
        <v>0</v>
      </c>
      <c r="N241" s="601">
        <f>Simulador!N301</f>
        <v>0</v>
      </c>
      <c r="O241" s="608">
        <v>0</v>
      </c>
      <c r="P241" s="600">
        <f t="shared" si="75"/>
        <v>14741.473338841637</v>
      </c>
      <c r="Q241" s="600">
        <f t="shared" si="58"/>
        <v>63417.207696004123</v>
      </c>
      <c r="S241" s="120">
        <v>0.11</v>
      </c>
      <c r="T241" s="198">
        <f t="shared" si="59"/>
        <v>235</v>
      </c>
      <c r="U241" s="347">
        <f t="shared" si="76"/>
        <v>77143.107282752637</v>
      </c>
      <c r="V241" s="347">
        <f t="shared" si="65"/>
        <v>13725.899586748512</v>
      </c>
      <c r="W241" s="347">
        <f t="shared" si="66"/>
        <v>716.57375209312443</v>
      </c>
      <c r="X241" s="600">
        <f>IF(T241="","",IF(U241=0,0,($C$2/1000)*'Tabla de Incrementos'!$J$20))</f>
        <v>14442.473338841637</v>
      </c>
      <c r="Y241" s="600">
        <f t="shared" si="60"/>
        <v>0</v>
      </c>
      <c r="Z241" s="600">
        <f t="shared" si="67"/>
        <v>0</v>
      </c>
      <c r="AA241" s="557">
        <f t="shared" si="68"/>
        <v>299</v>
      </c>
      <c r="AB241" s="557">
        <f t="shared" si="69"/>
        <v>14741.473338841637</v>
      </c>
    </row>
    <row r="242" spans="1:28" x14ac:dyDescent="0.35">
      <c r="A242" s="595">
        <f t="shared" si="61"/>
        <v>1</v>
      </c>
      <c r="B242" s="596">
        <f t="shared" si="70"/>
        <v>236</v>
      </c>
      <c r="C242" s="597">
        <f ca="1">IF(B242="","",'Fecha Pago'!K239)</f>
        <v>53330</v>
      </c>
      <c r="D242" s="598">
        <f t="shared" si="71"/>
        <v>30.4</v>
      </c>
      <c r="E242" s="599">
        <f>IF(B242="","",'Tabla de Incrementos'!$C$4)</f>
        <v>0.11</v>
      </c>
      <c r="F242" s="600">
        <f t="shared" si="62"/>
        <v>63417.207696004123</v>
      </c>
      <c r="G242" s="600">
        <f t="shared" si="72"/>
        <v>13853.397942909865</v>
      </c>
      <c r="H242" s="600">
        <f t="shared" si="63"/>
        <v>589.0753959317716</v>
      </c>
      <c r="I242" s="600">
        <f>IF(B242="","",IF(F242=0,0,($C$2/1000)*'Tabla de Incrementos'!$J$20))</f>
        <v>14442.473338841637</v>
      </c>
      <c r="J242" s="600">
        <f t="shared" si="73"/>
        <v>0</v>
      </c>
      <c r="K242" s="600">
        <f t="shared" si="74"/>
        <v>0</v>
      </c>
      <c r="L242" s="600">
        <f t="shared" si="64"/>
        <v>299</v>
      </c>
      <c r="M242" s="600">
        <f>IF(B242="","",IF(A242=0,0,AportPat!L239))</f>
        <v>0</v>
      </c>
      <c r="N242" s="601">
        <f>Simulador!N302</f>
        <v>0</v>
      </c>
      <c r="O242" s="608">
        <v>0</v>
      </c>
      <c r="P242" s="600">
        <f t="shared" si="75"/>
        <v>14741.473338841637</v>
      </c>
      <c r="Q242" s="600">
        <f t="shared" si="58"/>
        <v>49563.809753094261</v>
      </c>
      <c r="S242" s="120">
        <v>0.11</v>
      </c>
      <c r="T242" s="198">
        <f t="shared" si="59"/>
        <v>236</v>
      </c>
      <c r="U242" s="347">
        <f t="shared" si="76"/>
        <v>63417.207696004123</v>
      </c>
      <c r="V242" s="347">
        <f t="shared" si="65"/>
        <v>13853.397942909865</v>
      </c>
      <c r="W242" s="347">
        <f t="shared" si="66"/>
        <v>589.0753959317716</v>
      </c>
      <c r="X242" s="600">
        <f>IF(T242="","",IF(U242=0,0,($C$2/1000)*'Tabla de Incrementos'!$J$20))</f>
        <v>14442.473338841637</v>
      </c>
      <c r="Y242" s="600">
        <f t="shared" si="60"/>
        <v>0</v>
      </c>
      <c r="Z242" s="600">
        <f t="shared" si="67"/>
        <v>0</v>
      </c>
      <c r="AA242" s="557">
        <f t="shared" si="68"/>
        <v>299</v>
      </c>
      <c r="AB242" s="557">
        <f t="shared" si="69"/>
        <v>14741.473338841637</v>
      </c>
    </row>
    <row r="243" spans="1:28" x14ac:dyDescent="0.35">
      <c r="A243" s="595">
        <f t="shared" si="61"/>
        <v>1</v>
      </c>
      <c r="B243" s="596">
        <f t="shared" si="70"/>
        <v>237</v>
      </c>
      <c r="C243" s="597">
        <f ca="1">IF(B243="","",'Fecha Pago'!K240)</f>
        <v>53361</v>
      </c>
      <c r="D243" s="598">
        <f t="shared" si="71"/>
        <v>30.4</v>
      </c>
      <c r="E243" s="599">
        <f>IF(B243="","",'Tabla de Incrementos'!$C$4)</f>
        <v>0.11</v>
      </c>
      <c r="F243" s="600">
        <f t="shared" si="62"/>
        <v>49563.809753094261</v>
      </c>
      <c r="G243" s="600">
        <f t="shared" si="72"/>
        <v>13982.080617135118</v>
      </c>
      <c r="H243" s="600">
        <f t="shared" si="63"/>
        <v>460.39272170651998</v>
      </c>
      <c r="I243" s="600">
        <f>IF(B243="","",IF(F243=0,0,($C$2/1000)*'Tabla de Incrementos'!$J$20))</f>
        <v>14442.473338841637</v>
      </c>
      <c r="J243" s="600">
        <f t="shared" si="73"/>
        <v>0</v>
      </c>
      <c r="K243" s="600">
        <f t="shared" si="74"/>
        <v>0</v>
      </c>
      <c r="L243" s="600">
        <f t="shared" si="64"/>
        <v>299</v>
      </c>
      <c r="M243" s="600">
        <f>IF(B243="","",IF(A243=0,0,AportPat!L240))</f>
        <v>0</v>
      </c>
      <c r="N243" s="601">
        <f>Simulador!N303</f>
        <v>0</v>
      </c>
      <c r="O243" s="608">
        <v>0</v>
      </c>
      <c r="P243" s="600">
        <f t="shared" si="75"/>
        <v>14741.473338841637</v>
      </c>
      <c r="Q243" s="600">
        <f t="shared" si="58"/>
        <v>35581.729135959147</v>
      </c>
      <c r="S243" s="120">
        <v>0.11</v>
      </c>
      <c r="T243" s="198">
        <f t="shared" si="59"/>
        <v>237</v>
      </c>
      <c r="U243" s="347">
        <f t="shared" si="76"/>
        <v>49563.809753094261</v>
      </c>
      <c r="V243" s="347">
        <f t="shared" si="65"/>
        <v>13982.080617135118</v>
      </c>
      <c r="W243" s="347">
        <f t="shared" si="66"/>
        <v>460.39272170651998</v>
      </c>
      <c r="X243" s="600">
        <f>IF(T243="","",IF(U243=0,0,($C$2/1000)*'Tabla de Incrementos'!$J$20))</f>
        <v>14442.473338841637</v>
      </c>
      <c r="Y243" s="600">
        <f t="shared" si="60"/>
        <v>0</v>
      </c>
      <c r="Z243" s="600">
        <f t="shared" si="67"/>
        <v>0</v>
      </c>
      <c r="AA243" s="557">
        <f t="shared" si="68"/>
        <v>299</v>
      </c>
      <c r="AB243" s="557">
        <f t="shared" si="69"/>
        <v>14741.473338841637</v>
      </c>
    </row>
    <row r="244" spans="1:28" x14ac:dyDescent="0.35">
      <c r="A244" s="595">
        <f t="shared" si="61"/>
        <v>1</v>
      </c>
      <c r="B244" s="596">
        <f t="shared" si="70"/>
        <v>238</v>
      </c>
      <c r="C244" s="597">
        <f ca="1">IF(B244="","",'Fecha Pago'!K241)</f>
        <v>53389</v>
      </c>
      <c r="D244" s="598">
        <f t="shared" si="71"/>
        <v>30.4</v>
      </c>
      <c r="E244" s="599">
        <f>IF(B244="","",'Tabla de Incrementos'!$C$4)</f>
        <v>0.11</v>
      </c>
      <c r="F244" s="600">
        <f t="shared" si="62"/>
        <v>35581.729135959147</v>
      </c>
      <c r="G244" s="600">
        <f t="shared" si="72"/>
        <v>14111.958610423173</v>
      </c>
      <c r="H244" s="600">
        <f t="shared" si="63"/>
        <v>330.51472841846493</v>
      </c>
      <c r="I244" s="600">
        <f>IF(B244="","",IF(F244=0,0,($C$2/1000)*'Tabla de Incrementos'!$J$20))</f>
        <v>14442.473338841637</v>
      </c>
      <c r="J244" s="600">
        <f t="shared" si="73"/>
        <v>0</v>
      </c>
      <c r="K244" s="600">
        <f t="shared" si="74"/>
        <v>0</v>
      </c>
      <c r="L244" s="600">
        <f t="shared" si="64"/>
        <v>299</v>
      </c>
      <c r="M244" s="600">
        <f>IF(B244="","",IF(A244=0,0,AportPat!L241))</f>
        <v>0</v>
      </c>
      <c r="N244" s="601">
        <f>Simulador!N304</f>
        <v>0</v>
      </c>
      <c r="O244" s="608">
        <v>0</v>
      </c>
      <c r="P244" s="600">
        <f t="shared" si="75"/>
        <v>14741.473338841637</v>
      </c>
      <c r="Q244" s="600">
        <f t="shared" si="58"/>
        <v>21469.770525535976</v>
      </c>
      <c r="S244" s="120">
        <v>0.11</v>
      </c>
      <c r="T244" s="198">
        <f t="shared" si="59"/>
        <v>238</v>
      </c>
      <c r="U244" s="347">
        <f t="shared" si="76"/>
        <v>35581.729135959147</v>
      </c>
      <c r="V244" s="347">
        <f t="shared" si="65"/>
        <v>14111.958610423173</v>
      </c>
      <c r="W244" s="347">
        <f t="shared" si="66"/>
        <v>330.51472841846493</v>
      </c>
      <c r="X244" s="600">
        <f>IF(T244="","",IF(U244=0,0,($C$2/1000)*'Tabla de Incrementos'!$J$20))</f>
        <v>14442.473338841637</v>
      </c>
      <c r="Y244" s="600">
        <f t="shared" si="60"/>
        <v>0</v>
      </c>
      <c r="Z244" s="600">
        <f t="shared" si="67"/>
        <v>0</v>
      </c>
      <c r="AA244" s="557">
        <f t="shared" si="68"/>
        <v>299</v>
      </c>
      <c r="AB244" s="557">
        <f t="shared" si="69"/>
        <v>14741.473338841637</v>
      </c>
    </row>
    <row r="245" spans="1:28" x14ac:dyDescent="0.35">
      <c r="A245" s="595">
        <f t="shared" si="61"/>
        <v>1</v>
      </c>
      <c r="B245" s="596">
        <f t="shared" si="70"/>
        <v>239</v>
      </c>
      <c r="C245" s="597">
        <f ca="1">IF(B245="","",'Fecha Pago'!K242)</f>
        <v>53420</v>
      </c>
      <c r="D245" s="598">
        <f t="shared" si="71"/>
        <v>30.4</v>
      </c>
      <c r="E245" s="599">
        <f>IF(B245="","",'Tabla de Incrementos'!$C$4)</f>
        <v>0.11</v>
      </c>
      <c r="F245" s="600">
        <f t="shared" si="62"/>
        <v>21469.770525535976</v>
      </c>
      <c r="G245" s="600">
        <f t="shared" si="72"/>
        <v>14243.043025959993</v>
      </c>
      <c r="H245" s="600">
        <f t="shared" si="63"/>
        <v>199.43031288164528</v>
      </c>
      <c r="I245" s="600">
        <f>IF(B245="","",IF(F245=0,0,($C$2/1000)*'Tabla de Incrementos'!$J$20))</f>
        <v>14442.473338841637</v>
      </c>
      <c r="J245" s="600">
        <f t="shared" si="73"/>
        <v>0</v>
      </c>
      <c r="K245" s="600">
        <f t="shared" si="74"/>
        <v>0</v>
      </c>
      <c r="L245" s="600">
        <f t="shared" si="64"/>
        <v>299</v>
      </c>
      <c r="M245" s="600">
        <f>IF(B245="","",IF(A245=0,0,AportPat!L242))</f>
        <v>0</v>
      </c>
      <c r="N245" s="601">
        <f>Simulador!N305</f>
        <v>0</v>
      </c>
      <c r="O245" s="608">
        <v>0</v>
      </c>
      <c r="P245" s="600">
        <f t="shared" si="75"/>
        <v>14741.473338841637</v>
      </c>
      <c r="Q245" s="600">
        <f t="shared" si="58"/>
        <v>7226.7274995759835</v>
      </c>
      <c r="S245" s="120">
        <v>0.11</v>
      </c>
      <c r="T245" s="198">
        <f t="shared" si="59"/>
        <v>239</v>
      </c>
      <c r="U245" s="347">
        <f t="shared" si="76"/>
        <v>21469.770525535976</v>
      </c>
      <c r="V245" s="347">
        <f t="shared" si="65"/>
        <v>14243.043025959993</v>
      </c>
      <c r="W245" s="347">
        <f t="shared" si="66"/>
        <v>199.43031288164528</v>
      </c>
      <c r="X245" s="600">
        <f>IF(T245="","",IF(U245=0,0,($C$2/1000)*'Tabla de Incrementos'!$J$20))</f>
        <v>14442.473338841637</v>
      </c>
      <c r="Y245" s="600">
        <f t="shared" si="60"/>
        <v>0</v>
      </c>
      <c r="Z245" s="600">
        <f t="shared" si="67"/>
        <v>0</v>
      </c>
      <c r="AA245" s="557">
        <f t="shared" si="68"/>
        <v>299</v>
      </c>
      <c r="AB245" s="557">
        <f t="shared" si="69"/>
        <v>14741.473338841637</v>
      </c>
    </row>
    <row r="246" spans="1:28" x14ac:dyDescent="0.35">
      <c r="A246" s="595">
        <f t="shared" si="61"/>
        <v>1</v>
      </c>
      <c r="B246" s="596">
        <f t="shared" si="70"/>
        <v>240</v>
      </c>
      <c r="C246" s="597">
        <f ca="1">IF(B246="","",'Fecha Pago'!K243)</f>
        <v>53450</v>
      </c>
      <c r="D246" s="598">
        <f t="shared" si="71"/>
        <v>30.4</v>
      </c>
      <c r="E246" s="599">
        <f>IF(B246="","",'Tabla de Incrementos'!$C$4)</f>
        <v>0.11</v>
      </c>
      <c r="F246" s="600">
        <f t="shared" si="62"/>
        <v>7226.7274995759835</v>
      </c>
      <c r="G246" s="600">
        <f t="shared" si="72"/>
        <v>7226.7274995759835</v>
      </c>
      <c r="H246" s="600">
        <f t="shared" si="63"/>
        <v>67.128268773839125</v>
      </c>
      <c r="I246" s="600">
        <f>IF(B246="","",IF(F246=0,0,($C$2/1000)*'Tabla de Incrementos'!$J$20))</f>
        <v>14442.473338841637</v>
      </c>
      <c r="J246" s="600">
        <f t="shared" si="73"/>
        <v>0</v>
      </c>
      <c r="K246" s="600">
        <f t="shared" si="74"/>
        <v>0</v>
      </c>
      <c r="L246" s="600">
        <f t="shared" si="64"/>
        <v>299</v>
      </c>
      <c r="M246" s="600">
        <f>IF(B246="","",IF(A246=0,0,AportPat!L243))</f>
        <v>0</v>
      </c>
      <c r="N246" s="601">
        <f>Simulador!N306</f>
        <v>0</v>
      </c>
      <c r="O246" s="608">
        <v>0</v>
      </c>
      <c r="P246" s="600">
        <f t="shared" si="75"/>
        <v>7592.8557683498229</v>
      </c>
      <c r="Q246" s="600">
        <f t="shared" si="58"/>
        <v>0</v>
      </c>
      <c r="S246" s="120">
        <v>0.11</v>
      </c>
      <c r="T246" s="198">
        <f t="shared" si="59"/>
        <v>240</v>
      </c>
      <c r="U246" s="347">
        <f t="shared" si="76"/>
        <v>7226.7274995759835</v>
      </c>
      <c r="V246" s="347">
        <f>IF(T246="","",IF(X246-W246&gt;U246,U246,X246-W246))</f>
        <v>7226.7274995759835</v>
      </c>
      <c r="W246" s="347">
        <f t="shared" si="66"/>
        <v>67.128268773839125</v>
      </c>
      <c r="X246" s="600">
        <f>IF(T246="","",IF(U246=0,0,($C$2/1000)*'Tabla de Incrementos'!$J$20))</f>
        <v>14442.473338841637</v>
      </c>
      <c r="Y246" s="600">
        <f t="shared" si="60"/>
        <v>0</v>
      </c>
      <c r="Z246" s="600">
        <f t="shared" si="67"/>
        <v>0</v>
      </c>
      <c r="AA246" s="557">
        <f t="shared" si="68"/>
        <v>299</v>
      </c>
      <c r="AB246" s="557">
        <f t="shared" si="69"/>
        <v>7592.8557683498229</v>
      </c>
    </row>
    <row r="247" spans="1:28" x14ac:dyDescent="0.35">
      <c r="A247" s="595" t="str">
        <f t="shared" ref="A247:A257" si="77">IF(B247="","",IF(F247&gt;0,1,0))</f>
        <v/>
      </c>
      <c r="B247" s="596" t="str">
        <f t="shared" si="70"/>
        <v/>
      </c>
      <c r="C247" s="597" t="str">
        <f>IF(B247="","",'Fecha Pago'!K244)</f>
        <v/>
      </c>
      <c r="D247" s="598" t="str">
        <f t="shared" ref="D247:D257" si="78">IF(B247="","",30.4)</f>
        <v/>
      </c>
      <c r="E247" s="599" t="str">
        <f>IF(B247="","",'Tabla de Incrementos'!$C$4)</f>
        <v/>
      </c>
      <c r="F247" s="600" t="str">
        <f t="shared" ref="F247:F257" si="79">IF(B247="","",Q246)</f>
        <v/>
      </c>
      <c r="G247" s="600" t="str">
        <f t="shared" ref="G247:G257" si="80">IF(B247="","",IF(F247=0,0,IF((I247-H247)&gt;F247,F247,I247-H247))+M247+(N247-O247))</f>
        <v/>
      </c>
      <c r="H247" s="600" t="str">
        <f t="shared" ref="H247:H257" si="81">IF(B247="","",(E247/360*D247)*F247)</f>
        <v/>
      </c>
      <c r="I247" s="600" t="str">
        <f>IF(B247="","",IF(F247=0,0,($C$2/1000)*'Tabla de Incrementos'!$J$20))</f>
        <v/>
      </c>
      <c r="J247" s="600" t="str">
        <f t="shared" ref="J247:J257" si="82">IF(B247="","",IF(F247=0,0,F247*$G$3))</f>
        <v/>
      </c>
      <c r="K247" s="600" t="str">
        <f t="shared" ref="K247:K257" si="83">IF(B247="","",IF(F247=0,0,$C$4*$G$4))</f>
        <v/>
      </c>
      <c r="L247" s="600" t="str">
        <f t="shared" ref="L247:L257" si="84">IF(B247="","",IF(F247=0,0,$J$3))</f>
        <v/>
      </c>
      <c r="M247" s="600" t="str">
        <f>IF(B247="","",IF(A247=0,0,AportPat!L244))</f>
        <v/>
      </c>
      <c r="N247" s="601">
        <f>Simulador!N307</f>
        <v>0</v>
      </c>
      <c r="O247" s="608">
        <v>0</v>
      </c>
      <c r="P247" s="600" t="str">
        <f t="shared" ref="P247:P257" si="85">IF(B247="","",G247+H247+J247+K247+L247+O247-M247)</f>
        <v/>
      </c>
      <c r="Q247" s="600" t="str">
        <f t="shared" ref="Q247:Q257" si="86">IF(B247="","",F247-G247)</f>
        <v/>
      </c>
      <c r="S247" s="120">
        <v>0.11</v>
      </c>
      <c r="T247" s="198" t="str">
        <f t="shared" ref="T247:T306" si="87">B247</f>
        <v/>
      </c>
      <c r="U247" s="347" t="str">
        <f t="shared" ref="U247:U306" si="88">IF(T247="","",U246-V246)</f>
        <v/>
      </c>
      <c r="V247" s="347" t="str">
        <f t="shared" ref="V247:V306" si="89">IF(T247="","",IF(X247-W247&gt;U247,U247,X247-W247))</f>
        <v/>
      </c>
      <c r="W247" s="347" t="str">
        <f t="shared" ref="W247:W306" si="90">IF(T247="","",(S247/360*30.4)*U247)</f>
        <v/>
      </c>
      <c r="X247" s="600" t="str">
        <f>IF(T247="","",IF(U247=0,0,($C$2/1000)*'Tabla de Incrementos'!$J$20))</f>
        <v/>
      </c>
      <c r="Y247" s="600" t="str">
        <f t="shared" ref="Y247:Y306" si="91">IF(T247="","",IF(U247=0,0,U247*$G$3))</f>
        <v/>
      </c>
      <c r="Z247" s="600" t="str">
        <f t="shared" ref="Z247:Z306" si="92">IF(T247="","",IF(U247=0,0,$C$4*($G$4/1.16)))</f>
        <v/>
      </c>
      <c r="AA247" s="557" t="str">
        <f t="shared" ref="AA247:AA306" si="93">IF(T247="","",$J$3)</f>
        <v/>
      </c>
      <c r="AB247" s="557" t="str">
        <f t="shared" ref="AB247:AB306" si="94">IF(T247="","",V247+W247+Y247+Z247+AA247)</f>
        <v/>
      </c>
    </row>
    <row r="248" spans="1:28" x14ac:dyDescent="0.35">
      <c r="A248" s="595" t="str">
        <f t="shared" si="77"/>
        <v/>
      </c>
      <c r="B248" s="596" t="str">
        <f t="shared" si="70"/>
        <v/>
      </c>
      <c r="C248" s="597" t="str">
        <f>IF(B248="","",'Fecha Pago'!K245)</f>
        <v/>
      </c>
      <c r="D248" s="598" t="str">
        <f t="shared" si="78"/>
        <v/>
      </c>
      <c r="E248" s="599" t="str">
        <f>IF(B248="","",'Tabla de Incrementos'!$C$4)</f>
        <v/>
      </c>
      <c r="F248" s="600" t="str">
        <f t="shared" si="79"/>
        <v/>
      </c>
      <c r="G248" s="600" t="str">
        <f t="shared" si="80"/>
        <v/>
      </c>
      <c r="H248" s="600" t="str">
        <f t="shared" si="81"/>
        <v/>
      </c>
      <c r="I248" s="600" t="str">
        <f>IF(B248="","",IF(F248=0,0,($C$2/1000)*'Tabla de Incrementos'!$J$20))</f>
        <v/>
      </c>
      <c r="J248" s="600" t="str">
        <f t="shared" si="82"/>
        <v/>
      </c>
      <c r="K248" s="600" t="str">
        <f t="shared" si="83"/>
        <v/>
      </c>
      <c r="L248" s="600" t="str">
        <f t="shared" si="84"/>
        <v/>
      </c>
      <c r="M248" s="600" t="str">
        <f>IF(B248="","",IF(A248=0,0,AportPat!L245))</f>
        <v/>
      </c>
      <c r="N248" s="601">
        <f>Simulador!N308</f>
        <v>0</v>
      </c>
      <c r="O248" s="608">
        <v>0</v>
      </c>
      <c r="P248" s="600" t="str">
        <f t="shared" si="85"/>
        <v/>
      </c>
      <c r="Q248" s="600" t="str">
        <f t="shared" si="86"/>
        <v/>
      </c>
      <c r="S248" s="120">
        <v>0.11</v>
      </c>
      <c r="T248" s="198" t="str">
        <f t="shared" si="87"/>
        <v/>
      </c>
      <c r="U248" s="347" t="str">
        <f t="shared" si="88"/>
        <v/>
      </c>
      <c r="V248" s="347" t="str">
        <f t="shared" si="89"/>
        <v/>
      </c>
      <c r="W248" s="347" t="str">
        <f t="shared" si="90"/>
        <v/>
      </c>
      <c r="X248" s="600" t="str">
        <f>IF(T248="","",IF(U248=0,0,($C$2/1000)*'Tabla de Incrementos'!$J$20))</f>
        <v/>
      </c>
      <c r="Y248" s="600" t="str">
        <f t="shared" si="91"/>
        <v/>
      </c>
      <c r="Z248" s="600" t="str">
        <f t="shared" si="92"/>
        <v/>
      </c>
      <c r="AA248" s="557" t="str">
        <f t="shared" si="93"/>
        <v/>
      </c>
      <c r="AB248" s="557" t="str">
        <f t="shared" si="94"/>
        <v/>
      </c>
    </row>
    <row r="249" spans="1:28" x14ac:dyDescent="0.35">
      <c r="A249" s="595" t="str">
        <f t="shared" si="77"/>
        <v/>
      </c>
      <c r="B249" s="596" t="str">
        <f t="shared" si="70"/>
        <v/>
      </c>
      <c r="C249" s="597" t="str">
        <f>IF(B249="","",'Fecha Pago'!K246)</f>
        <v/>
      </c>
      <c r="D249" s="598" t="str">
        <f t="shared" si="78"/>
        <v/>
      </c>
      <c r="E249" s="599" t="str">
        <f>IF(B249="","",'Tabla de Incrementos'!$C$4)</f>
        <v/>
      </c>
      <c r="F249" s="600" t="str">
        <f t="shared" si="79"/>
        <v/>
      </c>
      <c r="G249" s="600" t="str">
        <f t="shared" si="80"/>
        <v/>
      </c>
      <c r="H249" s="600" t="str">
        <f t="shared" si="81"/>
        <v/>
      </c>
      <c r="I249" s="600" t="str">
        <f>IF(B249="","",IF(F249=0,0,($C$2/1000)*'Tabla de Incrementos'!$J$20))</f>
        <v/>
      </c>
      <c r="J249" s="600" t="str">
        <f t="shared" si="82"/>
        <v/>
      </c>
      <c r="K249" s="600" t="str">
        <f t="shared" si="83"/>
        <v/>
      </c>
      <c r="L249" s="600" t="str">
        <f t="shared" si="84"/>
        <v/>
      </c>
      <c r="M249" s="600" t="str">
        <f>IF(B249="","",IF(A249=0,0,AportPat!L246))</f>
        <v/>
      </c>
      <c r="N249" s="601">
        <f>Simulador!N309</f>
        <v>0</v>
      </c>
      <c r="O249" s="608">
        <v>0</v>
      </c>
      <c r="P249" s="600" t="str">
        <f t="shared" si="85"/>
        <v/>
      </c>
      <c r="Q249" s="600" t="str">
        <f t="shared" si="86"/>
        <v/>
      </c>
      <c r="S249" s="120">
        <v>0.11</v>
      </c>
      <c r="T249" s="198" t="str">
        <f t="shared" si="87"/>
        <v/>
      </c>
      <c r="U249" s="347" t="str">
        <f t="shared" si="88"/>
        <v/>
      </c>
      <c r="V249" s="347" t="str">
        <f t="shared" si="89"/>
        <v/>
      </c>
      <c r="W249" s="347" t="str">
        <f t="shared" si="90"/>
        <v/>
      </c>
      <c r="X249" s="600" t="str">
        <f>IF(T249="","",IF(U249=0,0,($C$2/1000)*'Tabla de Incrementos'!$J$20))</f>
        <v/>
      </c>
      <c r="Y249" s="600" t="str">
        <f t="shared" si="91"/>
        <v/>
      </c>
      <c r="Z249" s="600" t="str">
        <f t="shared" si="92"/>
        <v/>
      </c>
      <c r="AA249" s="557" t="str">
        <f t="shared" si="93"/>
        <v/>
      </c>
      <c r="AB249" s="557" t="str">
        <f t="shared" si="94"/>
        <v/>
      </c>
    </row>
    <row r="250" spans="1:28" x14ac:dyDescent="0.35">
      <c r="A250" s="595" t="str">
        <f t="shared" si="77"/>
        <v/>
      </c>
      <c r="B250" s="596" t="str">
        <f t="shared" si="70"/>
        <v/>
      </c>
      <c r="C250" s="597" t="str">
        <f>IF(B250="","",'Fecha Pago'!K247)</f>
        <v/>
      </c>
      <c r="D250" s="598" t="str">
        <f t="shared" si="78"/>
        <v/>
      </c>
      <c r="E250" s="599" t="str">
        <f>IF(B250="","",'Tabla de Incrementos'!$C$4)</f>
        <v/>
      </c>
      <c r="F250" s="600" t="str">
        <f t="shared" si="79"/>
        <v/>
      </c>
      <c r="G250" s="600" t="str">
        <f t="shared" si="80"/>
        <v/>
      </c>
      <c r="H250" s="600" t="str">
        <f t="shared" si="81"/>
        <v/>
      </c>
      <c r="I250" s="600" t="str">
        <f>IF(B250="","",IF(F250=0,0,($C$2/1000)*'Tabla de Incrementos'!$J$20))</f>
        <v/>
      </c>
      <c r="J250" s="600" t="str">
        <f t="shared" si="82"/>
        <v/>
      </c>
      <c r="K250" s="600" t="str">
        <f t="shared" si="83"/>
        <v/>
      </c>
      <c r="L250" s="600" t="str">
        <f t="shared" si="84"/>
        <v/>
      </c>
      <c r="M250" s="600" t="str">
        <f>IF(B250="","",IF(A250=0,0,AportPat!L247))</f>
        <v/>
      </c>
      <c r="N250" s="601">
        <f>Simulador!N310</f>
        <v>0</v>
      </c>
      <c r="O250" s="608">
        <v>0</v>
      </c>
      <c r="P250" s="600" t="str">
        <f t="shared" si="85"/>
        <v/>
      </c>
      <c r="Q250" s="600" t="str">
        <f t="shared" si="86"/>
        <v/>
      </c>
      <c r="S250" s="120">
        <v>0.11</v>
      </c>
      <c r="T250" s="198" t="str">
        <f t="shared" si="87"/>
        <v/>
      </c>
      <c r="U250" s="347" t="str">
        <f t="shared" si="88"/>
        <v/>
      </c>
      <c r="V250" s="347" t="str">
        <f t="shared" si="89"/>
        <v/>
      </c>
      <c r="W250" s="347" t="str">
        <f t="shared" si="90"/>
        <v/>
      </c>
      <c r="X250" s="600" t="str">
        <f>IF(T250="","",IF(U250=0,0,($C$2/1000)*'Tabla de Incrementos'!$J$20))</f>
        <v/>
      </c>
      <c r="Y250" s="600" t="str">
        <f t="shared" si="91"/>
        <v/>
      </c>
      <c r="Z250" s="600" t="str">
        <f t="shared" si="92"/>
        <v/>
      </c>
      <c r="AA250" s="557" t="str">
        <f t="shared" si="93"/>
        <v/>
      </c>
      <c r="AB250" s="557" t="str">
        <f t="shared" si="94"/>
        <v/>
      </c>
    </row>
    <row r="251" spans="1:28" x14ac:dyDescent="0.35">
      <c r="A251" s="595" t="str">
        <f t="shared" si="77"/>
        <v/>
      </c>
      <c r="B251" s="596" t="str">
        <f t="shared" si="70"/>
        <v/>
      </c>
      <c r="C251" s="597" t="str">
        <f>IF(B251="","",'Fecha Pago'!K248)</f>
        <v/>
      </c>
      <c r="D251" s="598" t="str">
        <f t="shared" si="78"/>
        <v/>
      </c>
      <c r="E251" s="599" t="str">
        <f>IF(B251="","",'Tabla de Incrementos'!$C$4)</f>
        <v/>
      </c>
      <c r="F251" s="600" t="str">
        <f t="shared" si="79"/>
        <v/>
      </c>
      <c r="G251" s="600" t="str">
        <f t="shared" si="80"/>
        <v/>
      </c>
      <c r="H251" s="600" t="str">
        <f t="shared" si="81"/>
        <v/>
      </c>
      <c r="I251" s="600" t="str">
        <f>IF(B251="","",IF(F251=0,0,($C$2/1000)*'Tabla de Incrementos'!$J$20))</f>
        <v/>
      </c>
      <c r="J251" s="600" t="str">
        <f t="shared" si="82"/>
        <v/>
      </c>
      <c r="K251" s="600" t="str">
        <f t="shared" si="83"/>
        <v/>
      </c>
      <c r="L251" s="600" t="str">
        <f t="shared" si="84"/>
        <v/>
      </c>
      <c r="M251" s="600" t="str">
        <f>IF(B251="","",IF(A251=0,0,AportPat!L248))</f>
        <v/>
      </c>
      <c r="N251" s="601">
        <f>Simulador!N311</f>
        <v>0</v>
      </c>
      <c r="O251" s="608">
        <v>0</v>
      </c>
      <c r="P251" s="600" t="str">
        <f t="shared" si="85"/>
        <v/>
      </c>
      <c r="Q251" s="600" t="str">
        <f t="shared" si="86"/>
        <v/>
      </c>
      <c r="S251" s="120">
        <v>0.11</v>
      </c>
      <c r="T251" s="198" t="str">
        <f t="shared" si="87"/>
        <v/>
      </c>
      <c r="U251" s="347" t="str">
        <f t="shared" si="88"/>
        <v/>
      </c>
      <c r="V251" s="347" t="str">
        <f t="shared" si="89"/>
        <v/>
      </c>
      <c r="W251" s="347" t="str">
        <f t="shared" si="90"/>
        <v/>
      </c>
      <c r="X251" s="600" t="str">
        <f>IF(T251="","",IF(U251=0,0,($C$2/1000)*'Tabla de Incrementos'!$J$20))</f>
        <v/>
      </c>
      <c r="Y251" s="600" t="str">
        <f t="shared" si="91"/>
        <v/>
      </c>
      <c r="Z251" s="600" t="str">
        <f t="shared" si="92"/>
        <v/>
      </c>
      <c r="AA251" s="557" t="str">
        <f t="shared" si="93"/>
        <v/>
      </c>
      <c r="AB251" s="557" t="str">
        <f t="shared" si="94"/>
        <v/>
      </c>
    </row>
    <row r="252" spans="1:28" x14ac:dyDescent="0.35">
      <c r="A252" s="595" t="str">
        <f t="shared" si="77"/>
        <v/>
      </c>
      <c r="B252" s="596" t="str">
        <f t="shared" si="70"/>
        <v/>
      </c>
      <c r="C252" s="597" t="str">
        <f>IF(B252="","",'Fecha Pago'!K249)</f>
        <v/>
      </c>
      <c r="D252" s="598" t="str">
        <f t="shared" si="78"/>
        <v/>
      </c>
      <c r="E252" s="599" t="str">
        <f>IF(B252="","",'Tabla de Incrementos'!$C$4)</f>
        <v/>
      </c>
      <c r="F252" s="600" t="str">
        <f t="shared" si="79"/>
        <v/>
      </c>
      <c r="G252" s="600" t="str">
        <f t="shared" si="80"/>
        <v/>
      </c>
      <c r="H252" s="600" t="str">
        <f t="shared" si="81"/>
        <v/>
      </c>
      <c r="I252" s="600" t="str">
        <f>IF(B252="","",IF(F252=0,0,($C$2/1000)*'Tabla de Incrementos'!$J$20))</f>
        <v/>
      </c>
      <c r="J252" s="600" t="str">
        <f t="shared" si="82"/>
        <v/>
      </c>
      <c r="K252" s="600" t="str">
        <f t="shared" si="83"/>
        <v/>
      </c>
      <c r="L252" s="600" t="str">
        <f t="shared" si="84"/>
        <v/>
      </c>
      <c r="M252" s="600" t="str">
        <f>IF(B252="","",IF(A252=0,0,AportPat!L249))</f>
        <v/>
      </c>
      <c r="N252" s="601">
        <f>Simulador!N312</f>
        <v>0</v>
      </c>
      <c r="O252" s="608">
        <v>0</v>
      </c>
      <c r="P252" s="600" t="str">
        <f t="shared" si="85"/>
        <v/>
      </c>
      <c r="Q252" s="600" t="str">
        <f t="shared" si="86"/>
        <v/>
      </c>
      <c r="S252" s="120">
        <v>0.11</v>
      </c>
      <c r="T252" s="198" t="str">
        <f t="shared" si="87"/>
        <v/>
      </c>
      <c r="U252" s="347" t="str">
        <f t="shared" si="88"/>
        <v/>
      </c>
      <c r="V252" s="347" t="str">
        <f t="shared" si="89"/>
        <v/>
      </c>
      <c r="W252" s="347" t="str">
        <f t="shared" si="90"/>
        <v/>
      </c>
      <c r="X252" s="600" t="str">
        <f>IF(T252="","",IF(U252=0,0,($C$2/1000)*'Tabla de Incrementos'!$J$20))</f>
        <v/>
      </c>
      <c r="Y252" s="600" t="str">
        <f t="shared" si="91"/>
        <v/>
      </c>
      <c r="Z252" s="600" t="str">
        <f t="shared" si="92"/>
        <v/>
      </c>
      <c r="AA252" s="557" t="str">
        <f t="shared" si="93"/>
        <v/>
      </c>
      <c r="AB252" s="557" t="str">
        <f t="shared" si="94"/>
        <v/>
      </c>
    </row>
    <row r="253" spans="1:28" x14ac:dyDescent="0.35">
      <c r="A253" s="595" t="str">
        <f t="shared" si="77"/>
        <v/>
      </c>
      <c r="B253" s="596" t="str">
        <f t="shared" si="70"/>
        <v/>
      </c>
      <c r="C253" s="597" t="str">
        <f>IF(B253="","",'Fecha Pago'!K250)</f>
        <v/>
      </c>
      <c r="D253" s="598" t="str">
        <f t="shared" si="78"/>
        <v/>
      </c>
      <c r="E253" s="599" t="str">
        <f>IF(B253="","",'Tabla de Incrementos'!$C$4)</f>
        <v/>
      </c>
      <c r="F253" s="600" t="str">
        <f t="shared" si="79"/>
        <v/>
      </c>
      <c r="G253" s="600" t="str">
        <f t="shared" si="80"/>
        <v/>
      </c>
      <c r="H253" s="600" t="str">
        <f t="shared" si="81"/>
        <v/>
      </c>
      <c r="I253" s="600" t="str">
        <f>IF(B253="","",IF(F253=0,0,($C$2/1000)*'Tabla de Incrementos'!$J$20))</f>
        <v/>
      </c>
      <c r="J253" s="600" t="str">
        <f t="shared" si="82"/>
        <v/>
      </c>
      <c r="K253" s="600" t="str">
        <f t="shared" si="83"/>
        <v/>
      </c>
      <c r="L253" s="600" t="str">
        <f t="shared" si="84"/>
        <v/>
      </c>
      <c r="M253" s="600" t="str">
        <f>IF(B253="","",IF(A253=0,0,AportPat!L250))</f>
        <v/>
      </c>
      <c r="N253" s="601">
        <f>Simulador!N313</f>
        <v>0</v>
      </c>
      <c r="O253" s="608">
        <v>0</v>
      </c>
      <c r="P253" s="600" t="str">
        <f t="shared" si="85"/>
        <v/>
      </c>
      <c r="Q253" s="600" t="str">
        <f t="shared" si="86"/>
        <v/>
      </c>
      <c r="S253" s="120">
        <v>0.11</v>
      </c>
      <c r="T253" s="198" t="str">
        <f t="shared" si="87"/>
        <v/>
      </c>
      <c r="U253" s="347" t="str">
        <f t="shared" si="88"/>
        <v/>
      </c>
      <c r="V253" s="347" t="str">
        <f t="shared" si="89"/>
        <v/>
      </c>
      <c r="W253" s="347" t="str">
        <f t="shared" si="90"/>
        <v/>
      </c>
      <c r="X253" s="600" t="str">
        <f>IF(T253="","",IF(U253=0,0,($C$2/1000)*'Tabla de Incrementos'!$J$20))</f>
        <v/>
      </c>
      <c r="Y253" s="600" t="str">
        <f t="shared" si="91"/>
        <v/>
      </c>
      <c r="Z253" s="600" t="str">
        <f t="shared" si="92"/>
        <v/>
      </c>
      <c r="AA253" s="557" t="str">
        <f t="shared" si="93"/>
        <v/>
      </c>
      <c r="AB253" s="557" t="str">
        <f t="shared" si="94"/>
        <v/>
      </c>
    </row>
    <row r="254" spans="1:28" x14ac:dyDescent="0.35">
      <c r="A254" s="595" t="str">
        <f t="shared" si="77"/>
        <v/>
      </c>
      <c r="B254" s="596" t="str">
        <f t="shared" si="70"/>
        <v/>
      </c>
      <c r="C254" s="597" t="str">
        <f>IF(B254="","",'Fecha Pago'!K251)</f>
        <v/>
      </c>
      <c r="D254" s="598" t="str">
        <f t="shared" si="78"/>
        <v/>
      </c>
      <c r="E254" s="599" t="str">
        <f>IF(B254="","",'Tabla de Incrementos'!$C$4)</f>
        <v/>
      </c>
      <c r="F254" s="600" t="str">
        <f t="shared" si="79"/>
        <v/>
      </c>
      <c r="G254" s="600" t="str">
        <f t="shared" si="80"/>
        <v/>
      </c>
      <c r="H254" s="600" t="str">
        <f t="shared" si="81"/>
        <v/>
      </c>
      <c r="I254" s="600" t="str">
        <f>IF(B254="","",IF(F254=0,0,($C$2/1000)*'Tabla de Incrementos'!$J$20))</f>
        <v/>
      </c>
      <c r="J254" s="600" t="str">
        <f t="shared" si="82"/>
        <v/>
      </c>
      <c r="K254" s="600" t="str">
        <f t="shared" si="83"/>
        <v/>
      </c>
      <c r="L254" s="600" t="str">
        <f t="shared" si="84"/>
        <v/>
      </c>
      <c r="M254" s="600" t="str">
        <f>IF(B254="","",IF(A254=0,0,AportPat!L251))</f>
        <v/>
      </c>
      <c r="N254" s="601">
        <f>Simulador!N314</f>
        <v>0</v>
      </c>
      <c r="O254" s="608">
        <v>0</v>
      </c>
      <c r="P254" s="600" t="str">
        <f t="shared" si="85"/>
        <v/>
      </c>
      <c r="Q254" s="600" t="str">
        <f t="shared" si="86"/>
        <v/>
      </c>
      <c r="S254" s="120">
        <v>0.11</v>
      </c>
      <c r="T254" s="198" t="str">
        <f t="shared" si="87"/>
        <v/>
      </c>
      <c r="U254" s="347" t="str">
        <f t="shared" si="88"/>
        <v/>
      </c>
      <c r="V254" s="347" t="str">
        <f t="shared" si="89"/>
        <v/>
      </c>
      <c r="W254" s="347" t="str">
        <f t="shared" si="90"/>
        <v/>
      </c>
      <c r="X254" s="600" t="str">
        <f>IF(T254="","",IF(U254=0,0,($C$2/1000)*'Tabla de Incrementos'!$J$20))</f>
        <v/>
      </c>
      <c r="Y254" s="600" t="str">
        <f t="shared" si="91"/>
        <v/>
      </c>
      <c r="Z254" s="600" t="str">
        <f t="shared" si="92"/>
        <v/>
      </c>
      <c r="AA254" s="557" t="str">
        <f t="shared" si="93"/>
        <v/>
      </c>
      <c r="AB254" s="557" t="str">
        <f t="shared" si="94"/>
        <v/>
      </c>
    </row>
    <row r="255" spans="1:28" x14ac:dyDescent="0.35">
      <c r="A255" s="595" t="str">
        <f t="shared" si="77"/>
        <v/>
      </c>
      <c r="B255" s="596" t="str">
        <f t="shared" si="70"/>
        <v/>
      </c>
      <c r="C255" s="597" t="str">
        <f>IF(B255="","",'Fecha Pago'!K252)</f>
        <v/>
      </c>
      <c r="D255" s="598" t="str">
        <f t="shared" si="78"/>
        <v/>
      </c>
      <c r="E255" s="599" t="str">
        <f>IF(B255="","",'Tabla de Incrementos'!$C$4)</f>
        <v/>
      </c>
      <c r="F255" s="600" t="str">
        <f t="shared" si="79"/>
        <v/>
      </c>
      <c r="G255" s="600" t="str">
        <f t="shared" si="80"/>
        <v/>
      </c>
      <c r="H255" s="600" t="str">
        <f t="shared" si="81"/>
        <v/>
      </c>
      <c r="I255" s="600" t="str">
        <f>IF(B255="","",IF(F255=0,0,($C$2/1000)*'Tabla de Incrementos'!$J$20))</f>
        <v/>
      </c>
      <c r="J255" s="600" t="str">
        <f t="shared" si="82"/>
        <v/>
      </c>
      <c r="K255" s="600" t="str">
        <f t="shared" si="83"/>
        <v/>
      </c>
      <c r="L255" s="600" t="str">
        <f t="shared" si="84"/>
        <v/>
      </c>
      <c r="M255" s="600" t="str">
        <f>IF(B255="","",IF(A255=0,0,AportPat!L252))</f>
        <v/>
      </c>
      <c r="N255" s="601">
        <f>Simulador!N315</f>
        <v>0</v>
      </c>
      <c r="O255" s="608">
        <v>0</v>
      </c>
      <c r="P255" s="600" t="str">
        <f t="shared" si="85"/>
        <v/>
      </c>
      <c r="Q255" s="600" t="str">
        <f t="shared" si="86"/>
        <v/>
      </c>
      <c r="S255" s="120">
        <v>0.11</v>
      </c>
      <c r="T255" s="198" t="str">
        <f t="shared" si="87"/>
        <v/>
      </c>
      <c r="U255" s="347" t="str">
        <f t="shared" si="88"/>
        <v/>
      </c>
      <c r="V255" s="347" t="str">
        <f t="shared" si="89"/>
        <v/>
      </c>
      <c r="W255" s="347" t="str">
        <f t="shared" si="90"/>
        <v/>
      </c>
      <c r="X255" s="600" t="str">
        <f>IF(T255="","",IF(U255=0,0,($C$2/1000)*'Tabla de Incrementos'!$J$20))</f>
        <v/>
      </c>
      <c r="Y255" s="600" t="str">
        <f t="shared" si="91"/>
        <v/>
      </c>
      <c r="Z255" s="600" t="str">
        <f t="shared" si="92"/>
        <v/>
      </c>
      <c r="AA255" s="557" t="str">
        <f t="shared" si="93"/>
        <v/>
      </c>
      <c r="AB255" s="557" t="str">
        <f t="shared" si="94"/>
        <v/>
      </c>
    </row>
    <row r="256" spans="1:28" x14ac:dyDescent="0.35">
      <c r="A256" s="595" t="str">
        <f t="shared" si="77"/>
        <v/>
      </c>
      <c r="B256" s="596" t="str">
        <f t="shared" si="70"/>
        <v/>
      </c>
      <c r="C256" s="597" t="str">
        <f>IF(B256="","",'Fecha Pago'!K253)</f>
        <v/>
      </c>
      <c r="D256" s="598" t="str">
        <f t="shared" si="78"/>
        <v/>
      </c>
      <c r="E256" s="599" t="str">
        <f>IF(B256="","",'Tabla de Incrementos'!$C$4)</f>
        <v/>
      </c>
      <c r="F256" s="600" t="str">
        <f t="shared" si="79"/>
        <v/>
      </c>
      <c r="G256" s="600" t="str">
        <f t="shared" si="80"/>
        <v/>
      </c>
      <c r="H256" s="600" t="str">
        <f t="shared" si="81"/>
        <v/>
      </c>
      <c r="I256" s="600" t="str">
        <f>IF(B256="","",IF(F256=0,0,($C$2/1000)*'Tabla de Incrementos'!$J$20))</f>
        <v/>
      </c>
      <c r="J256" s="600" t="str">
        <f t="shared" si="82"/>
        <v/>
      </c>
      <c r="K256" s="600" t="str">
        <f t="shared" si="83"/>
        <v/>
      </c>
      <c r="L256" s="600" t="str">
        <f t="shared" si="84"/>
        <v/>
      </c>
      <c r="M256" s="600" t="str">
        <f>IF(B256="","",IF(A256=0,0,AportPat!L253))</f>
        <v/>
      </c>
      <c r="N256" s="601">
        <f>Simulador!N316</f>
        <v>0</v>
      </c>
      <c r="O256" s="608">
        <v>0</v>
      </c>
      <c r="P256" s="600" t="str">
        <f t="shared" si="85"/>
        <v/>
      </c>
      <c r="Q256" s="600" t="str">
        <f t="shared" si="86"/>
        <v/>
      </c>
      <c r="S256" s="120">
        <v>0.11</v>
      </c>
      <c r="T256" s="198" t="str">
        <f t="shared" si="87"/>
        <v/>
      </c>
      <c r="U256" s="347" t="str">
        <f t="shared" si="88"/>
        <v/>
      </c>
      <c r="V256" s="347" t="str">
        <f t="shared" si="89"/>
        <v/>
      </c>
      <c r="W256" s="347" t="str">
        <f t="shared" si="90"/>
        <v/>
      </c>
      <c r="X256" s="600" t="str">
        <f>IF(T256="","",IF(U256=0,0,($C$2/1000)*'Tabla de Incrementos'!$J$20))</f>
        <v/>
      </c>
      <c r="Y256" s="600" t="str">
        <f t="shared" si="91"/>
        <v/>
      </c>
      <c r="Z256" s="600" t="str">
        <f t="shared" si="92"/>
        <v/>
      </c>
      <c r="AA256" s="557" t="str">
        <f t="shared" si="93"/>
        <v/>
      </c>
      <c r="AB256" s="557" t="str">
        <f t="shared" si="94"/>
        <v/>
      </c>
    </row>
    <row r="257" spans="1:28" x14ac:dyDescent="0.35">
      <c r="A257" s="595" t="str">
        <f t="shared" si="77"/>
        <v/>
      </c>
      <c r="B257" s="596" t="str">
        <f t="shared" si="70"/>
        <v/>
      </c>
      <c r="C257" s="597" t="str">
        <f>IF(B257="","",'Fecha Pago'!K254)</f>
        <v/>
      </c>
      <c r="D257" s="598" t="str">
        <f t="shared" si="78"/>
        <v/>
      </c>
      <c r="E257" s="599" t="str">
        <f>IF(B257="","",'Tabla de Incrementos'!$C$4)</f>
        <v/>
      </c>
      <c r="F257" s="600" t="str">
        <f t="shared" si="79"/>
        <v/>
      </c>
      <c r="G257" s="600" t="str">
        <f t="shared" si="80"/>
        <v/>
      </c>
      <c r="H257" s="600" t="str">
        <f t="shared" si="81"/>
        <v/>
      </c>
      <c r="I257" s="600" t="str">
        <f>IF(B257="","",IF(F257=0,0,($C$2/1000)*'Tabla de Incrementos'!$J$20))</f>
        <v/>
      </c>
      <c r="J257" s="600" t="str">
        <f t="shared" si="82"/>
        <v/>
      </c>
      <c r="K257" s="600" t="str">
        <f t="shared" si="83"/>
        <v/>
      </c>
      <c r="L257" s="600" t="str">
        <f t="shared" si="84"/>
        <v/>
      </c>
      <c r="M257" s="600" t="str">
        <f>IF(B257="","",IF(A257=0,0,AportPat!L254))</f>
        <v/>
      </c>
      <c r="N257" s="601">
        <f>Simulador!N317</f>
        <v>0</v>
      </c>
      <c r="O257" s="608">
        <v>0</v>
      </c>
      <c r="P257" s="600" t="str">
        <f t="shared" si="85"/>
        <v/>
      </c>
      <c r="Q257" s="600" t="str">
        <f t="shared" si="86"/>
        <v/>
      </c>
      <c r="S257" s="120">
        <v>0.11</v>
      </c>
      <c r="T257" s="198" t="str">
        <f t="shared" si="87"/>
        <v/>
      </c>
      <c r="U257" s="347" t="str">
        <f t="shared" si="88"/>
        <v/>
      </c>
      <c r="V257" s="347" t="str">
        <f t="shared" si="89"/>
        <v/>
      </c>
      <c r="W257" s="347" t="str">
        <f t="shared" si="90"/>
        <v/>
      </c>
      <c r="X257" s="600" t="str">
        <f>IF(T257="","",IF(U257=0,0,($C$2/1000)*'Tabla de Incrementos'!$J$20))</f>
        <v/>
      </c>
      <c r="Y257" s="600" t="str">
        <f t="shared" si="91"/>
        <v/>
      </c>
      <c r="Z257" s="600" t="str">
        <f t="shared" si="92"/>
        <v/>
      </c>
      <c r="AA257" s="557" t="str">
        <f t="shared" si="93"/>
        <v/>
      </c>
      <c r="AB257" s="557" t="str">
        <f t="shared" si="94"/>
        <v/>
      </c>
    </row>
    <row r="258" spans="1:28" x14ac:dyDescent="0.35">
      <c r="A258" s="595" t="str">
        <f t="shared" ref="A258:A268" si="95">IF(B258="","",IF(F258&gt;0,1,0))</f>
        <v/>
      </c>
      <c r="B258" s="596" t="str">
        <f t="shared" si="70"/>
        <v/>
      </c>
      <c r="C258" s="597" t="str">
        <f>IF(B258="","",'Fecha Pago'!K255)</f>
        <v/>
      </c>
      <c r="D258" s="598" t="str">
        <f t="shared" ref="D258:D268" si="96">IF(B258="","",30.4)</f>
        <v/>
      </c>
      <c r="E258" s="599" t="str">
        <f>IF(B258="","",'Tabla de Incrementos'!$C$4)</f>
        <v/>
      </c>
      <c r="F258" s="600" t="str">
        <f t="shared" ref="F258:F268" si="97">IF(B258="","",Q257)</f>
        <v/>
      </c>
      <c r="G258" s="600" t="str">
        <f t="shared" ref="G258:G268" si="98">IF(B258="","",IF(F258=0,0,IF((I258-H258)&gt;F258,F258,I258-H258))+M258+(N258-O258))</f>
        <v/>
      </c>
      <c r="H258" s="600" t="str">
        <f t="shared" ref="H258:H268" si="99">IF(B258="","",(E258/360*D258)*F258)</f>
        <v/>
      </c>
      <c r="I258" s="600" t="str">
        <f>IF(B258="","",IF(F258=0,0,($C$2/1000)*'Tabla de Incrementos'!$J$20))</f>
        <v/>
      </c>
      <c r="J258" s="600" t="str">
        <f t="shared" ref="J258:J268" si="100">IF(B258="","",IF(F258=0,0,F258*$G$3))</f>
        <v/>
      </c>
      <c r="K258" s="600" t="str">
        <f t="shared" ref="K258:K268" si="101">IF(B258="","",IF(F258=0,0,$C$4*$G$4))</f>
        <v/>
      </c>
      <c r="L258" s="600" t="str">
        <f t="shared" ref="L258:L268" si="102">IF(B258="","",IF(F258=0,0,$J$3))</f>
        <v/>
      </c>
      <c r="M258" s="600" t="str">
        <f>IF(B258="","",IF(A258=0,0,AportPat!L255))</f>
        <v/>
      </c>
      <c r="N258" s="601">
        <f>Simulador!N318</f>
        <v>0</v>
      </c>
      <c r="O258" s="608">
        <v>0</v>
      </c>
      <c r="P258" s="600" t="str">
        <f t="shared" ref="P258:P268" si="103">IF(B258="","",G258+H258+J258+K258+L258+O258-M258)</f>
        <v/>
      </c>
      <c r="Q258" s="600" t="str">
        <f t="shared" ref="Q258:Q268" si="104">IF(B258="","",F258-G258)</f>
        <v/>
      </c>
      <c r="S258" s="120">
        <v>0.11</v>
      </c>
      <c r="T258" s="198" t="str">
        <f t="shared" si="87"/>
        <v/>
      </c>
      <c r="U258" s="347" t="str">
        <f t="shared" si="88"/>
        <v/>
      </c>
      <c r="V258" s="347" t="str">
        <f t="shared" si="89"/>
        <v/>
      </c>
      <c r="W258" s="347" t="str">
        <f t="shared" si="90"/>
        <v/>
      </c>
      <c r="X258" s="600" t="str">
        <f>IF(T258="","",IF(U258=0,0,($C$2/1000)*'Tabla de Incrementos'!$J$20))</f>
        <v/>
      </c>
      <c r="Y258" s="600" t="str">
        <f t="shared" si="91"/>
        <v/>
      </c>
      <c r="Z258" s="600" t="str">
        <f t="shared" si="92"/>
        <v/>
      </c>
      <c r="AA258" s="557" t="str">
        <f t="shared" si="93"/>
        <v/>
      </c>
      <c r="AB258" s="557" t="str">
        <f t="shared" si="94"/>
        <v/>
      </c>
    </row>
    <row r="259" spans="1:28" x14ac:dyDescent="0.35">
      <c r="A259" s="595" t="str">
        <f t="shared" si="95"/>
        <v/>
      </c>
      <c r="B259" s="596" t="str">
        <f t="shared" si="70"/>
        <v/>
      </c>
      <c r="C259" s="597" t="str">
        <f>IF(B259="","",'Fecha Pago'!K256)</f>
        <v/>
      </c>
      <c r="D259" s="598" t="str">
        <f t="shared" si="96"/>
        <v/>
      </c>
      <c r="E259" s="599" t="str">
        <f>IF(B259="","",'Tabla de Incrementos'!$C$4)</f>
        <v/>
      </c>
      <c r="F259" s="600" t="str">
        <f t="shared" si="97"/>
        <v/>
      </c>
      <c r="G259" s="600" t="str">
        <f t="shared" si="98"/>
        <v/>
      </c>
      <c r="H259" s="600" t="str">
        <f t="shared" si="99"/>
        <v/>
      </c>
      <c r="I259" s="600" t="str">
        <f>IF(B259="","",IF(F259=0,0,($C$2/1000)*'Tabla de Incrementos'!$J$20))</f>
        <v/>
      </c>
      <c r="J259" s="600" t="str">
        <f t="shared" si="100"/>
        <v/>
      </c>
      <c r="K259" s="600" t="str">
        <f t="shared" si="101"/>
        <v/>
      </c>
      <c r="L259" s="600" t="str">
        <f t="shared" si="102"/>
        <v/>
      </c>
      <c r="M259" s="600" t="str">
        <f>IF(B259="","",IF(A259=0,0,AportPat!L256))</f>
        <v/>
      </c>
      <c r="N259" s="601">
        <f>Simulador!N319</f>
        <v>0</v>
      </c>
      <c r="O259" s="608">
        <v>0</v>
      </c>
      <c r="P259" s="600" t="str">
        <f t="shared" si="103"/>
        <v/>
      </c>
      <c r="Q259" s="600" t="str">
        <f t="shared" si="104"/>
        <v/>
      </c>
      <c r="S259" s="120">
        <v>0.11</v>
      </c>
      <c r="T259" s="198" t="str">
        <f t="shared" si="87"/>
        <v/>
      </c>
      <c r="U259" s="347" t="str">
        <f t="shared" si="88"/>
        <v/>
      </c>
      <c r="V259" s="347" t="str">
        <f t="shared" si="89"/>
        <v/>
      </c>
      <c r="W259" s="347" t="str">
        <f t="shared" si="90"/>
        <v/>
      </c>
      <c r="X259" s="600" t="str">
        <f>IF(T259="","",IF(U259=0,0,($C$2/1000)*'Tabla de Incrementos'!$J$20))</f>
        <v/>
      </c>
      <c r="Y259" s="600" t="str">
        <f t="shared" si="91"/>
        <v/>
      </c>
      <c r="Z259" s="600" t="str">
        <f t="shared" si="92"/>
        <v/>
      </c>
      <c r="AA259" s="557" t="str">
        <f t="shared" si="93"/>
        <v/>
      </c>
      <c r="AB259" s="557" t="str">
        <f t="shared" si="94"/>
        <v/>
      </c>
    </row>
    <row r="260" spans="1:28" x14ac:dyDescent="0.35">
      <c r="A260" s="595" t="str">
        <f t="shared" si="95"/>
        <v/>
      </c>
      <c r="B260" s="596" t="str">
        <f t="shared" si="70"/>
        <v/>
      </c>
      <c r="C260" s="597" t="str">
        <f>IF(B260="","",'Fecha Pago'!K257)</f>
        <v/>
      </c>
      <c r="D260" s="598" t="str">
        <f t="shared" si="96"/>
        <v/>
      </c>
      <c r="E260" s="599" t="str">
        <f>IF(B260="","",'Tabla de Incrementos'!$C$4)</f>
        <v/>
      </c>
      <c r="F260" s="600" t="str">
        <f t="shared" si="97"/>
        <v/>
      </c>
      <c r="G260" s="600" t="str">
        <f t="shared" si="98"/>
        <v/>
      </c>
      <c r="H260" s="600" t="str">
        <f t="shared" si="99"/>
        <v/>
      </c>
      <c r="I260" s="600" t="str">
        <f>IF(B260="","",IF(F260=0,0,($C$2/1000)*'Tabla de Incrementos'!$J$20))</f>
        <v/>
      </c>
      <c r="J260" s="600" t="str">
        <f t="shared" si="100"/>
        <v/>
      </c>
      <c r="K260" s="600" t="str">
        <f t="shared" si="101"/>
        <v/>
      </c>
      <c r="L260" s="600" t="str">
        <f t="shared" si="102"/>
        <v/>
      </c>
      <c r="M260" s="600" t="str">
        <f>IF(B260="","",IF(A260=0,0,AportPat!L257))</f>
        <v/>
      </c>
      <c r="N260" s="601">
        <f>Simulador!N320</f>
        <v>0</v>
      </c>
      <c r="O260" s="608">
        <v>0</v>
      </c>
      <c r="P260" s="600" t="str">
        <f t="shared" si="103"/>
        <v/>
      </c>
      <c r="Q260" s="600" t="str">
        <f t="shared" si="104"/>
        <v/>
      </c>
      <c r="S260" s="120">
        <v>0.11</v>
      </c>
      <c r="T260" s="198" t="str">
        <f t="shared" si="87"/>
        <v/>
      </c>
      <c r="U260" s="347" t="str">
        <f t="shared" si="88"/>
        <v/>
      </c>
      <c r="V260" s="347" t="str">
        <f t="shared" si="89"/>
        <v/>
      </c>
      <c r="W260" s="347" t="str">
        <f t="shared" si="90"/>
        <v/>
      </c>
      <c r="X260" s="600" t="str">
        <f>IF(T260="","",IF(U260=0,0,($C$2/1000)*'Tabla de Incrementos'!$J$20))</f>
        <v/>
      </c>
      <c r="Y260" s="600" t="str">
        <f t="shared" si="91"/>
        <v/>
      </c>
      <c r="Z260" s="600" t="str">
        <f t="shared" si="92"/>
        <v/>
      </c>
      <c r="AA260" s="557" t="str">
        <f t="shared" si="93"/>
        <v/>
      </c>
      <c r="AB260" s="557" t="str">
        <f t="shared" si="94"/>
        <v/>
      </c>
    </row>
    <row r="261" spans="1:28" x14ac:dyDescent="0.35">
      <c r="A261" s="595" t="str">
        <f t="shared" si="95"/>
        <v/>
      </c>
      <c r="B261" s="596" t="str">
        <f t="shared" si="70"/>
        <v/>
      </c>
      <c r="C261" s="597" t="str">
        <f>IF(B261="","",'Fecha Pago'!K258)</f>
        <v/>
      </c>
      <c r="D261" s="598" t="str">
        <f t="shared" si="96"/>
        <v/>
      </c>
      <c r="E261" s="599" t="str">
        <f>IF(B261="","",'Tabla de Incrementos'!$C$4)</f>
        <v/>
      </c>
      <c r="F261" s="600" t="str">
        <f t="shared" si="97"/>
        <v/>
      </c>
      <c r="G261" s="600" t="str">
        <f t="shared" si="98"/>
        <v/>
      </c>
      <c r="H261" s="600" t="str">
        <f t="shared" si="99"/>
        <v/>
      </c>
      <c r="I261" s="600" t="str">
        <f>IF(B261="","",IF(F261=0,0,($C$2/1000)*'Tabla de Incrementos'!$J$20))</f>
        <v/>
      </c>
      <c r="J261" s="600" t="str">
        <f t="shared" si="100"/>
        <v/>
      </c>
      <c r="K261" s="600" t="str">
        <f t="shared" si="101"/>
        <v/>
      </c>
      <c r="L261" s="600" t="str">
        <f t="shared" si="102"/>
        <v/>
      </c>
      <c r="M261" s="600" t="str">
        <f>IF(B261="","",IF(A261=0,0,AportPat!L258))</f>
        <v/>
      </c>
      <c r="N261" s="601">
        <f>Simulador!N321</f>
        <v>0</v>
      </c>
      <c r="O261" s="608">
        <v>0</v>
      </c>
      <c r="P261" s="600" t="str">
        <f t="shared" si="103"/>
        <v/>
      </c>
      <c r="Q261" s="600" t="str">
        <f t="shared" si="104"/>
        <v/>
      </c>
      <c r="S261" s="120">
        <v>0.11</v>
      </c>
      <c r="T261" s="198" t="str">
        <f t="shared" si="87"/>
        <v/>
      </c>
      <c r="U261" s="347" t="str">
        <f t="shared" si="88"/>
        <v/>
      </c>
      <c r="V261" s="347" t="str">
        <f t="shared" si="89"/>
        <v/>
      </c>
      <c r="W261" s="347" t="str">
        <f t="shared" si="90"/>
        <v/>
      </c>
      <c r="X261" s="600" t="str">
        <f>IF(T261="","",IF(U261=0,0,($C$2/1000)*'Tabla de Incrementos'!$J$20))</f>
        <v/>
      </c>
      <c r="Y261" s="600" t="str">
        <f t="shared" si="91"/>
        <v/>
      </c>
      <c r="Z261" s="600" t="str">
        <f t="shared" si="92"/>
        <v/>
      </c>
      <c r="AA261" s="557" t="str">
        <f t="shared" si="93"/>
        <v/>
      </c>
      <c r="AB261" s="557" t="str">
        <f t="shared" si="94"/>
        <v/>
      </c>
    </row>
    <row r="262" spans="1:28" x14ac:dyDescent="0.35">
      <c r="A262" s="595" t="str">
        <f t="shared" si="95"/>
        <v/>
      </c>
      <c r="B262" s="596" t="str">
        <f t="shared" si="70"/>
        <v/>
      </c>
      <c r="C262" s="597" t="str">
        <f>IF(B262="","",'Fecha Pago'!K259)</f>
        <v/>
      </c>
      <c r="D262" s="598" t="str">
        <f t="shared" si="96"/>
        <v/>
      </c>
      <c r="E262" s="599" t="str">
        <f>IF(B262="","",'Tabla de Incrementos'!$C$4)</f>
        <v/>
      </c>
      <c r="F262" s="600" t="str">
        <f t="shared" si="97"/>
        <v/>
      </c>
      <c r="G262" s="600" t="str">
        <f t="shared" si="98"/>
        <v/>
      </c>
      <c r="H262" s="600" t="str">
        <f t="shared" si="99"/>
        <v/>
      </c>
      <c r="I262" s="600" t="str">
        <f>IF(B262="","",IF(F262=0,0,($C$2/1000)*'Tabla de Incrementos'!$J$20))</f>
        <v/>
      </c>
      <c r="J262" s="600" t="str">
        <f t="shared" si="100"/>
        <v/>
      </c>
      <c r="K262" s="600" t="str">
        <f t="shared" si="101"/>
        <v/>
      </c>
      <c r="L262" s="600" t="str">
        <f t="shared" si="102"/>
        <v/>
      </c>
      <c r="M262" s="600" t="str">
        <f>IF(B262="","",IF(A262=0,0,AportPat!L259))</f>
        <v/>
      </c>
      <c r="N262" s="601">
        <f>Simulador!N322</f>
        <v>0</v>
      </c>
      <c r="O262" s="608">
        <v>0</v>
      </c>
      <c r="P262" s="600" t="str">
        <f t="shared" si="103"/>
        <v/>
      </c>
      <c r="Q262" s="600" t="str">
        <f t="shared" si="104"/>
        <v/>
      </c>
      <c r="S262" s="120">
        <v>0.11</v>
      </c>
      <c r="T262" s="198" t="str">
        <f t="shared" si="87"/>
        <v/>
      </c>
      <c r="U262" s="347" t="str">
        <f t="shared" si="88"/>
        <v/>
      </c>
      <c r="V262" s="347" t="str">
        <f t="shared" si="89"/>
        <v/>
      </c>
      <c r="W262" s="347" t="str">
        <f t="shared" si="90"/>
        <v/>
      </c>
      <c r="X262" s="600" t="str">
        <f>IF(T262="","",IF(U262=0,0,($C$2/1000)*'Tabla de Incrementos'!$J$20))</f>
        <v/>
      </c>
      <c r="Y262" s="600" t="str">
        <f t="shared" si="91"/>
        <v/>
      </c>
      <c r="Z262" s="600" t="str">
        <f t="shared" si="92"/>
        <v/>
      </c>
      <c r="AA262" s="557" t="str">
        <f t="shared" si="93"/>
        <v/>
      </c>
      <c r="AB262" s="557" t="str">
        <f t="shared" si="94"/>
        <v/>
      </c>
    </row>
    <row r="263" spans="1:28" x14ac:dyDescent="0.35">
      <c r="A263" s="595" t="str">
        <f t="shared" si="95"/>
        <v/>
      </c>
      <c r="B263" s="596" t="str">
        <f t="shared" si="70"/>
        <v/>
      </c>
      <c r="C263" s="597" t="str">
        <f>IF(B263="","",'Fecha Pago'!K260)</f>
        <v/>
      </c>
      <c r="D263" s="598" t="str">
        <f t="shared" si="96"/>
        <v/>
      </c>
      <c r="E263" s="599" t="str">
        <f>IF(B263="","",'Tabla de Incrementos'!$C$4)</f>
        <v/>
      </c>
      <c r="F263" s="600" t="str">
        <f t="shared" si="97"/>
        <v/>
      </c>
      <c r="G263" s="600" t="str">
        <f t="shared" si="98"/>
        <v/>
      </c>
      <c r="H263" s="600" t="str">
        <f t="shared" si="99"/>
        <v/>
      </c>
      <c r="I263" s="600" t="str">
        <f>IF(B263="","",IF(F263=0,0,($C$2/1000)*'Tabla de Incrementos'!$J$20))</f>
        <v/>
      </c>
      <c r="J263" s="600" t="str">
        <f t="shared" si="100"/>
        <v/>
      </c>
      <c r="K263" s="600" t="str">
        <f t="shared" si="101"/>
        <v/>
      </c>
      <c r="L263" s="600" t="str">
        <f t="shared" si="102"/>
        <v/>
      </c>
      <c r="M263" s="600" t="str">
        <f>IF(B263="","",IF(A263=0,0,AportPat!L260))</f>
        <v/>
      </c>
      <c r="N263" s="601">
        <f>Simulador!N323</f>
        <v>0</v>
      </c>
      <c r="O263" s="608">
        <v>0</v>
      </c>
      <c r="P263" s="600" t="str">
        <f t="shared" si="103"/>
        <v/>
      </c>
      <c r="Q263" s="600" t="str">
        <f t="shared" si="104"/>
        <v/>
      </c>
      <c r="S263" s="120">
        <v>0.11</v>
      </c>
      <c r="T263" s="198" t="str">
        <f t="shared" si="87"/>
        <v/>
      </c>
      <c r="U263" s="347" t="str">
        <f t="shared" si="88"/>
        <v/>
      </c>
      <c r="V263" s="347" t="str">
        <f t="shared" si="89"/>
        <v/>
      </c>
      <c r="W263" s="347" t="str">
        <f t="shared" si="90"/>
        <v/>
      </c>
      <c r="X263" s="600" t="str">
        <f>IF(T263="","",IF(U263=0,0,($C$2/1000)*'Tabla de Incrementos'!$J$20))</f>
        <v/>
      </c>
      <c r="Y263" s="600" t="str">
        <f t="shared" si="91"/>
        <v/>
      </c>
      <c r="Z263" s="600" t="str">
        <f t="shared" si="92"/>
        <v/>
      </c>
      <c r="AA263" s="557" t="str">
        <f t="shared" si="93"/>
        <v/>
      </c>
      <c r="AB263" s="557" t="str">
        <f t="shared" si="94"/>
        <v/>
      </c>
    </row>
    <row r="264" spans="1:28" x14ac:dyDescent="0.35">
      <c r="A264" s="595" t="str">
        <f t="shared" si="95"/>
        <v/>
      </c>
      <c r="B264" s="596" t="str">
        <f t="shared" si="70"/>
        <v/>
      </c>
      <c r="C264" s="597" t="str">
        <f>IF(B264="","",'Fecha Pago'!K261)</f>
        <v/>
      </c>
      <c r="D264" s="598" t="str">
        <f t="shared" si="96"/>
        <v/>
      </c>
      <c r="E264" s="599" t="str">
        <f>IF(B264="","",'Tabla de Incrementos'!$C$4)</f>
        <v/>
      </c>
      <c r="F264" s="600" t="str">
        <f t="shared" si="97"/>
        <v/>
      </c>
      <c r="G264" s="600" t="str">
        <f t="shared" si="98"/>
        <v/>
      </c>
      <c r="H264" s="600" t="str">
        <f t="shared" si="99"/>
        <v/>
      </c>
      <c r="I264" s="600" t="str">
        <f>IF(B264="","",IF(F264=0,0,($C$2/1000)*'Tabla de Incrementos'!$J$20))</f>
        <v/>
      </c>
      <c r="J264" s="600" t="str">
        <f t="shared" si="100"/>
        <v/>
      </c>
      <c r="K264" s="600" t="str">
        <f t="shared" si="101"/>
        <v/>
      </c>
      <c r="L264" s="600" t="str">
        <f t="shared" si="102"/>
        <v/>
      </c>
      <c r="M264" s="600" t="str">
        <f>IF(B264="","",IF(A264=0,0,AportPat!L261))</f>
        <v/>
      </c>
      <c r="N264" s="601">
        <f>Simulador!N324</f>
        <v>0</v>
      </c>
      <c r="O264" s="608">
        <v>0</v>
      </c>
      <c r="P264" s="600" t="str">
        <f t="shared" si="103"/>
        <v/>
      </c>
      <c r="Q264" s="600" t="str">
        <f t="shared" si="104"/>
        <v/>
      </c>
      <c r="S264" s="120">
        <v>0.11</v>
      </c>
      <c r="T264" s="198" t="str">
        <f t="shared" si="87"/>
        <v/>
      </c>
      <c r="U264" s="347" t="str">
        <f t="shared" si="88"/>
        <v/>
      </c>
      <c r="V264" s="347" t="str">
        <f t="shared" si="89"/>
        <v/>
      </c>
      <c r="W264" s="347" t="str">
        <f t="shared" si="90"/>
        <v/>
      </c>
      <c r="X264" s="600" t="str">
        <f>IF(T264="","",IF(U264=0,0,($C$2/1000)*'Tabla de Incrementos'!$J$20))</f>
        <v/>
      </c>
      <c r="Y264" s="600" t="str">
        <f t="shared" si="91"/>
        <v/>
      </c>
      <c r="Z264" s="600" t="str">
        <f t="shared" si="92"/>
        <v/>
      </c>
      <c r="AA264" s="557" t="str">
        <f t="shared" si="93"/>
        <v/>
      </c>
      <c r="AB264" s="557" t="str">
        <f t="shared" si="94"/>
        <v/>
      </c>
    </row>
    <row r="265" spans="1:28" x14ac:dyDescent="0.35">
      <c r="A265" s="595" t="str">
        <f t="shared" si="95"/>
        <v/>
      </c>
      <c r="B265" s="596" t="str">
        <f t="shared" ref="B265:B306" si="105">IF(B264=$C$3,"",IF(B264="","",B264+1))</f>
        <v/>
      </c>
      <c r="C265" s="597" t="str">
        <f>IF(B265="","",'Fecha Pago'!K262)</f>
        <v/>
      </c>
      <c r="D265" s="598" t="str">
        <f t="shared" si="96"/>
        <v/>
      </c>
      <c r="E265" s="599" t="str">
        <f>IF(B265="","",'Tabla de Incrementos'!$C$4)</f>
        <v/>
      </c>
      <c r="F265" s="600" t="str">
        <f t="shared" si="97"/>
        <v/>
      </c>
      <c r="G265" s="600" t="str">
        <f t="shared" si="98"/>
        <v/>
      </c>
      <c r="H265" s="600" t="str">
        <f t="shared" si="99"/>
        <v/>
      </c>
      <c r="I265" s="600" t="str">
        <f>IF(B265="","",IF(F265=0,0,($C$2/1000)*'Tabla de Incrementos'!$J$20))</f>
        <v/>
      </c>
      <c r="J265" s="600" t="str">
        <f t="shared" si="100"/>
        <v/>
      </c>
      <c r="K265" s="600" t="str">
        <f t="shared" si="101"/>
        <v/>
      </c>
      <c r="L265" s="600" t="str">
        <f t="shared" si="102"/>
        <v/>
      </c>
      <c r="M265" s="600" t="str">
        <f>IF(B265="","",IF(A265=0,0,AportPat!L262))</f>
        <v/>
      </c>
      <c r="N265" s="601">
        <f>Simulador!N325</f>
        <v>0</v>
      </c>
      <c r="O265" s="608">
        <v>0</v>
      </c>
      <c r="P265" s="600" t="str">
        <f t="shared" si="103"/>
        <v/>
      </c>
      <c r="Q265" s="600" t="str">
        <f t="shared" si="104"/>
        <v/>
      </c>
      <c r="S265" s="120">
        <v>0.11</v>
      </c>
      <c r="T265" s="198" t="str">
        <f t="shared" si="87"/>
        <v/>
      </c>
      <c r="U265" s="347" t="str">
        <f t="shared" si="88"/>
        <v/>
      </c>
      <c r="V265" s="347" t="str">
        <f t="shared" si="89"/>
        <v/>
      </c>
      <c r="W265" s="347" t="str">
        <f t="shared" si="90"/>
        <v/>
      </c>
      <c r="X265" s="600" t="str">
        <f>IF(T265="","",IF(U265=0,0,($C$2/1000)*'Tabla de Incrementos'!$J$20))</f>
        <v/>
      </c>
      <c r="Y265" s="600" t="str">
        <f t="shared" si="91"/>
        <v/>
      </c>
      <c r="Z265" s="600" t="str">
        <f t="shared" si="92"/>
        <v/>
      </c>
      <c r="AA265" s="557" t="str">
        <f t="shared" si="93"/>
        <v/>
      </c>
      <c r="AB265" s="557" t="str">
        <f t="shared" si="94"/>
        <v/>
      </c>
    </row>
    <row r="266" spans="1:28" x14ac:dyDescent="0.35">
      <c r="A266" s="595" t="str">
        <f t="shared" si="95"/>
        <v/>
      </c>
      <c r="B266" s="596" t="str">
        <f t="shared" si="105"/>
        <v/>
      </c>
      <c r="C266" s="597" t="str">
        <f>IF(B266="","",'Fecha Pago'!K263)</f>
        <v/>
      </c>
      <c r="D266" s="598" t="str">
        <f t="shared" si="96"/>
        <v/>
      </c>
      <c r="E266" s="599" t="str">
        <f>IF(B266="","",'Tabla de Incrementos'!$C$4)</f>
        <v/>
      </c>
      <c r="F266" s="600" t="str">
        <f t="shared" si="97"/>
        <v/>
      </c>
      <c r="G266" s="600" t="str">
        <f t="shared" si="98"/>
        <v/>
      </c>
      <c r="H266" s="600" t="str">
        <f t="shared" si="99"/>
        <v/>
      </c>
      <c r="I266" s="600" t="str">
        <f>IF(B266="","",IF(F266=0,0,($C$2/1000)*'Tabla de Incrementos'!$J$20))</f>
        <v/>
      </c>
      <c r="J266" s="600" t="str">
        <f t="shared" si="100"/>
        <v/>
      </c>
      <c r="K266" s="600" t="str">
        <f t="shared" si="101"/>
        <v/>
      </c>
      <c r="L266" s="600" t="str">
        <f t="shared" si="102"/>
        <v/>
      </c>
      <c r="M266" s="600" t="str">
        <f>IF(B266="","",IF(A266=0,0,AportPat!L263))</f>
        <v/>
      </c>
      <c r="N266" s="601">
        <f>Simulador!N326</f>
        <v>0</v>
      </c>
      <c r="O266" s="608">
        <v>0</v>
      </c>
      <c r="P266" s="600" t="str">
        <f t="shared" si="103"/>
        <v/>
      </c>
      <c r="Q266" s="600" t="str">
        <f t="shared" si="104"/>
        <v/>
      </c>
      <c r="S266" s="120">
        <v>0.11</v>
      </c>
      <c r="T266" s="198" t="str">
        <f t="shared" si="87"/>
        <v/>
      </c>
      <c r="U266" s="347" t="str">
        <f t="shared" si="88"/>
        <v/>
      </c>
      <c r="V266" s="347" t="str">
        <f t="shared" si="89"/>
        <v/>
      </c>
      <c r="W266" s="347" t="str">
        <f t="shared" si="90"/>
        <v/>
      </c>
      <c r="X266" s="600" t="str">
        <f>IF(T266="","",IF(U266=0,0,($C$2/1000)*'Tabla de Incrementos'!$J$20))</f>
        <v/>
      </c>
      <c r="Y266" s="600" t="str">
        <f t="shared" si="91"/>
        <v/>
      </c>
      <c r="Z266" s="600" t="str">
        <f t="shared" si="92"/>
        <v/>
      </c>
      <c r="AA266" s="557" t="str">
        <f t="shared" si="93"/>
        <v/>
      </c>
      <c r="AB266" s="557" t="str">
        <f t="shared" si="94"/>
        <v/>
      </c>
    </row>
    <row r="267" spans="1:28" x14ac:dyDescent="0.35">
      <c r="A267" s="595" t="str">
        <f t="shared" si="95"/>
        <v/>
      </c>
      <c r="B267" s="596" t="str">
        <f t="shared" si="105"/>
        <v/>
      </c>
      <c r="C267" s="597" t="str">
        <f>IF(B267="","",'Fecha Pago'!K264)</f>
        <v/>
      </c>
      <c r="D267" s="598" t="str">
        <f t="shared" si="96"/>
        <v/>
      </c>
      <c r="E267" s="599" t="str">
        <f>IF(B267="","",'Tabla de Incrementos'!$C$4)</f>
        <v/>
      </c>
      <c r="F267" s="600" t="str">
        <f t="shared" si="97"/>
        <v/>
      </c>
      <c r="G267" s="600" t="str">
        <f t="shared" si="98"/>
        <v/>
      </c>
      <c r="H267" s="600" t="str">
        <f t="shared" si="99"/>
        <v/>
      </c>
      <c r="I267" s="600" t="str">
        <f>IF(B267="","",IF(F267=0,0,($C$2/1000)*'Tabla de Incrementos'!$J$20))</f>
        <v/>
      </c>
      <c r="J267" s="600" t="str">
        <f t="shared" si="100"/>
        <v/>
      </c>
      <c r="K267" s="600" t="str">
        <f t="shared" si="101"/>
        <v/>
      </c>
      <c r="L267" s="600" t="str">
        <f t="shared" si="102"/>
        <v/>
      </c>
      <c r="M267" s="600" t="str">
        <f>IF(B267="","",IF(A267=0,0,AportPat!L264))</f>
        <v/>
      </c>
      <c r="N267" s="601">
        <f>Simulador!N327</f>
        <v>0</v>
      </c>
      <c r="O267" s="608">
        <v>0</v>
      </c>
      <c r="P267" s="600" t="str">
        <f t="shared" si="103"/>
        <v/>
      </c>
      <c r="Q267" s="600" t="str">
        <f t="shared" si="104"/>
        <v/>
      </c>
      <c r="S267" s="120">
        <v>0.11</v>
      </c>
      <c r="T267" s="198" t="str">
        <f t="shared" si="87"/>
        <v/>
      </c>
      <c r="U267" s="347" t="str">
        <f t="shared" si="88"/>
        <v/>
      </c>
      <c r="V267" s="347" t="str">
        <f t="shared" si="89"/>
        <v/>
      </c>
      <c r="W267" s="347" t="str">
        <f t="shared" si="90"/>
        <v/>
      </c>
      <c r="X267" s="600" t="str">
        <f>IF(T267="","",IF(U267=0,0,($C$2/1000)*'Tabla de Incrementos'!$J$20))</f>
        <v/>
      </c>
      <c r="Y267" s="600" t="str">
        <f t="shared" si="91"/>
        <v/>
      </c>
      <c r="Z267" s="600" t="str">
        <f t="shared" si="92"/>
        <v/>
      </c>
      <c r="AA267" s="557" t="str">
        <f t="shared" si="93"/>
        <v/>
      </c>
      <c r="AB267" s="557" t="str">
        <f t="shared" si="94"/>
        <v/>
      </c>
    </row>
    <row r="268" spans="1:28" x14ac:dyDescent="0.35">
      <c r="A268" s="595" t="str">
        <f t="shared" si="95"/>
        <v/>
      </c>
      <c r="B268" s="596" t="str">
        <f t="shared" si="105"/>
        <v/>
      </c>
      <c r="C268" s="597" t="str">
        <f>IF(B268="","",'Fecha Pago'!K265)</f>
        <v/>
      </c>
      <c r="D268" s="598" t="str">
        <f t="shared" si="96"/>
        <v/>
      </c>
      <c r="E268" s="599" t="str">
        <f>IF(B268="","",'Tabla de Incrementos'!$C$4)</f>
        <v/>
      </c>
      <c r="F268" s="600" t="str">
        <f t="shared" si="97"/>
        <v/>
      </c>
      <c r="G268" s="600" t="str">
        <f t="shared" si="98"/>
        <v/>
      </c>
      <c r="H268" s="600" t="str">
        <f t="shared" si="99"/>
        <v/>
      </c>
      <c r="I268" s="600" t="str">
        <f>IF(B268="","",IF(F268=0,0,($C$2/1000)*'Tabla de Incrementos'!$J$20))</f>
        <v/>
      </c>
      <c r="J268" s="600" t="str">
        <f t="shared" si="100"/>
        <v/>
      </c>
      <c r="K268" s="600" t="str">
        <f t="shared" si="101"/>
        <v/>
      </c>
      <c r="L268" s="600" t="str">
        <f t="shared" si="102"/>
        <v/>
      </c>
      <c r="M268" s="600" t="str">
        <f>IF(B268="","",IF(A268=0,0,AportPat!L265))</f>
        <v/>
      </c>
      <c r="N268" s="601">
        <f>Simulador!N328</f>
        <v>0</v>
      </c>
      <c r="O268" s="608">
        <v>0</v>
      </c>
      <c r="P268" s="600" t="str">
        <f t="shared" si="103"/>
        <v/>
      </c>
      <c r="Q268" s="600" t="str">
        <f t="shared" si="104"/>
        <v/>
      </c>
      <c r="S268" s="120">
        <v>0.11</v>
      </c>
      <c r="T268" s="198" t="str">
        <f t="shared" si="87"/>
        <v/>
      </c>
      <c r="U268" s="347" t="str">
        <f t="shared" si="88"/>
        <v/>
      </c>
      <c r="V268" s="347" t="str">
        <f t="shared" si="89"/>
        <v/>
      </c>
      <c r="W268" s="347" t="str">
        <f t="shared" si="90"/>
        <v/>
      </c>
      <c r="X268" s="600" t="str">
        <f>IF(T268="","",IF(U268=0,0,($C$2/1000)*'Tabla de Incrementos'!$J$20))</f>
        <v/>
      </c>
      <c r="Y268" s="600" t="str">
        <f t="shared" si="91"/>
        <v/>
      </c>
      <c r="Z268" s="600" t="str">
        <f t="shared" si="92"/>
        <v/>
      </c>
      <c r="AA268" s="557" t="str">
        <f t="shared" si="93"/>
        <v/>
      </c>
      <c r="AB268" s="557" t="str">
        <f t="shared" si="94"/>
        <v/>
      </c>
    </row>
    <row r="269" spans="1:28" x14ac:dyDescent="0.35">
      <c r="A269" s="595" t="str">
        <f t="shared" ref="A269:A306" si="106">IF(B269="","",IF(F269&gt;0,1,0))</f>
        <v/>
      </c>
      <c r="B269" s="596" t="str">
        <f t="shared" si="105"/>
        <v/>
      </c>
      <c r="C269" s="597" t="str">
        <f>IF(B269="","",'Fecha Pago'!K266)</f>
        <v/>
      </c>
      <c r="D269" s="598" t="str">
        <f t="shared" ref="D269:D306" si="107">IF(B269="","",30.4)</f>
        <v/>
      </c>
      <c r="E269" s="599" t="str">
        <f>IF(B269="","",'Tabla de Incrementos'!$C$4)</f>
        <v/>
      </c>
      <c r="F269" s="600" t="str">
        <f t="shared" ref="F269:F306" si="108">IF(B269="","",Q268)</f>
        <v/>
      </c>
      <c r="G269" s="600" t="str">
        <f t="shared" ref="G269:G306" si="109">IF(B269="","",IF(F269=0,0,IF((I269-H269)&gt;F269,F269,I269-H269))+M269+(N269-O269))</f>
        <v/>
      </c>
      <c r="H269" s="600" t="str">
        <f t="shared" ref="H269:H306" si="110">IF(B269="","",(E269/360*D269)*F269)</f>
        <v/>
      </c>
      <c r="I269" s="600" t="str">
        <f>IF(B269="","",IF(F269=0,0,($C$2/1000)*'Tabla de Incrementos'!$J$20))</f>
        <v/>
      </c>
      <c r="J269" s="600" t="str">
        <f t="shared" ref="J269:J306" si="111">IF(B269="","",IF(F269=0,0,F269*$G$3))</f>
        <v/>
      </c>
      <c r="K269" s="600" t="str">
        <f t="shared" ref="K269:K306" si="112">IF(B269="","",IF(F269=0,0,$C$4*$G$4))</f>
        <v/>
      </c>
      <c r="L269" s="600" t="str">
        <f t="shared" ref="L269:L306" si="113">IF(B269="","",IF(F269=0,0,$J$3))</f>
        <v/>
      </c>
      <c r="M269" s="600" t="str">
        <f>IF(B269="","",IF(A269=0,0,AportPat!L266))</f>
        <v/>
      </c>
      <c r="N269" s="601">
        <f>Simulador!N329</f>
        <v>0</v>
      </c>
      <c r="O269" s="608">
        <v>0</v>
      </c>
      <c r="P269" s="600" t="str">
        <f t="shared" ref="P269:P306" si="114">IF(B269="","",G269+H269+J269+K269+L269+O269-M269)</f>
        <v/>
      </c>
      <c r="Q269" s="600" t="str">
        <f t="shared" ref="Q269:Q306" si="115">IF(B269="","",F269-G269)</f>
        <v/>
      </c>
      <c r="S269" s="120">
        <v>0.11</v>
      </c>
      <c r="T269" s="198" t="str">
        <f t="shared" si="87"/>
        <v/>
      </c>
      <c r="U269" s="347" t="str">
        <f t="shared" si="88"/>
        <v/>
      </c>
      <c r="V269" s="347" t="str">
        <f t="shared" si="89"/>
        <v/>
      </c>
      <c r="W269" s="347" t="str">
        <f t="shared" si="90"/>
        <v/>
      </c>
      <c r="X269" s="600" t="str">
        <f>IF(T269="","",IF(U269=0,0,($C$2/1000)*'Tabla de Incrementos'!$J$20))</f>
        <v/>
      </c>
      <c r="Y269" s="600" t="str">
        <f t="shared" si="91"/>
        <v/>
      </c>
      <c r="Z269" s="600" t="str">
        <f t="shared" si="92"/>
        <v/>
      </c>
      <c r="AA269" s="557" t="str">
        <f t="shared" si="93"/>
        <v/>
      </c>
      <c r="AB269" s="557" t="str">
        <f t="shared" si="94"/>
        <v/>
      </c>
    </row>
    <row r="270" spans="1:28" x14ac:dyDescent="0.35">
      <c r="A270" s="595" t="str">
        <f t="shared" si="106"/>
        <v/>
      </c>
      <c r="B270" s="596" t="str">
        <f t="shared" si="105"/>
        <v/>
      </c>
      <c r="C270" s="597" t="str">
        <f>IF(B270="","",'Fecha Pago'!K267)</f>
        <v/>
      </c>
      <c r="D270" s="598" t="str">
        <f t="shared" si="107"/>
        <v/>
      </c>
      <c r="E270" s="599" t="str">
        <f>IF(B270="","",'Tabla de Incrementos'!$C$4)</f>
        <v/>
      </c>
      <c r="F270" s="600" t="str">
        <f t="shared" si="108"/>
        <v/>
      </c>
      <c r="G270" s="600" t="str">
        <f t="shared" si="109"/>
        <v/>
      </c>
      <c r="H270" s="600" t="str">
        <f t="shared" si="110"/>
        <v/>
      </c>
      <c r="I270" s="600" t="str">
        <f>IF(B270="","",IF(F270=0,0,($C$2/1000)*'Tabla de Incrementos'!$J$20))</f>
        <v/>
      </c>
      <c r="J270" s="600" t="str">
        <f t="shared" si="111"/>
        <v/>
      </c>
      <c r="K270" s="600" t="str">
        <f t="shared" si="112"/>
        <v/>
      </c>
      <c r="L270" s="600" t="str">
        <f t="shared" si="113"/>
        <v/>
      </c>
      <c r="M270" s="600" t="str">
        <f>IF(B270="","",IF(A270=0,0,AportPat!L267))</f>
        <v/>
      </c>
      <c r="N270" s="601">
        <f>Simulador!N330</f>
        <v>0</v>
      </c>
      <c r="O270" s="608">
        <v>0</v>
      </c>
      <c r="P270" s="600" t="str">
        <f t="shared" si="114"/>
        <v/>
      </c>
      <c r="Q270" s="600" t="str">
        <f t="shared" si="115"/>
        <v/>
      </c>
      <c r="S270" s="120">
        <v>0.11</v>
      </c>
      <c r="T270" s="198" t="str">
        <f t="shared" si="87"/>
        <v/>
      </c>
      <c r="U270" s="347" t="str">
        <f t="shared" si="88"/>
        <v/>
      </c>
      <c r="V270" s="347" t="str">
        <f t="shared" si="89"/>
        <v/>
      </c>
      <c r="W270" s="347" t="str">
        <f t="shared" si="90"/>
        <v/>
      </c>
      <c r="X270" s="600" t="str">
        <f>IF(T270="","",IF(U270=0,0,($C$2/1000)*'Tabla de Incrementos'!$J$20))</f>
        <v/>
      </c>
      <c r="Y270" s="600" t="str">
        <f t="shared" si="91"/>
        <v/>
      </c>
      <c r="Z270" s="600" t="str">
        <f t="shared" si="92"/>
        <v/>
      </c>
      <c r="AA270" s="557" t="str">
        <f t="shared" si="93"/>
        <v/>
      </c>
      <c r="AB270" s="557" t="str">
        <f t="shared" si="94"/>
        <v/>
      </c>
    </row>
    <row r="271" spans="1:28" x14ac:dyDescent="0.35">
      <c r="A271" s="595" t="str">
        <f t="shared" si="106"/>
        <v/>
      </c>
      <c r="B271" s="596" t="str">
        <f t="shared" si="105"/>
        <v/>
      </c>
      <c r="C271" s="597" t="str">
        <f>IF(B271="","",'Fecha Pago'!K268)</f>
        <v/>
      </c>
      <c r="D271" s="598" t="str">
        <f t="shared" si="107"/>
        <v/>
      </c>
      <c r="E271" s="599" t="str">
        <f>IF(B271="","",'Tabla de Incrementos'!$C$4)</f>
        <v/>
      </c>
      <c r="F271" s="600" t="str">
        <f t="shared" si="108"/>
        <v/>
      </c>
      <c r="G271" s="600" t="str">
        <f t="shared" si="109"/>
        <v/>
      </c>
      <c r="H271" s="600" t="str">
        <f t="shared" si="110"/>
        <v/>
      </c>
      <c r="I271" s="600" t="str">
        <f>IF(B271="","",IF(F271=0,0,($C$2/1000)*'Tabla de Incrementos'!$J$20))</f>
        <v/>
      </c>
      <c r="J271" s="600" t="str">
        <f t="shared" si="111"/>
        <v/>
      </c>
      <c r="K271" s="600" t="str">
        <f t="shared" si="112"/>
        <v/>
      </c>
      <c r="L271" s="600" t="str">
        <f t="shared" si="113"/>
        <v/>
      </c>
      <c r="M271" s="600" t="str">
        <f>IF(B271="","",IF(A271=0,0,AportPat!L268))</f>
        <v/>
      </c>
      <c r="N271" s="601">
        <f>Simulador!N331</f>
        <v>0</v>
      </c>
      <c r="O271" s="608">
        <v>0</v>
      </c>
      <c r="P271" s="600" t="str">
        <f t="shared" si="114"/>
        <v/>
      </c>
      <c r="Q271" s="600" t="str">
        <f t="shared" si="115"/>
        <v/>
      </c>
      <c r="S271" s="120">
        <v>0.11</v>
      </c>
      <c r="T271" s="198" t="str">
        <f t="shared" si="87"/>
        <v/>
      </c>
      <c r="U271" s="347" t="str">
        <f t="shared" si="88"/>
        <v/>
      </c>
      <c r="V271" s="347" t="str">
        <f t="shared" si="89"/>
        <v/>
      </c>
      <c r="W271" s="347" t="str">
        <f t="shared" si="90"/>
        <v/>
      </c>
      <c r="X271" s="600" t="str">
        <f>IF(T271="","",IF(U271=0,0,($C$2/1000)*'Tabla de Incrementos'!$J$20))</f>
        <v/>
      </c>
      <c r="Y271" s="600" t="str">
        <f t="shared" si="91"/>
        <v/>
      </c>
      <c r="Z271" s="600" t="str">
        <f t="shared" si="92"/>
        <v/>
      </c>
      <c r="AA271" s="557" t="str">
        <f t="shared" si="93"/>
        <v/>
      </c>
      <c r="AB271" s="557" t="str">
        <f t="shared" si="94"/>
        <v/>
      </c>
    </row>
    <row r="272" spans="1:28" x14ac:dyDescent="0.35">
      <c r="A272" s="595" t="str">
        <f t="shared" si="106"/>
        <v/>
      </c>
      <c r="B272" s="596" t="str">
        <f t="shared" si="105"/>
        <v/>
      </c>
      <c r="C272" s="597" t="str">
        <f>IF(B272="","",'Fecha Pago'!K269)</f>
        <v/>
      </c>
      <c r="D272" s="598" t="str">
        <f t="shared" si="107"/>
        <v/>
      </c>
      <c r="E272" s="599" t="str">
        <f>IF(B272="","",'Tabla de Incrementos'!$C$4)</f>
        <v/>
      </c>
      <c r="F272" s="600" t="str">
        <f t="shared" si="108"/>
        <v/>
      </c>
      <c r="G272" s="600" t="str">
        <f t="shared" si="109"/>
        <v/>
      </c>
      <c r="H272" s="600" t="str">
        <f t="shared" si="110"/>
        <v/>
      </c>
      <c r="I272" s="600" t="str">
        <f>IF(B272="","",IF(F272=0,0,($C$2/1000)*'Tabla de Incrementos'!$J$20))</f>
        <v/>
      </c>
      <c r="J272" s="600" t="str">
        <f t="shared" si="111"/>
        <v/>
      </c>
      <c r="K272" s="600" t="str">
        <f t="shared" si="112"/>
        <v/>
      </c>
      <c r="L272" s="600" t="str">
        <f t="shared" si="113"/>
        <v/>
      </c>
      <c r="M272" s="600" t="str">
        <f>IF(B272="","",IF(A272=0,0,AportPat!L269))</f>
        <v/>
      </c>
      <c r="N272" s="601">
        <f>Simulador!N332</f>
        <v>0</v>
      </c>
      <c r="O272" s="608">
        <v>0</v>
      </c>
      <c r="P272" s="600" t="str">
        <f t="shared" si="114"/>
        <v/>
      </c>
      <c r="Q272" s="600" t="str">
        <f t="shared" si="115"/>
        <v/>
      </c>
      <c r="S272" s="120">
        <v>0.11</v>
      </c>
      <c r="T272" s="198" t="str">
        <f t="shared" si="87"/>
        <v/>
      </c>
      <c r="U272" s="347" t="str">
        <f t="shared" si="88"/>
        <v/>
      </c>
      <c r="V272" s="347" t="str">
        <f t="shared" si="89"/>
        <v/>
      </c>
      <c r="W272" s="347" t="str">
        <f t="shared" si="90"/>
        <v/>
      </c>
      <c r="X272" s="600" t="str">
        <f>IF(T272="","",IF(U272=0,0,($C$2/1000)*'Tabla de Incrementos'!$J$20))</f>
        <v/>
      </c>
      <c r="Y272" s="600" t="str">
        <f t="shared" si="91"/>
        <v/>
      </c>
      <c r="Z272" s="600" t="str">
        <f t="shared" si="92"/>
        <v/>
      </c>
      <c r="AA272" s="557" t="str">
        <f t="shared" si="93"/>
        <v/>
      </c>
      <c r="AB272" s="557" t="str">
        <f t="shared" si="94"/>
        <v/>
      </c>
    </row>
    <row r="273" spans="1:28" x14ac:dyDescent="0.35">
      <c r="A273" s="595" t="str">
        <f t="shared" si="106"/>
        <v/>
      </c>
      <c r="B273" s="596" t="str">
        <f t="shared" si="105"/>
        <v/>
      </c>
      <c r="C273" s="597" t="str">
        <f>IF(B273="","",'Fecha Pago'!K270)</f>
        <v/>
      </c>
      <c r="D273" s="598" t="str">
        <f t="shared" si="107"/>
        <v/>
      </c>
      <c r="E273" s="599" t="str">
        <f>IF(B273="","",'Tabla de Incrementos'!$C$4)</f>
        <v/>
      </c>
      <c r="F273" s="600" t="str">
        <f t="shared" si="108"/>
        <v/>
      </c>
      <c r="G273" s="600" t="str">
        <f t="shared" si="109"/>
        <v/>
      </c>
      <c r="H273" s="600" t="str">
        <f t="shared" si="110"/>
        <v/>
      </c>
      <c r="I273" s="600" t="str">
        <f>IF(B273="","",IF(F273=0,0,($C$2/1000)*'Tabla de Incrementos'!$J$20))</f>
        <v/>
      </c>
      <c r="J273" s="600" t="str">
        <f t="shared" si="111"/>
        <v/>
      </c>
      <c r="K273" s="600" t="str">
        <f t="shared" si="112"/>
        <v/>
      </c>
      <c r="L273" s="600" t="str">
        <f t="shared" si="113"/>
        <v/>
      </c>
      <c r="M273" s="600" t="str">
        <f>IF(B273="","",IF(A273=0,0,AportPat!L270))</f>
        <v/>
      </c>
      <c r="N273" s="601">
        <f>Simulador!N333</f>
        <v>0</v>
      </c>
      <c r="O273" s="608">
        <v>0</v>
      </c>
      <c r="P273" s="600" t="str">
        <f t="shared" si="114"/>
        <v/>
      </c>
      <c r="Q273" s="600" t="str">
        <f t="shared" si="115"/>
        <v/>
      </c>
      <c r="S273" s="120">
        <v>0.11</v>
      </c>
      <c r="T273" s="198" t="str">
        <f t="shared" si="87"/>
        <v/>
      </c>
      <c r="U273" s="347" t="str">
        <f t="shared" si="88"/>
        <v/>
      </c>
      <c r="V273" s="347" t="str">
        <f t="shared" si="89"/>
        <v/>
      </c>
      <c r="W273" s="347" t="str">
        <f t="shared" si="90"/>
        <v/>
      </c>
      <c r="X273" s="600" t="str">
        <f>IF(T273="","",IF(U273=0,0,($C$2/1000)*'Tabla de Incrementos'!$J$20))</f>
        <v/>
      </c>
      <c r="Y273" s="600" t="str">
        <f t="shared" si="91"/>
        <v/>
      </c>
      <c r="Z273" s="600" t="str">
        <f t="shared" si="92"/>
        <v/>
      </c>
      <c r="AA273" s="557" t="str">
        <f t="shared" si="93"/>
        <v/>
      </c>
      <c r="AB273" s="557" t="str">
        <f t="shared" si="94"/>
        <v/>
      </c>
    </row>
    <row r="274" spans="1:28" x14ac:dyDescent="0.35">
      <c r="A274" s="595" t="str">
        <f t="shared" si="106"/>
        <v/>
      </c>
      <c r="B274" s="596" t="str">
        <f t="shared" si="105"/>
        <v/>
      </c>
      <c r="C274" s="597" t="str">
        <f>IF(B274="","",'Fecha Pago'!K271)</f>
        <v/>
      </c>
      <c r="D274" s="598" t="str">
        <f t="shared" si="107"/>
        <v/>
      </c>
      <c r="E274" s="599" t="str">
        <f>IF(B274="","",'Tabla de Incrementos'!$C$4)</f>
        <v/>
      </c>
      <c r="F274" s="600" t="str">
        <f t="shared" si="108"/>
        <v/>
      </c>
      <c r="G274" s="600" t="str">
        <f t="shared" si="109"/>
        <v/>
      </c>
      <c r="H274" s="600" t="str">
        <f t="shared" si="110"/>
        <v/>
      </c>
      <c r="I274" s="600" t="str">
        <f>IF(B274="","",IF(F274=0,0,($C$2/1000)*'Tabla de Incrementos'!$J$20))</f>
        <v/>
      </c>
      <c r="J274" s="600" t="str">
        <f t="shared" si="111"/>
        <v/>
      </c>
      <c r="K274" s="600" t="str">
        <f t="shared" si="112"/>
        <v/>
      </c>
      <c r="L274" s="600" t="str">
        <f t="shared" si="113"/>
        <v/>
      </c>
      <c r="M274" s="600" t="str">
        <f>IF(B274="","",IF(A274=0,0,AportPat!L271))</f>
        <v/>
      </c>
      <c r="N274" s="601">
        <f>Simulador!N334</f>
        <v>0</v>
      </c>
      <c r="O274" s="608">
        <v>0</v>
      </c>
      <c r="P274" s="600" t="str">
        <f t="shared" si="114"/>
        <v/>
      </c>
      <c r="Q274" s="600" t="str">
        <f t="shared" si="115"/>
        <v/>
      </c>
      <c r="S274" s="120">
        <v>0.11</v>
      </c>
      <c r="T274" s="198" t="str">
        <f t="shared" si="87"/>
        <v/>
      </c>
      <c r="U274" s="347" t="str">
        <f t="shared" si="88"/>
        <v/>
      </c>
      <c r="V274" s="347" t="str">
        <f t="shared" si="89"/>
        <v/>
      </c>
      <c r="W274" s="347" t="str">
        <f t="shared" si="90"/>
        <v/>
      </c>
      <c r="X274" s="600" t="str">
        <f>IF(T274="","",IF(U274=0,0,($C$2/1000)*'Tabla de Incrementos'!$J$20))</f>
        <v/>
      </c>
      <c r="Y274" s="600" t="str">
        <f t="shared" si="91"/>
        <v/>
      </c>
      <c r="Z274" s="600" t="str">
        <f t="shared" si="92"/>
        <v/>
      </c>
      <c r="AA274" s="557" t="str">
        <f t="shared" si="93"/>
        <v/>
      </c>
      <c r="AB274" s="557" t="str">
        <f t="shared" si="94"/>
        <v/>
      </c>
    </row>
    <row r="275" spans="1:28" x14ac:dyDescent="0.35">
      <c r="A275" s="595" t="str">
        <f t="shared" si="106"/>
        <v/>
      </c>
      <c r="B275" s="596" t="str">
        <f t="shared" si="105"/>
        <v/>
      </c>
      <c r="C275" s="597" t="str">
        <f>IF(B275="","",'Fecha Pago'!K272)</f>
        <v/>
      </c>
      <c r="D275" s="598" t="str">
        <f t="shared" si="107"/>
        <v/>
      </c>
      <c r="E275" s="599" t="str">
        <f>IF(B275="","",'Tabla de Incrementos'!$C$4)</f>
        <v/>
      </c>
      <c r="F275" s="600" t="str">
        <f t="shared" si="108"/>
        <v/>
      </c>
      <c r="G275" s="600" t="str">
        <f t="shared" si="109"/>
        <v/>
      </c>
      <c r="H275" s="600" t="str">
        <f t="shared" si="110"/>
        <v/>
      </c>
      <c r="I275" s="600" t="str">
        <f>IF(B275="","",IF(F275=0,0,($C$2/1000)*'Tabla de Incrementos'!$J$20))</f>
        <v/>
      </c>
      <c r="J275" s="600" t="str">
        <f t="shared" si="111"/>
        <v/>
      </c>
      <c r="K275" s="600" t="str">
        <f t="shared" si="112"/>
        <v/>
      </c>
      <c r="L275" s="600" t="str">
        <f t="shared" si="113"/>
        <v/>
      </c>
      <c r="M275" s="600" t="str">
        <f>IF(B275="","",IF(A275=0,0,AportPat!L272))</f>
        <v/>
      </c>
      <c r="N275" s="601">
        <f>Simulador!N335</f>
        <v>0</v>
      </c>
      <c r="O275" s="608">
        <v>0</v>
      </c>
      <c r="P275" s="600" t="str">
        <f t="shared" si="114"/>
        <v/>
      </c>
      <c r="Q275" s="600" t="str">
        <f t="shared" si="115"/>
        <v/>
      </c>
      <c r="S275" s="120">
        <v>0.11</v>
      </c>
      <c r="T275" s="198" t="str">
        <f t="shared" si="87"/>
        <v/>
      </c>
      <c r="U275" s="347" t="str">
        <f t="shared" si="88"/>
        <v/>
      </c>
      <c r="V275" s="347" t="str">
        <f t="shared" si="89"/>
        <v/>
      </c>
      <c r="W275" s="347" t="str">
        <f t="shared" si="90"/>
        <v/>
      </c>
      <c r="X275" s="600" t="str">
        <f>IF(T275="","",IF(U275=0,0,($C$2/1000)*'Tabla de Incrementos'!$J$20))</f>
        <v/>
      </c>
      <c r="Y275" s="600" t="str">
        <f t="shared" si="91"/>
        <v/>
      </c>
      <c r="Z275" s="600" t="str">
        <f t="shared" si="92"/>
        <v/>
      </c>
      <c r="AA275" s="557" t="str">
        <f t="shared" si="93"/>
        <v/>
      </c>
      <c r="AB275" s="557" t="str">
        <f t="shared" si="94"/>
        <v/>
      </c>
    </row>
    <row r="276" spans="1:28" x14ac:dyDescent="0.35">
      <c r="A276" s="595" t="str">
        <f t="shared" si="106"/>
        <v/>
      </c>
      <c r="B276" s="596" t="str">
        <f t="shared" si="105"/>
        <v/>
      </c>
      <c r="C276" s="597" t="str">
        <f>IF(B276="","",'Fecha Pago'!K273)</f>
        <v/>
      </c>
      <c r="D276" s="598" t="str">
        <f t="shared" si="107"/>
        <v/>
      </c>
      <c r="E276" s="599" t="str">
        <f>IF(B276="","",'Tabla de Incrementos'!$C$4)</f>
        <v/>
      </c>
      <c r="F276" s="600" t="str">
        <f t="shared" si="108"/>
        <v/>
      </c>
      <c r="G276" s="600" t="str">
        <f t="shared" si="109"/>
        <v/>
      </c>
      <c r="H276" s="600" t="str">
        <f t="shared" si="110"/>
        <v/>
      </c>
      <c r="I276" s="600" t="str">
        <f>IF(B276="","",IF(F276=0,0,($C$2/1000)*'Tabla de Incrementos'!$J$20))</f>
        <v/>
      </c>
      <c r="J276" s="600" t="str">
        <f t="shared" si="111"/>
        <v/>
      </c>
      <c r="K276" s="600" t="str">
        <f t="shared" si="112"/>
        <v/>
      </c>
      <c r="L276" s="600" t="str">
        <f t="shared" si="113"/>
        <v/>
      </c>
      <c r="M276" s="600" t="str">
        <f>IF(B276="","",IF(A276=0,0,AportPat!L273))</f>
        <v/>
      </c>
      <c r="N276" s="601">
        <f>Simulador!N336</f>
        <v>0</v>
      </c>
      <c r="O276" s="608">
        <v>0</v>
      </c>
      <c r="P276" s="600" t="str">
        <f t="shared" si="114"/>
        <v/>
      </c>
      <c r="Q276" s="600" t="str">
        <f t="shared" si="115"/>
        <v/>
      </c>
      <c r="S276" s="120">
        <v>0.11</v>
      </c>
      <c r="T276" s="198" t="str">
        <f t="shared" si="87"/>
        <v/>
      </c>
      <c r="U276" s="347" t="str">
        <f t="shared" si="88"/>
        <v/>
      </c>
      <c r="V276" s="347" t="str">
        <f t="shared" si="89"/>
        <v/>
      </c>
      <c r="W276" s="347" t="str">
        <f t="shared" si="90"/>
        <v/>
      </c>
      <c r="X276" s="600" t="str">
        <f>IF(T276="","",IF(U276=0,0,($C$2/1000)*'Tabla de Incrementos'!$J$20))</f>
        <v/>
      </c>
      <c r="Y276" s="600" t="str">
        <f t="shared" si="91"/>
        <v/>
      </c>
      <c r="Z276" s="600" t="str">
        <f t="shared" si="92"/>
        <v/>
      </c>
      <c r="AA276" s="557" t="str">
        <f t="shared" si="93"/>
        <v/>
      </c>
      <c r="AB276" s="557" t="str">
        <f t="shared" si="94"/>
        <v/>
      </c>
    </row>
    <row r="277" spans="1:28" x14ac:dyDescent="0.35">
      <c r="A277" s="595" t="str">
        <f t="shared" si="106"/>
        <v/>
      </c>
      <c r="B277" s="596" t="str">
        <f t="shared" si="105"/>
        <v/>
      </c>
      <c r="C277" s="597" t="str">
        <f>IF(B277="","",'Fecha Pago'!K274)</f>
        <v/>
      </c>
      <c r="D277" s="598" t="str">
        <f t="shared" si="107"/>
        <v/>
      </c>
      <c r="E277" s="599" t="str">
        <f>IF(B277="","",'Tabla de Incrementos'!$C$4)</f>
        <v/>
      </c>
      <c r="F277" s="600" t="str">
        <f t="shared" si="108"/>
        <v/>
      </c>
      <c r="G277" s="600" t="str">
        <f t="shared" si="109"/>
        <v/>
      </c>
      <c r="H277" s="600" t="str">
        <f t="shared" si="110"/>
        <v/>
      </c>
      <c r="I277" s="600" t="str">
        <f>IF(B277="","",IF(F277=0,0,($C$2/1000)*'Tabla de Incrementos'!$J$20))</f>
        <v/>
      </c>
      <c r="J277" s="600" t="str">
        <f t="shared" si="111"/>
        <v/>
      </c>
      <c r="K277" s="600" t="str">
        <f t="shared" si="112"/>
        <v/>
      </c>
      <c r="L277" s="600" t="str">
        <f t="shared" si="113"/>
        <v/>
      </c>
      <c r="M277" s="600" t="str">
        <f>IF(B277="","",IF(A277=0,0,AportPat!L274))</f>
        <v/>
      </c>
      <c r="N277" s="601">
        <f>Simulador!N337</f>
        <v>0</v>
      </c>
      <c r="O277" s="608">
        <v>0</v>
      </c>
      <c r="P277" s="600" t="str">
        <f t="shared" si="114"/>
        <v/>
      </c>
      <c r="Q277" s="600" t="str">
        <f t="shared" si="115"/>
        <v/>
      </c>
      <c r="S277" s="120">
        <v>0.11</v>
      </c>
      <c r="T277" s="198" t="str">
        <f t="shared" si="87"/>
        <v/>
      </c>
      <c r="U277" s="347" t="str">
        <f t="shared" si="88"/>
        <v/>
      </c>
      <c r="V277" s="347" t="str">
        <f t="shared" si="89"/>
        <v/>
      </c>
      <c r="W277" s="347" t="str">
        <f t="shared" si="90"/>
        <v/>
      </c>
      <c r="X277" s="600" t="str">
        <f>IF(T277="","",IF(U277=0,0,($C$2/1000)*'Tabla de Incrementos'!$J$20))</f>
        <v/>
      </c>
      <c r="Y277" s="600" t="str">
        <f t="shared" si="91"/>
        <v/>
      </c>
      <c r="Z277" s="600" t="str">
        <f t="shared" si="92"/>
        <v/>
      </c>
      <c r="AA277" s="557" t="str">
        <f t="shared" si="93"/>
        <v/>
      </c>
      <c r="AB277" s="557" t="str">
        <f t="shared" si="94"/>
        <v/>
      </c>
    </row>
    <row r="278" spans="1:28" x14ac:dyDescent="0.35">
      <c r="A278" s="595" t="str">
        <f t="shared" si="106"/>
        <v/>
      </c>
      <c r="B278" s="596" t="str">
        <f t="shared" si="105"/>
        <v/>
      </c>
      <c r="C278" s="597" t="str">
        <f>IF(B278="","",'Fecha Pago'!K275)</f>
        <v/>
      </c>
      <c r="D278" s="598" t="str">
        <f t="shared" si="107"/>
        <v/>
      </c>
      <c r="E278" s="599" t="str">
        <f>IF(B278="","",'Tabla de Incrementos'!$C$4)</f>
        <v/>
      </c>
      <c r="F278" s="600" t="str">
        <f t="shared" si="108"/>
        <v/>
      </c>
      <c r="G278" s="600" t="str">
        <f t="shared" si="109"/>
        <v/>
      </c>
      <c r="H278" s="600" t="str">
        <f t="shared" si="110"/>
        <v/>
      </c>
      <c r="I278" s="600" t="str">
        <f>IF(B278="","",IF(F278=0,0,($C$2/1000)*'Tabla de Incrementos'!$J$20))</f>
        <v/>
      </c>
      <c r="J278" s="600" t="str">
        <f t="shared" si="111"/>
        <v/>
      </c>
      <c r="K278" s="600" t="str">
        <f t="shared" si="112"/>
        <v/>
      </c>
      <c r="L278" s="600" t="str">
        <f t="shared" si="113"/>
        <v/>
      </c>
      <c r="M278" s="600" t="str">
        <f>IF(B278="","",IF(A278=0,0,AportPat!L275))</f>
        <v/>
      </c>
      <c r="N278" s="601">
        <f>Simulador!N338</f>
        <v>0</v>
      </c>
      <c r="O278" s="608">
        <v>0</v>
      </c>
      <c r="P278" s="600" t="str">
        <f t="shared" si="114"/>
        <v/>
      </c>
      <c r="Q278" s="600" t="str">
        <f t="shared" si="115"/>
        <v/>
      </c>
      <c r="S278" s="120">
        <v>0.11</v>
      </c>
      <c r="T278" s="198" t="str">
        <f t="shared" si="87"/>
        <v/>
      </c>
      <c r="U278" s="347" t="str">
        <f t="shared" si="88"/>
        <v/>
      </c>
      <c r="V278" s="347" t="str">
        <f t="shared" si="89"/>
        <v/>
      </c>
      <c r="W278" s="347" t="str">
        <f t="shared" si="90"/>
        <v/>
      </c>
      <c r="X278" s="600" t="str">
        <f>IF(T278="","",IF(U278=0,0,($C$2/1000)*'Tabla de Incrementos'!$J$20))</f>
        <v/>
      </c>
      <c r="Y278" s="600" t="str">
        <f t="shared" si="91"/>
        <v/>
      </c>
      <c r="Z278" s="600" t="str">
        <f t="shared" si="92"/>
        <v/>
      </c>
      <c r="AA278" s="557" t="str">
        <f t="shared" si="93"/>
        <v/>
      </c>
      <c r="AB278" s="557" t="str">
        <f t="shared" si="94"/>
        <v/>
      </c>
    </row>
    <row r="279" spans="1:28" x14ac:dyDescent="0.35">
      <c r="A279" s="595" t="str">
        <f t="shared" si="106"/>
        <v/>
      </c>
      <c r="B279" s="596" t="str">
        <f t="shared" si="105"/>
        <v/>
      </c>
      <c r="C279" s="597" t="str">
        <f>IF(B279="","",'Fecha Pago'!K276)</f>
        <v/>
      </c>
      <c r="D279" s="598" t="str">
        <f t="shared" si="107"/>
        <v/>
      </c>
      <c r="E279" s="599" t="str">
        <f>IF(B279="","",'Tabla de Incrementos'!$C$4)</f>
        <v/>
      </c>
      <c r="F279" s="600" t="str">
        <f t="shared" si="108"/>
        <v/>
      </c>
      <c r="G279" s="600" t="str">
        <f t="shared" si="109"/>
        <v/>
      </c>
      <c r="H279" s="600" t="str">
        <f t="shared" si="110"/>
        <v/>
      </c>
      <c r="I279" s="600" t="str">
        <f>IF(B279="","",IF(F279=0,0,($C$2/1000)*'Tabla de Incrementos'!$J$20))</f>
        <v/>
      </c>
      <c r="J279" s="600" t="str">
        <f t="shared" si="111"/>
        <v/>
      </c>
      <c r="K279" s="600" t="str">
        <f t="shared" si="112"/>
        <v/>
      </c>
      <c r="L279" s="600" t="str">
        <f t="shared" si="113"/>
        <v/>
      </c>
      <c r="M279" s="600" t="str">
        <f>IF(B279="","",IF(A279=0,0,AportPat!L276))</f>
        <v/>
      </c>
      <c r="N279" s="601">
        <f>Simulador!N339</f>
        <v>0</v>
      </c>
      <c r="O279" s="608">
        <v>0</v>
      </c>
      <c r="P279" s="600" t="str">
        <f t="shared" si="114"/>
        <v/>
      </c>
      <c r="Q279" s="600" t="str">
        <f t="shared" si="115"/>
        <v/>
      </c>
      <c r="S279" s="120">
        <v>0.11</v>
      </c>
      <c r="T279" s="198" t="str">
        <f t="shared" si="87"/>
        <v/>
      </c>
      <c r="U279" s="347" t="str">
        <f t="shared" si="88"/>
        <v/>
      </c>
      <c r="V279" s="347" t="str">
        <f t="shared" si="89"/>
        <v/>
      </c>
      <c r="W279" s="347" t="str">
        <f t="shared" si="90"/>
        <v/>
      </c>
      <c r="X279" s="600" t="str">
        <f>IF(T279="","",IF(U279=0,0,($C$2/1000)*'Tabla de Incrementos'!$J$20))</f>
        <v/>
      </c>
      <c r="Y279" s="600" t="str">
        <f t="shared" si="91"/>
        <v/>
      </c>
      <c r="Z279" s="600" t="str">
        <f t="shared" si="92"/>
        <v/>
      </c>
      <c r="AA279" s="557" t="str">
        <f t="shared" si="93"/>
        <v/>
      </c>
      <c r="AB279" s="557" t="str">
        <f t="shared" si="94"/>
        <v/>
      </c>
    </row>
    <row r="280" spans="1:28" x14ac:dyDescent="0.35">
      <c r="A280" s="595" t="str">
        <f t="shared" si="106"/>
        <v/>
      </c>
      <c r="B280" s="596" t="str">
        <f t="shared" si="105"/>
        <v/>
      </c>
      <c r="C280" s="597" t="str">
        <f>IF(B280="","",'Fecha Pago'!K277)</f>
        <v/>
      </c>
      <c r="D280" s="598" t="str">
        <f t="shared" si="107"/>
        <v/>
      </c>
      <c r="E280" s="599" t="str">
        <f>IF(B280="","",'Tabla de Incrementos'!$C$4)</f>
        <v/>
      </c>
      <c r="F280" s="600" t="str">
        <f t="shared" si="108"/>
        <v/>
      </c>
      <c r="G280" s="600" t="str">
        <f t="shared" si="109"/>
        <v/>
      </c>
      <c r="H280" s="600" t="str">
        <f t="shared" si="110"/>
        <v/>
      </c>
      <c r="I280" s="600" t="str">
        <f>IF(B280="","",IF(F280=0,0,($C$2/1000)*'Tabla de Incrementos'!$J$20))</f>
        <v/>
      </c>
      <c r="J280" s="600" t="str">
        <f t="shared" si="111"/>
        <v/>
      </c>
      <c r="K280" s="600" t="str">
        <f t="shared" si="112"/>
        <v/>
      </c>
      <c r="L280" s="600" t="str">
        <f t="shared" si="113"/>
        <v/>
      </c>
      <c r="M280" s="600" t="str">
        <f>IF(B280="","",IF(A280=0,0,AportPat!L277))</f>
        <v/>
      </c>
      <c r="N280" s="601">
        <f>Simulador!N340</f>
        <v>0</v>
      </c>
      <c r="O280" s="608">
        <v>0</v>
      </c>
      <c r="P280" s="600" t="str">
        <f t="shared" si="114"/>
        <v/>
      </c>
      <c r="Q280" s="600" t="str">
        <f t="shared" si="115"/>
        <v/>
      </c>
      <c r="S280" s="120">
        <v>0.11</v>
      </c>
      <c r="T280" s="198" t="str">
        <f t="shared" si="87"/>
        <v/>
      </c>
      <c r="U280" s="347" t="str">
        <f t="shared" si="88"/>
        <v/>
      </c>
      <c r="V280" s="347" t="str">
        <f t="shared" si="89"/>
        <v/>
      </c>
      <c r="W280" s="347" t="str">
        <f t="shared" si="90"/>
        <v/>
      </c>
      <c r="X280" s="600" t="str">
        <f>IF(T280="","",IF(U280=0,0,($C$2/1000)*'Tabla de Incrementos'!$J$20))</f>
        <v/>
      </c>
      <c r="Y280" s="600" t="str">
        <f t="shared" si="91"/>
        <v/>
      </c>
      <c r="Z280" s="600" t="str">
        <f t="shared" si="92"/>
        <v/>
      </c>
      <c r="AA280" s="557" t="str">
        <f t="shared" si="93"/>
        <v/>
      </c>
      <c r="AB280" s="557" t="str">
        <f t="shared" si="94"/>
        <v/>
      </c>
    </row>
    <row r="281" spans="1:28" x14ac:dyDescent="0.35">
      <c r="A281" s="595" t="str">
        <f t="shared" si="106"/>
        <v/>
      </c>
      <c r="B281" s="596" t="str">
        <f t="shared" si="105"/>
        <v/>
      </c>
      <c r="C281" s="597" t="str">
        <f>IF(B281="","",'Fecha Pago'!K278)</f>
        <v/>
      </c>
      <c r="D281" s="598" t="str">
        <f t="shared" si="107"/>
        <v/>
      </c>
      <c r="E281" s="599" t="str">
        <f>IF(B281="","",'Tabla de Incrementos'!$C$4)</f>
        <v/>
      </c>
      <c r="F281" s="600" t="str">
        <f t="shared" si="108"/>
        <v/>
      </c>
      <c r="G281" s="600" t="str">
        <f t="shared" si="109"/>
        <v/>
      </c>
      <c r="H281" s="600" t="str">
        <f t="shared" si="110"/>
        <v/>
      </c>
      <c r="I281" s="600" t="str">
        <f>IF(B281="","",IF(F281=0,0,($C$2/1000)*'Tabla de Incrementos'!$J$20))</f>
        <v/>
      </c>
      <c r="J281" s="600" t="str">
        <f t="shared" si="111"/>
        <v/>
      </c>
      <c r="K281" s="600" t="str">
        <f t="shared" si="112"/>
        <v/>
      </c>
      <c r="L281" s="600" t="str">
        <f t="shared" si="113"/>
        <v/>
      </c>
      <c r="M281" s="600" t="str">
        <f>IF(B281="","",IF(A281=0,0,AportPat!L278))</f>
        <v/>
      </c>
      <c r="N281" s="601">
        <f>Simulador!N341</f>
        <v>0</v>
      </c>
      <c r="O281" s="608">
        <v>0</v>
      </c>
      <c r="P281" s="600" t="str">
        <f t="shared" si="114"/>
        <v/>
      </c>
      <c r="Q281" s="600" t="str">
        <f t="shared" si="115"/>
        <v/>
      </c>
      <c r="S281" s="120">
        <v>0.11</v>
      </c>
      <c r="T281" s="198" t="str">
        <f t="shared" si="87"/>
        <v/>
      </c>
      <c r="U281" s="347" t="str">
        <f t="shared" si="88"/>
        <v/>
      </c>
      <c r="V281" s="347" t="str">
        <f t="shared" si="89"/>
        <v/>
      </c>
      <c r="W281" s="347" t="str">
        <f t="shared" si="90"/>
        <v/>
      </c>
      <c r="X281" s="600" t="str">
        <f>IF(T281="","",IF(U281=0,0,($C$2/1000)*'Tabla de Incrementos'!$J$20))</f>
        <v/>
      </c>
      <c r="Y281" s="600" t="str">
        <f t="shared" si="91"/>
        <v/>
      </c>
      <c r="Z281" s="600" t="str">
        <f t="shared" si="92"/>
        <v/>
      </c>
      <c r="AA281" s="557" t="str">
        <f t="shared" si="93"/>
        <v/>
      </c>
      <c r="AB281" s="557" t="str">
        <f t="shared" si="94"/>
        <v/>
      </c>
    </row>
    <row r="282" spans="1:28" x14ac:dyDescent="0.35">
      <c r="A282" s="595" t="str">
        <f t="shared" si="106"/>
        <v/>
      </c>
      <c r="B282" s="596" t="str">
        <f t="shared" si="105"/>
        <v/>
      </c>
      <c r="C282" s="597" t="str">
        <f>IF(B282="","",'Fecha Pago'!K279)</f>
        <v/>
      </c>
      <c r="D282" s="598" t="str">
        <f t="shared" si="107"/>
        <v/>
      </c>
      <c r="E282" s="599" t="str">
        <f>IF(B282="","",'Tabla de Incrementos'!$C$4)</f>
        <v/>
      </c>
      <c r="F282" s="600" t="str">
        <f t="shared" si="108"/>
        <v/>
      </c>
      <c r="G282" s="600" t="str">
        <f t="shared" si="109"/>
        <v/>
      </c>
      <c r="H282" s="600" t="str">
        <f t="shared" si="110"/>
        <v/>
      </c>
      <c r="I282" s="600" t="str">
        <f>IF(B282="","",IF(F282=0,0,($C$2/1000)*'Tabla de Incrementos'!$J$20))</f>
        <v/>
      </c>
      <c r="J282" s="600" t="str">
        <f t="shared" si="111"/>
        <v/>
      </c>
      <c r="K282" s="600" t="str">
        <f t="shared" si="112"/>
        <v/>
      </c>
      <c r="L282" s="600" t="str">
        <f t="shared" si="113"/>
        <v/>
      </c>
      <c r="M282" s="600" t="str">
        <f>IF(B282="","",IF(A282=0,0,AportPat!L279))</f>
        <v/>
      </c>
      <c r="N282" s="601">
        <f>Simulador!N342</f>
        <v>0</v>
      </c>
      <c r="O282" s="608">
        <v>0</v>
      </c>
      <c r="P282" s="600" t="str">
        <f t="shared" si="114"/>
        <v/>
      </c>
      <c r="Q282" s="600" t="str">
        <f t="shared" si="115"/>
        <v/>
      </c>
      <c r="S282" s="120">
        <v>0.11</v>
      </c>
      <c r="T282" s="198" t="str">
        <f t="shared" si="87"/>
        <v/>
      </c>
      <c r="U282" s="347" t="str">
        <f t="shared" si="88"/>
        <v/>
      </c>
      <c r="V282" s="347" t="str">
        <f t="shared" si="89"/>
        <v/>
      </c>
      <c r="W282" s="347" t="str">
        <f t="shared" si="90"/>
        <v/>
      </c>
      <c r="X282" s="600" t="str">
        <f>IF(T282="","",IF(U282=0,0,($C$2/1000)*'Tabla de Incrementos'!$J$20))</f>
        <v/>
      </c>
      <c r="Y282" s="600" t="str">
        <f t="shared" si="91"/>
        <v/>
      </c>
      <c r="Z282" s="600" t="str">
        <f t="shared" si="92"/>
        <v/>
      </c>
      <c r="AA282" s="557" t="str">
        <f t="shared" si="93"/>
        <v/>
      </c>
      <c r="AB282" s="557" t="str">
        <f t="shared" si="94"/>
        <v/>
      </c>
    </row>
    <row r="283" spans="1:28" x14ac:dyDescent="0.35">
      <c r="A283" s="595" t="str">
        <f t="shared" si="106"/>
        <v/>
      </c>
      <c r="B283" s="596" t="str">
        <f t="shared" si="105"/>
        <v/>
      </c>
      <c r="C283" s="597" t="str">
        <f>IF(B283="","",'Fecha Pago'!K280)</f>
        <v/>
      </c>
      <c r="D283" s="598" t="str">
        <f t="shared" si="107"/>
        <v/>
      </c>
      <c r="E283" s="599" t="str">
        <f>IF(B283="","",'Tabla de Incrementos'!$C$4)</f>
        <v/>
      </c>
      <c r="F283" s="600" t="str">
        <f t="shared" si="108"/>
        <v/>
      </c>
      <c r="G283" s="600" t="str">
        <f t="shared" si="109"/>
        <v/>
      </c>
      <c r="H283" s="600" t="str">
        <f t="shared" si="110"/>
        <v/>
      </c>
      <c r="I283" s="600" t="str">
        <f>IF(B283="","",IF(F283=0,0,($C$2/1000)*'Tabla de Incrementos'!$J$20))</f>
        <v/>
      </c>
      <c r="J283" s="600" t="str">
        <f t="shared" si="111"/>
        <v/>
      </c>
      <c r="K283" s="600" t="str">
        <f t="shared" si="112"/>
        <v/>
      </c>
      <c r="L283" s="600" t="str">
        <f t="shared" si="113"/>
        <v/>
      </c>
      <c r="M283" s="600" t="str">
        <f>IF(B283="","",IF(A283=0,0,AportPat!L280))</f>
        <v/>
      </c>
      <c r="N283" s="601">
        <f>Simulador!N343</f>
        <v>0</v>
      </c>
      <c r="O283" s="608">
        <v>0</v>
      </c>
      <c r="P283" s="600" t="str">
        <f t="shared" si="114"/>
        <v/>
      </c>
      <c r="Q283" s="600" t="str">
        <f t="shared" si="115"/>
        <v/>
      </c>
      <c r="S283" s="120">
        <v>0.11</v>
      </c>
      <c r="T283" s="198" t="str">
        <f t="shared" si="87"/>
        <v/>
      </c>
      <c r="U283" s="347" t="str">
        <f t="shared" si="88"/>
        <v/>
      </c>
      <c r="V283" s="347" t="str">
        <f t="shared" si="89"/>
        <v/>
      </c>
      <c r="W283" s="347" t="str">
        <f t="shared" si="90"/>
        <v/>
      </c>
      <c r="X283" s="600" t="str">
        <f>IF(T283="","",IF(U283=0,0,($C$2/1000)*'Tabla de Incrementos'!$J$20))</f>
        <v/>
      </c>
      <c r="Y283" s="600" t="str">
        <f t="shared" si="91"/>
        <v/>
      </c>
      <c r="Z283" s="600" t="str">
        <f t="shared" si="92"/>
        <v/>
      </c>
      <c r="AA283" s="557" t="str">
        <f t="shared" si="93"/>
        <v/>
      </c>
      <c r="AB283" s="557" t="str">
        <f t="shared" si="94"/>
        <v/>
      </c>
    </row>
    <row r="284" spans="1:28" x14ac:dyDescent="0.35">
      <c r="A284" s="595" t="str">
        <f t="shared" si="106"/>
        <v/>
      </c>
      <c r="B284" s="596" t="str">
        <f t="shared" si="105"/>
        <v/>
      </c>
      <c r="C284" s="597" t="str">
        <f>IF(B284="","",'Fecha Pago'!K281)</f>
        <v/>
      </c>
      <c r="D284" s="598" t="str">
        <f t="shared" si="107"/>
        <v/>
      </c>
      <c r="E284" s="599" t="str">
        <f>IF(B284="","",'Tabla de Incrementos'!$C$4)</f>
        <v/>
      </c>
      <c r="F284" s="600" t="str">
        <f t="shared" si="108"/>
        <v/>
      </c>
      <c r="G284" s="600" t="str">
        <f t="shared" si="109"/>
        <v/>
      </c>
      <c r="H284" s="600" t="str">
        <f t="shared" si="110"/>
        <v/>
      </c>
      <c r="I284" s="600" t="str">
        <f>IF(B284="","",IF(F284=0,0,($C$2/1000)*'Tabla de Incrementos'!$J$20))</f>
        <v/>
      </c>
      <c r="J284" s="600" t="str">
        <f t="shared" si="111"/>
        <v/>
      </c>
      <c r="K284" s="600" t="str">
        <f t="shared" si="112"/>
        <v/>
      </c>
      <c r="L284" s="600" t="str">
        <f t="shared" si="113"/>
        <v/>
      </c>
      <c r="M284" s="600" t="str">
        <f>IF(B284="","",IF(A284=0,0,AportPat!L281))</f>
        <v/>
      </c>
      <c r="N284" s="601">
        <f>Simulador!N344</f>
        <v>0</v>
      </c>
      <c r="O284" s="608">
        <v>0</v>
      </c>
      <c r="P284" s="600" t="str">
        <f t="shared" si="114"/>
        <v/>
      </c>
      <c r="Q284" s="600" t="str">
        <f t="shared" si="115"/>
        <v/>
      </c>
      <c r="S284" s="120">
        <v>0.11</v>
      </c>
      <c r="T284" s="198" t="str">
        <f t="shared" si="87"/>
        <v/>
      </c>
      <c r="U284" s="347" t="str">
        <f t="shared" si="88"/>
        <v/>
      </c>
      <c r="V284" s="347" t="str">
        <f t="shared" si="89"/>
        <v/>
      </c>
      <c r="W284" s="347" t="str">
        <f t="shared" si="90"/>
        <v/>
      </c>
      <c r="X284" s="600" t="str">
        <f>IF(T284="","",IF(U284=0,0,($C$2/1000)*'Tabla de Incrementos'!$J$20))</f>
        <v/>
      </c>
      <c r="Y284" s="600" t="str">
        <f t="shared" si="91"/>
        <v/>
      </c>
      <c r="Z284" s="600" t="str">
        <f t="shared" si="92"/>
        <v/>
      </c>
      <c r="AA284" s="557" t="str">
        <f t="shared" si="93"/>
        <v/>
      </c>
      <c r="AB284" s="557" t="str">
        <f t="shared" si="94"/>
        <v/>
      </c>
    </row>
    <row r="285" spans="1:28" x14ac:dyDescent="0.35">
      <c r="A285" s="595" t="str">
        <f t="shared" si="106"/>
        <v/>
      </c>
      <c r="B285" s="596" t="str">
        <f t="shared" si="105"/>
        <v/>
      </c>
      <c r="C285" s="597" t="str">
        <f>IF(B285="","",'Fecha Pago'!K282)</f>
        <v/>
      </c>
      <c r="D285" s="598" t="str">
        <f t="shared" si="107"/>
        <v/>
      </c>
      <c r="E285" s="599" t="str">
        <f>IF(B285="","",'Tabla de Incrementos'!$C$4)</f>
        <v/>
      </c>
      <c r="F285" s="600" t="str">
        <f t="shared" si="108"/>
        <v/>
      </c>
      <c r="G285" s="600" t="str">
        <f t="shared" si="109"/>
        <v/>
      </c>
      <c r="H285" s="600" t="str">
        <f t="shared" si="110"/>
        <v/>
      </c>
      <c r="I285" s="600" t="str">
        <f>IF(B285="","",IF(F285=0,0,($C$2/1000)*'Tabla de Incrementos'!$J$20))</f>
        <v/>
      </c>
      <c r="J285" s="600" t="str">
        <f t="shared" si="111"/>
        <v/>
      </c>
      <c r="K285" s="600" t="str">
        <f t="shared" si="112"/>
        <v/>
      </c>
      <c r="L285" s="600" t="str">
        <f t="shared" si="113"/>
        <v/>
      </c>
      <c r="M285" s="600" t="str">
        <f>IF(B285="","",IF(A285=0,0,AportPat!L282))</f>
        <v/>
      </c>
      <c r="N285" s="601">
        <f>Simulador!N345</f>
        <v>0</v>
      </c>
      <c r="O285" s="608">
        <v>0</v>
      </c>
      <c r="P285" s="600" t="str">
        <f t="shared" si="114"/>
        <v/>
      </c>
      <c r="Q285" s="600" t="str">
        <f t="shared" si="115"/>
        <v/>
      </c>
      <c r="S285" s="120">
        <v>0.11</v>
      </c>
      <c r="T285" s="198" t="str">
        <f t="shared" si="87"/>
        <v/>
      </c>
      <c r="U285" s="347" t="str">
        <f t="shared" si="88"/>
        <v/>
      </c>
      <c r="V285" s="347" t="str">
        <f t="shared" si="89"/>
        <v/>
      </c>
      <c r="W285" s="347" t="str">
        <f t="shared" si="90"/>
        <v/>
      </c>
      <c r="X285" s="600" t="str">
        <f>IF(T285="","",IF(U285=0,0,($C$2/1000)*'Tabla de Incrementos'!$J$20))</f>
        <v/>
      </c>
      <c r="Y285" s="600" t="str">
        <f t="shared" si="91"/>
        <v/>
      </c>
      <c r="Z285" s="600" t="str">
        <f t="shared" si="92"/>
        <v/>
      </c>
      <c r="AA285" s="557" t="str">
        <f t="shared" si="93"/>
        <v/>
      </c>
      <c r="AB285" s="557" t="str">
        <f t="shared" si="94"/>
        <v/>
      </c>
    </row>
    <row r="286" spans="1:28" x14ac:dyDescent="0.35">
      <c r="A286" s="595" t="str">
        <f t="shared" si="106"/>
        <v/>
      </c>
      <c r="B286" s="596" t="str">
        <f t="shared" si="105"/>
        <v/>
      </c>
      <c r="C286" s="597" t="str">
        <f>IF(B286="","",'Fecha Pago'!K283)</f>
        <v/>
      </c>
      <c r="D286" s="598" t="str">
        <f t="shared" si="107"/>
        <v/>
      </c>
      <c r="E286" s="599" t="str">
        <f>IF(B286="","",'Tabla de Incrementos'!$C$4)</f>
        <v/>
      </c>
      <c r="F286" s="600" t="str">
        <f t="shared" si="108"/>
        <v/>
      </c>
      <c r="G286" s="600" t="str">
        <f t="shared" si="109"/>
        <v/>
      </c>
      <c r="H286" s="600" t="str">
        <f t="shared" si="110"/>
        <v/>
      </c>
      <c r="I286" s="600" t="str">
        <f>IF(B286="","",IF(F286=0,0,($C$2/1000)*'Tabla de Incrementos'!$J$20))</f>
        <v/>
      </c>
      <c r="J286" s="600" t="str">
        <f t="shared" si="111"/>
        <v/>
      </c>
      <c r="K286" s="600" t="str">
        <f t="shared" si="112"/>
        <v/>
      </c>
      <c r="L286" s="600" t="str">
        <f t="shared" si="113"/>
        <v/>
      </c>
      <c r="M286" s="600" t="str">
        <f>IF(B286="","",IF(A286=0,0,AportPat!L283))</f>
        <v/>
      </c>
      <c r="N286" s="601">
        <f>Simulador!N346</f>
        <v>0</v>
      </c>
      <c r="O286" s="608">
        <v>0</v>
      </c>
      <c r="P286" s="600" t="str">
        <f t="shared" si="114"/>
        <v/>
      </c>
      <c r="Q286" s="600" t="str">
        <f t="shared" si="115"/>
        <v/>
      </c>
      <c r="S286" s="120">
        <v>0.11</v>
      </c>
      <c r="T286" s="198" t="str">
        <f t="shared" si="87"/>
        <v/>
      </c>
      <c r="U286" s="347" t="str">
        <f t="shared" si="88"/>
        <v/>
      </c>
      <c r="V286" s="347" t="str">
        <f t="shared" si="89"/>
        <v/>
      </c>
      <c r="W286" s="347" t="str">
        <f t="shared" si="90"/>
        <v/>
      </c>
      <c r="X286" s="600" t="str">
        <f>IF(T286="","",IF(U286=0,0,($C$2/1000)*'Tabla de Incrementos'!$J$20))</f>
        <v/>
      </c>
      <c r="Y286" s="600" t="str">
        <f t="shared" si="91"/>
        <v/>
      </c>
      <c r="Z286" s="600" t="str">
        <f t="shared" si="92"/>
        <v/>
      </c>
      <c r="AA286" s="557" t="str">
        <f t="shared" si="93"/>
        <v/>
      </c>
      <c r="AB286" s="557" t="str">
        <f t="shared" si="94"/>
        <v/>
      </c>
    </row>
    <row r="287" spans="1:28" x14ac:dyDescent="0.35">
      <c r="A287" s="595" t="str">
        <f t="shared" si="106"/>
        <v/>
      </c>
      <c r="B287" s="596" t="str">
        <f t="shared" si="105"/>
        <v/>
      </c>
      <c r="C287" s="597" t="str">
        <f>IF(B287="","",'Fecha Pago'!K284)</f>
        <v/>
      </c>
      <c r="D287" s="598" t="str">
        <f t="shared" si="107"/>
        <v/>
      </c>
      <c r="E287" s="599" t="str">
        <f>IF(B287="","",'Tabla de Incrementos'!$C$4)</f>
        <v/>
      </c>
      <c r="F287" s="600" t="str">
        <f t="shared" si="108"/>
        <v/>
      </c>
      <c r="G287" s="600" t="str">
        <f t="shared" si="109"/>
        <v/>
      </c>
      <c r="H287" s="600" t="str">
        <f t="shared" si="110"/>
        <v/>
      </c>
      <c r="I287" s="600" t="str">
        <f>IF(B287="","",IF(F287=0,0,($C$2/1000)*'Tabla de Incrementos'!$J$20))</f>
        <v/>
      </c>
      <c r="J287" s="600" t="str">
        <f t="shared" si="111"/>
        <v/>
      </c>
      <c r="K287" s="600" t="str">
        <f t="shared" si="112"/>
        <v/>
      </c>
      <c r="L287" s="600" t="str">
        <f t="shared" si="113"/>
        <v/>
      </c>
      <c r="M287" s="600" t="str">
        <f>IF(B287="","",IF(A287=0,0,AportPat!L284))</f>
        <v/>
      </c>
      <c r="N287" s="601">
        <f>Simulador!N347</f>
        <v>0</v>
      </c>
      <c r="O287" s="608">
        <v>0</v>
      </c>
      <c r="P287" s="600" t="str">
        <f t="shared" si="114"/>
        <v/>
      </c>
      <c r="Q287" s="600" t="str">
        <f t="shared" si="115"/>
        <v/>
      </c>
      <c r="S287" s="120">
        <v>0.11</v>
      </c>
      <c r="T287" s="198" t="str">
        <f t="shared" si="87"/>
        <v/>
      </c>
      <c r="U287" s="347" t="str">
        <f t="shared" si="88"/>
        <v/>
      </c>
      <c r="V287" s="347" t="str">
        <f t="shared" si="89"/>
        <v/>
      </c>
      <c r="W287" s="347" t="str">
        <f t="shared" si="90"/>
        <v/>
      </c>
      <c r="X287" s="600" t="str">
        <f>IF(T287="","",IF(U287=0,0,($C$2/1000)*'Tabla de Incrementos'!$J$20))</f>
        <v/>
      </c>
      <c r="Y287" s="600" t="str">
        <f t="shared" si="91"/>
        <v/>
      </c>
      <c r="Z287" s="600" t="str">
        <f t="shared" si="92"/>
        <v/>
      </c>
      <c r="AA287" s="557" t="str">
        <f t="shared" si="93"/>
        <v/>
      </c>
      <c r="AB287" s="557" t="str">
        <f t="shared" si="94"/>
        <v/>
      </c>
    </row>
    <row r="288" spans="1:28" x14ac:dyDescent="0.35">
      <c r="A288" s="595" t="str">
        <f t="shared" si="106"/>
        <v/>
      </c>
      <c r="B288" s="596" t="str">
        <f t="shared" si="105"/>
        <v/>
      </c>
      <c r="C288" s="597" t="str">
        <f>IF(B288="","",'Fecha Pago'!K285)</f>
        <v/>
      </c>
      <c r="D288" s="598" t="str">
        <f t="shared" si="107"/>
        <v/>
      </c>
      <c r="E288" s="599" t="str">
        <f>IF(B288="","",'Tabla de Incrementos'!$C$4)</f>
        <v/>
      </c>
      <c r="F288" s="600" t="str">
        <f t="shared" si="108"/>
        <v/>
      </c>
      <c r="G288" s="600" t="str">
        <f t="shared" si="109"/>
        <v/>
      </c>
      <c r="H288" s="600" t="str">
        <f t="shared" si="110"/>
        <v/>
      </c>
      <c r="I288" s="600" t="str">
        <f>IF(B288="","",IF(F288=0,0,($C$2/1000)*'Tabla de Incrementos'!$J$20))</f>
        <v/>
      </c>
      <c r="J288" s="600" t="str">
        <f t="shared" si="111"/>
        <v/>
      </c>
      <c r="K288" s="600" t="str">
        <f t="shared" si="112"/>
        <v/>
      </c>
      <c r="L288" s="600" t="str">
        <f t="shared" si="113"/>
        <v/>
      </c>
      <c r="M288" s="600" t="str">
        <f>IF(B288="","",IF(A288=0,0,AportPat!L285))</f>
        <v/>
      </c>
      <c r="N288" s="601">
        <f>Simulador!N348</f>
        <v>0</v>
      </c>
      <c r="O288" s="608">
        <v>0</v>
      </c>
      <c r="P288" s="600" t="str">
        <f t="shared" si="114"/>
        <v/>
      </c>
      <c r="Q288" s="600" t="str">
        <f t="shared" si="115"/>
        <v/>
      </c>
      <c r="S288" s="120">
        <v>0.11</v>
      </c>
      <c r="T288" s="198" t="str">
        <f t="shared" si="87"/>
        <v/>
      </c>
      <c r="U288" s="347" t="str">
        <f t="shared" si="88"/>
        <v/>
      </c>
      <c r="V288" s="347" t="str">
        <f t="shared" si="89"/>
        <v/>
      </c>
      <c r="W288" s="347" t="str">
        <f t="shared" si="90"/>
        <v/>
      </c>
      <c r="X288" s="600" t="str">
        <f>IF(T288="","",IF(U288=0,0,($C$2/1000)*'Tabla de Incrementos'!$J$20))</f>
        <v/>
      </c>
      <c r="Y288" s="600" t="str">
        <f t="shared" si="91"/>
        <v/>
      </c>
      <c r="Z288" s="600" t="str">
        <f t="shared" si="92"/>
        <v/>
      </c>
      <c r="AA288" s="557" t="str">
        <f t="shared" si="93"/>
        <v/>
      </c>
      <c r="AB288" s="557" t="str">
        <f t="shared" si="94"/>
        <v/>
      </c>
    </row>
    <row r="289" spans="1:28" x14ac:dyDescent="0.35">
      <c r="A289" s="595" t="str">
        <f t="shared" si="106"/>
        <v/>
      </c>
      <c r="B289" s="596" t="str">
        <f t="shared" si="105"/>
        <v/>
      </c>
      <c r="C289" s="597" t="str">
        <f>IF(B289="","",'Fecha Pago'!K286)</f>
        <v/>
      </c>
      <c r="D289" s="598" t="str">
        <f t="shared" si="107"/>
        <v/>
      </c>
      <c r="E289" s="599" t="str">
        <f>IF(B289="","",'Tabla de Incrementos'!$C$4)</f>
        <v/>
      </c>
      <c r="F289" s="600" t="str">
        <f t="shared" si="108"/>
        <v/>
      </c>
      <c r="G289" s="600" t="str">
        <f t="shared" si="109"/>
        <v/>
      </c>
      <c r="H289" s="600" t="str">
        <f t="shared" si="110"/>
        <v/>
      </c>
      <c r="I289" s="600" t="str">
        <f>IF(B289="","",IF(F289=0,0,($C$2/1000)*'Tabla de Incrementos'!$J$20))</f>
        <v/>
      </c>
      <c r="J289" s="600" t="str">
        <f t="shared" si="111"/>
        <v/>
      </c>
      <c r="K289" s="600" t="str">
        <f t="shared" si="112"/>
        <v/>
      </c>
      <c r="L289" s="600" t="str">
        <f t="shared" si="113"/>
        <v/>
      </c>
      <c r="M289" s="600" t="str">
        <f>IF(B289="","",IF(A289=0,0,AportPat!L286))</f>
        <v/>
      </c>
      <c r="N289" s="601">
        <f>Simulador!N349</f>
        <v>0</v>
      </c>
      <c r="O289" s="608">
        <v>0</v>
      </c>
      <c r="P289" s="600" t="str">
        <f t="shared" si="114"/>
        <v/>
      </c>
      <c r="Q289" s="600" t="str">
        <f t="shared" si="115"/>
        <v/>
      </c>
      <c r="S289" s="120">
        <v>0.11</v>
      </c>
      <c r="T289" s="198" t="str">
        <f t="shared" si="87"/>
        <v/>
      </c>
      <c r="U289" s="347" t="str">
        <f t="shared" si="88"/>
        <v/>
      </c>
      <c r="V289" s="347" t="str">
        <f t="shared" si="89"/>
        <v/>
      </c>
      <c r="W289" s="347" t="str">
        <f t="shared" si="90"/>
        <v/>
      </c>
      <c r="X289" s="600" t="str">
        <f>IF(T289="","",IF(U289=0,0,($C$2/1000)*'Tabla de Incrementos'!$J$20))</f>
        <v/>
      </c>
      <c r="Y289" s="600" t="str">
        <f t="shared" si="91"/>
        <v/>
      </c>
      <c r="Z289" s="600" t="str">
        <f t="shared" si="92"/>
        <v/>
      </c>
      <c r="AA289" s="557" t="str">
        <f t="shared" si="93"/>
        <v/>
      </c>
      <c r="AB289" s="557" t="str">
        <f t="shared" si="94"/>
        <v/>
      </c>
    </row>
    <row r="290" spans="1:28" x14ac:dyDescent="0.35">
      <c r="A290" s="595" t="str">
        <f t="shared" si="106"/>
        <v/>
      </c>
      <c r="B290" s="596" t="str">
        <f t="shared" si="105"/>
        <v/>
      </c>
      <c r="C290" s="597" t="str">
        <f>IF(B290="","",'Fecha Pago'!K287)</f>
        <v/>
      </c>
      <c r="D290" s="598" t="str">
        <f t="shared" si="107"/>
        <v/>
      </c>
      <c r="E290" s="599" t="str">
        <f>IF(B290="","",'Tabla de Incrementos'!$C$4)</f>
        <v/>
      </c>
      <c r="F290" s="600" t="str">
        <f t="shared" si="108"/>
        <v/>
      </c>
      <c r="G290" s="600" t="str">
        <f t="shared" si="109"/>
        <v/>
      </c>
      <c r="H290" s="600" t="str">
        <f t="shared" si="110"/>
        <v/>
      </c>
      <c r="I290" s="600" t="str">
        <f>IF(B290="","",IF(F290=0,0,($C$2/1000)*'Tabla de Incrementos'!$J$20))</f>
        <v/>
      </c>
      <c r="J290" s="600" t="str">
        <f t="shared" si="111"/>
        <v/>
      </c>
      <c r="K290" s="600" t="str">
        <f t="shared" si="112"/>
        <v/>
      </c>
      <c r="L290" s="600" t="str">
        <f t="shared" si="113"/>
        <v/>
      </c>
      <c r="M290" s="600" t="str">
        <f>IF(B290="","",IF(A290=0,0,AportPat!L287))</f>
        <v/>
      </c>
      <c r="N290" s="601">
        <f>Simulador!N350</f>
        <v>0</v>
      </c>
      <c r="O290" s="608">
        <v>0</v>
      </c>
      <c r="P290" s="600" t="str">
        <f t="shared" si="114"/>
        <v/>
      </c>
      <c r="Q290" s="600" t="str">
        <f t="shared" si="115"/>
        <v/>
      </c>
      <c r="S290" s="120">
        <v>0.11</v>
      </c>
      <c r="T290" s="198" t="str">
        <f t="shared" si="87"/>
        <v/>
      </c>
      <c r="U290" s="347" t="str">
        <f t="shared" si="88"/>
        <v/>
      </c>
      <c r="V290" s="347" t="str">
        <f t="shared" si="89"/>
        <v/>
      </c>
      <c r="W290" s="347" t="str">
        <f t="shared" si="90"/>
        <v/>
      </c>
      <c r="X290" s="600" t="str">
        <f>IF(T290="","",IF(U290=0,0,($C$2/1000)*'Tabla de Incrementos'!$J$20))</f>
        <v/>
      </c>
      <c r="Y290" s="600" t="str">
        <f t="shared" si="91"/>
        <v/>
      </c>
      <c r="Z290" s="600" t="str">
        <f t="shared" si="92"/>
        <v/>
      </c>
      <c r="AA290" s="557" t="str">
        <f t="shared" si="93"/>
        <v/>
      </c>
      <c r="AB290" s="557" t="str">
        <f t="shared" si="94"/>
        <v/>
      </c>
    </row>
    <row r="291" spans="1:28" x14ac:dyDescent="0.35">
      <c r="A291" s="595" t="str">
        <f t="shared" si="106"/>
        <v/>
      </c>
      <c r="B291" s="596" t="str">
        <f t="shared" si="105"/>
        <v/>
      </c>
      <c r="C291" s="597" t="str">
        <f>IF(B291="","",'Fecha Pago'!K288)</f>
        <v/>
      </c>
      <c r="D291" s="598" t="str">
        <f t="shared" si="107"/>
        <v/>
      </c>
      <c r="E291" s="599" t="str">
        <f>IF(B291="","",'Tabla de Incrementos'!$C$4)</f>
        <v/>
      </c>
      <c r="F291" s="600" t="str">
        <f t="shared" si="108"/>
        <v/>
      </c>
      <c r="G291" s="600" t="str">
        <f t="shared" si="109"/>
        <v/>
      </c>
      <c r="H291" s="600" t="str">
        <f t="shared" si="110"/>
        <v/>
      </c>
      <c r="I291" s="600" t="str">
        <f>IF(B291="","",IF(F291=0,0,($C$2/1000)*'Tabla de Incrementos'!$J$20))</f>
        <v/>
      </c>
      <c r="J291" s="600" t="str">
        <f t="shared" si="111"/>
        <v/>
      </c>
      <c r="K291" s="600" t="str">
        <f t="shared" si="112"/>
        <v/>
      </c>
      <c r="L291" s="600" t="str">
        <f t="shared" si="113"/>
        <v/>
      </c>
      <c r="M291" s="600" t="str">
        <f>IF(B291="","",IF(A291=0,0,AportPat!L288))</f>
        <v/>
      </c>
      <c r="N291" s="601">
        <f>Simulador!N351</f>
        <v>0</v>
      </c>
      <c r="O291" s="608">
        <v>0</v>
      </c>
      <c r="P291" s="600" t="str">
        <f t="shared" si="114"/>
        <v/>
      </c>
      <c r="Q291" s="600" t="str">
        <f t="shared" si="115"/>
        <v/>
      </c>
      <c r="S291" s="120">
        <v>0.11</v>
      </c>
      <c r="T291" s="198" t="str">
        <f t="shared" si="87"/>
        <v/>
      </c>
      <c r="U291" s="347" t="str">
        <f t="shared" si="88"/>
        <v/>
      </c>
      <c r="V291" s="347" t="str">
        <f t="shared" si="89"/>
        <v/>
      </c>
      <c r="W291" s="347" t="str">
        <f t="shared" si="90"/>
        <v/>
      </c>
      <c r="X291" s="600" t="str">
        <f>IF(T291="","",IF(U291=0,0,($C$2/1000)*'Tabla de Incrementos'!$J$20))</f>
        <v/>
      </c>
      <c r="Y291" s="600" t="str">
        <f t="shared" si="91"/>
        <v/>
      </c>
      <c r="Z291" s="600" t="str">
        <f t="shared" si="92"/>
        <v/>
      </c>
      <c r="AA291" s="557" t="str">
        <f t="shared" si="93"/>
        <v/>
      </c>
      <c r="AB291" s="557" t="str">
        <f t="shared" si="94"/>
        <v/>
      </c>
    </row>
    <row r="292" spans="1:28" x14ac:dyDescent="0.35">
      <c r="A292" s="595" t="str">
        <f t="shared" si="106"/>
        <v/>
      </c>
      <c r="B292" s="596" t="str">
        <f t="shared" si="105"/>
        <v/>
      </c>
      <c r="C292" s="597" t="str">
        <f>IF(B292="","",'Fecha Pago'!K289)</f>
        <v/>
      </c>
      <c r="D292" s="598" t="str">
        <f t="shared" si="107"/>
        <v/>
      </c>
      <c r="E292" s="599" t="str">
        <f>IF(B292="","",'Tabla de Incrementos'!$C$4)</f>
        <v/>
      </c>
      <c r="F292" s="600" t="str">
        <f t="shared" si="108"/>
        <v/>
      </c>
      <c r="G292" s="600" t="str">
        <f t="shared" si="109"/>
        <v/>
      </c>
      <c r="H292" s="600" t="str">
        <f t="shared" si="110"/>
        <v/>
      </c>
      <c r="I292" s="600" t="str">
        <f>IF(B292="","",IF(F292=0,0,($C$2/1000)*'Tabla de Incrementos'!$J$20))</f>
        <v/>
      </c>
      <c r="J292" s="600" t="str">
        <f t="shared" si="111"/>
        <v/>
      </c>
      <c r="K292" s="600" t="str">
        <f t="shared" si="112"/>
        <v/>
      </c>
      <c r="L292" s="600" t="str">
        <f t="shared" si="113"/>
        <v/>
      </c>
      <c r="M292" s="600" t="str">
        <f>IF(B292="","",IF(A292=0,0,AportPat!L289))</f>
        <v/>
      </c>
      <c r="N292" s="601">
        <f>Simulador!N352</f>
        <v>0</v>
      </c>
      <c r="O292" s="608">
        <v>0</v>
      </c>
      <c r="P292" s="600" t="str">
        <f t="shared" si="114"/>
        <v/>
      </c>
      <c r="Q292" s="600" t="str">
        <f t="shared" si="115"/>
        <v/>
      </c>
      <c r="S292" s="120">
        <v>0.11</v>
      </c>
      <c r="T292" s="198" t="str">
        <f t="shared" si="87"/>
        <v/>
      </c>
      <c r="U292" s="347" t="str">
        <f t="shared" si="88"/>
        <v/>
      </c>
      <c r="V292" s="347" t="str">
        <f t="shared" si="89"/>
        <v/>
      </c>
      <c r="W292" s="347" t="str">
        <f t="shared" si="90"/>
        <v/>
      </c>
      <c r="X292" s="600" t="str">
        <f>IF(T292="","",IF(U292=0,0,($C$2/1000)*'Tabla de Incrementos'!$J$20))</f>
        <v/>
      </c>
      <c r="Y292" s="600" t="str">
        <f t="shared" si="91"/>
        <v/>
      </c>
      <c r="Z292" s="600" t="str">
        <f t="shared" si="92"/>
        <v/>
      </c>
      <c r="AA292" s="557" t="str">
        <f t="shared" si="93"/>
        <v/>
      </c>
      <c r="AB292" s="557" t="str">
        <f t="shared" si="94"/>
        <v/>
      </c>
    </row>
    <row r="293" spans="1:28" x14ac:dyDescent="0.35">
      <c r="A293" s="595" t="str">
        <f t="shared" si="106"/>
        <v/>
      </c>
      <c r="B293" s="596" t="str">
        <f t="shared" si="105"/>
        <v/>
      </c>
      <c r="C293" s="597" t="str">
        <f>IF(B293="","",'Fecha Pago'!K290)</f>
        <v/>
      </c>
      <c r="D293" s="598" t="str">
        <f t="shared" si="107"/>
        <v/>
      </c>
      <c r="E293" s="599" t="str">
        <f>IF(B293="","",'Tabla de Incrementos'!$C$4)</f>
        <v/>
      </c>
      <c r="F293" s="600" t="str">
        <f t="shared" si="108"/>
        <v/>
      </c>
      <c r="G293" s="600" t="str">
        <f t="shared" si="109"/>
        <v/>
      </c>
      <c r="H293" s="600" t="str">
        <f t="shared" si="110"/>
        <v/>
      </c>
      <c r="I293" s="600" t="str">
        <f>IF(B293="","",IF(F293=0,0,($C$2/1000)*'Tabla de Incrementos'!$J$20))</f>
        <v/>
      </c>
      <c r="J293" s="600" t="str">
        <f t="shared" si="111"/>
        <v/>
      </c>
      <c r="K293" s="600" t="str">
        <f t="shared" si="112"/>
        <v/>
      </c>
      <c r="L293" s="600" t="str">
        <f t="shared" si="113"/>
        <v/>
      </c>
      <c r="M293" s="600" t="str">
        <f>IF(B293="","",IF(A293=0,0,AportPat!L290))</f>
        <v/>
      </c>
      <c r="N293" s="601">
        <f>Simulador!N353</f>
        <v>0</v>
      </c>
      <c r="O293" s="608">
        <v>0</v>
      </c>
      <c r="P293" s="600" t="str">
        <f t="shared" si="114"/>
        <v/>
      </c>
      <c r="Q293" s="600" t="str">
        <f t="shared" si="115"/>
        <v/>
      </c>
      <c r="S293" s="120">
        <v>0.11</v>
      </c>
      <c r="T293" s="198" t="str">
        <f t="shared" si="87"/>
        <v/>
      </c>
      <c r="U293" s="347" t="str">
        <f t="shared" si="88"/>
        <v/>
      </c>
      <c r="V293" s="347" t="str">
        <f t="shared" si="89"/>
        <v/>
      </c>
      <c r="W293" s="347" t="str">
        <f t="shared" si="90"/>
        <v/>
      </c>
      <c r="X293" s="600" t="str">
        <f>IF(T293="","",IF(U293=0,0,($C$2/1000)*'Tabla de Incrementos'!$J$20))</f>
        <v/>
      </c>
      <c r="Y293" s="600" t="str">
        <f t="shared" si="91"/>
        <v/>
      </c>
      <c r="Z293" s="600" t="str">
        <f t="shared" si="92"/>
        <v/>
      </c>
      <c r="AA293" s="557" t="str">
        <f t="shared" si="93"/>
        <v/>
      </c>
      <c r="AB293" s="557" t="str">
        <f t="shared" si="94"/>
        <v/>
      </c>
    </row>
    <row r="294" spans="1:28" x14ac:dyDescent="0.35">
      <c r="A294" s="595" t="str">
        <f t="shared" si="106"/>
        <v/>
      </c>
      <c r="B294" s="596" t="str">
        <f t="shared" si="105"/>
        <v/>
      </c>
      <c r="C294" s="597" t="str">
        <f>IF(B294="","",'Fecha Pago'!K291)</f>
        <v/>
      </c>
      <c r="D294" s="598" t="str">
        <f t="shared" si="107"/>
        <v/>
      </c>
      <c r="E294" s="599" t="str">
        <f>IF(B294="","",'Tabla de Incrementos'!$C$4)</f>
        <v/>
      </c>
      <c r="F294" s="600" t="str">
        <f t="shared" si="108"/>
        <v/>
      </c>
      <c r="G294" s="600" t="str">
        <f t="shared" si="109"/>
        <v/>
      </c>
      <c r="H294" s="600" t="str">
        <f t="shared" si="110"/>
        <v/>
      </c>
      <c r="I294" s="600" t="str">
        <f>IF(B294="","",IF(F294=0,0,($C$2/1000)*'Tabla de Incrementos'!$J$20))</f>
        <v/>
      </c>
      <c r="J294" s="600" t="str">
        <f t="shared" si="111"/>
        <v/>
      </c>
      <c r="K294" s="600" t="str">
        <f t="shared" si="112"/>
        <v/>
      </c>
      <c r="L294" s="600" t="str">
        <f t="shared" si="113"/>
        <v/>
      </c>
      <c r="M294" s="600" t="str">
        <f>IF(B294="","",IF(A294=0,0,AportPat!L291))</f>
        <v/>
      </c>
      <c r="N294" s="601">
        <f>Simulador!N354</f>
        <v>0</v>
      </c>
      <c r="O294" s="608">
        <v>0</v>
      </c>
      <c r="P294" s="600" t="str">
        <f t="shared" si="114"/>
        <v/>
      </c>
      <c r="Q294" s="600" t="str">
        <f t="shared" si="115"/>
        <v/>
      </c>
      <c r="S294" s="120">
        <v>0.11</v>
      </c>
      <c r="T294" s="198" t="str">
        <f t="shared" si="87"/>
        <v/>
      </c>
      <c r="U294" s="347" t="str">
        <f t="shared" si="88"/>
        <v/>
      </c>
      <c r="V294" s="347" t="str">
        <f t="shared" si="89"/>
        <v/>
      </c>
      <c r="W294" s="347" t="str">
        <f t="shared" si="90"/>
        <v/>
      </c>
      <c r="X294" s="600" t="str">
        <f>IF(T294="","",IF(U294=0,0,($C$2/1000)*'Tabla de Incrementos'!$J$20))</f>
        <v/>
      </c>
      <c r="Y294" s="600" t="str">
        <f t="shared" si="91"/>
        <v/>
      </c>
      <c r="Z294" s="600" t="str">
        <f t="shared" si="92"/>
        <v/>
      </c>
      <c r="AA294" s="557" t="str">
        <f t="shared" si="93"/>
        <v/>
      </c>
      <c r="AB294" s="557" t="str">
        <f t="shared" si="94"/>
        <v/>
      </c>
    </row>
    <row r="295" spans="1:28" x14ac:dyDescent="0.35">
      <c r="A295" s="595" t="str">
        <f t="shared" si="106"/>
        <v/>
      </c>
      <c r="B295" s="596" t="str">
        <f t="shared" si="105"/>
        <v/>
      </c>
      <c r="C295" s="597" t="str">
        <f>IF(B295="","",'Fecha Pago'!K292)</f>
        <v/>
      </c>
      <c r="D295" s="598" t="str">
        <f t="shared" si="107"/>
        <v/>
      </c>
      <c r="E295" s="599" t="str">
        <f>IF(B295="","",'Tabla de Incrementos'!$C$4)</f>
        <v/>
      </c>
      <c r="F295" s="600" t="str">
        <f t="shared" si="108"/>
        <v/>
      </c>
      <c r="G295" s="600" t="str">
        <f t="shared" si="109"/>
        <v/>
      </c>
      <c r="H295" s="600" t="str">
        <f t="shared" si="110"/>
        <v/>
      </c>
      <c r="I295" s="600" t="str">
        <f>IF(B295="","",IF(F295=0,0,($C$2/1000)*'Tabla de Incrementos'!$J$20))</f>
        <v/>
      </c>
      <c r="J295" s="600" t="str">
        <f t="shared" si="111"/>
        <v/>
      </c>
      <c r="K295" s="600" t="str">
        <f t="shared" si="112"/>
        <v/>
      </c>
      <c r="L295" s="600" t="str">
        <f t="shared" si="113"/>
        <v/>
      </c>
      <c r="M295" s="600" t="str">
        <f>IF(B295="","",IF(A295=0,0,AportPat!L292))</f>
        <v/>
      </c>
      <c r="N295" s="601">
        <f>Simulador!N355</f>
        <v>0</v>
      </c>
      <c r="O295" s="608">
        <v>0</v>
      </c>
      <c r="P295" s="600" t="str">
        <f t="shared" si="114"/>
        <v/>
      </c>
      <c r="Q295" s="600" t="str">
        <f t="shared" si="115"/>
        <v/>
      </c>
      <c r="S295" s="120">
        <v>0.11</v>
      </c>
      <c r="T295" s="198" t="str">
        <f t="shared" si="87"/>
        <v/>
      </c>
      <c r="U295" s="347" t="str">
        <f t="shared" si="88"/>
        <v/>
      </c>
      <c r="V295" s="347" t="str">
        <f t="shared" si="89"/>
        <v/>
      </c>
      <c r="W295" s="347" t="str">
        <f t="shared" si="90"/>
        <v/>
      </c>
      <c r="X295" s="600" t="str">
        <f>IF(T295="","",IF(U295=0,0,($C$2/1000)*'Tabla de Incrementos'!$J$20))</f>
        <v/>
      </c>
      <c r="Y295" s="600" t="str">
        <f t="shared" si="91"/>
        <v/>
      </c>
      <c r="Z295" s="600" t="str">
        <f t="shared" si="92"/>
        <v/>
      </c>
      <c r="AA295" s="557" t="str">
        <f t="shared" si="93"/>
        <v/>
      </c>
      <c r="AB295" s="557" t="str">
        <f t="shared" si="94"/>
        <v/>
      </c>
    </row>
    <row r="296" spans="1:28" x14ac:dyDescent="0.35">
      <c r="A296" s="595" t="str">
        <f t="shared" si="106"/>
        <v/>
      </c>
      <c r="B296" s="596" t="str">
        <f t="shared" si="105"/>
        <v/>
      </c>
      <c r="C296" s="597" t="str">
        <f>IF(B296="","",'Fecha Pago'!K293)</f>
        <v/>
      </c>
      <c r="D296" s="598" t="str">
        <f t="shared" si="107"/>
        <v/>
      </c>
      <c r="E296" s="599" t="str">
        <f>IF(B296="","",'Tabla de Incrementos'!$C$4)</f>
        <v/>
      </c>
      <c r="F296" s="600" t="str">
        <f t="shared" si="108"/>
        <v/>
      </c>
      <c r="G296" s="600" t="str">
        <f t="shared" si="109"/>
        <v/>
      </c>
      <c r="H296" s="600" t="str">
        <f t="shared" si="110"/>
        <v/>
      </c>
      <c r="I296" s="600" t="str">
        <f>IF(B296="","",IF(F296=0,0,($C$2/1000)*'Tabla de Incrementos'!$J$20))</f>
        <v/>
      </c>
      <c r="J296" s="600" t="str">
        <f t="shared" si="111"/>
        <v/>
      </c>
      <c r="K296" s="600" t="str">
        <f t="shared" si="112"/>
        <v/>
      </c>
      <c r="L296" s="600" t="str">
        <f t="shared" si="113"/>
        <v/>
      </c>
      <c r="M296" s="600" t="str">
        <f>IF(B296="","",IF(A296=0,0,AportPat!L293))</f>
        <v/>
      </c>
      <c r="N296" s="601">
        <f>Simulador!N356</f>
        <v>0</v>
      </c>
      <c r="O296" s="608">
        <v>0</v>
      </c>
      <c r="P296" s="600" t="str">
        <f t="shared" si="114"/>
        <v/>
      </c>
      <c r="Q296" s="600" t="str">
        <f t="shared" si="115"/>
        <v/>
      </c>
      <c r="S296" s="120">
        <v>0.11</v>
      </c>
      <c r="T296" s="198" t="str">
        <f t="shared" si="87"/>
        <v/>
      </c>
      <c r="U296" s="347" t="str">
        <f t="shared" si="88"/>
        <v/>
      </c>
      <c r="V296" s="347" t="str">
        <f t="shared" si="89"/>
        <v/>
      </c>
      <c r="W296" s="347" t="str">
        <f t="shared" si="90"/>
        <v/>
      </c>
      <c r="X296" s="600" t="str">
        <f>IF(T296="","",IF(U296=0,0,($C$2/1000)*'Tabla de Incrementos'!$J$20))</f>
        <v/>
      </c>
      <c r="Y296" s="600" t="str">
        <f t="shared" si="91"/>
        <v/>
      </c>
      <c r="Z296" s="600" t="str">
        <f t="shared" si="92"/>
        <v/>
      </c>
      <c r="AA296" s="557" t="str">
        <f t="shared" si="93"/>
        <v/>
      </c>
      <c r="AB296" s="557" t="str">
        <f t="shared" si="94"/>
        <v/>
      </c>
    </row>
    <row r="297" spans="1:28" x14ac:dyDescent="0.35">
      <c r="A297" s="595" t="str">
        <f t="shared" si="106"/>
        <v/>
      </c>
      <c r="B297" s="596" t="str">
        <f t="shared" si="105"/>
        <v/>
      </c>
      <c r="C297" s="597" t="str">
        <f>IF(B297="","",'Fecha Pago'!K294)</f>
        <v/>
      </c>
      <c r="D297" s="598" t="str">
        <f t="shared" si="107"/>
        <v/>
      </c>
      <c r="E297" s="599" t="str">
        <f>IF(B297="","",'Tabla de Incrementos'!$C$4)</f>
        <v/>
      </c>
      <c r="F297" s="600" t="str">
        <f t="shared" si="108"/>
        <v/>
      </c>
      <c r="G297" s="600" t="str">
        <f t="shared" si="109"/>
        <v/>
      </c>
      <c r="H297" s="600" t="str">
        <f t="shared" si="110"/>
        <v/>
      </c>
      <c r="I297" s="600" t="str">
        <f>IF(B297="","",IF(F297=0,0,($C$2/1000)*'Tabla de Incrementos'!$J$20))</f>
        <v/>
      </c>
      <c r="J297" s="600" t="str">
        <f t="shared" si="111"/>
        <v/>
      </c>
      <c r="K297" s="600" t="str">
        <f t="shared" si="112"/>
        <v/>
      </c>
      <c r="L297" s="600" t="str">
        <f t="shared" si="113"/>
        <v/>
      </c>
      <c r="M297" s="600" t="str">
        <f>IF(B297="","",IF(A297=0,0,AportPat!L294))</f>
        <v/>
      </c>
      <c r="N297" s="601">
        <f>Simulador!N357</f>
        <v>0</v>
      </c>
      <c r="O297" s="608">
        <v>0</v>
      </c>
      <c r="P297" s="600" t="str">
        <f t="shared" si="114"/>
        <v/>
      </c>
      <c r="Q297" s="600" t="str">
        <f t="shared" si="115"/>
        <v/>
      </c>
      <c r="S297" s="120">
        <v>0.11</v>
      </c>
      <c r="T297" s="198" t="str">
        <f t="shared" si="87"/>
        <v/>
      </c>
      <c r="U297" s="347" t="str">
        <f t="shared" si="88"/>
        <v/>
      </c>
      <c r="V297" s="347" t="str">
        <f t="shared" si="89"/>
        <v/>
      </c>
      <c r="W297" s="347" t="str">
        <f t="shared" si="90"/>
        <v/>
      </c>
      <c r="X297" s="600" t="str">
        <f>IF(T297="","",IF(U297=0,0,($C$2/1000)*'Tabla de Incrementos'!$J$20))</f>
        <v/>
      </c>
      <c r="Y297" s="600" t="str">
        <f t="shared" si="91"/>
        <v/>
      </c>
      <c r="Z297" s="600" t="str">
        <f t="shared" si="92"/>
        <v/>
      </c>
      <c r="AA297" s="557" t="str">
        <f t="shared" si="93"/>
        <v/>
      </c>
      <c r="AB297" s="557" t="str">
        <f t="shared" si="94"/>
        <v/>
      </c>
    </row>
    <row r="298" spans="1:28" x14ac:dyDescent="0.35">
      <c r="A298" s="595" t="str">
        <f t="shared" si="106"/>
        <v/>
      </c>
      <c r="B298" s="596" t="str">
        <f t="shared" si="105"/>
        <v/>
      </c>
      <c r="C298" s="597" t="str">
        <f>IF(B298="","",'Fecha Pago'!K295)</f>
        <v/>
      </c>
      <c r="D298" s="598" t="str">
        <f t="shared" si="107"/>
        <v/>
      </c>
      <c r="E298" s="599" t="str">
        <f>IF(B298="","",'Tabla de Incrementos'!$C$4)</f>
        <v/>
      </c>
      <c r="F298" s="600" t="str">
        <f t="shared" si="108"/>
        <v/>
      </c>
      <c r="G298" s="600" t="str">
        <f t="shared" si="109"/>
        <v/>
      </c>
      <c r="H298" s="600" t="str">
        <f t="shared" si="110"/>
        <v/>
      </c>
      <c r="I298" s="600" t="str">
        <f>IF(B298="","",IF(F298=0,0,($C$2/1000)*'Tabla de Incrementos'!$J$20))</f>
        <v/>
      </c>
      <c r="J298" s="600" t="str">
        <f t="shared" si="111"/>
        <v/>
      </c>
      <c r="K298" s="600" t="str">
        <f t="shared" si="112"/>
        <v/>
      </c>
      <c r="L298" s="600" t="str">
        <f t="shared" si="113"/>
        <v/>
      </c>
      <c r="M298" s="600" t="str">
        <f>IF(B298="","",IF(A298=0,0,AportPat!L295))</f>
        <v/>
      </c>
      <c r="N298" s="601">
        <f>Simulador!N358</f>
        <v>0</v>
      </c>
      <c r="O298" s="608">
        <v>0</v>
      </c>
      <c r="P298" s="600" t="str">
        <f t="shared" si="114"/>
        <v/>
      </c>
      <c r="Q298" s="600" t="str">
        <f t="shared" si="115"/>
        <v/>
      </c>
      <c r="S298" s="120">
        <v>0.11</v>
      </c>
      <c r="T298" s="198" t="str">
        <f t="shared" si="87"/>
        <v/>
      </c>
      <c r="U298" s="347" t="str">
        <f t="shared" si="88"/>
        <v/>
      </c>
      <c r="V298" s="347" t="str">
        <f t="shared" si="89"/>
        <v/>
      </c>
      <c r="W298" s="347" t="str">
        <f t="shared" si="90"/>
        <v/>
      </c>
      <c r="X298" s="600" t="str">
        <f>IF(T298="","",IF(U298=0,0,($C$2/1000)*'Tabla de Incrementos'!$J$20))</f>
        <v/>
      </c>
      <c r="Y298" s="600" t="str">
        <f t="shared" si="91"/>
        <v/>
      </c>
      <c r="Z298" s="600" t="str">
        <f t="shared" si="92"/>
        <v/>
      </c>
      <c r="AA298" s="557" t="str">
        <f t="shared" si="93"/>
        <v/>
      </c>
      <c r="AB298" s="557" t="str">
        <f t="shared" si="94"/>
        <v/>
      </c>
    </row>
    <row r="299" spans="1:28" x14ac:dyDescent="0.35">
      <c r="A299" s="595" t="str">
        <f t="shared" si="106"/>
        <v/>
      </c>
      <c r="B299" s="596" t="str">
        <f t="shared" si="105"/>
        <v/>
      </c>
      <c r="C299" s="597" t="str">
        <f>IF(B299="","",'Fecha Pago'!K296)</f>
        <v/>
      </c>
      <c r="D299" s="598" t="str">
        <f t="shared" si="107"/>
        <v/>
      </c>
      <c r="E299" s="599" t="str">
        <f>IF(B299="","",'Tabla de Incrementos'!$C$4)</f>
        <v/>
      </c>
      <c r="F299" s="600" t="str">
        <f t="shared" si="108"/>
        <v/>
      </c>
      <c r="G299" s="600" t="str">
        <f t="shared" si="109"/>
        <v/>
      </c>
      <c r="H299" s="600" t="str">
        <f t="shared" si="110"/>
        <v/>
      </c>
      <c r="I299" s="600" t="str">
        <f>IF(B299="","",IF(F299=0,0,($C$2/1000)*'Tabla de Incrementos'!$J$20))</f>
        <v/>
      </c>
      <c r="J299" s="600" t="str">
        <f t="shared" si="111"/>
        <v/>
      </c>
      <c r="K299" s="600" t="str">
        <f t="shared" si="112"/>
        <v/>
      </c>
      <c r="L299" s="600" t="str">
        <f t="shared" si="113"/>
        <v/>
      </c>
      <c r="M299" s="600" t="str">
        <f>IF(B299="","",IF(A299=0,0,AportPat!L296))</f>
        <v/>
      </c>
      <c r="N299" s="601">
        <f>Simulador!N359</f>
        <v>0</v>
      </c>
      <c r="O299" s="608">
        <v>0</v>
      </c>
      <c r="P299" s="600" t="str">
        <f t="shared" si="114"/>
        <v/>
      </c>
      <c r="Q299" s="600" t="str">
        <f t="shared" si="115"/>
        <v/>
      </c>
      <c r="S299" s="120">
        <v>0.11</v>
      </c>
      <c r="T299" s="198" t="str">
        <f t="shared" si="87"/>
        <v/>
      </c>
      <c r="U299" s="347" t="str">
        <f t="shared" si="88"/>
        <v/>
      </c>
      <c r="V299" s="347" t="str">
        <f t="shared" si="89"/>
        <v/>
      </c>
      <c r="W299" s="347" t="str">
        <f t="shared" si="90"/>
        <v/>
      </c>
      <c r="X299" s="600" t="str">
        <f>IF(T299="","",IF(U299=0,0,($C$2/1000)*'Tabla de Incrementos'!$J$20))</f>
        <v/>
      </c>
      <c r="Y299" s="600" t="str">
        <f t="shared" si="91"/>
        <v/>
      </c>
      <c r="Z299" s="600" t="str">
        <f t="shared" si="92"/>
        <v/>
      </c>
      <c r="AA299" s="557" t="str">
        <f t="shared" si="93"/>
        <v/>
      </c>
      <c r="AB299" s="557" t="str">
        <f t="shared" si="94"/>
        <v/>
      </c>
    </row>
    <row r="300" spans="1:28" x14ac:dyDescent="0.35">
      <c r="A300" s="595" t="str">
        <f t="shared" si="106"/>
        <v/>
      </c>
      <c r="B300" s="596" t="str">
        <f t="shared" si="105"/>
        <v/>
      </c>
      <c r="C300" s="597" t="str">
        <f>IF(B300="","",'Fecha Pago'!K297)</f>
        <v/>
      </c>
      <c r="D300" s="598" t="str">
        <f t="shared" si="107"/>
        <v/>
      </c>
      <c r="E300" s="599" t="str">
        <f>IF(B300="","",'Tabla de Incrementos'!$C$4)</f>
        <v/>
      </c>
      <c r="F300" s="600" t="str">
        <f t="shared" si="108"/>
        <v/>
      </c>
      <c r="G300" s="600" t="str">
        <f t="shared" si="109"/>
        <v/>
      </c>
      <c r="H300" s="600" t="str">
        <f t="shared" si="110"/>
        <v/>
      </c>
      <c r="I300" s="600" t="str">
        <f>IF(B300="","",IF(F300=0,0,($C$2/1000)*'Tabla de Incrementos'!$J$20))</f>
        <v/>
      </c>
      <c r="J300" s="600" t="str">
        <f t="shared" si="111"/>
        <v/>
      </c>
      <c r="K300" s="600" t="str">
        <f t="shared" si="112"/>
        <v/>
      </c>
      <c r="L300" s="600" t="str">
        <f t="shared" si="113"/>
        <v/>
      </c>
      <c r="M300" s="600" t="str">
        <f>IF(B300="","",IF(A300=0,0,AportPat!L297))</f>
        <v/>
      </c>
      <c r="N300" s="601">
        <f>Simulador!N360</f>
        <v>0</v>
      </c>
      <c r="O300" s="608">
        <v>0</v>
      </c>
      <c r="P300" s="600" t="str">
        <f t="shared" si="114"/>
        <v/>
      </c>
      <c r="Q300" s="600" t="str">
        <f t="shared" si="115"/>
        <v/>
      </c>
      <c r="S300" s="120">
        <v>0.11</v>
      </c>
      <c r="T300" s="198" t="str">
        <f t="shared" si="87"/>
        <v/>
      </c>
      <c r="U300" s="347" t="str">
        <f t="shared" si="88"/>
        <v/>
      </c>
      <c r="V300" s="347" t="str">
        <f t="shared" si="89"/>
        <v/>
      </c>
      <c r="W300" s="347" t="str">
        <f t="shared" si="90"/>
        <v/>
      </c>
      <c r="X300" s="600" t="str">
        <f>IF(T300="","",IF(U300=0,0,($C$2/1000)*'Tabla de Incrementos'!$J$20))</f>
        <v/>
      </c>
      <c r="Y300" s="600" t="str">
        <f t="shared" si="91"/>
        <v/>
      </c>
      <c r="Z300" s="600" t="str">
        <f t="shared" si="92"/>
        <v/>
      </c>
      <c r="AA300" s="557" t="str">
        <f t="shared" si="93"/>
        <v/>
      </c>
      <c r="AB300" s="557" t="str">
        <f t="shared" si="94"/>
        <v/>
      </c>
    </row>
    <row r="301" spans="1:28" x14ac:dyDescent="0.35">
      <c r="A301" s="595" t="str">
        <f t="shared" si="106"/>
        <v/>
      </c>
      <c r="B301" s="596" t="str">
        <f t="shared" si="105"/>
        <v/>
      </c>
      <c r="C301" s="597" t="str">
        <f>IF(B301="","",'Fecha Pago'!K298)</f>
        <v/>
      </c>
      <c r="D301" s="598" t="str">
        <f t="shared" si="107"/>
        <v/>
      </c>
      <c r="E301" s="599" t="str">
        <f>IF(B301="","",'Tabla de Incrementos'!$C$4)</f>
        <v/>
      </c>
      <c r="F301" s="600" t="str">
        <f t="shared" si="108"/>
        <v/>
      </c>
      <c r="G301" s="600" t="str">
        <f t="shared" si="109"/>
        <v/>
      </c>
      <c r="H301" s="600" t="str">
        <f t="shared" si="110"/>
        <v/>
      </c>
      <c r="I301" s="600" t="str">
        <f>IF(B301="","",IF(F301=0,0,($C$2/1000)*'Tabla de Incrementos'!$J$20))</f>
        <v/>
      </c>
      <c r="J301" s="600" t="str">
        <f t="shared" si="111"/>
        <v/>
      </c>
      <c r="K301" s="600" t="str">
        <f t="shared" si="112"/>
        <v/>
      </c>
      <c r="L301" s="600" t="str">
        <f t="shared" si="113"/>
        <v/>
      </c>
      <c r="M301" s="600" t="str">
        <f>IF(B301="","",IF(A301=0,0,AportPat!L298))</f>
        <v/>
      </c>
      <c r="N301" s="601">
        <f>Simulador!N361</f>
        <v>0</v>
      </c>
      <c r="O301" s="608">
        <v>0</v>
      </c>
      <c r="P301" s="600" t="str">
        <f t="shared" si="114"/>
        <v/>
      </c>
      <c r="Q301" s="600" t="str">
        <f t="shared" si="115"/>
        <v/>
      </c>
      <c r="S301" s="120">
        <v>0.11</v>
      </c>
      <c r="T301" s="198" t="str">
        <f t="shared" si="87"/>
        <v/>
      </c>
      <c r="U301" s="347" t="str">
        <f t="shared" si="88"/>
        <v/>
      </c>
      <c r="V301" s="347" t="str">
        <f t="shared" si="89"/>
        <v/>
      </c>
      <c r="W301" s="347" t="str">
        <f t="shared" si="90"/>
        <v/>
      </c>
      <c r="X301" s="600" t="str">
        <f>IF(T301="","",IF(U301=0,0,($C$2/1000)*'Tabla de Incrementos'!$J$20))</f>
        <v/>
      </c>
      <c r="Y301" s="600" t="str">
        <f t="shared" si="91"/>
        <v/>
      </c>
      <c r="Z301" s="600" t="str">
        <f t="shared" si="92"/>
        <v/>
      </c>
      <c r="AA301" s="557" t="str">
        <f t="shared" si="93"/>
        <v/>
      </c>
      <c r="AB301" s="557" t="str">
        <f t="shared" si="94"/>
        <v/>
      </c>
    </row>
    <row r="302" spans="1:28" x14ac:dyDescent="0.35">
      <c r="A302" s="595" t="str">
        <f t="shared" si="106"/>
        <v/>
      </c>
      <c r="B302" s="596" t="str">
        <f t="shared" si="105"/>
        <v/>
      </c>
      <c r="C302" s="597" t="str">
        <f>IF(B302="","",'Fecha Pago'!K299)</f>
        <v/>
      </c>
      <c r="D302" s="598" t="str">
        <f t="shared" si="107"/>
        <v/>
      </c>
      <c r="E302" s="599" t="str">
        <f>IF(B302="","",'Tabla de Incrementos'!$C$4)</f>
        <v/>
      </c>
      <c r="F302" s="600" t="str">
        <f t="shared" si="108"/>
        <v/>
      </c>
      <c r="G302" s="600" t="str">
        <f t="shared" si="109"/>
        <v/>
      </c>
      <c r="H302" s="600" t="str">
        <f t="shared" si="110"/>
        <v/>
      </c>
      <c r="I302" s="600" t="str">
        <f>IF(B302="","",IF(F302=0,0,($C$2/1000)*'Tabla de Incrementos'!$J$20))</f>
        <v/>
      </c>
      <c r="J302" s="600" t="str">
        <f t="shared" si="111"/>
        <v/>
      </c>
      <c r="K302" s="600" t="str">
        <f t="shared" si="112"/>
        <v/>
      </c>
      <c r="L302" s="600" t="str">
        <f t="shared" si="113"/>
        <v/>
      </c>
      <c r="M302" s="600" t="str">
        <f>IF(B302="","",IF(A302=0,0,AportPat!L299))</f>
        <v/>
      </c>
      <c r="N302" s="601">
        <f>Simulador!N362</f>
        <v>0</v>
      </c>
      <c r="O302" s="608">
        <v>0</v>
      </c>
      <c r="P302" s="600" t="str">
        <f t="shared" si="114"/>
        <v/>
      </c>
      <c r="Q302" s="600" t="str">
        <f t="shared" si="115"/>
        <v/>
      </c>
      <c r="S302" s="120">
        <v>0.11</v>
      </c>
      <c r="T302" s="198" t="str">
        <f t="shared" si="87"/>
        <v/>
      </c>
      <c r="U302" s="347" t="str">
        <f t="shared" si="88"/>
        <v/>
      </c>
      <c r="V302" s="347" t="str">
        <f t="shared" si="89"/>
        <v/>
      </c>
      <c r="W302" s="347" t="str">
        <f t="shared" si="90"/>
        <v/>
      </c>
      <c r="X302" s="600" t="str">
        <f>IF(T302="","",IF(U302=0,0,($C$2/1000)*'Tabla de Incrementos'!$J$20))</f>
        <v/>
      </c>
      <c r="Y302" s="600" t="str">
        <f t="shared" si="91"/>
        <v/>
      </c>
      <c r="Z302" s="600" t="str">
        <f t="shared" si="92"/>
        <v/>
      </c>
      <c r="AA302" s="557" t="str">
        <f t="shared" si="93"/>
        <v/>
      </c>
      <c r="AB302" s="557" t="str">
        <f t="shared" si="94"/>
        <v/>
      </c>
    </row>
    <row r="303" spans="1:28" x14ac:dyDescent="0.35">
      <c r="A303" s="595" t="str">
        <f t="shared" si="106"/>
        <v/>
      </c>
      <c r="B303" s="596" t="str">
        <f t="shared" si="105"/>
        <v/>
      </c>
      <c r="C303" s="597" t="str">
        <f>IF(B303="","",'Fecha Pago'!K300)</f>
        <v/>
      </c>
      <c r="D303" s="598" t="str">
        <f t="shared" si="107"/>
        <v/>
      </c>
      <c r="E303" s="599" t="str">
        <f>IF(B303="","",'Tabla de Incrementos'!$C$4)</f>
        <v/>
      </c>
      <c r="F303" s="600" t="str">
        <f t="shared" si="108"/>
        <v/>
      </c>
      <c r="G303" s="600" t="str">
        <f t="shared" si="109"/>
        <v/>
      </c>
      <c r="H303" s="600" t="str">
        <f t="shared" si="110"/>
        <v/>
      </c>
      <c r="I303" s="600" t="str">
        <f>IF(B303="","",IF(F303=0,0,($C$2/1000)*'Tabla de Incrementos'!$J$20))</f>
        <v/>
      </c>
      <c r="J303" s="600" t="str">
        <f t="shared" si="111"/>
        <v/>
      </c>
      <c r="K303" s="600" t="str">
        <f t="shared" si="112"/>
        <v/>
      </c>
      <c r="L303" s="600" t="str">
        <f t="shared" si="113"/>
        <v/>
      </c>
      <c r="M303" s="600" t="str">
        <f>IF(B303="","",IF(A303=0,0,AportPat!L300))</f>
        <v/>
      </c>
      <c r="N303" s="601">
        <f>Simulador!N363</f>
        <v>0</v>
      </c>
      <c r="O303" s="608">
        <v>0</v>
      </c>
      <c r="P303" s="600" t="str">
        <f t="shared" si="114"/>
        <v/>
      </c>
      <c r="Q303" s="600" t="str">
        <f t="shared" si="115"/>
        <v/>
      </c>
      <c r="S303" s="120">
        <v>0.11</v>
      </c>
      <c r="T303" s="198" t="str">
        <f t="shared" si="87"/>
        <v/>
      </c>
      <c r="U303" s="347" t="str">
        <f t="shared" si="88"/>
        <v/>
      </c>
      <c r="V303" s="347" t="str">
        <f t="shared" si="89"/>
        <v/>
      </c>
      <c r="W303" s="347" t="str">
        <f t="shared" si="90"/>
        <v/>
      </c>
      <c r="X303" s="600" t="str">
        <f>IF(T303="","",IF(U303=0,0,($C$2/1000)*'Tabla de Incrementos'!$J$20))</f>
        <v/>
      </c>
      <c r="Y303" s="600" t="str">
        <f t="shared" si="91"/>
        <v/>
      </c>
      <c r="Z303" s="600" t="str">
        <f t="shared" si="92"/>
        <v/>
      </c>
      <c r="AA303" s="557" t="str">
        <f t="shared" si="93"/>
        <v/>
      </c>
      <c r="AB303" s="557" t="str">
        <f t="shared" si="94"/>
        <v/>
      </c>
    </row>
    <row r="304" spans="1:28" x14ac:dyDescent="0.35">
      <c r="A304" s="595" t="str">
        <f t="shared" si="106"/>
        <v/>
      </c>
      <c r="B304" s="596" t="str">
        <f t="shared" si="105"/>
        <v/>
      </c>
      <c r="C304" s="597" t="str">
        <f>IF(B304="","",'Fecha Pago'!K301)</f>
        <v/>
      </c>
      <c r="D304" s="598" t="str">
        <f t="shared" si="107"/>
        <v/>
      </c>
      <c r="E304" s="599" t="str">
        <f>IF(B304="","",'Tabla de Incrementos'!$C$4)</f>
        <v/>
      </c>
      <c r="F304" s="600" t="str">
        <f t="shared" si="108"/>
        <v/>
      </c>
      <c r="G304" s="600" t="str">
        <f t="shared" si="109"/>
        <v/>
      </c>
      <c r="H304" s="600" t="str">
        <f t="shared" si="110"/>
        <v/>
      </c>
      <c r="I304" s="600" t="str">
        <f>IF(B304="","",IF(F304=0,0,($C$2/1000)*'Tabla de Incrementos'!$J$20))</f>
        <v/>
      </c>
      <c r="J304" s="600" t="str">
        <f t="shared" si="111"/>
        <v/>
      </c>
      <c r="K304" s="600" t="str">
        <f t="shared" si="112"/>
        <v/>
      </c>
      <c r="L304" s="600" t="str">
        <f t="shared" si="113"/>
        <v/>
      </c>
      <c r="M304" s="600" t="str">
        <f>IF(B304="","",IF(A304=0,0,AportPat!L301))</f>
        <v/>
      </c>
      <c r="N304" s="601">
        <f>Simulador!N364</f>
        <v>0</v>
      </c>
      <c r="O304" s="608">
        <v>0</v>
      </c>
      <c r="P304" s="600" t="str">
        <f t="shared" si="114"/>
        <v/>
      </c>
      <c r="Q304" s="600" t="str">
        <f t="shared" si="115"/>
        <v/>
      </c>
      <c r="S304" s="120">
        <v>0.11</v>
      </c>
      <c r="T304" s="198" t="str">
        <f t="shared" si="87"/>
        <v/>
      </c>
      <c r="U304" s="347" t="str">
        <f t="shared" si="88"/>
        <v/>
      </c>
      <c r="V304" s="347" t="str">
        <f t="shared" si="89"/>
        <v/>
      </c>
      <c r="W304" s="347" t="str">
        <f t="shared" si="90"/>
        <v/>
      </c>
      <c r="X304" s="600" t="str">
        <f>IF(T304="","",IF(U304=0,0,($C$2/1000)*'Tabla de Incrementos'!$J$20))</f>
        <v/>
      </c>
      <c r="Y304" s="600" t="str">
        <f t="shared" si="91"/>
        <v/>
      </c>
      <c r="Z304" s="600" t="str">
        <f t="shared" si="92"/>
        <v/>
      </c>
      <c r="AA304" s="557" t="str">
        <f t="shared" si="93"/>
        <v/>
      </c>
      <c r="AB304" s="557" t="str">
        <f t="shared" si="94"/>
        <v/>
      </c>
    </row>
    <row r="305" spans="1:28" x14ac:dyDescent="0.35">
      <c r="A305" s="595" t="str">
        <f t="shared" si="106"/>
        <v/>
      </c>
      <c r="B305" s="596" t="str">
        <f t="shared" si="105"/>
        <v/>
      </c>
      <c r="C305" s="597" t="str">
        <f>IF(B305="","",'Fecha Pago'!K302)</f>
        <v/>
      </c>
      <c r="D305" s="598" t="str">
        <f t="shared" si="107"/>
        <v/>
      </c>
      <c r="E305" s="599" t="str">
        <f>IF(B305="","",'Tabla de Incrementos'!$C$4)</f>
        <v/>
      </c>
      <c r="F305" s="600" t="str">
        <f t="shared" si="108"/>
        <v/>
      </c>
      <c r="G305" s="600" t="str">
        <f t="shared" si="109"/>
        <v/>
      </c>
      <c r="H305" s="600" t="str">
        <f t="shared" si="110"/>
        <v/>
      </c>
      <c r="I305" s="600" t="str">
        <f>IF(B305="","",IF(F305=0,0,($C$2/1000)*'Tabla de Incrementos'!$J$20))</f>
        <v/>
      </c>
      <c r="J305" s="600" t="str">
        <f t="shared" si="111"/>
        <v/>
      </c>
      <c r="K305" s="600" t="str">
        <f t="shared" si="112"/>
        <v/>
      </c>
      <c r="L305" s="600" t="str">
        <f t="shared" si="113"/>
        <v/>
      </c>
      <c r="M305" s="600" t="str">
        <f>IF(B305="","",IF(A305=0,0,AportPat!L302))</f>
        <v/>
      </c>
      <c r="N305" s="601">
        <f>Simulador!N365</f>
        <v>0</v>
      </c>
      <c r="O305" s="608">
        <v>0</v>
      </c>
      <c r="P305" s="600" t="str">
        <f t="shared" si="114"/>
        <v/>
      </c>
      <c r="Q305" s="600" t="str">
        <f t="shared" si="115"/>
        <v/>
      </c>
      <c r="S305" s="120">
        <v>0.11</v>
      </c>
      <c r="T305" s="198" t="str">
        <f t="shared" si="87"/>
        <v/>
      </c>
      <c r="U305" s="347" t="str">
        <f t="shared" si="88"/>
        <v/>
      </c>
      <c r="V305" s="347" t="str">
        <f t="shared" si="89"/>
        <v/>
      </c>
      <c r="W305" s="347" t="str">
        <f t="shared" si="90"/>
        <v/>
      </c>
      <c r="X305" s="600" t="str">
        <f>IF(T305="","",IF(U305=0,0,($C$2/1000)*'Tabla de Incrementos'!$J$20))</f>
        <v/>
      </c>
      <c r="Y305" s="600" t="str">
        <f t="shared" si="91"/>
        <v/>
      </c>
      <c r="Z305" s="600" t="str">
        <f t="shared" si="92"/>
        <v/>
      </c>
      <c r="AA305" s="557" t="str">
        <f t="shared" si="93"/>
        <v/>
      </c>
      <c r="AB305" s="557" t="str">
        <f t="shared" si="94"/>
        <v/>
      </c>
    </row>
    <row r="306" spans="1:28" x14ac:dyDescent="0.35">
      <c r="A306" s="595" t="str">
        <f t="shared" si="106"/>
        <v/>
      </c>
      <c r="B306" s="596" t="str">
        <f t="shared" si="105"/>
        <v/>
      </c>
      <c r="C306" s="597" t="str">
        <f>IF(B306="","",'Fecha Pago'!K303)</f>
        <v/>
      </c>
      <c r="D306" s="598" t="str">
        <f t="shared" si="107"/>
        <v/>
      </c>
      <c r="E306" s="599" t="str">
        <f>IF(B306="","",'Tabla de Incrementos'!$C$4)</f>
        <v/>
      </c>
      <c r="F306" s="600" t="str">
        <f t="shared" si="108"/>
        <v/>
      </c>
      <c r="G306" s="600" t="str">
        <f t="shared" si="109"/>
        <v/>
      </c>
      <c r="H306" s="600" t="str">
        <f t="shared" si="110"/>
        <v/>
      </c>
      <c r="I306" s="600" t="str">
        <f>IF(B306="","",IF(F306=0,0,($C$2/1000)*'Tabla de Incrementos'!$J$20))</f>
        <v/>
      </c>
      <c r="J306" s="600" t="str">
        <f t="shared" si="111"/>
        <v/>
      </c>
      <c r="K306" s="600" t="str">
        <f t="shared" si="112"/>
        <v/>
      </c>
      <c r="L306" s="600" t="str">
        <f t="shared" si="113"/>
        <v/>
      </c>
      <c r="M306" s="600" t="str">
        <f>IF(B306="","",IF(A306=0,0,AportPat!L303))</f>
        <v/>
      </c>
      <c r="N306" s="601">
        <f>Simulador!N366</f>
        <v>0</v>
      </c>
      <c r="O306" s="608">
        <v>0</v>
      </c>
      <c r="P306" s="600" t="str">
        <f t="shared" si="114"/>
        <v/>
      </c>
      <c r="Q306" s="600" t="str">
        <f t="shared" si="115"/>
        <v/>
      </c>
      <c r="S306" s="120">
        <v>0.11</v>
      </c>
      <c r="T306" s="198" t="str">
        <f t="shared" si="87"/>
        <v/>
      </c>
      <c r="U306" s="347" t="str">
        <f t="shared" si="88"/>
        <v/>
      </c>
      <c r="V306" s="347" t="str">
        <f t="shared" si="89"/>
        <v/>
      </c>
      <c r="W306" s="347" t="str">
        <f t="shared" si="90"/>
        <v/>
      </c>
      <c r="X306" s="600" t="str">
        <f>IF(T306="","",IF(U306=0,0,($C$2/1000)*'Tabla de Incrementos'!$J$20))</f>
        <v/>
      </c>
      <c r="Y306" s="600" t="str">
        <f t="shared" si="91"/>
        <v/>
      </c>
      <c r="Z306" s="600" t="str">
        <f t="shared" si="92"/>
        <v/>
      </c>
      <c r="AA306" s="557" t="str">
        <f t="shared" si="93"/>
        <v/>
      </c>
      <c r="AB306" s="557" t="str">
        <f t="shared" si="94"/>
        <v/>
      </c>
    </row>
  </sheetData>
  <mergeCells count="1">
    <mergeCell ref="AF1:AG1"/>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3E326-FB52-49CB-8D3F-2BDD3B3E9545}">
  <sheetPr codeName="Hoja21"/>
  <dimension ref="A1:W71"/>
  <sheetViews>
    <sheetView showGridLines="0" topLeftCell="A49" workbookViewId="0">
      <selection activeCell="D39" sqref="D39:D40"/>
    </sheetView>
  </sheetViews>
  <sheetFormatPr baseColWidth="10" defaultRowHeight="14.5" x14ac:dyDescent="0.35"/>
  <cols>
    <col min="1" max="1" width="21.54296875" bestFit="1" customWidth="1"/>
    <col min="2" max="2" width="13.7265625" bestFit="1" customWidth="1"/>
    <col min="3" max="3" width="7.81640625" bestFit="1" customWidth="1"/>
    <col min="4" max="4" width="1.26953125" customWidth="1"/>
    <col min="5" max="5" width="33.453125" style="327" bestFit="1" customWidth="1"/>
    <col min="6" max="22" width="3.81640625" bestFit="1" customWidth="1"/>
    <col min="23" max="23" width="5.54296875" bestFit="1" customWidth="1"/>
  </cols>
  <sheetData>
    <row r="1" spans="1:23" x14ac:dyDescent="0.35">
      <c r="A1" s="6" t="str">
        <f>Simulador!F9&amp;Simulador!N7</f>
        <v>AdquisiciónTradicional</v>
      </c>
      <c r="B1" s="6"/>
      <c r="C1" s="6"/>
      <c r="E1" s="327" t="s">
        <v>430</v>
      </c>
    </row>
    <row r="2" spans="1:23" x14ac:dyDescent="0.35">
      <c r="A2" s="331">
        <f>VLOOKUP($A$1,$E$2:$W$15,2,0)</f>
        <v>0.1</v>
      </c>
      <c r="B2" s="331">
        <f>IF(A2&gt;1%,A2,"")</f>
        <v>0.1</v>
      </c>
      <c r="E2" s="328" t="str">
        <f>A24&amp;B24</f>
        <v>AdquisiciónTradicional</v>
      </c>
      <c r="F2" s="21">
        <v>0.1</v>
      </c>
      <c r="G2" s="21">
        <v>0.15</v>
      </c>
      <c r="H2" s="21">
        <v>0.2</v>
      </c>
      <c r="I2" s="21">
        <v>0.25</v>
      </c>
      <c r="J2" s="21">
        <v>0.3</v>
      </c>
      <c r="K2" s="21">
        <v>0.35</v>
      </c>
      <c r="L2" s="21">
        <v>0.4</v>
      </c>
      <c r="M2" s="21">
        <v>0.45</v>
      </c>
      <c r="N2" s="21">
        <v>0.5</v>
      </c>
      <c r="O2" s="21">
        <v>0.55000000000000004</v>
      </c>
      <c r="P2" s="21">
        <v>0.6</v>
      </c>
      <c r="Q2" s="21">
        <v>0.65</v>
      </c>
      <c r="R2" s="21">
        <v>0.7</v>
      </c>
      <c r="S2" s="21">
        <v>0.75</v>
      </c>
      <c r="T2" s="21">
        <v>0.8</v>
      </c>
      <c r="U2" s="21">
        <v>0.85</v>
      </c>
      <c r="V2" s="21">
        <v>0.9</v>
      </c>
      <c r="W2" s="21"/>
    </row>
    <row r="3" spans="1:23" x14ac:dyDescent="0.35">
      <c r="A3" s="331">
        <f>VLOOKUP($A$1,$E$2:$W$15,3,0)</f>
        <v>0.15</v>
      </c>
      <c r="B3" s="331">
        <f t="shared" ref="B3:B19" si="0">IF(A3&gt;1%,A3,"")</f>
        <v>0.15</v>
      </c>
      <c r="E3" s="328" t="str">
        <f>A30&amp;B30</f>
        <v>MejoraTradicional</v>
      </c>
      <c r="F3" s="21">
        <v>0.1</v>
      </c>
      <c r="G3" s="21">
        <v>0.15</v>
      </c>
      <c r="H3" s="21">
        <v>0.2</v>
      </c>
      <c r="I3" s="21">
        <v>0.25</v>
      </c>
      <c r="J3" s="21">
        <v>0.3</v>
      </c>
      <c r="K3" s="21">
        <v>0.35</v>
      </c>
      <c r="L3" s="21">
        <v>0.4</v>
      </c>
      <c r="M3" s="21">
        <v>0.45</v>
      </c>
      <c r="N3" s="21">
        <v>0.5</v>
      </c>
      <c r="O3" s="21">
        <v>0.55000000000000004</v>
      </c>
      <c r="P3" s="21">
        <v>0.6</v>
      </c>
      <c r="Q3" s="21">
        <v>0.65</v>
      </c>
      <c r="R3" s="21">
        <v>0.7</v>
      </c>
      <c r="S3" s="21">
        <v>0.75</v>
      </c>
      <c r="T3" s="21">
        <v>0.8</v>
      </c>
      <c r="U3" s="21">
        <v>0.85</v>
      </c>
    </row>
    <row r="4" spans="1:23" x14ac:dyDescent="0.35">
      <c r="A4" s="331">
        <f>VLOOKUP($A$1,$E$2:$W$15,4,0)</f>
        <v>0.2</v>
      </c>
      <c r="B4" s="331">
        <f t="shared" si="0"/>
        <v>0.2</v>
      </c>
      <c r="E4" s="328" t="str">
        <f>A33&amp;B33</f>
        <v>Mejora más RemodelaciónTradicional</v>
      </c>
      <c r="F4" s="21">
        <v>0.1</v>
      </c>
      <c r="G4" s="21">
        <v>0.15</v>
      </c>
      <c r="H4" s="21">
        <v>0.2</v>
      </c>
      <c r="I4" s="21">
        <v>0.25</v>
      </c>
      <c r="J4" s="21">
        <v>0.3</v>
      </c>
      <c r="K4" s="21">
        <v>0.35</v>
      </c>
      <c r="L4" s="21">
        <v>0.4</v>
      </c>
      <c r="M4" s="21">
        <v>0.45</v>
      </c>
      <c r="N4" s="21">
        <v>0.5</v>
      </c>
      <c r="O4" s="21">
        <v>0.55000000000000004</v>
      </c>
      <c r="P4" s="21">
        <v>0.6</v>
      </c>
      <c r="Q4" s="21">
        <v>0.65</v>
      </c>
      <c r="R4" s="21">
        <v>0.7</v>
      </c>
    </row>
    <row r="5" spans="1:23" x14ac:dyDescent="0.35">
      <c r="A5" s="331">
        <f>VLOOKUP($A$1,$E$2:$W$15,5,0)</f>
        <v>0.25</v>
      </c>
      <c r="B5" s="331">
        <f t="shared" si="0"/>
        <v>0.25</v>
      </c>
      <c r="E5" s="328" t="str">
        <f>A35&amp;B35</f>
        <v>RemodelaciónTradicional</v>
      </c>
      <c r="F5" s="21">
        <v>0.1</v>
      </c>
      <c r="G5" s="21">
        <v>0.15</v>
      </c>
      <c r="H5" s="21">
        <v>0.2</v>
      </c>
      <c r="I5" s="21">
        <v>0.25</v>
      </c>
      <c r="J5" s="21">
        <v>0.3</v>
      </c>
      <c r="K5" s="21">
        <v>0.35</v>
      </c>
      <c r="L5" s="21">
        <v>0.4</v>
      </c>
    </row>
    <row r="6" spans="1:23" x14ac:dyDescent="0.35">
      <c r="A6" s="331">
        <f>VLOOKUP($A$1,$E$2:$W$15,6,0)</f>
        <v>0.3</v>
      </c>
      <c r="B6" s="331">
        <f t="shared" si="0"/>
        <v>0.3</v>
      </c>
      <c r="E6" s="328" t="str">
        <f>A37&amp;B37</f>
        <v>ConstrucciónTradicional</v>
      </c>
      <c r="F6" s="21">
        <v>0.1</v>
      </c>
      <c r="G6" s="21">
        <v>0.15</v>
      </c>
      <c r="H6" s="21">
        <v>0.2</v>
      </c>
      <c r="I6" s="21">
        <v>0.25</v>
      </c>
      <c r="J6" s="21">
        <v>0.3</v>
      </c>
      <c r="K6" s="21">
        <v>0.35</v>
      </c>
      <c r="L6" s="21">
        <v>0.4</v>
      </c>
      <c r="M6" s="21">
        <v>0.45</v>
      </c>
      <c r="N6" s="21">
        <v>0.5</v>
      </c>
      <c r="O6" s="21">
        <v>0.55000000000000004</v>
      </c>
      <c r="P6" s="21">
        <v>0.6</v>
      </c>
      <c r="Q6" s="21">
        <v>0.65</v>
      </c>
      <c r="R6" s="21">
        <v>0.7</v>
      </c>
    </row>
    <row r="7" spans="1:23" x14ac:dyDescent="0.35">
      <c r="A7" s="331">
        <f>VLOOKUP($A$1,$E$2:$W$15,7,0)</f>
        <v>0.35</v>
      </c>
      <c r="B7" s="331">
        <f t="shared" si="0"/>
        <v>0.35</v>
      </c>
      <c r="E7" s="328" t="str">
        <f>A40&amp;B40</f>
        <v>Terreno_más_ConstrucciónTradicional</v>
      </c>
      <c r="F7" s="21">
        <v>0.1</v>
      </c>
      <c r="G7" s="21">
        <v>0.15</v>
      </c>
      <c r="H7" s="21">
        <v>0.2</v>
      </c>
      <c r="I7" s="21">
        <v>0.25</v>
      </c>
      <c r="J7" s="21">
        <v>0.3</v>
      </c>
      <c r="K7" s="21">
        <v>0.35</v>
      </c>
      <c r="L7" s="21">
        <v>0.4</v>
      </c>
      <c r="M7" s="21">
        <v>0.45</v>
      </c>
      <c r="N7" s="21">
        <v>0.5</v>
      </c>
      <c r="O7" s="21">
        <v>0.55000000000000004</v>
      </c>
      <c r="P7" s="21">
        <v>0.6</v>
      </c>
      <c r="Q7" s="21">
        <v>0.65</v>
      </c>
      <c r="R7" s="21">
        <v>0.7</v>
      </c>
      <c r="S7" s="21">
        <v>0.75</v>
      </c>
      <c r="T7" s="21">
        <v>0.8</v>
      </c>
      <c r="U7" s="21">
        <v>0.85</v>
      </c>
    </row>
    <row r="8" spans="1:23" x14ac:dyDescent="0.35">
      <c r="A8" s="331">
        <f>VLOOKUP($A$1,$E$2:$W$15,8,0)</f>
        <v>0.4</v>
      </c>
      <c r="B8" s="331">
        <f t="shared" si="0"/>
        <v>0.4</v>
      </c>
      <c r="E8" s="328" t="str">
        <f>A43&amp;B43</f>
        <v>Compra_Venta_Termino_ObraTradicional</v>
      </c>
      <c r="F8" s="21">
        <v>0.1</v>
      </c>
      <c r="G8" s="21">
        <v>0.15</v>
      </c>
      <c r="H8" s="21">
        <v>0.2</v>
      </c>
      <c r="I8" s="21">
        <v>0.25</v>
      </c>
      <c r="J8" s="21">
        <v>0.3</v>
      </c>
      <c r="K8" s="21">
        <v>0.35</v>
      </c>
      <c r="L8" s="21">
        <v>0.4</v>
      </c>
      <c r="M8" s="21">
        <v>0.45</v>
      </c>
      <c r="N8" s="21">
        <v>0.5</v>
      </c>
      <c r="O8" s="21">
        <v>0.55000000000000004</v>
      </c>
      <c r="P8" s="21">
        <v>0.6</v>
      </c>
      <c r="Q8" s="21">
        <v>0.65</v>
      </c>
      <c r="R8" s="21">
        <v>0.7</v>
      </c>
      <c r="S8" s="21">
        <v>0.75</v>
      </c>
      <c r="T8" s="21">
        <v>0.8</v>
      </c>
      <c r="U8" s="21">
        <v>0.85</v>
      </c>
    </row>
    <row r="9" spans="1:23" x14ac:dyDescent="0.35">
      <c r="A9" s="331">
        <f>VLOOKUP($A$1,$E$2:$W$15,9,0)</f>
        <v>0.45</v>
      </c>
      <c r="B9" s="331">
        <f t="shared" si="0"/>
        <v>0.45</v>
      </c>
      <c r="E9" s="328" t="str">
        <f>A46&amp;B46</f>
        <v>LiquidezTradicional</v>
      </c>
      <c r="F9" s="21">
        <v>0.1</v>
      </c>
      <c r="G9" s="21">
        <v>0.15</v>
      </c>
      <c r="H9" s="21">
        <v>0.2</v>
      </c>
      <c r="I9" s="21">
        <v>0.25</v>
      </c>
      <c r="J9" s="21">
        <v>0.3</v>
      </c>
      <c r="K9" s="21">
        <v>0.35</v>
      </c>
      <c r="L9" s="21">
        <v>0.4</v>
      </c>
      <c r="M9" s="21">
        <v>0.45</v>
      </c>
      <c r="N9" s="21">
        <v>0.5</v>
      </c>
      <c r="O9" s="21">
        <v>0.55000000000000004</v>
      </c>
      <c r="P9" s="21">
        <v>0.6</v>
      </c>
      <c r="Q9" s="21">
        <v>0.65</v>
      </c>
      <c r="R9" s="21">
        <v>0.7</v>
      </c>
    </row>
    <row r="10" spans="1:23" x14ac:dyDescent="0.35">
      <c r="A10" s="331">
        <f>VLOOKUP($A$1,$E$2:$W$15,10,0)</f>
        <v>0.5</v>
      </c>
      <c r="B10" s="331">
        <f t="shared" si="0"/>
        <v>0.5</v>
      </c>
      <c r="E10" s="328" t="str">
        <f>A47&amp;B47</f>
        <v>Terreno_UrbanizadoTradicional</v>
      </c>
      <c r="F10" s="21">
        <v>0.1</v>
      </c>
      <c r="G10" s="21">
        <v>0.15</v>
      </c>
      <c r="H10" s="21">
        <v>0.2</v>
      </c>
      <c r="I10" s="21">
        <v>0.25</v>
      </c>
      <c r="J10" s="21">
        <v>0.3</v>
      </c>
      <c r="K10" s="21">
        <v>0.35</v>
      </c>
      <c r="L10" s="21">
        <v>0.4</v>
      </c>
      <c r="M10" s="21">
        <v>0.45</v>
      </c>
      <c r="N10" s="21">
        <v>0.5</v>
      </c>
      <c r="O10" s="21">
        <v>0.55000000000000004</v>
      </c>
      <c r="P10" s="21">
        <v>0.6</v>
      </c>
      <c r="Q10" s="21">
        <v>0.65</v>
      </c>
      <c r="R10" s="21">
        <v>0.7</v>
      </c>
    </row>
    <row r="11" spans="1:23" x14ac:dyDescent="0.35">
      <c r="A11" s="331">
        <f>VLOOKUP($A$1,$E$2:$W$15,11,0)</f>
        <v>0.55000000000000004</v>
      </c>
      <c r="B11" s="331">
        <f t="shared" si="0"/>
        <v>0.55000000000000004</v>
      </c>
      <c r="E11" s="328" t="str">
        <f>A25&amp;B25</f>
        <v>AdquisiciónApoyo INFONAVIT</v>
      </c>
      <c r="F11" s="21">
        <v>0.1</v>
      </c>
      <c r="G11" s="21">
        <v>0.15</v>
      </c>
      <c r="H11" s="21">
        <v>0.2</v>
      </c>
      <c r="I11" s="21">
        <v>0.25</v>
      </c>
      <c r="J11" s="21">
        <v>0.3</v>
      </c>
      <c r="K11" s="21">
        <v>0.35</v>
      </c>
      <c r="L11" s="21">
        <v>0.4</v>
      </c>
      <c r="M11" s="21">
        <v>0.45</v>
      </c>
      <c r="N11" s="21">
        <v>0.5</v>
      </c>
      <c r="O11" s="21">
        <v>0.55000000000000004</v>
      </c>
      <c r="P11" s="21">
        <v>0.6</v>
      </c>
      <c r="Q11" s="21">
        <v>0.65</v>
      </c>
      <c r="R11" s="21">
        <v>0.7</v>
      </c>
      <c r="S11" s="21">
        <v>0.75</v>
      </c>
      <c r="T11" s="21">
        <v>0.8</v>
      </c>
      <c r="U11" s="21">
        <v>0.85</v>
      </c>
      <c r="V11" s="21">
        <v>0.9</v>
      </c>
      <c r="W11" s="21">
        <v>0.95</v>
      </c>
    </row>
    <row r="12" spans="1:23" x14ac:dyDescent="0.35">
      <c r="A12" s="331">
        <f>VLOOKUP($A$1,$E$2:$W$15,12,0)</f>
        <v>0.6</v>
      </c>
      <c r="B12" s="331">
        <f t="shared" si="0"/>
        <v>0.6</v>
      </c>
      <c r="E12" s="328" t="str">
        <f>A31&amp;B31</f>
        <v>MejoraApoyo INFONAVIT</v>
      </c>
      <c r="F12" s="21">
        <v>0.1</v>
      </c>
      <c r="G12" s="21">
        <v>0.15</v>
      </c>
      <c r="H12" s="21">
        <v>0.2</v>
      </c>
      <c r="I12" s="21">
        <v>0.25</v>
      </c>
      <c r="J12" s="21">
        <v>0.3</v>
      </c>
      <c r="K12" s="21">
        <v>0.35</v>
      </c>
      <c r="L12" s="21">
        <v>0.4</v>
      </c>
      <c r="M12" s="21">
        <v>0.45</v>
      </c>
      <c r="N12" s="21">
        <v>0.5</v>
      </c>
      <c r="O12" s="21">
        <v>0.55000000000000004</v>
      </c>
      <c r="P12" s="21">
        <v>0.6</v>
      </c>
      <c r="Q12" s="21">
        <v>0.65</v>
      </c>
      <c r="R12" s="21">
        <v>0.7</v>
      </c>
      <c r="S12" s="21">
        <v>0.75</v>
      </c>
      <c r="T12" s="21">
        <v>0.8</v>
      </c>
      <c r="U12" s="21">
        <v>0.85</v>
      </c>
      <c r="V12" s="21">
        <v>0.9</v>
      </c>
      <c r="W12" s="21">
        <v>0.95</v>
      </c>
    </row>
    <row r="13" spans="1:23" x14ac:dyDescent="0.35">
      <c r="A13" s="331">
        <f>VLOOKUP($A$1,$E$2:$W$15,13,0)</f>
        <v>0.65</v>
      </c>
      <c r="B13" s="331">
        <f t="shared" si="0"/>
        <v>0.65</v>
      </c>
      <c r="E13" s="328" t="str">
        <f>A38&amp;B38</f>
        <v>ConstrucciónApoyo INFONAVIT</v>
      </c>
      <c r="F13" s="21">
        <v>0.1</v>
      </c>
      <c r="G13" s="21">
        <v>0.15</v>
      </c>
      <c r="H13" s="21">
        <v>0.2</v>
      </c>
      <c r="I13" s="21">
        <v>0.25</v>
      </c>
      <c r="J13" s="21">
        <v>0.3</v>
      </c>
      <c r="K13" s="21">
        <v>0.35</v>
      </c>
      <c r="L13" s="21">
        <v>0.4</v>
      </c>
      <c r="M13" s="21">
        <v>0.45</v>
      </c>
      <c r="N13" s="21">
        <v>0.5</v>
      </c>
      <c r="O13" s="21">
        <v>0.55000000000000004</v>
      </c>
      <c r="P13" s="21">
        <v>0.6</v>
      </c>
      <c r="Q13" s="21">
        <v>0.65</v>
      </c>
      <c r="R13" s="21">
        <v>0.7</v>
      </c>
      <c r="S13" s="21">
        <v>0.75</v>
      </c>
      <c r="T13" s="21">
        <v>0.8</v>
      </c>
    </row>
    <row r="14" spans="1:23" x14ac:dyDescent="0.35">
      <c r="A14" s="331">
        <f>VLOOKUP($A$1,$E$2:$W$15,14,0)</f>
        <v>0.7</v>
      </c>
      <c r="B14" s="331">
        <f t="shared" si="0"/>
        <v>0.7</v>
      </c>
      <c r="E14" s="328" t="str">
        <f>A41&amp;B41</f>
        <v>Terreno_más_ConstrucciónApoyo INFONAVIT</v>
      </c>
      <c r="F14" s="21">
        <v>0.1</v>
      </c>
      <c r="G14" s="21">
        <v>0.15</v>
      </c>
      <c r="H14" s="21">
        <v>0.2</v>
      </c>
      <c r="I14" s="21">
        <v>0.25</v>
      </c>
      <c r="J14" s="21">
        <v>0.3</v>
      </c>
      <c r="K14" s="21">
        <v>0.35</v>
      </c>
      <c r="L14" s="21">
        <v>0.4</v>
      </c>
      <c r="M14" s="21">
        <v>0.45</v>
      </c>
      <c r="N14" s="21">
        <v>0.5</v>
      </c>
      <c r="O14" s="21">
        <v>0.55000000000000004</v>
      </c>
      <c r="P14" s="21">
        <v>0.6</v>
      </c>
      <c r="Q14" s="21">
        <v>0.65</v>
      </c>
      <c r="R14" s="21">
        <v>0.7</v>
      </c>
      <c r="S14" s="21">
        <v>0.75</v>
      </c>
      <c r="T14" s="21">
        <v>0.8</v>
      </c>
      <c r="U14" s="21">
        <v>0.85</v>
      </c>
      <c r="V14" s="21">
        <v>0.9</v>
      </c>
      <c r="W14" s="21">
        <v>0.95</v>
      </c>
    </row>
    <row r="15" spans="1:23" x14ac:dyDescent="0.35">
      <c r="A15" s="331">
        <f>VLOOKUP($A$1,$E$2:$W$15,15,0)</f>
        <v>0.75</v>
      </c>
      <c r="B15" s="331">
        <f t="shared" si="0"/>
        <v>0.75</v>
      </c>
      <c r="E15" s="328" t="str">
        <f>A44&amp;B44</f>
        <v>Compra_Venta_Termino_ObraApoyo INFONAVIT</v>
      </c>
      <c r="F15" s="21">
        <v>0.1</v>
      </c>
      <c r="G15" s="21">
        <v>0.15</v>
      </c>
      <c r="H15" s="21">
        <v>0.2</v>
      </c>
      <c r="I15" s="21">
        <v>0.25</v>
      </c>
      <c r="J15" s="21">
        <v>0.3</v>
      </c>
      <c r="K15" s="21">
        <v>0.35</v>
      </c>
      <c r="L15" s="21">
        <v>0.4</v>
      </c>
      <c r="M15" s="21">
        <v>0.45</v>
      </c>
      <c r="N15" s="21">
        <v>0.5</v>
      </c>
      <c r="O15" s="21">
        <v>0.55000000000000004</v>
      </c>
      <c r="P15" s="21">
        <v>0.6</v>
      </c>
      <c r="Q15" s="21">
        <v>0.65</v>
      </c>
      <c r="R15" s="21">
        <v>0.7</v>
      </c>
      <c r="S15" s="21">
        <v>0.75</v>
      </c>
      <c r="T15" s="21">
        <v>0.8</v>
      </c>
      <c r="U15" s="21">
        <v>0.85</v>
      </c>
      <c r="V15" s="21">
        <v>0.9</v>
      </c>
      <c r="W15" s="21">
        <v>0.95</v>
      </c>
    </row>
    <row r="16" spans="1:23" x14ac:dyDescent="0.35">
      <c r="A16" s="331">
        <f>VLOOKUP($A$1,$E$2:$W$15,16,0)</f>
        <v>0.8</v>
      </c>
      <c r="B16" s="331">
        <f t="shared" si="0"/>
        <v>0.8</v>
      </c>
      <c r="E16" s="329"/>
    </row>
    <row r="17" spans="1:22" x14ac:dyDescent="0.35">
      <c r="A17" s="331">
        <f>VLOOKUP($A$1,$E$2:$W$15,17,0)</f>
        <v>0.85</v>
      </c>
      <c r="B17" s="331">
        <f t="shared" si="0"/>
        <v>0.85</v>
      </c>
      <c r="E17" s="329"/>
    </row>
    <row r="18" spans="1:22" x14ac:dyDescent="0.35">
      <c r="A18" s="331">
        <f>VLOOKUP($A$1,$E$2:$W$15,18,0)</f>
        <v>0.9</v>
      </c>
      <c r="B18" s="331">
        <f t="shared" si="0"/>
        <v>0.9</v>
      </c>
    </row>
    <row r="19" spans="1:22" x14ac:dyDescent="0.35">
      <c r="A19" s="331">
        <f>VLOOKUP($A$1,$E$2:$W$15,19,0)</f>
        <v>0</v>
      </c>
      <c r="B19" s="331" t="str">
        <f t="shared" si="0"/>
        <v/>
      </c>
    </row>
    <row r="22" spans="1:22" x14ac:dyDescent="0.35">
      <c r="A22" s="902" t="s">
        <v>115</v>
      </c>
      <c r="B22" s="902"/>
      <c r="C22" s="902"/>
      <c r="E22" s="23"/>
      <c r="F22" s="6"/>
      <c r="G22" s="6"/>
      <c r="S22" s="6"/>
      <c r="T22" s="6"/>
      <c r="U22" s="6"/>
      <c r="V22" s="6"/>
    </row>
    <row r="23" spans="1:22" x14ac:dyDescent="0.35">
      <c r="A23" s="7" t="s">
        <v>2</v>
      </c>
      <c r="B23" s="7" t="s">
        <v>83</v>
      </c>
      <c r="C23" s="7" t="s">
        <v>216</v>
      </c>
      <c r="E23" s="329"/>
      <c r="F23" s="16"/>
      <c r="G23" s="16"/>
      <c r="H23" s="16"/>
      <c r="I23" s="16"/>
      <c r="J23" s="16"/>
      <c r="K23" s="16"/>
      <c r="L23" s="16"/>
      <c r="M23" s="16"/>
      <c r="R23" s="23"/>
      <c r="S23" s="21"/>
      <c r="T23" s="21"/>
    </row>
    <row r="24" spans="1:22" x14ac:dyDescent="0.35">
      <c r="A24" s="23" t="s">
        <v>15</v>
      </c>
      <c r="B24" s="67" t="s">
        <v>382</v>
      </c>
      <c r="C24" s="21">
        <v>0.9</v>
      </c>
      <c r="E24" s="330"/>
      <c r="F24" s="21"/>
      <c r="G24" s="21"/>
      <c r="H24" s="21"/>
      <c r="I24" s="21"/>
      <c r="J24" s="21"/>
      <c r="K24" s="21"/>
      <c r="L24" s="21"/>
      <c r="M24" s="21"/>
      <c r="N24" s="21"/>
      <c r="O24" s="21"/>
      <c r="R24" s="23"/>
    </row>
    <row r="25" spans="1:22" x14ac:dyDescent="0.35">
      <c r="A25" s="23" t="s">
        <v>15</v>
      </c>
      <c r="B25" s="326" t="s">
        <v>7</v>
      </c>
      <c r="C25" s="21">
        <v>0.95</v>
      </c>
      <c r="E25" s="330"/>
      <c r="F25" s="21"/>
      <c r="G25" s="21"/>
      <c r="H25" s="21"/>
      <c r="I25" s="21"/>
      <c r="J25" s="21"/>
      <c r="K25" s="21"/>
      <c r="L25" s="21"/>
      <c r="M25" s="21"/>
      <c r="N25" s="21"/>
      <c r="O25" s="21"/>
      <c r="R25" s="24"/>
    </row>
    <row r="26" spans="1:22" x14ac:dyDescent="0.35">
      <c r="A26" s="23" t="s">
        <v>15</v>
      </c>
      <c r="B26" s="1" t="s">
        <v>8</v>
      </c>
      <c r="C26" s="21">
        <v>0.95</v>
      </c>
      <c r="E26" s="330"/>
      <c r="F26" s="21"/>
      <c r="G26" s="21"/>
      <c r="H26" s="21"/>
      <c r="I26" s="21"/>
      <c r="J26" s="21"/>
      <c r="K26" s="21"/>
      <c r="L26" s="21"/>
      <c r="M26" s="21"/>
      <c r="N26" s="21"/>
      <c r="O26" s="21"/>
      <c r="R26" s="24"/>
    </row>
    <row r="27" spans="1:22" x14ac:dyDescent="0.35">
      <c r="A27" s="23" t="s">
        <v>15</v>
      </c>
      <c r="B27" s="1" t="s">
        <v>9</v>
      </c>
      <c r="C27" s="21">
        <v>0.95</v>
      </c>
      <c r="E27" s="330"/>
      <c r="F27" s="21"/>
      <c r="G27" s="21"/>
      <c r="H27" s="21"/>
      <c r="I27" s="21"/>
      <c r="J27" s="21"/>
      <c r="K27" s="21"/>
      <c r="L27" s="21"/>
      <c r="M27" s="21"/>
      <c r="N27" s="21"/>
      <c r="O27" s="21"/>
      <c r="R27" s="24"/>
    </row>
    <row r="28" spans="1:22" x14ac:dyDescent="0.35">
      <c r="A28" s="23" t="s">
        <v>15</v>
      </c>
      <c r="B28" s="1" t="s">
        <v>10</v>
      </c>
      <c r="C28" s="21">
        <v>0.95</v>
      </c>
      <c r="E28" s="330"/>
      <c r="F28" s="21"/>
      <c r="G28" s="21"/>
      <c r="H28" s="21"/>
      <c r="I28" s="21"/>
      <c r="J28" s="21"/>
      <c r="K28" s="21"/>
      <c r="L28" s="21"/>
      <c r="M28" s="21"/>
      <c r="N28" s="21"/>
      <c r="O28" s="21"/>
      <c r="R28" s="23"/>
    </row>
    <row r="29" spans="1:22" x14ac:dyDescent="0.35">
      <c r="A29" s="23"/>
      <c r="B29" s="6"/>
      <c r="C29" s="6"/>
      <c r="E29" s="330"/>
      <c r="F29" s="21"/>
      <c r="G29" s="21"/>
      <c r="H29" s="21"/>
      <c r="I29" s="21"/>
      <c r="J29" s="21"/>
      <c r="K29" s="21"/>
      <c r="L29" s="21"/>
      <c r="M29" s="21"/>
      <c r="N29" s="21"/>
      <c r="O29" s="21"/>
      <c r="R29" s="23"/>
    </row>
    <row r="30" spans="1:22" x14ac:dyDescent="0.35">
      <c r="A30" s="23" t="s">
        <v>11</v>
      </c>
      <c r="B30" s="1" t="s">
        <v>382</v>
      </c>
      <c r="C30" s="21">
        <v>0.85</v>
      </c>
      <c r="E30" s="330"/>
      <c r="F30" s="21"/>
      <c r="G30" s="21"/>
      <c r="H30" s="21"/>
      <c r="I30" s="21"/>
      <c r="J30" s="21"/>
      <c r="K30" s="21"/>
      <c r="L30" s="21"/>
      <c r="M30" s="21"/>
      <c r="N30" s="21"/>
      <c r="O30" s="21"/>
    </row>
    <row r="31" spans="1:22" x14ac:dyDescent="0.35">
      <c r="A31" s="23" t="s">
        <v>11</v>
      </c>
      <c r="B31" s="326" t="s">
        <v>7</v>
      </c>
      <c r="C31" s="21">
        <v>0.95</v>
      </c>
      <c r="E31" s="330"/>
      <c r="F31" s="21"/>
      <c r="G31" s="21"/>
      <c r="H31" s="21"/>
      <c r="I31" s="21"/>
      <c r="J31" s="21"/>
      <c r="K31" s="21"/>
      <c r="L31" s="21"/>
      <c r="M31" s="21"/>
      <c r="N31" s="21"/>
      <c r="O31" s="21"/>
    </row>
    <row r="32" spans="1:22" x14ac:dyDescent="0.35">
      <c r="A32" s="23"/>
      <c r="B32" s="6"/>
      <c r="C32" s="6"/>
      <c r="E32" s="330"/>
      <c r="F32" s="21"/>
      <c r="G32" s="21"/>
      <c r="H32" s="21"/>
      <c r="I32" s="21"/>
      <c r="J32" s="21"/>
      <c r="K32" s="21"/>
      <c r="L32" s="21"/>
      <c r="M32" s="21"/>
      <c r="N32" s="21"/>
      <c r="O32" s="21"/>
      <c r="R32" s="23"/>
    </row>
    <row r="33" spans="1:18" x14ac:dyDescent="0.35">
      <c r="A33" s="24" t="s">
        <v>221</v>
      </c>
      <c r="B33" s="1" t="s">
        <v>382</v>
      </c>
      <c r="C33" s="21">
        <v>0.7</v>
      </c>
      <c r="E33" s="330"/>
      <c r="F33" s="21"/>
      <c r="G33" s="21"/>
      <c r="H33" s="21"/>
      <c r="I33" s="21"/>
      <c r="J33" s="21"/>
      <c r="K33" s="21"/>
      <c r="L33" s="21"/>
      <c r="M33" s="21"/>
      <c r="N33" s="21"/>
      <c r="O33" s="21"/>
      <c r="R33" s="23"/>
    </row>
    <row r="34" spans="1:18" x14ac:dyDescent="0.35">
      <c r="A34" s="23"/>
      <c r="B34" s="6"/>
      <c r="C34" s="6"/>
      <c r="E34" s="330"/>
      <c r="F34" s="21"/>
      <c r="G34" s="21"/>
      <c r="H34" s="21"/>
      <c r="I34" s="21"/>
      <c r="J34" s="21"/>
      <c r="K34" s="21"/>
      <c r="L34" s="21"/>
      <c r="M34" s="21"/>
      <c r="N34" s="21"/>
      <c r="O34" s="21"/>
    </row>
    <row r="35" spans="1:18" x14ac:dyDescent="0.35">
      <c r="A35" s="24" t="s">
        <v>13</v>
      </c>
      <c r="B35" s="1" t="s">
        <v>382</v>
      </c>
      <c r="C35" s="21">
        <v>0.4</v>
      </c>
      <c r="E35" s="330"/>
      <c r="F35" s="21"/>
      <c r="G35" s="21"/>
      <c r="H35" s="21"/>
      <c r="I35" s="21"/>
      <c r="J35" s="21"/>
      <c r="K35" s="21"/>
      <c r="L35" s="21"/>
      <c r="M35" s="21"/>
      <c r="N35" s="21"/>
      <c r="O35" s="21"/>
    </row>
    <row r="36" spans="1:18" x14ac:dyDescent="0.35">
      <c r="A36" s="23"/>
      <c r="B36" s="6"/>
      <c r="C36" s="6"/>
      <c r="E36" s="330"/>
      <c r="F36" s="21"/>
      <c r="G36" s="21"/>
      <c r="H36" s="21"/>
      <c r="I36" s="21"/>
      <c r="J36" s="21"/>
      <c r="K36" s="21"/>
      <c r="L36" s="21"/>
      <c r="M36" s="21"/>
      <c r="N36" s="21"/>
      <c r="O36" s="21"/>
    </row>
    <row r="37" spans="1:18" x14ac:dyDescent="0.35">
      <c r="A37" s="24" t="s">
        <v>12</v>
      </c>
      <c r="B37" s="1" t="s">
        <v>382</v>
      </c>
      <c r="C37" s="21">
        <v>0.7</v>
      </c>
      <c r="E37" s="330"/>
      <c r="F37" s="21"/>
      <c r="G37" s="21"/>
      <c r="H37" s="21"/>
      <c r="I37" s="21"/>
      <c r="J37" s="21"/>
      <c r="K37" s="21"/>
      <c r="L37" s="21"/>
      <c r="M37" s="21"/>
      <c r="N37" s="21"/>
      <c r="O37" s="21"/>
    </row>
    <row r="38" spans="1:18" x14ac:dyDescent="0.35">
      <c r="A38" s="24" t="s">
        <v>12</v>
      </c>
      <c r="B38" s="1" t="s">
        <v>7</v>
      </c>
      <c r="C38" s="21">
        <v>0.8</v>
      </c>
      <c r="E38" s="330"/>
      <c r="F38" s="21"/>
      <c r="G38" s="21"/>
      <c r="H38" s="21"/>
      <c r="I38" s="21"/>
      <c r="J38" s="21"/>
      <c r="K38" s="21"/>
      <c r="L38" s="21"/>
      <c r="M38" s="21"/>
      <c r="N38" s="21"/>
      <c r="O38" s="21"/>
    </row>
    <row r="39" spans="1:18" x14ac:dyDescent="0.35">
      <c r="A39" s="23"/>
      <c r="B39" s="6"/>
      <c r="C39" s="6"/>
      <c r="E39" s="330"/>
      <c r="F39" s="21"/>
      <c r="G39" s="21"/>
      <c r="H39" s="21"/>
      <c r="I39" s="21"/>
      <c r="J39" s="21"/>
      <c r="K39" s="21"/>
      <c r="L39" s="21"/>
      <c r="M39" s="21"/>
      <c r="N39" s="21"/>
      <c r="O39" s="21"/>
    </row>
    <row r="40" spans="1:18" x14ac:dyDescent="0.35">
      <c r="A40" s="23" t="s">
        <v>327</v>
      </c>
      <c r="B40" s="1" t="s">
        <v>382</v>
      </c>
      <c r="C40" s="21">
        <v>0.85</v>
      </c>
      <c r="E40" s="330"/>
      <c r="F40" s="21"/>
      <c r="G40" s="21"/>
      <c r="H40" s="21"/>
      <c r="I40" s="21"/>
      <c r="J40" s="21"/>
      <c r="K40" s="21"/>
      <c r="L40" s="21"/>
      <c r="M40" s="21"/>
      <c r="N40" s="21"/>
      <c r="O40" s="21"/>
    </row>
    <row r="41" spans="1:18" x14ac:dyDescent="0.35">
      <c r="A41" s="23" t="s">
        <v>327</v>
      </c>
      <c r="B41" s="326" t="s">
        <v>7</v>
      </c>
      <c r="C41" s="21">
        <v>0.95</v>
      </c>
      <c r="F41" s="21"/>
      <c r="G41" s="21"/>
      <c r="H41" s="21"/>
      <c r="I41" s="21"/>
      <c r="J41" s="21"/>
      <c r="K41" s="21"/>
      <c r="L41" s="21"/>
      <c r="M41" s="21"/>
      <c r="N41" s="21"/>
      <c r="O41" s="21"/>
    </row>
    <row r="42" spans="1:18" x14ac:dyDescent="0.35">
      <c r="A42" s="23"/>
      <c r="B42" s="6"/>
      <c r="C42" s="6"/>
      <c r="E42" s="23"/>
    </row>
    <row r="43" spans="1:18" x14ac:dyDescent="0.35">
      <c r="A43" s="23" t="s">
        <v>328</v>
      </c>
      <c r="B43" s="1" t="s">
        <v>382</v>
      </c>
      <c r="C43" s="21">
        <v>0.85</v>
      </c>
      <c r="E43" s="329"/>
      <c r="F43" s="16"/>
      <c r="G43" s="16"/>
      <c r="H43" s="16"/>
      <c r="I43" s="16"/>
      <c r="J43" s="16"/>
      <c r="K43" s="16"/>
      <c r="L43" s="16"/>
      <c r="M43" s="16"/>
    </row>
    <row r="44" spans="1:18" x14ac:dyDescent="0.35">
      <c r="A44" s="23" t="s">
        <v>328</v>
      </c>
      <c r="B44" s="326" t="s">
        <v>7</v>
      </c>
      <c r="C44" s="21">
        <v>0.95</v>
      </c>
      <c r="E44" s="330"/>
      <c r="F44" s="21"/>
      <c r="G44" s="21"/>
      <c r="H44" s="21"/>
      <c r="I44" s="21"/>
      <c r="J44" s="21"/>
      <c r="K44" s="21"/>
      <c r="L44" s="21"/>
      <c r="M44" s="21"/>
    </row>
    <row r="45" spans="1:18" x14ac:dyDescent="0.35">
      <c r="A45" s="23"/>
      <c r="B45" s="6"/>
      <c r="C45" s="6"/>
      <c r="E45" s="330"/>
      <c r="F45" s="21"/>
      <c r="G45" s="21"/>
      <c r="H45" s="21"/>
      <c r="I45" s="21"/>
      <c r="J45" s="21"/>
      <c r="K45" s="21"/>
      <c r="L45" s="21"/>
      <c r="M45" s="21"/>
    </row>
    <row r="46" spans="1:18" x14ac:dyDescent="0.35">
      <c r="A46" s="23" t="s">
        <v>14</v>
      </c>
      <c r="B46" s="1" t="s">
        <v>382</v>
      </c>
      <c r="C46" s="21">
        <v>0.7</v>
      </c>
      <c r="E46" s="330"/>
      <c r="F46" s="21"/>
      <c r="G46" s="21"/>
      <c r="H46" s="21"/>
      <c r="I46" s="21"/>
      <c r="J46" s="21"/>
      <c r="K46" s="21"/>
      <c r="L46" s="21"/>
      <c r="M46" s="21"/>
    </row>
    <row r="47" spans="1:18" x14ac:dyDescent="0.35">
      <c r="A47" s="23" t="s">
        <v>431</v>
      </c>
      <c r="B47" s="1" t="s">
        <v>382</v>
      </c>
      <c r="C47" s="21">
        <v>0.7</v>
      </c>
      <c r="E47" s="330"/>
      <c r="F47" s="21"/>
      <c r="G47" s="21"/>
      <c r="H47" s="21"/>
      <c r="I47" s="21"/>
      <c r="J47" s="21"/>
      <c r="K47" s="21"/>
      <c r="L47" s="21"/>
      <c r="M47" s="21"/>
    </row>
    <row r="48" spans="1:18" x14ac:dyDescent="0.35">
      <c r="A48" s="23"/>
      <c r="B48" s="6"/>
      <c r="C48" s="6"/>
      <c r="E48" s="330"/>
      <c r="F48" s="21"/>
      <c r="G48" s="21"/>
      <c r="H48" s="21"/>
      <c r="I48" s="21"/>
      <c r="J48" s="21"/>
      <c r="K48" s="21"/>
      <c r="L48" s="21"/>
      <c r="M48" s="21"/>
    </row>
    <row r="49" spans="1:13" x14ac:dyDescent="0.35">
      <c r="A49" s="902" t="s">
        <v>134</v>
      </c>
      <c r="B49" s="902"/>
      <c r="C49" s="902"/>
      <c r="E49" s="330"/>
      <c r="F49" s="21"/>
      <c r="G49" s="21"/>
      <c r="H49" s="21"/>
      <c r="I49" s="21"/>
      <c r="J49" s="21"/>
      <c r="K49" s="21"/>
      <c r="L49" s="21"/>
      <c r="M49" s="21"/>
    </row>
    <row r="50" spans="1:13" x14ac:dyDescent="0.35">
      <c r="A50" s="7" t="s">
        <v>2</v>
      </c>
      <c r="B50" s="7" t="s">
        <v>83</v>
      </c>
      <c r="C50" s="7" t="s">
        <v>216</v>
      </c>
      <c r="E50" s="330"/>
      <c r="F50" s="21"/>
      <c r="G50" s="21"/>
      <c r="H50" s="21"/>
      <c r="I50" s="21"/>
      <c r="J50" s="21"/>
      <c r="K50" s="21"/>
      <c r="L50" s="21"/>
      <c r="M50" s="21"/>
    </row>
    <row r="51" spans="1:13" x14ac:dyDescent="0.35">
      <c r="A51" s="23" t="s">
        <v>15</v>
      </c>
      <c r="B51" s="67" t="s">
        <v>382</v>
      </c>
      <c r="C51" s="21">
        <v>0.9</v>
      </c>
      <c r="E51" s="330"/>
      <c r="F51" s="21"/>
      <c r="G51" s="21"/>
      <c r="H51" s="21"/>
      <c r="I51" s="21"/>
      <c r="J51" s="21"/>
      <c r="K51" s="21"/>
      <c r="L51" s="21"/>
      <c r="M51" s="21"/>
    </row>
    <row r="52" spans="1:13" x14ac:dyDescent="0.35">
      <c r="A52" s="23" t="s">
        <v>15</v>
      </c>
      <c r="B52" s="326" t="s">
        <v>7</v>
      </c>
      <c r="C52" s="21">
        <v>0.95</v>
      </c>
      <c r="E52" s="330"/>
      <c r="F52" s="21"/>
      <c r="G52" s="21"/>
      <c r="H52" s="21"/>
      <c r="I52" s="21"/>
      <c r="J52" s="21"/>
      <c r="K52" s="21"/>
      <c r="L52" s="21"/>
      <c r="M52" s="21"/>
    </row>
    <row r="53" spans="1:13" x14ac:dyDescent="0.35">
      <c r="A53" s="23" t="s">
        <v>15</v>
      </c>
      <c r="B53" s="1" t="s">
        <v>8</v>
      </c>
      <c r="C53" s="21">
        <v>0.95</v>
      </c>
      <c r="E53" s="330"/>
      <c r="F53" s="21"/>
      <c r="G53" s="21"/>
      <c r="H53" s="21"/>
      <c r="I53" s="21"/>
      <c r="J53" s="21"/>
      <c r="K53" s="21"/>
      <c r="L53" s="21"/>
      <c r="M53" s="21"/>
    </row>
    <row r="54" spans="1:13" x14ac:dyDescent="0.35">
      <c r="A54" s="23" t="s">
        <v>15</v>
      </c>
      <c r="B54" s="1" t="s">
        <v>483</v>
      </c>
      <c r="C54" s="21">
        <v>0.95</v>
      </c>
      <c r="E54" s="330"/>
      <c r="F54" s="21"/>
      <c r="G54" s="21"/>
      <c r="H54" s="21"/>
      <c r="I54" s="21"/>
      <c r="J54" s="21"/>
      <c r="K54" s="21"/>
      <c r="L54" s="21"/>
      <c r="M54" s="21"/>
    </row>
    <row r="55" spans="1:13" x14ac:dyDescent="0.35">
      <c r="A55" s="23" t="s">
        <v>15</v>
      </c>
      <c r="B55" s="1" t="s">
        <v>10</v>
      </c>
      <c r="C55" s="21">
        <v>0.95</v>
      </c>
      <c r="E55" s="330"/>
      <c r="F55" s="21"/>
      <c r="G55" s="21"/>
      <c r="H55" s="21"/>
      <c r="I55" s="21"/>
      <c r="J55" s="21"/>
      <c r="K55" s="21"/>
      <c r="L55" s="21"/>
      <c r="M55" s="21"/>
    </row>
    <row r="56" spans="1:13" x14ac:dyDescent="0.35">
      <c r="A56" s="23"/>
      <c r="B56" s="6"/>
      <c r="C56" s="6"/>
      <c r="E56" s="330"/>
      <c r="F56" s="21"/>
      <c r="G56" s="21"/>
      <c r="H56" s="21"/>
      <c r="I56" s="21"/>
      <c r="J56" s="21"/>
      <c r="K56" s="21"/>
      <c r="L56" s="21"/>
      <c r="M56" s="21"/>
    </row>
    <row r="57" spans="1:13" x14ac:dyDescent="0.35">
      <c r="A57" s="23" t="s">
        <v>11</v>
      </c>
      <c r="B57" s="1" t="s">
        <v>382</v>
      </c>
      <c r="C57" s="21">
        <v>0.85</v>
      </c>
      <c r="E57" s="330"/>
      <c r="F57" s="21"/>
      <c r="G57" s="21"/>
      <c r="H57" s="21"/>
      <c r="I57" s="21"/>
      <c r="J57" s="21"/>
      <c r="K57" s="21"/>
      <c r="L57" s="21"/>
      <c r="M57" s="21"/>
    </row>
    <row r="58" spans="1:13" x14ac:dyDescent="0.35">
      <c r="A58" s="23" t="s">
        <v>11</v>
      </c>
      <c r="B58" s="326" t="s">
        <v>7</v>
      </c>
      <c r="C58" s="21">
        <v>0.95</v>
      </c>
      <c r="E58" s="330"/>
      <c r="F58" s="21"/>
      <c r="G58" s="21"/>
      <c r="H58" s="21"/>
      <c r="I58" s="21"/>
      <c r="J58" s="21"/>
      <c r="K58" s="21"/>
      <c r="L58" s="21"/>
      <c r="M58" s="21"/>
    </row>
    <row r="59" spans="1:13" x14ac:dyDescent="0.35">
      <c r="A59" s="23"/>
      <c r="B59" s="6"/>
      <c r="C59" s="6"/>
      <c r="E59" s="330"/>
      <c r="F59" s="21"/>
      <c r="G59" s="21"/>
      <c r="H59" s="21"/>
      <c r="I59" s="21"/>
      <c r="J59" s="21"/>
      <c r="K59" s="21"/>
      <c r="L59" s="21"/>
      <c r="M59" s="21"/>
    </row>
    <row r="60" spans="1:13" x14ac:dyDescent="0.35">
      <c r="A60" s="24" t="s">
        <v>440</v>
      </c>
      <c r="B60" s="1" t="s">
        <v>382</v>
      </c>
      <c r="C60" s="21">
        <v>0.7</v>
      </c>
      <c r="E60" s="330"/>
      <c r="F60" s="21"/>
      <c r="G60" s="21"/>
      <c r="H60" s="21"/>
      <c r="I60" s="21"/>
      <c r="J60" s="21"/>
      <c r="K60" s="21"/>
      <c r="L60" s="21"/>
      <c r="M60" s="21"/>
    </row>
    <row r="61" spans="1:13" x14ac:dyDescent="0.35">
      <c r="A61" s="23"/>
      <c r="B61" s="6"/>
      <c r="C61" s="6"/>
      <c r="E61" s="330"/>
      <c r="F61" s="21"/>
      <c r="H61" s="21"/>
      <c r="I61" s="21"/>
    </row>
    <row r="62" spans="1:13" x14ac:dyDescent="0.35">
      <c r="A62" s="24" t="s">
        <v>13</v>
      </c>
      <c r="B62" s="1" t="s">
        <v>382</v>
      </c>
      <c r="C62" s="21">
        <v>0.4</v>
      </c>
    </row>
    <row r="63" spans="1:13" x14ac:dyDescent="0.35">
      <c r="A63" s="23"/>
      <c r="B63" s="6"/>
      <c r="C63" s="6"/>
    </row>
    <row r="64" spans="1:13" x14ac:dyDescent="0.35">
      <c r="A64" s="24" t="s">
        <v>12</v>
      </c>
      <c r="B64" s="1" t="s">
        <v>382</v>
      </c>
      <c r="C64" s="21">
        <v>0.7</v>
      </c>
    </row>
    <row r="65" spans="1:3" x14ac:dyDescent="0.35">
      <c r="A65" s="24" t="s">
        <v>12</v>
      </c>
      <c r="B65" s="1" t="s">
        <v>7</v>
      </c>
      <c r="C65" s="21">
        <v>0.8</v>
      </c>
    </row>
    <row r="66" spans="1:3" x14ac:dyDescent="0.35">
      <c r="A66" s="23"/>
      <c r="B66" s="6"/>
      <c r="C66" s="6"/>
    </row>
    <row r="67" spans="1:3" x14ac:dyDescent="0.35">
      <c r="A67" s="23" t="s">
        <v>327</v>
      </c>
      <c r="B67" s="1" t="s">
        <v>382</v>
      </c>
      <c r="C67" s="21">
        <v>0.85</v>
      </c>
    </row>
    <row r="68" spans="1:3" x14ac:dyDescent="0.35">
      <c r="A68" s="23" t="s">
        <v>327</v>
      </c>
      <c r="B68" s="326" t="s">
        <v>7</v>
      </c>
      <c r="C68" s="21">
        <v>0.95</v>
      </c>
    </row>
    <row r="69" spans="1:3" x14ac:dyDescent="0.35">
      <c r="A69" s="23"/>
      <c r="B69" s="6"/>
      <c r="C69" s="6"/>
    </row>
    <row r="70" spans="1:3" x14ac:dyDescent="0.35">
      <c r="A70" s="23" t="s">
        <v>328</v>
      </c>
      <c r="B70" s="1" t="s">
        <v>382</v>
      </c>
      <c r="C70" s="21">
        <v>0.85</v>
      </c>
    </row>
    <row r="71" spans="1:3" x14ac:dyDescent="0.35">
      <c r="A71" s="23" t="s">
        <v>328</v>
      </c>
      <c r="B71" s="326" t="s">
        <v>7</v>
      </c>
      <c r="C71" s="21">
        <v>0.95</v>
      </c>
    </row>
  </sheetData>
  <mergeCells count="2">
    <mergeCell ref="A22:C22"/>
    <mergeCell ref="A49:C49"/>
  </mergeCells>
  <pageMargins left="0.7" right="0.7" top="0.75" bottom="0.75" header="0.3" footer="0.3"/>
  <pageSetup orientation="portrait" horizontalDpi="360" verticalDpi="36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dimension ref="A1:M390"/>
  <sheetViews>
    <sheetView topLeftCell="A3" workbookViewId="0">
      <selection activeCell="F13" sqref="F13"/>
    </sheetView>
  </sheetViews>
  <sheetFormatPr baseColWidth="10" defaultColWidth="9.1796875" defaultRowHeight="10.5" x14ac:dyDescent="0.25"/>
  <cols>
    <col min="1" max="1" width="21.81640625" style="6" customWidth="1"/>
    <col min="2" max="2" width="16" style="6" bestFit="1" customWidth="1"/>
    <col min="3" max="3" width="4" style="6" customWidth="1"/>
    <col min="4" max="4" width="23.7265625" style="6" bestFit="1" customWidth="1"/>
    <col min="5" max="5" width="23.7265625" style="6" customWidth="1"/>
    <col min="6" max="6" width="24.81640625" style="6" customWidth="1"/>
    <col min="7" max="9" width="23.7265625" style="6" customWidth="1"/>
    <col min="10" max="10" width="10.453125" style="6" customWidth="1"/>
    <col min="11" max="11" width="17.54296875" style="6" bestFit="1" customWidth="1"/>
    <col min="12" max="16384" width="9.1796875" style="6"/>
  </cols>
  <sheetData>
    <row r="1" spans="1:13" x14ac:dyDescent="0.25">
      <c r="A1" s="45" t="s">
        <v>143</v>
      </c>
    </row>
    <row r="3" spans="1:13" ht="15" customHeight="1" x14ac:dyDescent="0.25">
      <c r="A3" s="46" t="s">
        <v>98</v>
      </c>
      <c r="B3" s="46"/>
      <c r="D3" s="47" t="s">
        <v>99</v>
      </c>
      <c r="E3" s="47"/>
      <c r="F3" s="47"/>
      <c r="G3" s="47"/>
      <c r="H3" s="47"/>
      <c r="I3" s="47"/>
      <c r="J3" s="47"/>
      <c r="K3" s="47"/>
      <c r="L3" s="47"/>
      <c r="M3" s="47"/>
    </row>
    <row r="4" spans="1:13" ht="15" customHeight="1" x14ac:dyDescent="0.25">
      <c r="A4" s="6" t="s">
        <v>144</v>
      </c>
      <c r="B4" s="8">
        <v>30.4</v>
      </c>
    </row>
    <row r="5" spans="1:13" ht="15" customHeight="1" x14ac:dyDescent="0.25">
      <c r="A5" s="6" t="s">
        <v>145</v>
      </c>
      <c r="B5" s="28">
        <f>Simulador!F19</f>
        <v>240</v>
      </c>
      <c r="C5" s="6" t="s">
        <v>71</v>
      </c>
      <c r="D5" s="48" t="s">
        <v>146</v>
      </c>
      <c r="E5" s="48"/>
      <c r="F5" s="48"/>
      <c r="G5" s="48"/>
      <c r="H5" s="48"/>
      <c r="I5" s="48"/>
      <c r="J5" s="6" t="s">
        <v>71</v>
      </c>
      <c r="K5" s="49"/>
      <c r="L5" s="50"/>
      <c r="M5" s="51"/>
    </row>
    <row r="6" spans="1:13" ht="15" customHeight="1" x14ac:dyDescent="0.25">
      <c r="A6" s="6" t="s">
        <v>147</v>
      </c>
      <c r="B6" s="9">
        <f>IF(Simulador!$N$17="SI",Simulador!$H$48+Simulador!$L$46,Simulador!$H$48)</f>
        <v>1000000</v>
      </c>
      <c r="E6" s="52" t="s">
        <v>1</v>
      </c>
      <c r="F6" s="53" t="str">
        <f>i.Nombre_Producto</f>
        <v>Hipoteca Fuerte Cero</v>
      </c>
      <c r="G6" s="52" t="s">
        <v>116</v>
      </c>
      <c r="H6" s="53" t="str">
        <f>i.Etiqueta_Seguro</f>
        <v>Básico</v>
      </c>
      <c r="I6" s="53" t="str">
        <f>i.Etiqueta_Seguro</f>
        <v>Básico</v>
      </c>
      <c r="K6" s="6" t="s">
        <v>215</v>
      </c>
    </row>
    <row r="7" spans="1:13" ht="15" customHeight="1" x14ac:dyDescent="0.25">
      <c r="A7" s="6" t="s">
        <v>148</v>
      </c>
      <c r="B7" s="8">
        <f>IF(Simulador!$F$9='Tabla Parámetros'!$J$8,2.5,2)</f>
        <v>2</v>
      </c>
      <c r="E7" s="54" t="s">
        <v>117</v>
      </c>
      <c r="F7" s="55">
        <f>i.Valor_Vivienda</f>
        <v>3498000</v>
      </c>
      <c r="G7" s="54" t="str">
        <f>i.Etiqueta_Apertura &amp; ":"</f>
        <v>Apertura 1.00%:</v>
      </c>
      <c r="H7" s="55">
        <f>i.Apertura_Sin_IVA</f>
        <v>0</v>
      </c>
      <c r="I7" s="55">
        <f>i.Apertura_Sin_IVA</f>
        <v>0</v>
      </c>
      <c r="K7" s="34">
        <f>IF(Sheet1!I10=6,'Pago x mil'!i.Monto_Total_Crédito,IF(Simulador!$K$13="SI",Simulador!O13,Simulador!N13))</f>
        <v>2448600</v>
      </c>
    </row>
    <row r="8" spans="1:13" x14ac:dyDescent="0.25">
      <c r="A8" s="6" t="s">
        <v>149</v>
      </c>
      <c r="B8" s="42">
        <v>0.16</v>
      </c>
      <c r="E8" s="52" t="s">
        <v>118</v>
      </c>
      <c r="F8" s="56">
        <f>i.Monto_Total_Crédito</f>
        <v>1000000</v>
      </c>
      <c r="G8" s="52" t="s">
        <v>119</v>
      </c>
      <c r="H8" s="56">
        <f>i.Avalúo_con_IVA</f>
        <v>0</v>
      </c>
      <c r="I8" s="56">
        <f>i.Avalúo_con_IVA</f>
        <v>0</v>
      </c>
    </row>
    <row r="9" spans="1:13" x14ac:dyDescent="0.25">
      <c r="A9" s="6" t="s">
        <v>150</v>
      </c>
      <c r="B9" s="8">
        <f>IF(i.Etiqueta_Seguro='Tabla Parámetros'!N4,'Tabla Parámetros'!R5,IF('Pago x mil'!i.Etiqueta_Seguro='Tabla Parámetros'!N3,'Tabla Parámetros'!R10,))</f>
        <v>0</v>
      </c>
      <c r="E9" s="54" t="s">
        <v>120</v>
      </c>
      <c r="F9" s="57">
        <f>i.Plazo_Crédito</f>
        <v>240</v>
      </c>
      <c r="G9" s="54" t="s">
        <v>121</v>
      </c>
      <c r="H9" s="55">
        <f>i.Gastos_Notariales</f>
        <v>174900</v>
      </c>
      <c r="I9" s="55">
        <f>i.Gastos_Notariales</f>
        <v>174900</v>
      </c>
    </row>
    <row r="10" spans="1:13" x14ac:dyDescent="0.25">
      <c r="A10" s="6" t="s">
        <v>151</v>
      </c>
      <c r="B10" s="8">
        <f>IF(i.Etiqueta_Seguro='Tabla Parámetros'!N4,'Tabla Parámetros'!S5,IF('Pago x mil'!i.Etiqueta_Seguro='Tabla Parámetros'!N3,'Tabla Parámetros'!S10,))</f>
        <v>0</v>
      </c>
    </row>
    <row r="11" spans="1:13" x14ac:dyDescent="0.25">
      <c r="A11" s="6" t="s">
        <v>152</v>
      </c>
      <c r="B11" s="9">
        <f>Sheet1!C29</f>
        <v>0</v>
      </c>
      <c r="D11" s="58"/>
      <c r="E11" s="58" t="s">
        <v>540</v>
      </c>
      <c r="F11" s="58" t="s">
        <v>210</v>
      </c>
      <c r="G11" s="58" t="str">
        <f>IF(Simulador!E11=2,Simulador!F11,"Baja")</f>
        <v>Baja</v>
      </c>
      <c r="H11" s="58" t="s">
        <v>542</v>
      </c>
      <c r="I11" s="58" t="s">
        <v>543</v>
      </c>
    </row>
    <row r="12" spans="1:13" x14ac:dyDescent="0.25">
      <c r="A12" s="6" t="s">
        <v>153</v>
      </c>
      <c r="B12" s="6" t="b">
        <f>IF(Simulador!E11=2,TRUE,FALSE)</f>
        <v>0</v>
      </c>
      <c r="D12" s="6" t="s">
        <v>122</v>
      </c>
      <c r="E12" s="59">
        <f>B22</f>
        <v>9.1499999999999998E-2</v>
      </c>
      <c r="F12" s="59">
        <f>B23</f>
        <v>0.11</v>
      </c>
      <c r="G12" s="59">
        <f>IF(i.Nombre_Producto="Hipoteca Simple Banorte",11.15%,B24)</f>
        <v>0.10150000000000001</v>
      </c>
      <c r="H12" s="59">
        <f>B25</f>
        <v>0.1055</v>
      </c>
      <c r="I12" s="59">
        <f>i.Producto_Multitasa?</f>
        <v>0.1115</v>
      </c>
      <c r="K12" s="14">
        <f>E12</f>
        <v>9.1499999999999998E-2</v>
      </c>
    </row>
    <row r="13" spans="1:13" x14ac:dyDescent="0.25">
      <c r="D13" s="6" t="s">
        <v>123</v>
      </c>
      <c r="E13" s="44">
        <f>PMT(Tasa_Interés / 360 * i.Días_PMT,i.Plazo_Crédito,-1000)</f>
        <v>9.1729317361043599</v>
      </c>
      <c r="F13" s="44">
        <f>IF(Sheet1!Z1=2,'Tabla de Incrementos'!E1,PMT(Tasa_Interés / 360 * i.Días_PMT,i.Plazo_Crédito,-1000))</f>
        <v>10.421884210717653</v>
      </c>
      <c r="G13" s="44">
        <f>PMT(Tasa_Interés / 360 * i.Días_PMT,i.Plazo_Crédito,-1000)</f>
        <v>9.8400189948470551</v>
      </c>
      <c r="H13" s="44">
        <f>PMT(Tasa_Interés / 360 * i.Días_PMT,i.Plazo_Crédito,-1000)</f>
        <v>10.112200369917275</v>
      </c>
      <c r="I13" s="44">
        <f>PMT(Tasa_Interés / 360 * i.Días_PMT,i.Plazo_Crédito,-1000)</f>
        <v>10.525909047794416</v>
      </c>
      <c r="K13" s="14">
        <f>F12</f>
        <v>0.11</v>
      </c>
    </row>
    <row r="14" spans="1:13" x14ac:dyDescent="0.25">
      <c r="A14" s="6" t="s">
        <v>154</v>
      </c>
      <c r="B14" s="8" t="str">
        <f>Simulador!H46</f>
        <v>Hipoteca Fuerte Cero</v>
      </c>
      <c r="K14" s="14">
        <f>G12</f>
        <v>0.10150000000000001</v>
      </c>
    </row>
    <row r="15" spans="1:13" x14ac:dyDescent="0.25">
      <c r="A15" s="6" t="s">
        <v>155</v>
      </c>
      <c r="B15" s="9">
        <f>Simulador!N11</f>
        <v>3498000</v>
      </c>
      <c r="D15" s="6" t="s">
        <v>156</v>
      </c>
      <c r="E15" s="60">
        <f>i.Monto_Total_Crédito / 1000 * Pago_por_Mil</f>
        <v>9172.9317361043595</v>
      </c>
      <c r="F15" s="60">
        <f>i.Monto_Total_Crédito / 1000 * Pago_por_Mil</f>
        <v>10421.884210717653</v>
      </c>
      <c r="G15" s="60">
        <f>i.Monto_Total_Crédito / 1000 * Pago_por_Mil</f>
        <v>9840.0189948470543</v>
      </c>
      <c r="H15" s="60">
        <f>i.Monto_Total_Crédito / 1000 * Pago_por_Mil</f>
        <v>10112.200369917275</v>
      </c>
      <c r="I15" s="60">
        <f>i.Monto_Total_Crédito / 1000 * Pago_por_Mil</f>
        <v>10525.909047794416</v>
      </c>
      <c r="K15" s="14">
        <f>H12</f>
        <v>0.1055</v>
      </c>
    </row>
    <row r="16" spans="1:13" x14ac:dyDescent="0.25">
      <c r="A16" s="6" t="s">
        <v>157</v>
      </c>
      <c r="B16" s="8" t="str">
        <f>Simulador!$N$9</f>
        <v>Básico</v>
      </c>
      <c r="D16" s="6" t="s">
        <v>158</v>
      </c>
      <c r="E16" s="60">
        <f>i.Monto_Total_Crédito * Tasa_Interés / 360 * i.Días_PMT * i.IVA_Intereses * (i.Aplica_IVA?)</f>
        <v>0</v>
      </c>
      <c r="F16" s="60">
        <f>i.Monto_Total_Crédito * Tasa_Interés / 360 * i.Días_PMT * i.IVA_Intereses * (i.Aplica_IVA?)</f>
        <v>0</v>
      </c>
      <c r="G16" s="60">
        <f>i.Monto_Total_Crédito * Tasa_Interés / 360 * i.Días_PMT * i.IVA_Intereses * (i.Aplica_IVA?)</f>
        <v>0</v>
      </c>
      <c r="H16" s="60">
        <f>i.Monto_Total_Crédito * Tasa_Interés / 360 * i.Días_PMT * i.IVA_Intereses * (i.Aplica_IVA?)</f>
        <v>0</v>
      </c>
      <c r="I16" s="60">
        <f>i.Monto_Total_Crédito * Tasa_Interés / 360 * i.Días_PMT * i.IVA_Intereses * (i.Aplica_IVA?)</f>
        <v>0</v>
      </c>
      <c r="K16" s="14">
        <f>I12</f>
        <v>0.1115</v>
      </c>
    </row>
    <row r="17" spans="1:12" x14ac:dyDescent="0.25">
      <c r="A17" s="6" t="s">
        <v>159</v>
      </c>
      <c r="B17" s="9">
        <f>Simulador!N15/1.16</f>
        <v>0</v>
      </c>
      <c r="D17" s="6" t="s">
        <v>20</v>
      </c>
      <c r="E17" s="60">
        <f>i.Monto_Total_Crédito * i.Factor_Seguro_Vida</f>
        <v>0</v>
      </c>
      <c r="F17" s="60">
        <f>i.Monto_Total_Crédito * i.Factor_Seguro_Vida</f>
        <v>0</v>
      </c>
      <c r="G17" s="60">
        <f>i.Monto_Total_Crédito * i.Factor_Seguro_Vida</f>
        <v>0</v>
      </c>
      <c r="H17" s="60">
        <f>i.Monto_Total_Crédito * i.Factor_Seguro_Vida</f>
        <v>0</v>
      </c>
      <c r="I17" s="60">
        <f>i.Monto_Total_Crédito * i.Factor_Seguro_Vida</f>
        <v>0</v>
      </c>
    </row>
    <row r="18" spans="1:12" x14ac:dyDescent="0.25">
      <c r="A18" s="6" t="s">
        <v>160</v>
      </c>
      <c r="B18" s="9">
        <f>'Tabla Parámetros'!R90</f>
        <v>0</v>
      </c>
      <c r="D18" s="6" t="s">
        <v>161</v>
      </c>
      <c r="E18" s="60">
        <f>K7 * i.Factor_Seguro_Daños</f>
        <v>0</v>
      </c>
      <c r="F18" s="60">
        <f>K7 * i.Factor_Seguro_Daños</f>
        <v>0</v>
      </c>
      <c r="G18" s="60">
        <f>K7 * i.Factor_Seguro_Daños</f>
        <v>0</v>
      </c>
      <c r="H18" s="60">
        <f>K7 * i.Factor_Seguro_Daños</f>
        <v>0</v>
      </c>
      <c r="I18" s="60">
        <f>K7 * i.Factor_Seguro_Daños</f>
        <v>0</v>
      </c>
      <c r="K18" s="6" t="s">
        <v>219</v>
      </c>
      <c r="L18" s="110">
        <v>0.155</v>
      </c>
    </row>
    <row r="19" spans="1:12" x14ac:dyDescent="0.25">
      <c r="A19" s="6" t="s">
        <v>162</v>
      </c>
      <c r="B19" s="9">
        <f>Simulador!L48</f>
        <v>174900</v>
      </c>
      <c r="D19" s="6" t="s">
        <v>163</v>
      </c>
      <c r="E19" s="60">
        <f>i.Comisión_Diferida</f>
        <v>0</v>
      </c>
      <c r="F19" s="60">
        <f>i.Comisión_Diferida</f>
        <v>0</v>
      </c>
      <c r="G19" s="60">
        <f>i.Comisión_Diferida</f>
        <v>0</v>
      </c>
      <c r="H19" s="60">
        <f>i.Comisión_Diferida</f>
        <v>0</v>
      </c>
      <c r="I19" s="60">
        <f>i.Comisión_Diferida</f>
        <v>0</v>
      </c>
      <c r="L19" s="110">
        <v>0.157</v>
      </c>
    </row>
    <row r="20" spans="1:12" x14ac:dyDescent="0.25">
      <c r="A20" s="6" t="s">
        <v>164</v>
      </c>
      <c r="B20" s="6" t="s">
        <v>211</v>
      </c>
    </row>
    <row r="21" spans="1:12" x14ac:dyDescent="0.25">
      <c r="D21" s="6" t="s">
        <v>124</v>
      </c>
      <c r="E21" s="55">
        <f>Pago_Crédito + I.V.A. + Seguro_de_Vida + Seguro_de_Daños + Comisión_Dif</f>
        <v>9172.9317361043595</v>
      </c>
      <c r="F21" s="55">
        <f>Pago_Crédito + I.V.A. + Seguro_de_Vida + Seguro_de_Daños + Comisión_Dif</f>
        <v>10421.884210717653</v>
      </c>
      <c r="G21" s="55">
        <f>Pago_Crédito + I.V.A. + Seguro_de_Vida + Seguro_de_Daños + Comisión_Dif</f>
        <v>9840.0189948470543</v>
      </c>
      <c r="H21" s="55">
        <f>Pago_Crédito + I.V.A. + Seguro_de_Vida + Seguro_de_Daños + Comisión_Dif</f>
        <v>10112.200369917275</v>
      </c>
      <c r="I21" s="55">
        <f>Pago_Crédito + I.V.A. + Seguro_de_Vida + Seguro_de_Daños + Comisión_Dif</f>
        <v>10525.909047794416</v>
      </c>
    </row>
    <row r="22" spans="1:12" x14ac:dyDescent="0.25">
      <c r="A22" s="6" t="s">
        <v>142</v>
      </c>
      <c r="B22" s="42">
        <f>IF(OR(Sheet1!$I$10=5,Sheet1!$I$10=6),"",'Tabla Parámetros'!D3)</f>
        <v>9.1499999999999998E-2</v>
      </c>
      <c r="D22" s="6" t="s">
        <v>125</v>
      </c>
      <c r="E22" s="44">
        <f>Pago_Total_Mensual * i.Relación_Ingreso_Pago</f>
        <v>18345.863472208719</v>
      </c>
      <c r="F22" s="44">
        <f>Pago_Total_Mensual * i.Relación_Ingreso_Pago</f>
        <v>20843.768421435307</v>
      </c>
      <c r="G22" s="44">
        <f>Pago_Total_Mensual * i.Relación_Ingreso_Pago</f>
        <v>19680.037989694109</v>
      </c>
      <c r="H22" s="44">
        <f>Pago_Total_Mensual * i.Relación_Ingreso_Pago</f>
        <v>20224.400739834549</v>
      </c>
      <c r="I22" s="44">
        <f>Pago_Total_Mensual * i.Relación_Ingreso_Pago</f>
        <v>21051.818095588831</v>
      </c>
    </row>
    <row r="23" spans="1:12" x14ac:dyDescent="0.25">
      <c r="B23" s="42">
        <f>IF(OR(Sheet1!$I$10=5,Sheet1!$I$10=6),'Tabla Parámetros'!$D$19,Sheet1!AB1)</f>
        <v>0.11</v>
      </c>
    </row>
    <row r="24" spans="1:12" x14ac:dyDescent="0.25">
      <c r="B24" s="42">
        <f>IF(OR(Sheet1!$I$10=5,Sheet1!$I$10=6),"",'Tabla Parámetros'!D5)</f>
        <v>0.10150000000000001</v>
      </c>
      <c r="E24" s="434">
        <f>+SUM(E15:E18)</f>
        <v>9172.9317361043595</v>
      </c>
      <c r="F24" s="434">
        <f t="shared" ref="F24:H24" si="0">+SUM(F15:F18)</f>
        <v>10421.884210717653</v>
      </c>
      <c r="G24" s="434">
        <f t="shared" si="0"/>
        <v>9840.0189948470543</v>
      </c>
      <c r="H24" s="434">
        <f t="shared" si="0"/>
        <v>10112.200369917275</v>
      </c>
      <c r="I24" s="434">
        <f t="shared" ref="I24" si="1">+SUM(I15:I18)</f>
        <v>10525.909047794416</v>
      </c>
    </row>
    <row r="25" spans="1:12" x14ac:dyDescent="0.25">
      <c r="B25" s="42">
        <f>IF(OR(Sheet1!$I$10=5,Sheet1!$I$10=6),"",'Tabla Parámetros'!D6)</f>
        <v>0.1055</v>
      </c>
      <c r="E25" s="435">
        <f>+E24/1000</f>
        <v>9.1729317361043599</v>
      </c>
      <c r="F25" s="435">
        <f t="shared" ref="F25:H25" si="2">+F24/1000</f>
        <v>10.421884210717653</v>
      </c>
      <c r="G25" s="435">
        <f t="shared" si="2"/>
        <v>9.8400189948470551</v>
      </c>
      <c r="H25" s="435">
        <f t="shared" si="2"/>
        <v>10.112200369917275</v>
      </c>
      <c r="I25" s="435">
        <f t="shared" ref="I25" si="3">+I24/1000</f>
        <v>10.525909047794416</v>
      </c>
    </row>
    <row r="26" spans="1:12" x14ac:dyDescent="0.25">
      <c r="B26" s="42">
        <f>IF(OR(Sheet1!$I$10=5,Sheet1!$I$10=6),"",'Tabla Parámetros'!D7)</f>
        <v>0.1115</v>
      </c>
    </row>
    <row r="27" spans="1:12" x14ac:dyDescent="0.25">
      <c r="A27" s="6" t="s">
        <v>212</v>
      </c>
      <c r="B27" s="10">
        <v>9.1499999999999998E-2</v>
      </c>
    </row>
    <row r="28" spans="1:12" x14ac:dyDescent="0.25">
      <c r="B28" s="10">
        <v>9.849999999999999E-2</v>
      </c>
      <c r="D28" s="8" t="s">
        <v>113</v>
      </c>
      <c r="E28" s="8" t="s">
        <v>114</v>
      </c>
      <c r="F28" s="8" t="s">
        <v>165</v>
      </c>
      <c r="G28" s="8" t="s">
        <v>166</v>
      </c>
      <c r="H28" s="8"/>
      <c r="I28" s="8"/>
    </row>
    <row r="29" spans="1:12" x14ac:dyDescent="0.25">
      <c r="B29" s="10">
        <v>0.10150000000000001</v>
      </c>
      <c r="D29" s="9">
        <f>AVERAGE(D31:D390)</f>
        <v>73359.819568750012</v>
      </c>
      <c r="E29" s="42">
        <v>0.10130000000000033</v>
      </c>
      <c r="G29" s="9">
        <f>SUM(G31:G390)</f>
        <v>-16627463.654000003</v>
      </c>
      <c r="H29" s="9"/>
      <c r="I29" s="9"/>
    </row>
    <row r="30" spans="1:12" x14ac:dyDescent="0.25">
      <c r="B30" s="10">
        <v>0.1055</v>
      </c>
      <c r="D30" s="9"/>
    </row>
    <row r="31" spans="1:12" x14ac:dyDescent="0.25">
      <c r="B31" s="10">
        <v>0.1115</v>
      </c>
      <c r="D31" s="9">
        <v>77084.996100000004</v>
      </c>
      <c r="F31" s="9">
        <v>4078.721</v>
      </c>
      <c r="G31" s="61">
        <f t="shared" ref="G31:G94" si="4">IFERROR(F31-D31,0)</f>
        <v>-73006.275099999999</v>
      </c>
      <c r="H31" s="61"/>
      <c r="I31" s="61"/>
    </row>
    <row r="32" spans="1:12" x14ac:dyDescent="0.25">
      <c r="B32" s="6">
        <v>2</v>
      </c>
      <c r="D32" s="9">
        <v>77084.996100000004</v>
      </c>
      <c r="F32" s="9">
        <v>4078.721</v>
      </c>
      <c r="G32" s="61">
        <f t="shared" si="4"/>
        <v>-73006.275099999999</v>
      </c>
      <c r="H32" s="61"/>
      <c r="I32" s="61"/>
    </row>
    <row r="33" spans="2:9" x14ac:dyDescent="0.25">
      <c r="B33" s="6">
        <v>3</v>
      </c>
      <c r="D33" s="9">
        <v>77084.996199999994</v>
      </c>
      <c r="F33" s="9">
        <v>4078.721</v>
      </c>
      <c r="G33" s="61">
        <f t="shared" si="4"/>
        <v>-73006.275199999989</v>
      </c>
      <c r="H33" s="61"/>
      <c r="I33" s="61"/>
    </row>
    <row r="34" spans="2:9" x14ac:dyDescent="0.25">
      <c r="B34" s="6">
        <v>4</v>
      </c>
      <c r="D34" s="9">
        <v>77084.996100000004</v>
      </c>
      <c r="F34" s="9">
        <v>4078.721</v>
      </c>
      <c r="G34" s="61">
        <f t="shared" si="4"/>
        <v>-73006.275099999999</v>
      </c>
      <c r="H34" s="61"/>
      <c r="I34" s="61"/>
    </row>
    <row r="35" spans="2:9" x14ac:dyDescent="0.25">
      <c r="B35" s="6">
        <v>5</v>
      </c>
      <c r="D35" s="9">
        <v>77084.996100000004</v>
      </c>
      <c r="F35" s="9">
        <v>4078.721</v>
      </c>
      <c r="G35" s="61">
        <f t="shared" si="4"/>
        <v>-73006.275099999999</v>
      </c>
      <c r="H35" s="61"/>
      <c r="I35" s="61"/>
    </row>
    <row r="36" spans="2:9" x14ac:dyDescent="0.25">
      <c r="B36" s="6">
        <v>6</v>
      </c>
      <c r="D36" s="9">
        <v>77084.996100000004</v>
      </c>
      <c r="F36" s="9">
        <v>4078.721</v>
      </c>
      <c r="G36" s="61">
        <f t="shared" si="4"/>
        <v>-73006.275099999999</v>
      </c>
      <c r="H36" s="61"/>
      <c r="I36" s="61"/>
    </row>
    <row r="37" spans="2:9" x14ac:dyDescent="0.25">
      <c r="B37" s="6">
        <v>7</v>
      </c>
      <c r="D37" s="9">
        <v>77084.996100000004</v>
      </c>
      <c r="F37" s="9">
        <v>4078.721</v>
      </c>
      <c r="G37" s="61">
        <f t="shared" si="4"/>
        <v>-73006.275099999999</v>
      </c>
      <c r="H37" s="61"/>
      <c r="I37" s="61"/>
    </row>
    <row r="38" spans="2:9" x14ac:dyDescent="0.25">
      <c r="B38" s="6">
        <v>8</v>
      </c>
      <c r="D38" s="9">
        <v>77084.996100000004</v>
      </c>
      <c r="F38" s="9">
        <v>4078.721</v>
      </c>
      <c r="G38" s="61">
        <f t="shared" si="4"/>
        <v>-73006.275099999999</v>
      </c>
      <c r="H38" s="61"/>
      <c r="I38" s="61"/>
    </row>
    <row r="39" spans="2:9" x14ac:dyDescent="0.25">
      <c r="B39" s="6">
        <v>9</v>
      </c>
      <c r="D39" s="9">
        <v>77084.996100000004</v>
      </c>
      <c r="F39" s="9">
        <v>4078.721</v>
      </c>
      <c r="G39" s="61">
        <f t="shared" si="4"/>
        <v>-73006.275099999999</v>
      </c>
      <c r="H39" s="61"/>
      <c r="I39" s="61"/>
    </row>
    <row r="40" spans="2:9" x14ac:dyDescent="0.25">
      <c r="B40" s="6">
        <v>10</v>
      </c>
      <c r="D40" s="9">
        <v>77084.996100000004</v>
      </c>
      <c r="F40" s="9">
        <v>4078.7211000000002</v>
      </c>
      <c r="G40" s="61">
        <f t="shared" si="4"/>
        <v>-73006.275000000009</v>
      </c>
      <c r="H40" s="61"/>
      <c r="I40" s="61"/>
    </row>
    <row r="41" spans="2:9" x14ac:dyDescent="0.25">
      <c r="B41" s="6">
        <v>11</v>
      </c>
      <c r="D41" s="9">
        <v>77084.996100000004</v>
      </c>
      <c r="F41" s="9">
        <v>4078.721</v>
      </c>
      <c r="G41" s="61">
        <f t="shared" si="4"/>
        <v>-73006.275099999999</v>
      </c>
      <c r="H41" s="61"/>
      <c r="I41" s="61"/>
    </row>
    <row r="42" spans="2:9" x14ac:dyDescent="0.25">
      <c r="B42" s="6">
        <v>12</v>
      </c>
      <c r="D42" s="9">
        <v>77084.996100000004</v>
      </c>
      <c r="F42" s="9">
        <v>4078.721</v>
      </c>
      <c r="G42" s="61">
        <f t="shared" si="4"/>
        <v>-73006.275099999999</v>
      </c>
      <c r="H42" s="61"/>
      <c r="I42" s="61"/>
    </row>
    <row r="43" spans="2:9" x14ac:dyDescent="0.25">
      <c r="B43" s="6">
        <v>13</v>
      </c>
      <c r="D43" s="9">
        <v>76002.4277</v>
      </c>
      <c r="F43" s="9">
        <v>4078.721</v>
      </c>
      <c r="G43" s="61">
        <f t="shared" si="4"/>
        <v>-71923.706699999995</v>
      </c>
      <c r="H43" s="61"/>
      <c r="I43" s="61"/>
    </row>
    <row r="44" spans="2:9" x14ac:dyDescent="0.25">
      <c r="B44" s="6">
        <v>14</v>
      </c>
      <c r="D44" s="9">
        <v>76003.774699999994</v>
      </c>
      <c r="F44" s="9">
        <v>4078.721</v>
      </c>
      <c r="G44" s="61">
        <f t="shared" si="4"/>
        <v>-71925.053699999989</v>
      </c>
      <c r="H44" s="61"/>
      <c r="I44" s="61"/>
    </row>
    <row r="45" spans="2:9" x14ac:dyDescent="0.25">
      <c r="B45" s="6">
        <v>15</v>
      </c>
      <c r="D45" s="9">
        <v>76005.134600000005</v>
      </c>
      <c r="F45" s="9">
        <v>4078.7211000000002</v>
      </c>
      <c r="G45" s="61">
        <f t="shared" si="4"/>
        <v>-71926.41350000001</v>
      </c>
      <c r="H45" s="61"/>
      <c r="I45" s="61"/>
    </row>
    <row r="46" spans="2:9" x14ac:dyDescent="0.25">
      <c r="B46" s="6">
        <v>16</v>
      </c>
      <c r="D46" s="9">
        <v>76006.507400000002</v>
      </c>
      <c r="F46" s="9">
        <v>4078.721</v>
      </c>
      <c r="G46" s="61">
        <f t="shared" si="4"/>
        <v>-71927.786399999997</v>
      </c>
      <c r="H46" s="61"/>
      <c r="I46" s="61"/>
    </row>
    <row r="47" spans="2:9" x14ac:dyDescent="0.25">
      <c r="B47" s="6">
        <v>17</v>
      </c>
      <c r="D47" s="9">
        <v>76007.893299999996</v>
      </c>
      <c r="F47" s="9">
        <v>4078.721</v>
      </c>
      <c r="G47" s="61">
        <f t="shared" si="4"/>
        <v>-71929.172299999991</v>
      </c>
      <c r="H47" s="61"/>
      <c r="I47" s="61"/>
    </row>
    <row r="48" spans="2:9" x14ac:dyDescent="0.25">
      <c r="B48" s="6">
        <v>18</v>
      </c>
      <c r="D48" s="9">
        <v>76009.292300000001</v>
      </c>
      <c r="F48" s="9">
        <v>4078.721</v>
      </c>
      <c r="G48" s="61">
        <f t="shared" si="4"/>
        <v>-71930.571299999996</v>
      </c>
      <c r="H48" s="61"/>
      <c r="I48" s="61"/>
    </row>
    <row r="49" spans="2:9" x14ac:dyDescent="0.25">
      <c r="B49" s="6">
        <v>19</v>
      </c>
      <c r="D49" s="9">
        <v>76010.704599999997</v>
      </c>
      <c r="F49" s="9">
        <v>4078.721</v>
      </c>
      <c r="G49" s="61">
        <f t="shared" si="4"/>
        <v>-71931.983599999992</v>
      </c>
      <c r="H49" s="61"/>
      <c r="I49" s="61"/>
    </row>
    <row r="50" spans="2:9" x14ac:dyDescent="0.25">
      <c r="B50" s="6">
        <v>20</v>
      </c>
      <c r="D50" s="9">
        <v>76012.130300000004</v>
      </c>
      <c r="F50" s="9">
        <v>4078.721</v>
      </c>
      <c r="G50" s="61">
        <f t="shared" si="4"/>
        <v>-71933.409299999999</v>
      </c>
      <c r="H50" s="61"/>
      <c r="I50" s="61"/>
    </row>
    <row r="51" spans="2:9" x14ac:dyDescent="0.25">
      <c r="B51" s="6">
        <v>21</v>
      </c>
      <c r="D51" s="9">
        <v>76013.569499999998</v>
      </c>
      <c r="F51" s="9">
        <v>4078.721</v>
      </c>
      <c r="G51" s="61">
        <f t="shared" si="4"/>
        <v>-71934.848499999993</v>
      </c>
      <c r="H51" s="61"/>
      <c r="I51" s="61"/>
    </row>
    <row r="52" spans="2:9" x14ac:dyDescent="0.25">
      <c r="B52" s="6">
        <v>22</v>
      </c>
      <c r="D52" s="9">
        <v>76015.022500000006</v>
      </c>
      <c r="F52" s="9">
        <v>4078.721</v>
      </c>
      <c r="G52" s="61">
        <f t="shared" si="4"/>
        <v>-71936.301500000001</v>
      </c>
      <c r="H52" s="61"/>
      <c r="I52" s="61"/>
    </row>
    <row r="53" spans="2:9" x14ac:dyDescent="0.25">
      <c r="B53" s="6">
        <v>23</v>
      </c>
      <c r="D53" s="9">
        <v>76016.489100000006</v>
      </c>
      <c r="F53" s="9">
        <v>4078.721</v>
      </c>
      <c r="G53" s="61">
        <f t="shared" si="4"/>
        <v>-71937.768100000001</v>
      </c>
      <c r="H53" s="61"/>
      <c r="I53" s="61"/>
    </row>
    <row r="54" spans="2:9" x14ac:dyDescent="0.25">
      <c r="B54" s="6">
        <v>24</v>
      </c>
      <c r="D54" s="9">
        <v>76017.969800000006</v>
      </c>
      <c r="F54" s="9">
        <v>4078.721</v>
      </c>
      <c r="G54" s="61">
        <f t="shared" si="4"/>
        <v>-71939.248800000001</v>
      </c>
      <c r="H54" s="61"/>
      <c r="I54" s="61"/>
    </row>
    <row r="55" spans="2:9" x14ac:dyDescent="0.25">
      <c r="B55" s="6">
        <v>25</v>
      </c>
      <c r="D55" s="9">
        <v>74953.933000000005</v>
      </c>
      <c r="F55" s="9">
        <v>4078.721</v>
      </c>
      <c r="G55" s="61">
        <f t="shared" si="4"/>
        <v>-70875.212</v>
      </c>
      <c r="H55" s="61"/>
      <c r="I55" s="61"/>
    </row>
    <row r="56" spans="2:9" x14ac:dyDescent="0.25">
      <c r="B56" s="6">
        <v>26</v>
      </c>
      <c r="D56" s="9">
        <v>74956.950899999996</v>
      </c>
      <c r="F56" s="9">
        <v>4078.721</v>
      </c>
      <c r="G56" s="61">
        <f t="shared" si="4"/>
        <v>-70878.229899999991</v>
      </c>
      <c r="H56" s="61"/>
      <c r="I56" s="61"/>
    </row>
    <row r="57" spans="2:9" x14ac:dyDescent="0.25">
      <c r="B57" s="6">
        <v>27</v>
      </c>
      <c r="D57" s="9">
        <v>74959.997499999998</v>
      </c>
      <c r="F57" s="9">
        <v>4078.721</v>
      </c>
      <c r="G57" s="61">
        <f t="shared" si="4"/>
        <v>-70881.276499999993</v>
      </c>
      <c r="H57" s="61"/>
      <c r="I57" s="61"/>
    </row>
    <row r="58" spans="2:9" x14ac:dyDescent="0.25">
      <c r="B58" s="6">
        <v>28</v>
      </c>
      <c r="D58" s="9">
        <v>74963.072899999999</v>
      </c>
      <c r="F58" s="9">
        <v>4078.721</v>
      </c>
      <c r="G58" s="61">
        <f t="shared" si="4"/>
        <v>-70884.351899999994</v>
      </c>
      <c r="H58" s="61"/>
      <c r="I58" s="61"/>
    </row>
    <row r="59" spans="2:9" x14ac:dyDescent="0.25">
      <c r="B59" s="6">
        <v>29</v>
      </c>
      <c r="D59" s="9">
        <v>74966.177599999995</v>
      </c>
      <c r="F59" s="9">
        <v>4078.721</v>
      </c>
      <c r="G59" s="61">
        <f t="shared" si="4"/>
        <v>-70887.45659999999</v>
      </c>
      <c r="H59" s="61"/>
      <c r="I59" s="61"/>
    </row>
    <row r="60" spans="2:9" x14ac:dyDescent="0.25">
      <c r="B60" s="6">
        <v>30</v>
      </c>
      <c r="D60" s="9">
        <v>74969.311700000006</v>
      </c>
      <c r="F60" s="9">
        <v>4078.721</v>
      </c>
      <c r="G60" s="61">
        <f t="shared" si="4"/>
        <v>-70890.590700000001</v>
      </c>
      <c r="H60" s="61"/>
      <c r="I60" s="61"/>
    </row>
    <row r="61" spans="2:9" x14ac:dyDescent="0.25">
      <c r="B61" s="6">
        <v>31</v>
      </c>
      <c r="D61" s="9">
        <v>74972.475699999995</v>
      </c>
      <c r="F61" s="9">
        <v>4078.721</v>
      </c>
      <c r="G61" s="61">
        <f t="shared" si="4"/>
        <v>-70893.75469999999</v>
      </c>
      <c r="H61" s="61"/>
      <c r="I61" s="61"/>
    </row>
    <row r="62" spans="2:9" x14ac:dyDescent="0.25">
      <c r="B62" s="6">
        <v>32</v>
      </c>
      <c r="D62" s="9">
        <v>74975.669699999999</v>
      </c>
      <c r="F62" s="9">
        <v>4078.721</v>
      </c>
      <c r="G62" s="61">
        <f t="shared" si="4"/>
        <v>-70896.948699999994</v>
      </c>
      <c r="H62" s="61"/>
      <c r="I62" s="61"/>
    </row>
    <row r="63" spans="2:9" x14ac:dyDescent="0.25">
      <c r="B63" s="6">
        <v>33</v>
      </c>
      <c r="D63" s="9">
        <v>74978.894100000005</v>
      </c>
      <c r="F63" s="9">
        <v>4078.721</v>
      </c>
      <c r="G63" s="61">
        <f t="shared" si="4"/>
        <v>-70900.1731</v>
      </c>
      <c r="H63" s="61"/>
      <c r="I63" s="61"/>
    </row>
    <row r="64" spans="2:9" x14ac:dyDescent="0.25">
      <c r="B64" s="6">
        <v>34</v>
      </c>
      <c r="D64" s="9">
        <v>74982.149000000005</v>
      </c>
      <c r="F64" s="9">
        <v>4078.721</v>
      </c>
      <c r="G64" s="61">
        <f t="shared" si="4"/>
        <v>-70903.428</v>
      </c>
      <c r="H64" s="61"/>
      <c r="I64" s="61"/>
    </row>
    <row r="65" spans="2:9" x14ac:dyDescent="0.25">
      <c r="B65" s="6">
        <v>35</v>
      </c>
      <c r="D65" s="9">
        <v>74985.434899999993</v>
      </c>
      <c r="F65" s="9">
        <v>4078.721</v>
      </c>
      <c r="G65" s="61">
        <f t="shared" si="4"/>
        <v>-70906.713899999988</v>
      </c>
      <c r="H65" s="61"/>
      <c r="I65" s="61"/>
    </row>
    <row r="66" spans="2:9" x14ac:dyDescent="0.25">
      <c r="B66" s="6">
        <v>36</v>
      </c>
      <c r="D66" s="9">
        <v>74988.752099999998</v>
      </c>
      <c r="F66" s="9">
        <v>4078.721</v>
      </c>
      <c r="G66" s="61">
        <f t="shared" si="4"/>
        <v>-70910.031099999993</v>
      </c>
      <c r="H66" s="61"/>
      <c r="I66" s="61"/>
    </row>
    <row r="67" spans="2:9" x14ac:dyDescent="0.25">
      <c r="B67" s="6">
        <v>37</v>
      </c>
      <c r="D67" s="9">
        <v>73945.653000000006</v>
      </c>
      <c r="F67" s="9">
        <v>4078.721</v>
      </c>
      <c r="G67" s="61">
        <f t="shared" si="4"/>
        <v>-69866.932000000001</v>
      </c>
      <c r="H67" s="61"/>
      <c r="I67" s="61"/>
    </row>
    <row r="68" spans="2:9" x14ac:dyDescent="0.25">
      <c r="B68" s="6">
        <v>38</v>
      </c>
      <c r="D68" s="9">
        <v>73950.723700000002</v>
      </c>
      <c r="F68" s="9">
        <v>4078.721</v>
      </c>
      <c r="G68" s="61">
        <f t="shared" si="4"/>
        <v>-69872.002699999997</v>
      </c>
      <c r="H68" s="61"/>
      <c r="I68" s="61"/>
    </row>
    <row r="69" spans="2:9" x14ac:dyDescent="0.25">
      <c r="B69" s="6">
        <v>39</v>
      </c>
      <c r="D69" s="9">
        <v>73955.842600000004</v>
      </c>
      <c r="F69" s="9">
        <v>4078.721</v>
      </c>
      <c r="G69" s="61">
        <f t="shared" si="4"/>
        <v>-69877.121599999999</v>
      </c>
      <c r="H69" s="61"/>
      <c r="I69" s="61"/>
    </row>
    <row r="70" spans="2:9" x14ac:dyDescent="0.25">
      <c r="B70" s="6">
        <v>40</v>
      </c>
      <c r="D70" s="9">
        <v>73961.0101</v>
      </c>
      <c r="F70" s="9">
        <v>4078.721</v>
      </c>
      <c r="G70" s="61">
        <f t="shared" si="4"/>
        <v>-69882.289099999995</v>
      </c>
      <c r="H70" s="61"/>
      <c r="I70" s="61"/>
    </row>
    <row r="71" spans="2:9" x14ac:dyDescent="0.25">
      <c r="B71" s="6">
        <v>41</v>
      </c>
      <c r="D71" s="9">
        <v>73966.226699999999</v>
      </c>
      <c r="F71" s="9">
        <v>4078.721</v>
      </c>
      <c r="G71" s="61">
        <f t="shared" si="4"/>
        <v>-69887.505699999994</v>
      </c>
      <c r="H71" s="61"/>
      <c r="I71" s="61"/>
    </row>
    <row r="72" spans="2:9" x14ac:dyDescent="0.25">
      <c r="B72" s="6">
        <v>42</v>
      </c>
      <c r="D72" s="9">
        <v>73971.492700000003</v>
      </c>
      <c r="F72" s="9">
        <v>4078.721</v>
      </c>
      <c r="G72" s="61">
        <f t="shared" si="4"/>
        <v>-69892.771699999998</v>
      </c>
      <c r="H72" s="61"/>
      <c r="I72" s="61"/>
    </row>
    <row r="73" spans="2:9" x14ac:dyDescent="0.25">
      <c r="B73" s="6">
        <v>43</v>
      </c>
      <c r="D73" s="9">
        <v>73976.808900000004</v>
      </c>
      <c r="F73" s="9">
        <v>4078.721</v>
      </c>
      <c r="G73" s="61">
        <f t="shared" si="4"/>
        <v>-69898.087899999999</v>
      </c>
      <c r="H73" s="61"/>
      <c r="I73" s="61"/>
    </row>
    <row r="74" spans="2:9" x14ac:dyDescent="0.25">
      <c r="B74" s="6">
        <v>44</v>
      </c>
      <c r="D74" s="9">
        <v>73982.175600000002</v>
      </c>
      <c r="F74" s="9">
        <v>4078.721</v>
      </c>
      <c r="G74" s="61">
        <f t="shared" si="4"/>
        <v>-69903.454599999997</v>
      </c>
      <c r="H74" s="61"/>
      <c r="I74" s="61"/>
    </row>
    <row r="75" spans="2:9" x14ac:dyDescent="0.25">
      <c r="B75" s="6">
        <v>45</v>
      </c>
      <c r="D75" s="9">
        <v>73987.593299999993</v>
      </c>
      <c r="F75" s="9">
        <v>4078.721</v>
      </c>
      <c r="G75" s="61">
        <f t="shared" si="4"/>
        <v>-69908.872299999988</v>
      </c>
      <c r="H75" s="61"/>
      <c r="I75" s="61"/>
    </row>
    <row r="76" spans="2:9" x14ac:dyDescent="0.25">
      <c r="B76" s="6">
        <v>46</v>
      </c>
      <c r="D76" s="9">
        <v>73993.062300000005</v>
      </c>
      <c r="F76" s="9">
        <v>4078.721</v>
      </c>
      <c r="G76" s="61">
        <f t="shared" si="4"/>
        <v>-69914.3413</v>
      </c>
      <c r="H76" s="61"/>
      <c r="I76" s="61"/>
    </row>
    <row r="77" spans="2:9" x14ac:dyDescent="0.25">
      <c r="B77" s="6">
        <v>47</v>
      </c>
      <c r="D77" s="9">
        <v>73998.583499999993</v>
      </c>
      <c r="F77" s="9">
        <v>4078.721</v>
      </c>
      <c r="G77" s="61">
        <f t="shared" si="4"/>
        <v>-69919.862499999988</v>
      </c>
      <c r="H77" s="61"/>
      <c r="I77" s="61"/>
    </row>
    <row r="78" spans="2:9" x14ac:dyDescent="0.25">
      <c r="B78" s="6">
        <v>48</v>
      </c>
      <c r="D78" s="9">
        <v>74004.157000000007</v>
      </c>
      <c r="F78" s="9">
        <v>4078.721</v>
      </c>
      <c r="G78" s="61">
        <f t="shared" si="4"/>
        <v>-69925.436000000002</v>
      </c>
      <c r="H78" s="61"/>
      <c r="I78" s="61"/>
    </row>
    <row r="79" spans="2:9" x14ac:dyDescent="0.25">
      <c r="B79" s="6">
        <v>49</v>
      </c>
      <c r="D79" s="9">
        <v>72984.712499999994</v>
      </c>
      <c r="F79" s="9">
        <v>4078.721</v>
      </c>
      <c r="G79" s="61">
        <f t="shared" si="4"/>
        <v>-68905.991499999989</v>
      </c>
      <c r="H79" s="61"/>
      <c r="I79" s="61"/>
    </row>
    <row r="80" spans="2:9" x14ac:dyDescent="0.25">
      <c r="B80" s="6">
        <v>50</v>
      </c>
      <c r="D80" s="9">
        <v>72992.285699999993</v>
      </c>
      <c r="F80" s="9">
        <v>4078.721</v>
      </c>
      <c r="G80" s="61">
        <f t="shared" si="4"/>
        <v>-68913.564699999988</v>
      </c>
      <c r="H80" s="61"/>
      <c r="I80" s="61"/>
    </row>
    <row r="81" spans="2:9" x14ac:dyDescent="0.25">
      <c r="B81" s="6">
        <v>51</v>
      </c>
      <c r="D81" s="9">
        <v>72999.930900000007</v>
      </c>
      <c r="F81" s="9">
        <v>4078.721</v>
      </c>
      <c r="G81" s="61">
        <f t="shared" si="4"/>
        <v>-68921.209900000002</v>
      </c>
      <c r="H81" s="61"/>
      <c r="I81" s="61"/>
    </row>
    <row r="82" spans="2:9" x14ac:dyDescent="0.25">
      <c r="B82" s="6">
        <v>52</v>
      </c>
      <c r="D82" s="9">
        <v>73007.648700000005</v>
      </c>
      <c r="F82" s="9">
        <v>4078.721</v>
      </c>
      <c r="G82" s="61">
        <f t="shared" si="4"/>
        <v>-68928.9277</v>
      </c>
      <c r="H82" s="61"/>
      <c r="I82" s="61"/>
    </row>
    <row r="83" spans="2:9" x14ac:dyDescent="0.25">
      <c r="B83" s="6">
        <v>53</v>
      </c>
      <c r="D83" s="9">
        <v>73015.439799999993</v>
      </c>
      <c r="F83" s="9">
        <v>4078.721</v>
      </c>
      <c r="G83" s="61">
        <f t="shared" si="4"/>
        <v>-68936.718799999988</v>
      </c>
      <c r="H83" s="61"/>
      <c r="I83" s="61"/>
    </row>
    <row r="84" spans="2:9" x14ac:dyDescent="0.25">
      <c r="B84" s="6">
        <v>54</v>
      </c>
      <c r="D84" s="9">
        <v>73023.304999999993</v>
      </c>
      <c r="F84" s="9">
        <v>4078.721</v>
      </c>
      <c r="G84" s="61">
        <f t="shared" si="4"/>
        <v>-68944.583999999988</v>
      </c>
      <c r="H84" s="61"/>
      <c r="I84" s="61"/>
    </row>
    <row r="85" spans="2:9" x14ac:dyDescent="0.25">
      <c r="B85" s="6">
        <v>55</v>
      </c>
      <c r="D85" s="9">
        <v>73031.244900000005</v>
      </c>
      <c r="F85" s="9">
        <v>4078.721</v>
      </c>
      <c r="G85" s="61">
        <f t="shared" si="4"/>
        <v>-68952.5239</v>
      </c>
      <c r="H85" s="61"/>
      <c r="I85" s="61"/>
    </row>
    <row r="86" spans="2:9" x14ac:dyDescent="0.25">
      <c r="B86" s="6">
        <v>56</v>
      </c>
      <c r="D86" s="9">
        <v>73039.2601</v>
      </c>
      <c r="F86" s="9">
        <v>4078.721</v>
      </c>
      <c r="G86" s="61">
        <f t="shared" si="4"/>
        <v>-68960.539099999995</v>
      </c>
      <c r="H86" s="61"/>
      <c r="I86" s="61"/>
    </row>
    <row r="87" spans="2:9" x14ac:dyDescent="0.25">
      <c r="B87" s="6">
        <v>57</v>
      </c>
      <c r="D87" s="9">
        <v>73047.351500000004</v>
      </c>
      <c r="F87" s="9">
        <v>4078.721</v>
      </c>
      <c r="G87" s="61">
        <f t="shared" si="4"/>
        <v>-68968.630499999999</v>
      </c>
      <c r="H87" s="61"/>
      <c r="I87" s="61"/>
    </row>
    <row r="88" spans="2:9" x14ac:dyDescent="0.25">
      <c r="B88" s="6">
        <v>58</v>
      </c>
      <c r="D88" s="9">
        <v>73055.519899999999</v>
      </c>
      <c r="F88" s="9">
        <v>4078.721</v>
      </c>
      <c r="G88" s="61">
        <f t="shared" si="4"/>
        <v>-68976.798899999994</v>
      </c>
      <c r="H88" s="61"/>
      <c r="I88" s="61"/>
    </row>
    <row r="89" spans="2:9" x14ac:dyDescent="0.25">
      <c r="B89" s="6">
        <v>59</v>
      </c>
      <c r="D89" s="9">
        <v>73063.765799999994</v>
      </c>
      <c r="F89" s="9">
        <v>4078.721</v>
      </c>
      <c r="G89" s="61">
        <f t="shared" si="4"/>
        <v>-68985.044799999989</v>
      </c>
      <c r="H89" s="61"/>
      <c r="I89" s="61"/>
    </row>
    <row r="90" spans="2:9" x14ac:dyDescent="0.25">
      <c r="B90" s="6">
        <v>60</v>
      </c>
      <c r="D90" s="9">
        <v>73072.09</v>
      </c>
      <c r="F90" s="9">
        <v>4078.721</v>
      </c>
      <c r="G90" s="61">
        <f t="shared" si="4"/>
        <v>-68993.368999999992</v>
      </c>
      <c r="H90" s="61"/>
      <c r="I90" s="61"/>
    </row>
    <row r="91" spans="2:9" x14ac:dyDescent="0.25">
      <c r="B91" s="6">
        <v>61</v>
      </c>
      <c r="D91" s="9">
        <v>72079.367499999993</v>
      </c>
      <c r="F91" s="9">
        <v>4078.721</v>
      </c>
      <c r="G91" s="61">
        <f t="shared" si="4"/>
        <v>-68000.646499999988</v>
      </c>
      <c r="H91" s="61"/>
      <c r="I91" s="61"/>
    </row>
    <row r="92" spans="2:9" x14ac:dyDescent="0.25">
      <c r="B92" s="6">
        <v>62</v>
      </c>
      <c r="D92" s="9">
        <v>72089.9715</v>
      </c>
      <c r="F92" s="9">
        <v>4078.721</v>
      </c>
      <c r="G92" s="61">
        <f t="shared" si="4"/>
        <v>-68011.250499999995</v>
      </c>
      <c r="H92" s="61"/>
      <c r="I92" s="61"/>
    </row>
    <row r="93" spans="2:9" x14ac:dyDescent="0.25">
      <c r="B93" s="6">
        <v>63</v>
      </c>
      <c r="D93" s="9">
        <v>72100.676099999997</v>
      </c>
      <c r="F93" s="9">
        <v>4078.721</v>
      </c>
      <c r="G93" s="61">
        <f t="shared" si="4"/>
        <v>-68021.955099999992</v>
      </c>
      <c r="H93" s="61"/>
      <c r="I93" s="61"/>
    </row>
    <row r="94" spans="2:9" x14ac:dyDescent="0.25">
      <c r="B94" s="6">
        <v>64</v>
      </c>
      <c r="D94" s="9">
        <v>72111.482600000003</v>
      </c>
      <c r="F94" s="9">
        <v>4078.721</v>
      </c>
      <c r="G94" s="61">
        <f t="shared" si="4"/>
        <v>-68032.761599999998</v>
      </c>
      <c r="H94" s="61"/>
      <c r="I94" s="61"/>
    </row>
    <row r="95" spans="2:9" x14ac:dyDescent="0.25">
      <c r="B95" s="6">
        <v>65</v>
      </c>
      <c r="D95" s="9">
        <v>72122.391600000003</v>
      </c>
      <c r="F95" s="9">
        <v>4078.721</v>
      </c>
      <c r="G95" s="61">
        <f t="shared" ref="G95:G158" si="5">IFERROR(F95-D95,0)</f>
        <v>-68043.670599999998</v>
      </c>
      <c r="H95" s="61"/>
      <c r="I95" s="61"/>
    </row>
    <row r="96" spans="2:9" x14ac:dyDescent="0.25">
      <c r="B96" s="6">
        <v>66</v>
      </c>
      <c r="D96" s="9">
        <v>72133.404200000004</v>
      </c>
      <c r="F96" s="9">
        <v>4078.721</v>
      </c>
      <c r="G96" s="61">
        <f t="shared" si="5"/>
        <v>-68054.683199999999</v>
      </c>
      <c r="H96" s="61"/>
      <c r="I96" s="61"/>
    </row>
    <row r="97" spans="2:9" x14ac:dyDescent="0.25">
      <c r="B97" s="6">
        <v>67</v>
      </c>
      <c r="D97" s="9">
        <v>72144.521500000003</v>
      </c>
      <c r="F97" s="9">
        <v>4078.721</v>
      </c>
      <c r="G97" s="61">
        <f t="shared" si="5"/>
        <v>-68065.800499999998</v>
      </c>
      <c r="H97" s="61"/>
      <c r="I97" s="61"/>
    </row>
    <row r="98" spans="2:9" x14ac:dyDescent="0.25">
      <c r="B98" s="6">
        <v>68</v>
      </c>
      <c r="D98" s="9">
        <v>72155.744399999996</v>
      </c>
      <c r="F98" s="9">
        <v>4078.721</v>
      </c>
      <c r="G98" s="61">
        <f t="shared" si="5"/>
        <v>-68077.023399999991</v>
      </c>
      <c r="H98" s="61"/>
      <c r="I98" s="61"/>
    </row>
    <row r="99" spans="2:9" x14ac:dyDescent="0.25">
      <c r="B99" s="6">
        <v>69</v>
      </c>
      <c r="D99" s="9">
        <v>72167.073900000003</v>
      </c>
      <c r="F99" s="9">
        <v>4078.721</v>
      </c>
      <c r="G99" s="61">
        <f t="shared" si="5"/>
        <v>-68088.352899999998</v>
      </c>
      <c r="H99" s="61"/>
      <c r="I99" s="61"/>
    </row>
    <row r="100" spans="2:9" x14ac:dyDescent="0.25">
      <c r="B100" s="6">
        <v>70</v>
      </c>
      <c r="D100" s="9">
        <v>72178.510999999999</v>
      </c>
      <c r="F100" s="9">
        <v>4078.721</v>
      </c>
      <c r="G100" s="61">
        <f t="shared" si="5"/>
        <v>-68099.789999999994</v>
      </c>
      <c r="H100" s="61"/>
      <c r="I100" s="61"/>
    </row>
    <row r="101" spans="2:9" x14ac:dyDescent="0.25">
      <c r="B101" s="6">
        <v>71</v>
      </c>
      <c r="D101" s="9">
        <v>72190.056800000006</v>
      </c>
      <c r="F101" s="9">
        <v>4078.721</v>
      </c>
      <c r="G101" s="61">
        <f t="shared" si="5"/>
        <v>-68111.335800000001</v>
      </c>
      <c r="H101" s="61"/>
      <c r="I101" s="61"/>
    </row>
    <row r="102" spans="2:9" x14ac:dyDescent="0.25">
      <c r="B102" s="6">
        <v>72</v>
      </c>
      <c r="D102" s="9">
        <v>72201.712199999994</v>
      </c>
      <c r="F102" s="9">
        <v>4078.721</v>
      </c>
      <c r="G102" s="61">
        <f t="shared" si="5"/>
        <v>-68122.991199999989</v>
      </c>
      <c r="H102" s="61"/>
      <c r="I102" s="61"/>
    </row>
    <row r="103" spans="2:9" x14ac:dyDescent="0.25">
      <c r="B103" s="6">
        <v>73</v>
      </c>
      <c r="D103" s="9">
        <v>71239.174899999998</v>
      </c>
      <c r="F103" s="9">
        <v>4078.721</v>
      </c>
      <c r="G103" s="61">
        <f t="shared" si="5"/>
        <v>-67160.453899999993</v>
      </c>
      <c r="H103" s="61"/>
      <c r="I103" s="61"/>
    </row>
    <row r="104" spans="2:9" x14ac:dyDescent="0.25">
      <c r="B104" s="6">
        <v>74</v>
      </c>
      <c r="D104" s="9">
        <v>71253.428499999995</v>
      </c>
      <c r="F104" s="9">
        <v>4078.721</v>
      </c>
      <c r="G104" s="61">
        <f t="shared" si="5"/>
        <v>-67174.70749999999</v>
      </c>
      <c r="H104" s="61"/>
      <c r="I104" s="61"/>
    </row>
    <row r="105" spans="2:9" x14ac:dyDescent="0.25">
      <c r="B105" s="6">
        <v>75</v>
      </c>
      <c r="D105" s="9">
        <v>71267.817500000005</v>
      </c>
      <c r="F105" s="9">
        <v>4078.721</v>
      </c>
      <c r="G105" s="61">
        <f t="shared" si="5"/>
        <v>-67189.0965</v>
      </c>
      <c r="H105" s="61"/>
      <c r="I105" s="61"/>
    </row>
    <row r="106" spans="2:9" x14ac:dyDescent="0.25">
      <c r="B106" s="6">
        <v>76</v>
      </c>
      <c r="D106" s="9">
        <v>71282.343200000003</v>
      </c>
      <c r="F106" s="9">
        <v>4078.721</v>
      </c>
      <c r="G106" s="61">
        <f t="shared" si="5"/>
        <v>-67203.622199999998</v>
      </c>
      <c r="H106" s="61"/>
      <c r="I106" s="61"/>
    </row>
    <row r="107" spans="2:9" x14ac:dyDescent="0.25">
      <c r="B107" s="6">
        <v>77</v>
      </c>
      <c r="D107" s="9">
        <v>71297.006800000003</v>
      </c>
      <c r="F107" s="9">
        <v>4078.721</v>
      </c>
      <c r="G107" s="61">
        <f t="shared" si="5"/>
        <v>-67218.285799999998</v>
      </c>
      <c r="H107" s="61"/>
      <c r="I107" s="61"/>
    </row>
    <row r="108" spans="2:9" x14ac:dyDescent="0.25">
      <c r="B108" s="6">
        <v>78</v>
      </c>
      <c r="D108" s="9">
        <v>71311.809899999993</v>
      </c>
      <c r="F108" s="9">
        <v>4078.721</v>
      </c>
      <c r="G108" s="61">
        <f t="shared" si="5"/>
        <v>-67233.088899999988</v>
      </c>
      <c r="H108" s="61"/>
      <c r="I108" s="61"/>
    </row>
    <row r="109" spans="2:9" x14ac:dyDescent="0.25">
      <c r="B109" s="6">
        <v>79</v>
      </c>
      <c r="D109" s="9">
        <v>71326.753400000001</v>
      </c>
      <c r="F109" s="9">
        <v>4078.721</v>
      </c>
      <c r="G109" s="61">
        <f t="shared" si="5"/>
        <v>-67248.032399999996</v>
      </c>
      <c r="H109" s="61"/>
      <c r="I109" s="61"/>
    </row>
    <row r="110" spans="2:9" x14ac:dyDescent="0.25">
      <c r="B110" s="6">
        <v>80</v>
      </c>
      <c r="D110" s="9">
        <v>71341.839099999997</v>
      </c>
      <c r="F110" s="9">
        <v>4078.721</v>
      </c>
      <c r="G110" s="61">
        <f t="shared" si="5"/>
        <v>-67263.118099999992</v>
      </c>
      <c r="H110" s="61"/>
      <c r="I110" s="61"/>
    </row>
    <row r="111" spans="2:9" x14ac:dyDescent="0.25">
      <c r="B111" s="6">
        <v>81</v>
      </c>
      <c r="D111" s="9">
        <v>71357.067899999995</v>
      </c>
      <c r="F111" s="9">
        <v>4078.721</v>
      </c>
      <c r="G111" s="61">
        <f t="shared" si="5"/>
        <v>-67278.34689999999</v>
      </c>
      <c r="H111" s="61"/>
      <c r="I111" s="61"/>
    </row>
    <row r="112" spans="2:9" x14ac:dyDescent="0.25">
      <c r="B112" s="6">
        <v>82</v>
      </c>
      <c r="D112" s="9">
        <v>71372.441500000001</v>
      </c>
      <c r="F112" s="9">
        <v>4078.721</v>
      </c>
      <c r="G112" s="61">
        <f t="shared" si="5"/>
        <v>-67293.720499999996</v>
      </c>
      <c r="H112" s="61"/>
      <c r="I112" s="61"/>
    </row>
    <row r="113" spans="2:9" x14ac:dyDescent="0.25">
      <c r="B113" s="6">
        <v>83</v>
      </c>
      <c r="D113" s="9">
        <v>71387.9611</v>
      </c>
      <c r="F113" s="9">
        <v>4078.721</v>
      </c>
      <c r="G113" s="61">
        <f t="shared" si="5"/>
        <v>-67309.240099999995</v>
      </c>
      <c r="H113" s="61"/>
      <c r="I113" s="61"/>
    </row>
    <row r="114" spans="2:9" x14ac:dyDescent="0.25">
      <c r="B114" s="6">
        <v>84</v>
      </c>
      <c r="D114" s="9">
        <v>71403.628200000006</v>
      </c>
      <c r="F114" s="9">
        <v>4078.721</v>
      </c>
      <c r="G114" s="61">
        <f t="shared" si="5"/>
        <v>-67324.907200000001</v>
      </c>
      <c r="H114" s="61"/>
      <c r="I114" s="61"/>
    </row>
    <row r="115" spans="2:9" x14ac:dyDescent="0.25">
      <c r="B115" s="6">
        <v>85</v>
      </c>
      <c r="D115" s="9">
        <v>70475.185400000002</v>
      </c>
      <c r="F115" s="9">
        <v>4078.721</v>
      </c>
      <c r="G115" s="61">
        <f t="shared" si="5"/>
        <v>-66396.464399999997</v>
      </c>
      <c r="H115" s="61"/>
      <c r="I115" s="61"/>
    </row>
    <row r="116" spans="2:9" x14ac:dyDescent="0.25">
      <c r="B116" s="6">
        <v>86</v>
      </c>
      <c r="D116" s="9">
        <v>70493.8125</v>
      </c>
      <c r="F116" s="9">
        <v>4078.721</v>
      </c>
      <c r="G116" s="61">
        <f t="shared" si="5"/>
        <v>-66415.091499999995</v>
      </c>
      <c r="H116" s="61"/>
      <c r="I116" s="61"/>
    </row>
    <row r="117" spans="2:9" x14ac:dyDescent="0.25">
      <c r="B117" s="6">
        <v>87</v>
      </c>
      <c r="D117" s="9">
        <v>70512.616599999994</v>
      </c>
      <c r="F117" s="9">
        <v>4078.721</v>
      </c>
      <c r="G117" s="61">
        <f t="shared" si="5"/>
        <v>-66433.895599999989</v>
      </c>
      <c r="H117" s="61"/>
      <c r="I117" s="61"/>
    </row>
    <row r="118" spans="2:9" x14ac:dyDescent="0.25">
      <c r="B118" s="6">
        <v>88</v>
      </c>
      <c r="D118" s="9">
        <v>70531.599400000006</v>
      </c>
      <c r="F118" s="9">
        <v>4078.721</v>
      </c>
      <c r="G118" s="61">
        <f t="shared" si="5"/>
        <v>-66452.878400000001</v>
      </c>
      <c r="H118" s="61"/>
      <c r="I118" s="61"/>
    </row>
    <row r="119" spans="2:9" x14ac:dyDescent="0.25">
      <c r="B119" s="6">
        <v>89</v>
      </c>
      <c r="D119" s="9">
        <v>70550.762499999997</v>
      </c>
      <c r="F119" s="9">
        <v>4078.721</v>
      </c>
      <c r="G119" s="61">
        <f t="shared" si="5"/>
        <v>-66472.041499999992</v>
      </c>
      <c r="H119" s="61"/>
      <c r="I119" s="61"/>
    </row>
    <row r="120" spans="2:9" x14ac:dyDescent="0.25">
      <c r="B120" s="6">
        <v>90</v>
      </c>
      <c r="D120" s="9">
        <v>70570.107600000003</v>
      </c>
      <c r="F120" s="9">
        <v>4078.721</v>
      </c>
      <c r="G120" s="61">
        <f t="shared" si="5"/>
        <v>-66491.386599999998</v>
      </c>
      <c r="H120" s="61"/>
      <c r="I120" s="61"/>
    </row>
    <row r="121" spans="2:9" x14ac:dyDescent="0.25">
      <c r="B121" s="6">
        <v>91</v>
      </c>
      <c r="D121" s="9">
        <v>70589.636599999998</v>
      </c>
      <c r="F121" s="9">
        <v>4078.721</v>
      </c>
      <c r="G121" s="61">
        <f t="shared" si="5"/>
        <v>-66510.915599999993</v>
      </c>
      <c r="H121" s="61"/>
      <c r="I121" s="61"/>
    </row>
    <row r="122" spans="2:9" x14ac:dyDescent="0.25">
      <c r="B122" s="6">
        <v>92</v>
      </c>
      <c r="D122" s="9">
        <v>70609.350999999995</v>
      </c>
      <c r="F122" s="9">
        <v>4078.721</v>
      </c>
      <c r="G122" s="61">
        <f t="shared" si="5"/>
        <v>-66530.62999999999</v>
      </c>
      <c r="H122" s="61"/>
      <c r="I122" s="61"/>
    </row>
    <row r="123" spans="2:9" x14ac:dyDescent="0.25">
      <c r="B123" s="6">
        <v>93</v>
      </c>
      <c r="D123" s="9">
        <v>70629.252699999997</v>
      </c>
      <c r="F123" s="9">
        <v>4078.721</v>
      </c>
      <c r="G123" s="61">
        <f t="shared" si="5"/>
        <v>-66550.531699999992</v>
      </c>
      <c r="H123" s="61"/>
      <c r="I123" s="61"/>
    </row>
    <row r="124" spans="2:9" x14ac:dyDescent="0.25">
      <c r="B124" s="6">
        <v>94</v>
      </c>
      <c r="D124" s="9">
        <v>70649.343500000003</v>
      </c>
      <c r="F124" s="9">
        <v>4078.7211000000002</v>
      </c>
      <c r="G124" s="61">
        <f t="shared" si="5"/>
        <v>-66570.622400000007</v>
      </c>
      <c r="H124" s="61"/>
      <c r="I124" s="61"/>
    </row>
    <row r="125" spans="2:9" x14ac:dyDescent="0.25">
      <c r="B125" s="6">
        <v>95</v>
      </c>
      <c r="D125" s="9">
        <v>70669.625100000005</v>
      </c>
      <c r="F125" s="9">
        <v>4078.721</v>
      </c>
      <c r="G125" s="61">
        <f t="shared" si="5"/>
        <v>-66590.9041</v>
      </c>
      <c r="H125" s="61"/>
      <c r="I125" s="61"/>
    </row>
    <row r="126" spans="2:9" x14ac:dyDescent="0.25">
      <c r="B126" s="6">
        <v>96</v>
      </c>
      <c r="D126" s="9">
        <v>70690.099600000001</v>
      </c>
      <c r="F126" s="9">
        <v>4078.721</v>
      </c>
      <c r="G126" s="61">
        <f t="shared" si="5"/>
        <v>-66611.378599999996</v>
      </c>
      <c r="H126" s="61"/>
      <c r="I126" s="61"/>
    </row>
    <row r="127" spans="2:9" x14ac:dyDescent="0.25">
      <c r="B127" s="6">
        <v>97</v>
      </c>
      <c r="D127" s="9">
        <v>70710.768400000001</v>
      </c>
      <c r="F127" s="9">
        <v>4078.721</v>
      </c>
      <c r="G127" s="61">
        <f t="shared" si="5"/>
        <v>-66632.047399999996</v>
      </c>
      <c r="H127" s="61"/>
      <c r="I127" s="61"/>
    </row>
    <row r="128" spans="2:9" x14ac:dyDescent="0.25">
      <c r="B128" s="6">
        <v>98</v>
      </c>
      <c r="D128" s="9">
        <v>70731.633499999996</v>
      </c>
      <c r="F128" s="9">
        <v>4078.721</v>
      </c>
      <c r="G128" s="61">
        <f t="shared" si="5"/>
        <v>-66652.912499999991</v>
      </c>
      <c r="H128" s="61"/>
      <c r="I128" s="61"/>
    </row>
    <row r="129" spans="2:9" x14ac:dyDescent="0.25">
      <c r="B129" s="6">
        <v>99</v>
      </c>
      <c r="D129" s="9">
        <v>70752.697</v>
      </c>
      <c r="F129" s="9">
        <v>4078.721</v>
      </c>
      <c r="G129" s="61">
        <f t="shared" si="5"/>
        <v>-66673.975999999995</v>
      </c>
      <c r="H129" s="61"/>
      <c r="I129" s="61"/>
    </row>
    <row r="130" spans="2:9" x14ac:dyDescent="0.25">
      <c r="B130" s="6">
        <v>100</v>
      </c>
      <c r="D130" s="9">
        <v>70773.960399999996</v>
      </c>
      <c r="F130" s="9">
        <v>4078.721</v>
      </c>
      <c r="G130" s="61">
        <f t="shared" si="5"/>
        <v>-66695.239399999991</v>
      </c>
      <c r="H130" s="61"/>
      <c r="I130" s="61"/>
    </row>
    <row r="131" spans="2:9" x14ac:dyDescent="0.25">
      <c r="B131" s="6">
        <v>101</v>
      </c>
      <c r="D131" s="9">
        <v>70795.426000000007</v>
      </c>
      <c r="F131" s="9">
        <v>4078.721</v>
      </c>
      <c r="G131" s="61">
        <f t="shared" si="5"/>
        <v>-66716.705000000002</v>
      </c>
      <c r="H131" s="61"/>
      <c r="I131" s="61"/>
    </row>
    <row r="132" spans="2:9" x14ac:dyDescent="0.25">
      <c r="B132" s="6">
        <v>102</v>
      </c>
      <c r="D132" s="9">
        <v>70817.095400000006</v>
      </c>
      <c r="F132" s="9">
        <v>4078.721</v>
      </c>
      <c r="G132" s="61">
        <f t="shared" si="5"/>
        <v>-66738.374400000001</v>
      </c>
      <c r="H132" s="61"/>
      <c r="I132" s="61"/>
    </row>
    <row r="133" spans="2:9" x14ac:dyDescent="0.25">
      <c r="B133" s="6">
        <v>103</v>
      </c>
      <c r="D133" s="9">
        <v>70838.970799999996</v>
      </c>
      <c r="F133" s="9">
        <v>4078.721</v>
      </c>
      <c r="G133" s="61">
        <f t="shared" si="5"/>
        <v>-66760.249799999991</v>
      </c>
      <c r="H133" s="61"/>
      <c r="I133" s="61"/>
    </row>
    <row r="134" spans="2:9" x14ac:dyDescent="0.25">
      <c r="B134" s="6">
        <v>104</v>
      </c>
      <c r="D134" s="9">
        <v>70861.053799999994</v>
      </c>
      <c r="F134" s="9">
        <v>4078.721</v>
      </c>
      <c r="G134" s="61">
        <f t="shared" si="5"/>
        <v>-66782.332799999989</v>
      </c>
      <c r="H134" s="61"/>
      <c r="I134" s="61"/>
    </row>
    <row r="135" spans="2:9" x14ac:dyDescent="0.25">
      <c r="B135" s="6">
        <v>105</v>
      </c>
      <c r="D135" s="9">
        <v>70883.346799999999</v>
      </c>
      <c r="F135" s="9">
        <v>4078.721</v>
      </c>
      <c r="G135" s="61">
        <f t="shared" si="5"/>
        <v>-66804.625799999994</v>
      </c>
      <c r="H135" s="61"/>
      <c r="I135" s="61"/>
    </row>
    <row r="136" spans="2:9" x14ac:dyDescent="0.25">
      <c r="B136" s="6">
        <v>106</v>
      </c>
      <c r="D136" s="9">
        <v>70905.8514</v>
      </c>
      <c r="F136" s="9">
        <v>4078.721</v>
      </c>
      <c r="G136" s="61">
        <f t="shared" si="5"/>
        <v>-66827.130399999995</v>
      </c>
      <c r="H136" s="61"/>
      <c r="I136" s="61"/>
    </row>
    <row r="137" spans="2:9" x14ac:dyDescent="0.25">
      <c r="B137" s="6">
        <v>107</v>
      </c>
      <c r="D137" s="9">
        <v>70928.570000000007</v>
      </c>
      <c r="F137" s="9">
        <v>4078.721</v>
      </c>
      <c r="G137" s="61">
        <f t="shared" si="5"/>
        <v>-66849.849000000002</v>
      </c>
      <c r="H137" s="61"/>
      <c r="I137" s="61"/>
    </row>
    <row r="138" spans="2:9" x14ac:dyDescent="0.25">
      <c r="B138" s="6">
        <v>108</v>
      </c>
      <c r="D138" s="9">
        <v>70951.504199999996</v>
      </c>
      <c r="F138" s="9">
        <v>4078.721</v>
      </c>
      <c r="G138" s="61">
        <f t="shared" si="5"/>
        <v>-66872.783199999991</v>
      </c>
      <c r="H138" s="61"/>
      <c r="I138" s="61"/>
    </row>
    <row r="139" spans="2:9" x14ac:dyDescent="0.25">
      <c r="B139" s="6">
        <v>109</v>
      </c>
      <c r="D139" s="9">
        <v>70974.656400000007</v>
      </c>
      <c r="F139" s="9">
        <v>4078.721</v>
      </c>
      <c r="G139" s="61">
        <f t="shared" si="5"/>
        <v>-66895.935400000002</v>
      </c>
      <c r="H139" s="61"/>
      <c r="I139" s="61"/>
    </row>
    <row r="140" spans="2:9" x14ac:dyDescent="0.25">
      <c r="B140" s="6">
        <v>110</v>
      </c>
      <c r="D140" s="9">
        <v>70998.028600000005</v>
      </c>
      <c r="F140" s="9">
        <v>4078.721</v>
      </c>
      <c r="G140" s="61">
        <f t="shared" si="5"/>
        <v>-66919.3076</v>
      </c>
      <c r="H140" s="61"/>
      <c r="I140" s="61"/>
    </row>
    <row r="141" spans="2:9" x14ac:dyDescent="0.25">
      <c r="B141" s="6">
        <v>111</v>
      </c>
      <c r="D141" s="9">
        <v>71021.622799999997</v>
      </c>
      <c r="F141" s="9">
        <v>4078.721</v>
      </c>
      <c r="G141" s="61">
        <f t="shared" si="5"/>
        <v>-66942.901799999992</v>
      </c>
      <c r="H141" s="61"/>
      <c r="I141" s="61"/>
    </row>
    <row r="142" spans="2:9" x14ac:dyDescent="0.25">
      <c r="B142" s="6">
        <v>112</v>
      </c>
      <c r="D142" s="9">
        <v>71045.441000000006</v>
      </c>
      <c r="F142" s="9">
        <v>4078.721</v>
      </c>
      <c r="G142" s="61">
        <f t="shared" si="5"/>
        <v>-66966.720000000001</v>
      </c>
      <c r="H142" s="61"/>
      <c r="I142" s="61"/>
    </row>
    <row r="143" spans="2:9" x14ac:dyDescent="0.25">
      <c r="B143" s="6">
        <v>113</v>
      </c>
      <c r="D143" s="9">
        <v>71069.485700000005</v>
      </c>
      <c r="F143" s="9">
        <v>4078.721</v>
      </c>
      <c r="G143" s="61">
        <f t="shared" si="5"/>
        <v>-66990.7647</v>
      </c>
      <c r="H143" s="61"/>
      <c r="I143" s="61"/>
    </row>
    <row r="144" spans="2:9" x14ac:dyDescent="0.25">
      <c r="B144" s="6">
        <v>114</v>
      </c>
      <c r="D144" s="9">
        <v>71093.758600000001</v>
      </c>
      <c r="F144" s="9">
        <v>4078.721</v>
      </c>
      <c r="G144" s="61">
        <f t="shared" si="5"/>
        <v>-67015.037599999996</v>
      </c>
      <c r="H144" s="61"/>
      <c r="I144" s="61"/>
    </row>
    <row r="145" spans="2:9" x14ac:dyDescent="0.25">
      <c r="B145" s="6">
        <v>115</v>
      </c>
      <c r="D145" s="9">
        <v>71118.262300000002</v>
      </c>
      <c r="F145" s="9">
        <v>4078.721</v>
      </c>
      <c r="G145" s="61">
        <f t="shared" si="5"/>
        <v>-67039.541299999997</v>
      </c>
      <c r="H145" s="61"/>
      <c r="I145" s="61"/>
    </row>
    <row r="146" spans="2:9" x14ac:dyDescent="0.25">
      <c r="B146" s="6">
        <v>116</v>
      </c>
      <c r="D146" s="9">
        <v>71142.998600000006</v>
      </c>
      <c r="F146" s="9">
        <v>4078.721</v>
      </c>
      <c r="G146" s="61">
        <f t="shared" si="5"/>
        <v>-67064.277600000001</v>
      </c>
      <c r="H146" s="61"/>
      <c r="I146" s="61"/>
    </row>
    <row r="147" spans="2:9" x14ac:dyDescent="0.25">
      <c r="B147" s="6">
        <v>117</v>
      </c>
      <c r="D147" s="9">
        <v>71167.97</v>
      </c>
      <c r="F147" s="9">
        <v>4078.721</v>
      </c>
      <c r="G147" s="61">
        <f t="shared" si="5"/>
        <v>-67089.248999999996</v>
      </c>
      <c r="H147" s="61"/>
      <c r="I147" s="61"/>
    </row>
    <row r="148" spans="2:9" x14ac:dyDescent="0.25">
      <c r="B148" s="6">
        <v>118</v>
      </c>
      <c r="D148" s="9">
        <v>71193.178599999999</v>
      </c>
      <c r="F148" s="9">
        <v>4078.721</v>
      </c>
      <c r="G148" s="61">
        <f t="shared" si="5"/>
        <v>-67114.457599999994</v>
      </c>
      <c r="H148" s="61"/>
      <c r="I148" s="61"/>
    </row>
    <row r="149" spans="2:9" x14ac:dyDescent="0.25">
      <c r="B149" s="6">
        <v>119</v>
      </c>
      <c r="D149" s="9">
        <v>71218.626799999998</v>
      </c>
      <c r="F149" s="9">
        <v>4078.721</v>
      </c>
      <c r="G149" s="61">
        <f t="shared" si="5"/>
        <v>-67139.905799999993</v>
      </c>
      <c r="H149" s="61"/>
      <c r="I149" s="61"/>
    </row>
    <row r="150" spans="2:9" x14ac:dyDescent="0.25">
      <c r="B150" s="6">
        <v>120</v>
      </c>
      <c r="D150" s="9">
        <v>71244.316600000006</v>
      </c>
      <c r="F150" s="9">
        <v>4078.721</v>
      </c>
      <c r="G150" s="61">
        <f t="shared" si="5"/>
        <v>-67165.595600000001</v>
      </c>
      <c r="H150" s="61"/>
      <c r="I150" s="61"/>
    </row>
    <row r="151" spans="2:9" x14ac:dyDescent="0.25">
      <c r="B151" s="6">
        <v>121</v>
      </c>
      <c r="D151" s="9">
        <v>71270.250499999995</v>
      </c>
      <c r="F151" s="9">
        <v>4078.721</v>
      </c>
      <c r="G151" s="61">
        <f t="shared" si="5"/>
        <v>-67191.52949999999</v>
      </c>
      <c r="H151" s="61"/>
      <c r="I151" s="61"/>
    </row>
    <row r="152" spans="2:9" x14ac:dyDescent="0.25">
      <c r="B152" s="6">
        <v>122</v>
      </c>
      <c r="D152" s="9">
        <v>71296.430800000002</v>
      </c>
      <c r="F152" s="9">
        <v>4078.721</v>
      </c>
      <c r="G152" s="61">
        <f t="shared" si="5"/>
        <v>-67217.709799999997</v>
      </c>
      <c r="H152" s="61"/>
      <c r="I152" s="61"/>
    </row>
    <row r="153" spans="2:9" x14ac:dyDescent="0.25">
      <c r="B153" s="6">
        <v>123</v>
      </c>
      <c r="D153" s="9">
        <v>71322.859700000001</v>
      </c>
      <c r="F153" s="9">
        <v>4078.721</v>
      </c>
      <c r="G153" s="61">
        <f t="shared" si="5"/>
        <v>-67244.138699999996</v>
      </c>
      <c r="H153" s="61"/>
      <c r="I153" s="61"/>
    </row>
    <row r="154" spans="2:9" x14ac:dyDescent="0.25">
      <c r="B154" s="6">
        <v>124</v>
      </c>
      <c r="D154" s="9">
        <v>71349.539799999999</v>
      </c>
      <c r="F154" s="9">
        <v>4078.721</v>
      </c>
      <c r="G154" s="61">
        <f t="shared" si="5"/>
        <v>-67270.818799999994</v>
      </c>
      <c r="H154" s="61"/>
      <c r="I154" s="61"/>
    </row>
    <row r="155" spans="2:9" x14ac:dyDescent="0.25">
      <c r="B155" s="6">
        <v>125</v>
      </c>
      <c r="D155" s="9">
        <v>71376.473299999998</v>
      </c>
      <c r="F155" s="9">
        <v>4078.721</v>
      </c>
      <c r="G155" s="61">
        <f t="shared" si="5"/>
        <v>-67297.752299999993</v>
      </c>
      <c r="H155" s="61"/>
      <c r="I155" s="61"/>
    </row>
    <row r="156" spans="2:9" x14ac:dyDescent="0.25">
      <c r="B156" s="6">
        <v>126</v>
      </c>
      <c r="D156" s="9">
        <v>71403.662700000001</v>
      </c>
      <c r="F156" s="9">
        <v>4078.721</v>
      </c>
      <c r="G156" s="61">
        <f t="shared" si="5"/>
        <v>-67324.941699999996</v>
      </c>
      <c r="H156" s="61"/>
      <c r="I156" s="61"/>
    </row>
    <row r="157" spans="2:9" x14ac:dyDescent="0.25">
      <c r="B157" s="6">
        <v>127</v>
      </c>
      <c r="D157" s="9">
        <v>71431.110400000005</v>
      </c>
      <c r="F157" s="9">
        <v>4078.721</v>
      </c>
      <c r="G157" s="61">
        <f t="shared" si="5"/>
        <v>-67352.3894</v>
      </c>
      <c r="H157" s="61"/>
      <c r="I157" s="61"/>
    </row>
    <row r="158" spans="2:9" x14ac:dyDescent="0.25">
      <c r="B158" s="6">
        <v>128</v>
      </c>
      <c r="D158" s="9">
        <v>71458.818899999998</v>
      </c>
      <c r="F158" s="9">
        <v>4078.721</v>
      </c>
      <c r="G158" s="61">
        <f t="shared" si="5"/>
        <v>-67380.097899999993</v>
      </c>
      <c r="H158" s="61"/>
      <c r="I158" s="61"/>
    </row>
    <row r="159" spans="2:9" x14ac:dyDescent="0.25">
      <c r="B159" s="6">
        <v>129</v>
      </c>
      <c r="D159" s="9">
        <v>71486.790599999993</v>
      </c>
      <c r="F159" s="9">
        <v>4078.721</v>
      </c>
      <c r="G159" s="61">
        <f t="shared" ref="G159:G222" si="6">IFERROR(F159-D159,0)</f>
        <v>-67408.069599999988</v>
      </c>
      <c r="H159" s="61"/>
      <c r="I159" s="61"/>
    </row>
    <row r="160" spans="2:9" x14ac:dyDescent="0.25">
      <c r="B160" s="6">
        <v>130</v>
      </c>
      <c r="D160" s="9">
        <v>71515.028000000006</v>
      </c>
      <c r="F160" s="9">
        <v>4078.721</v>
      </c>
      <c r="G160" s="61">
        <f t="shared" si="6"/>
        <v>-67436.307000000001</v>
      </c>
      <c r="H160" s="61"/>
      <c r="I160" s="61"/>
    </row>
    <row r="161" spans="2:9" x14ac:dyDescent="0.25">
      <c r="B161" s="6">
        <v>131</v>
      </c>
      <c r="D161" s="9">
        <v>71543.533599999995</v>
      </c>
      <c r="F161" s="9">
        <v>4078.721</v>
      </c>
      <c r="G161" s="61">
        <f t="shared" si="6"/>
        <v>-67464.81259999999</v>
      </c>
      <c r="H161" s="61"/>
      <c r="I161" s="61"/>
    </row>
    <row r="162" spans="2:9" x14ac:dyDescent="0.25">
      <c r="B162" s="6">
        <v>132</v>
      </c>
      <c r="D162" s="9">
        <v>71572.310100000002</v>
      </c>
      <c r="F162" s="9">
        <v>4078.721</v>
      </c>
      <c r="G162" s="61">
        <f t="shared" si="6"/>
        <v>-67493.589099999997</v>
      </c>
      <c r="H162" s="61"/>
      <c r="I162" s="61"/>
    </row>
    <row r="163" spans="2:9" x14ac:dyDescent="0.25">
      <c r="B163" s="6">
        <v>133</v>
      </c>
      <c r="D163" s="9">
        <v>71601.359899999996</v>
      </c>
      <c r="F163" s="9">
        <v>4078.721</v>
      </c>
      <c r="G163" s="61">
        <f t="shared" si="6"/>
        <v>-67522.638899999991</v>
      </c>
      <c r="H163" s="61"/>
      <c r="I163" s="61"/>
    </row>
    <row r="164" spans="2:9" x14ac:dyDescent="0.25">
      <c r="B164" s="6">
        <v>134</v>
      </c>
      <c r="D164" s="9">
        <v>71630.685700000002</v>
      </c>
      <c r="F164" s="9">
        <v>4078.7211000000002</v>
      </c>
      <c r="G164" s="61">
        <f t="shared" si="6"/>
        <v>-67551.964600000007</v>
      </c>
      <c r="H164" s="61"/>
      <c r="I164" s="61"/>
    </row>
    <row r="165" spans="2:9" x14ac:dyDescent="0.25">
      <c r="B165" s="6">
        <v>135</v>
      </c>
      <c r="D165" s="9">
        <v>71660.290200000003</v>
      </c>
      <c r="F165" s="9">
        <v>4078.721</v>
      </c>
      <c r="G165" s="61">
        <f t="shared" si="6"/>
        <v>-67581.569199999998</v>
      </c>
      <c r="H165" s="61"/>
      <c r="I165" s="61"/>
    </row>
    <row r="166" spans="2:9" x14ac:dyDescent="0.25">
      <c r="B166" s="6">
        <v>136</v>
      </c>
      <c r="D166" s="9">
        <v>71690.175799999997</v>
      </c>
      <c r="F166" s="9">
        <v>4078.721</v>
      </c>
      <c r="G166" s="61">
        <f t="shared" si="6"/>
        <v>-67611.454799999992</v>
      </c>
      <c r="H166" s="61"/>
      <c r="I166" s="61"/>
    </row>
    <row r="167" spans="2:9" x14ac:dyDescent="0.25">
      <c r="B167" s="6">
        <v>137</v>
      </c>
      <c r="D167" s="9">
        <v>71720.345400000006</v>
      </c>
      <c r="F167" s="9">
        <v>4078.721</v>
      </c>
      <c r="G167" s="61">
        <f t="shared" si="6"/>
        <v>-67641.624400000001</v>
      </c>
      <c r="H167" s="61"/>
      <c r="I167" s="61"/>
    </row>
    <row r="168" spans="2:9" x14ac:dyDescent="0.25">
      <c r="B168" s="6">
        <v>138</v>
      </c>
      <c r="D168" s="9">
        <v>71750.801500000001</v>
      </c>
      <c r="F168" s="9">
        <v>4078.721</v>
      </c>
      <c r="G168" s="61">
        <f t="shared" si="6"/>
        <v>-67672.080499999996</v>
      </c>
      <c r="H168" s="61"/>
      <c r="I168" s="61"/>
    </row>
    <row r="169" spans="2:9" x14ac:dyDescent="0.25">
      <c r="B169" s="6">
        <v>139</v>
      </c>
      <c r="D169" s="9">
        <v>71781.547099999996</v>
      </c>
      <c r="F169" s="9">
        <v>4078.721</v>
      </c>
      <c r="G169" s="61">
        <f t="shared" si="6"/>
        <v>-67702.826099999991</v>
      </c>
      <c r="H169" s="61"/>
      <c r="I169" s="61"/>
    </row>
    <row r="170" spans="2:9" x14ac:dyDescent="0.25">
      <c r="B170" s="6">
        <v>140</v>
      </c>
      <c r="D170" s="9">
        <v>71812.584700000007</v>
      </c>
      <c r="F170" s="9">
        <v>4078.721</v>
      </c>
      <c r="G170" s="61">
        <f t="shared" si="6"/>
        <v>-67733.863700000002</v>
      </c>
      <c r="H170" s="61"/>
      <c r="I170" s="61"/>
    </row>
    <row r="171" spans="2:9" x14ac:dyDescent="0.25">
      <c r="B171" s="6">
        <v>141</v>
      </c>
      <c r="D171" s="9">
        <v>71843.917100000006</v>
      </c>
      <c r="F171" s="9">
        <v>4078.721</v>
      </c>
      <c r="G171" s="61">
        <f t="shared" si="6"/>
        <v>-67765.196100000001</v>
      </c>
      <c r="H171" s="61"/>
      <c r="I171" s="61"/>
    </row>
    <row r="172" spans="2:9" x14ac:dyDescent="0.25">
      <c r="B172" s="6">
        <v>142</v>
      </c>
      <c r="D172" s="9">
        <v>71875.547200000001</v>
      </c>
      <c r="F172" s="9">
        <v>4078.721</v>
      </c>
      <c r="G172" s="61">
        <f t="shared" si="6"/>
        <v>-67796.826199999996</v>
      </c>
      <c r="H172" s="61"/>
      <c r="I172" s="61"/>
    </row>
    <row r="173" spans="2:9" x14ac:dyDescent="0.25">
      <c r="B173" s="6">
        <v>143</v>
      </c>
      <c r="D173" s="9">
        <v>71907.477799999993</v>
      </c>
      <c r="F173" s="9">
        <v>4078.7211000000002</v>
      </c>
      <c r="G173" s="61">
        <f t="shared" si="6"/>
        <v>-67828.756699999998</v>
      </c>
      <c r="H173" s="61"/>
      <c r="I173" s="61"/>
    </row>
    <row r="174" spans="2:9" x14ac:dyDescent="0.25">
      <c r="B174" s="6">
        <v>144</v>
      </c>
      <c r="D174" s="9">
        <v>71939.711800000005</v>
      </c>
      <c r="F174" s="9">
        <v>4078.721</v>
      </c>
      <c r="G174" s="61">
        <f t="shared" si="6"/>
        <v>-67860.9908</v>
      </c>
      <c r="H174" s="61"/>
      <c r="I174" s="61"/>
    </row>
    <row r="175" spans="2:9" x14ac:dyDescent="0.25">
      <c r="B175" s="6">
        <v>145</v>
      </c>
      <c r="D175" s="9">
        <v>71972.251900000003</v>
      </c>
      <c r="F175" s="9">
        <v>4078.721</v>
      </c>
      <c r="G175" s="61">
        <f t="shared" si="6"/>
        <v>-67893.530899999998</v>
      </c>
      <c r="H175" s="61"/>
      <c r="I175" s="61"/>
    </row>
    <row r="176" spans="2:9" x14ac:dyDescent="0.25">
      <c r="B176" s="6">
        <v>146</v>
      </c>
      <c r="D176" s="9">
        <v>72005.101200000005</v>
      </c>
      <c r="F176" s="9">
        <v>4078.721</v>
      </c>
      <c r="G176" s="61">
        <f t="shared" si="6"/>
        <v>-67926.3802</v>
      </c>
      <c r="H176" s="61"/>
      <c r="I176" s="61"/>
    </row>
    <row r="177" spans="2:9" x14ac:dyDescent="0.25">
      <c r="B177" s="6">
        <v>147</v>
      </c>
      <c r="D177" s="9">
        <v>72038.262600000002</v>
      </c>
      <c r="F177" s="9">
        <v>4078.7211000000002</v>
      </c>
      <c r="G177" s="61">
        <f t="shared" si="6"/>
        <v>-67959.541500000007</v>
      </c>
      <c r="H177" s="61"/>
      <c r="I177" s="61"/>
    </row>
    <row r="178" spans="2:9" x14ac:dyDescent="0.25">
      <c r="B178" s="6">
        <v>148</v>
      </c>
      <c r="D178" s="9">
        <v>72071.738899999997</v>
      </c>
      <c r="F178" s="9">
        <v>4078.721</v>
      </c>
      <c r="G178" s="61">
        <f t="shared" si="6"/>
        <v>-67993.017899999992</v>
      </c>
      <c r="H178" s="61"/>
      <c r="I178" s="61"/>
    </row>
    <row r="179" spans="2:9" x14ac:dyDescent="0.25">
      <c r="B179" s="6">
        <v>149</v>
      </c>
      <c r="D179" s="9">
        <v>72105.5334</v>
      </c>
      <c r="F179" s="9">
        <v>4078.721</v>
      </c>
      <c r="G179" s="61">
        <f t="shared" si="6"/>
        <v>-68026.812399999995</v>
      </c>
      <c r="H179" s="61"/>
      <c r="I179" s="61"/>
    </row>
    <row r="180" spans="2:9" x14ac:dyDescent="0.25">
      <c r="B180" s="6">
        <v>150</v>
      </c>
      <c r="D180" s="9">
        <v>72139.648799999995</v>
      </c>
      <c r="F180" s="9">
        <v>4078.7211000000002</v>
      </c>
      <c r="G180" s="61">
        <f t="shared" si="6"/>
        <v>-68060.9277</v>
      </c>
      <c r="H180" s="61"/>
      <c r="I180" s="61"/>
    </row>
    <row r="181" spans="2:9" x14ac:dyDescent="0.25">
      <c r="B181" s="6">
        <v>151</v>
      </c>
      <c r="D181" s="9">
        <v>72174.088399999993</v>
      </c>
      <c r="F181" s="9">
        <v>4078.721</v>
      </c>
      <c r="G181" s="61">
        <f t="shared" si="6"/>
        <v>-68095.367399999988</v>
      </c>
      <c r="H181" s="61"/>
      <c r="I181" s="61"/>
    </row>
    <row r="182" spans="2:9" x14ac:dyDescent="0.25">
      <c r="B182" s="6">
        <v>152</v>
      </c>
      <c r="D182" s="9">
        <v>72208.855100000001</v>
      </c>
      <c r="F182" s="9">
        <v>4078.721</v>
      </c>
      <c r="G182" s="61">
        <f t="shared" si="6"/>
        <v>-68130.134099999996</v>
      </c>
      <c r="H182" s="61"/>
      <c r="I182" s="61"/>
    </row>
    <row r="183" spans="2:9" x14ac:dyDescent="0.25">
      <c r="B183" s="6">
        <v>153</v>
      </c>
      <c r="D183" s="9">
        <v>72243.952099999995</v>
      </c>
      <c r="F183" s="9">
        <v>4078.721</v>
      </c>
      <c r="G183" s="61">
        <f t="shared" si="6"/>
        <v>-68165.23109999999</v>
      </c>
      <c r="H183" s="61"/>
      <c r="I183" s="61"/>
    </row>
    <row r="184" spans="2:9" x14ac:dyDescent="0.25">
      <c r="B184" s="6">
        <v>154</v>
      </c>
      <c r="D184" s="9">
        <v>72279.382599999997</v>
      </c>
      <c r="F184" s="9">
        <v>4078.7211000000002</v>
      </c>
      <c r="G184" s="61">
        <f t="shared" si="6"/>
        <v>-68200.661500000002</v>
      </c>
      <c r="H184" s="61"/>
      <c r="I184" s="61"/>
    </row>
    <row r="185" spans="2:9" x14ac:dyDescent="0.25">
      <c r="B185" s="6">
        <v>155</v>
      </c>
      <c r="D185" s="9">
        <v>72315.149600000004</v>
      </c>
      <c r="F185" s="9">
        <v>4078.721</v>
      </c>
      <c r="G185" s="61">
        <f t="shared" si="6"/>
        <v>-68236.428599999999</v>
      </c>
      <c r="H185" s="61"/>
      <c r="I185" s="61"/>
    </row>
    <row r="186" spans="2:9" x14ac:dyDescent="0.25">
      <c r="B186" s="6">
        <v>156</v>
      </c>
      <c r="D186" s="9">
        <v>72351.256500000003</v>
      </c>
      <c r="F186" s="9">
        <v>4078.721</v>
      </c>
      <c r="G186" s="61">
        <f t="shared" si="6"/>
        <v>-68272.535499999998</v>
      </c>
      <c r="H186" s="61"/>
      <c r="I186" s="61"/>
    </row>
    <row r="187" spans="2:9" x14ac:dyDescent="0.25">
      <c r="B187" s="6">
        <v>157</v>
      </c>
      <c r="D187" s="9">
        <v>72387.706300000005</v>
      </c>
      <c r="F187" s="9">
        <v>4078.721</v>
      </c>
      <c r="G187" s="61">
        <f t="shared" si="6"/>
        <v>-68308.9853</v>
      </c>
      <c r="H187" s="61"/>
      <c r="I187" s="61"/>
    </row>
    <row r="188" spans="2:9" x14ac:dyDescent="0.25">
      <c r="B188" s="6">
        <v>158</v>
      </c>
      <c r="D188" s="9">
        <v>72424.502399999998</v>
      </c>
      <c r="F188" s="9">
        <v>4078.721</v>
      </c>
      <c r="G188" s="61">
        <f t="shared" si="6"/>
        <v>-68345.781399999993</v>
      </c>
      <c r="H188" s="61"/>
      <c r="I188" s="61"/>
    </row>
    <row r="189" spans="2:9" x14ac:dyDescent="0.25">
      <c r="B189" s="6">
        <v>159</v>
      </c>
      <c r="D189" s="9">
        <v>72461.648100000006</v>
      </c>
      <c r="F189" s="9">
        <v>4078.721</v>
      </c>
      <c r="G189" s="61">
        <f t="shared" si="6"/>
        <v>-68382.927100000001</v>
      </c>
      <c r="H189" s="61"/>
      <c r="I189" s="61"/>
    </row>
    <row r="190" spans="2:9" x14ac:dyDescent="0.25">
      <c r="B190" s="6">
        <v>160</v>
      </c>
      <c r="D190" s="9">
        <v>72499.146599999993</v>
      </c>
      <c r="F190" s="9">
        <v>4078.721</v>
      </c>
      <c r="G190" s="61">
        <f t="shared" si="6"/>
        <v>-68420.425599999988</v>
      </c>
      <c r="H190" s="61"/>
      <c r="I190" s="61"/>
    </row>
    <row r="191" spans="2:9" x14ac:dyDescent="0.25">
      <c r="B191" s="6">
        <v>161</v>
      </c>
      <c r="D191" s="9">
        <v>72537.001399999994</v>
      </c>
      <c r="F191" s="9">
        <v>4078.721</v>
      </c>
      <c r="G191" s="61">
        <f t="shared" si="6"/>
        <v>-68458.280399999989</v>
      </c>
      <c r="H191" s="61"/>
      <c r="I191" s="61"/>
    </row>
    <row r="192" spans="2:9" x14ac:dyDescent="0.25">
      <c r="B192" s="6">
        <v>162</v>
      </c>
      <c r="D192" s="9">
        <v>72575.215800000005</v>
      </c>
      <c r="F192" s="9">
        <v>4078.721</v>
      </c>
      <c r="G192" s="61">
        <f t="shared" si="6"/>
        <v>-68496.4948</v>
      </c>
      <c r="H192" s="61"/>
      <c r="I192" s="61"/>
    </row>
    <row r="193" spans="2:9" x14ac:dyDescent="0.25">
      <c r="B193" s="6">
        <v>163</v>
      </c>
      <c r="D193" s="9">
        <v>72613.7932</v>
      </c>
      <c r="F193" s="9">
        <v>4078.721</v>
      </c>
      <c r="G193" s="61">
        <f t="shared" si="6"/>
        <v>-68535.072199999995</v>
      </c>
      <c r="H193" s="61"/>
      <c r="I193" s="61"/>
    </row>
    <row r="194" spans="2:9" x14ac:dyDescent="0.25">
      <c r="B194" s="6">
        <v>164</v>
      </c>
      <c r="D194" s="9">
        <v>72652.737099999998</v>
      </c>
      <c r="F194" s="9">
        <v>4078.721</v>
      </c>
      <c r="G194" s="61">
        <f t="shared" si="6"/>
        <v>-68574.016099999993</v>
      </c>
      <c r="H194" s="61"/>
      <c r="I194" s="61"/>
    </row>
    <row r="195" spans="2:9" x14ac:dyDescent="0.25">
      <c r="B195" s="6">
        <v>165</v>
      </c>
      <c r="D195" s="9">
        <v>72692.051099999997</v>
      </c>
      <c r="F195" s="9">
        <v>4078.721</v>
      </c>
      <c r="G195" s="61">
        <f t="shared" si="6"/>
        <v>-68613.330099999992</v>
      </c>
      <c r="H195" s="61"/>
      <c r="I195" s="61"/>
    </row>
    <row r="196" spans="2:9" x14ac:dyDescent="0.25">
      <c r="B196" s="6">
        <v>166</v>
      </c>
      <c r="D196" s="9">
        <v>72731.738500000007</v>
      </c>
      <c r="F196" s="9">
        <v>4078.721</v>
      </c>
      <c r="G196" s="61">
        <f t="shared" si="6"/>
        <v>-68653.017500000002</v>
      </c>
      <c r="H196" s="61"/>
      <c r="I196" s="61"/>
    </row>
    <row r="197" spans="2:9" x14ac:dyDescent="0.25">
      <c r="B197" s="6">
        <v>167</v>
      </c>
      <c r="D197" s="9">
        <v>72771.802800000005</v>
      </c>
      <c r="F197" s="9">
        <v>4078.721</v>
      </c>
      <c r="G197" s="61">
        <f t="shared" si="6"/>
        <v>-68693.0818</v>
      </c>
      <c r="H197" s="61"/>
      <c r="I197" s="61"/>
    </row>
    <row r="198" spans="2:9" x14ac:dyDescent="0.25">
      <c r="B198" s="6">
        <v>168</v>
      </c>
      <c r="D198" s="9">
        <v>72812.247900000002</v>
      </c>
      <c r="F198" s="9">
        <v>4078.721</v>
      </c>
      <c r="G198" s="61">
        <f t="shared" si="6"/>
        <v>-68733.526899999997</v>
      </c>
      <c r="H198" s="61"/>
      <c r="I198" s="61"/>
    </row>
    <row r="199" spans="2:9" x14ac:dyDescent="0.25">
      <c r="B199" s="6">
        <v>169</v>
      </c>
      <c r="D199" s="9">
        <v>72853.0772</v>
      </c>
      <c r="F199" s="9">
        <v>4078.721</v>
      </c>
      <c r="G199" s="61">
        <f t="shared" si="6"/>
        <v>-68774.356199999995</v>
      </c>
      <c r="H199" s="61"/>
      <c r="I199" s="61"/>
    </row>
    <row r="200" spans="2:9" x14ac:dyDescent="0.25">
      <c r="B200" s="6">
        <v>170</v>
      </c>
      <c r="D200" s="9">
        <v>72894.294200000004</v>
      </c>
      <c r="F200" s="9">
        <v>4078.721</v>
      </c>
      <c r="G200" s="61">
        <f t="shared" si="6"/>
        <v>-68815.573199999999</v>
      </c>
      <c r="H200" s="61"/>
      <c r="I200" s="61"/>
    </row>
    <row r="201" spans="2:9" x14ac:dyDescent="0.25">
      <c r="B201" s="6">
        <v>171</v>
      </c>
      <c r="D201" s="9">
        <v>72935.902900000001</v>
      </c>
      <c r="F201" s="9">
        <v>4078.7211000000002</v>
      </c>
      <c r="G201" s="61">
        <f t="shared" si="6"/>
        <v>-68857.181800000006</v>
      </c>
      <c r="H201" s="61"/>
      <c r="I201" s="61"/>
    </row>
    <row r="202" spans="2:9" x14ac:dyDescent="0.25">
      <c r="B202" s="6">
        <v>172</v>
      </c>
      <c r="D202" s="9">
        <v>72977.906900000002</v>
      </c>
      <c r="F202" s="9">
        <v>4078.721</v>
      </c>
      <c r="G202" s="61">
        <f t="shared" si="6"/>
        <v>-68899.185899999997</v>
      </c>
      <c r="H202" s="61"/>
      <c r="I202" s="61"/>
    </row>
    <row r="203" spans="2:9" x14ac:dyDescent="0.25">
      <c r="B203" s="6">
        <v>173</v>
      </c>
      <c r="D203" s="9">
        <v>73020.309899999993</v>
      </c>
      <c r="F203" s="9">
        <v>4078.721</v>
      </c>
      <c r="G203" s="61">
        <f t="shared" si="6"/>
        <v>-68941.588899999988</v>
      </c>
      <c r="H203" s="61"/>
      <c r="I203" s="61"/>
    </row>
    <row r="204" spans="2:9" x14ac:dyDescent="0.25">
      <c r="B204" s="6">
        <v>174</v>
      </c>
      <c r="D204" s="9">
        <v>73063.115699999995</v>
      </c>
      <c r="F204" s="9">
        <v>4078.721</v>
      </c>
      <c r="G204" s="61">
        <f t="shared" si="6"/>
        <v>-68984.39469999999</v>
      </c>
      <c r="H204" s="61"/>
      <c r="I204" s="61"/>
    </row>
    <row r="205" spans="2:9" x14ac:dyDescent="0.25">
      <c r="B205" s="6">
        <v>175</v>
      </c>
      <c r="D205" s="9">
        <v>73106.328299999994</v>
      </c>
      <c r="F205" s="9">
        <v>4078.721</v>
      </c>
      <c r="G205" s="61">
        <f t="shared" si="6"/>
        <v>-69027.607299999989</v>
      </c>
      <c r="H205" s="61"/>
      <c r="I205" s="61"/>
    </row>
    <row r="206" spans="2:9" x14ac:dyDescent="0.25">
      <c r="B206" s="6">
        <v>176</v>
      </c>
      <c r="D206" s="9">
        <v>73149.951300000001</v>
      </c>
      <c r="F206" s="9">
        <v>4078.721</v>
      </c>
      <c r="G206" s="61">
        <f t="shared" si="6"/>
        <v>-69071.230299999996</v>
      </c>
      <c r="H206" s="61"/>
      <c r="I206" s="61"/>
    </row>
    <row r="207" spans="2:9" x14ac:dyDescent="0.25">
      <c r="B207" s="6">
        <v>177</v>
      </c>
      <c r="D207" s="9">
        <v>73193.988700000002</v>
      </c>
      <c r="F207" s="9">
        <v>4078.721</v>
      </c>
      <c r="G207" s="61">
        <f t="shared" si="6"/>
        <v>-69115.267699999997</v>
      </c>
      <c r="H207" s="61"/>
      <c r="I207" s="61"/>
    </row>
    <row r="208" spans="2:9" x14ac:dyDescent="0.25">
      <c r="B208" s="6">
        <v>178</v>
      </c>
      <c r="D208" s="9">
        <v>73238.444600000003</v>
      </c>
      <c r="F208" s="9">
        <v>4078.721</v>
      </c>
      <c r="G208" s="61">
        <f t="shared" si="6"/>
        <v>-69159.723599999998</v>
      </c>
      <c r="H208" s="61"/>
      <c r="I208" s="61"/>
    </row>
    <row r="209" spans="2:9" x14ac:dyDescent="0.25">
      <c r="B209" s="6">
        <v>179</v>
      </c>
      <c r="D209" s="9">
        <v>73283.3226</v>
      </c>
      <c r="F209" s="9">
        <v>4078.721</v>
      </c>
      <c r="G209" s="61">
        <f t="shared" si="6"/>
        <v>-69204.601599999995</v>
      </c>
      <c r="H209" s="61"/>
      <c r="I209" s="61"/>
    </row>
    <row r="210" spans="2:9" x14ac:dyDescent="0.25">
      <c r="B210" s="6">
        <v>180</v>
      </c>
      <c r="D210" s="9">
        <v>73328.627099999998</v>
      </c>
      <c r="F210" s="9">
        <v>4078.721</v>
      </c>
      <c r="G210" s="61">
        <f t="shared" si="6"/>
        <v>-69249.906099999993</v>
      </c>
      <c r="H210" s="61"/>
      <c r="I210" s="61"/>
    </row>
    <row r="211" spans="2:9" x14ac:dyDescent="0.25">
      <c r="B211" s="6">
        <v>181</v>
      </c>
      <c r="D211" s="9">
        <v>73374.361900000004</v>
      </c>
      <c r="F211" s="9">
        <v>4078.721</v>
      </c>
      <c r="G211" s="61">
        <f t="shared" si="6"/>
        <v>-69295.640899999999</v>
      </c>
      <c r="H211" s="61"/>
      <c r="I211" s="61"/>
    </row>
    <row r="212" spans="2:9" x14ac:dyDescent="0.25">
      <c r="B212" s="6">
        <v>182</v>
      </c>
      <c r="D212" s="9">
        <v>73420.531300000002</v>
      </c>
      <c r="F212" s="9">
        <v>4078.721</v>
      </c>
      <c r="G212" s="61">
        <f t="shared" si="6"/>
        <v>-69341.810299999997</v>
      </c>
      <c r="H212" s="61"/>
      <c r="I212" s="61"/>
    </row>
    <row r="213" spans="2:9" x14ac:dyDescent="0.25">
      <c r="B213" s="6">
        <v>183</v>
      </c>
      <c r="D213" s="9">
        <v>73467.139200000005</v>
      </c>
      <c r="F213" s="9">
        <v>4078.721</v>
      </c>
      <c r="G213" s="61">
        <f t="shared" si="6"/>
        <v>-69388.4182</v>
      </c>
      <c r="H213" s="61"/>
      <c r="I213" s="61"/>
    </row>
    <row r="214" spans="2:9" x14ac:dyDescent="0.25">
      <c r="B214" s="6">
        <v>184</v>
      </c>
      <c r="D214" s="9">
        <v>73514.19</v>
      </c>
      <c r="F214" s="9">
        <v>4078.7211000000002</v>
      </c>
      <c r="G214" s="61">
        <f t="shared" si="6"/>
        <v>-69435.468900000007</v>
      </c>
      <c r="H214" s="61"/>
      <c r="I214" s="61"/>
    </row>
    <row r="215" spans="2:9" x14ac:dyDescent="0.25">
      <c r="B215" s="6">
        <v>185</v>
      </c>
      <c r="D215" s="9">
        <v>73561.687600000005</v>
      </c>
      <c r="F215" s="9">
        <v>4078.721</v>
      </c>
      <c r="G215" s="61">
        <f t="shared" si="6"/>
        <v>-69482.9666</v>
      </c>
      <c r="H215" s="61"/>
      <c r="I215" s="61"/>
    </row>
    <row r="216" spans="2:9" x14ac:dyDescent="0.25">
      <c r="B216" s="6">
        <v>186</v>
      </c>
      <c r="D216" s="9">
        <v>73609.636599999998</v>
      </c>
      <c r="F216" s="9">
        <v>4078.7211000000002</v>
      </c>
      <c r="G216" s="61">
        <f t="shared" si="6"/>
        <v>-69530.915500000003</v>
      </c>
      <c r="H216" s="61"/>
      <c r="I216" s="61"/>
    </row>
    <row r="217" spans="2:9" x14ac:dyDescent="0.25">
      <c r="B217" s="6">
        <v>187</v>
      </c>
      <c r="D217" s="9">
        <v>73658.040999999997</v>
      </c>
      <c r="F217" s="9">
        <v>4078.721</v>
      </c>
      <c r="G217" s="61">
        <f t="shared" si="6"/>
        <v>-69579.319999999992</v>
      </c>
      <c r="H217" s="61"/>
      <c r="I217" s="61"/>
    </row>
    <row r="218" spans="2:9" x14ac:dyDescent="0.25">
      <c r="B218" s="6">
        <v>188</v>
      </c>
      <c r="D218" s="9">
        <v>73706.905400000003</v>
      </c>
      <c r="F218" s="9">
        <v>4078.721</v>
      </c>
      <c r="G218" s="61">
        <f t="shared" si="6"/>
        <v>-69628.184399999998</v>
      </c>
      <c r="H218" s="61"/>
      <c r="I218" s="61"/>
    </row>
    <row r="219" spans="2:9" x14ac:dyDescent="0.25">
      <c r="B219" s="6">
        <v>189</v>
      </c>
      <c r="D219" s="9">
        <v>73756.233900000007</v>
      </c>
      <c r="F219" s="9">
        <v>4078.721</v>
      </c>
      <c r="G219" s="61">
        <f t="shared" si="6"/>
        <v>-69677.512900000002</v>
      </c>
      <c r="H219" s="61"/>
      <c r="I219" s="61"/>
    </row>
    <row r="220" spans="2:9" x14ac:dyDescent="0.25">
      <c r="B220" s="6">
        <v>190</v>
      </c>
      <c r="D220" s="9">
        <v>73806.031000000003</v>
      </c>
      <c r="F220" s="9">
        <v>4078.721</v>
      </c>
      <c r="G220" s="61">
        <f t="shared" si="6"/>
        <v>-69727.31</v>
      </c>
      <c r="H220" s="61"/>
      <c r="I220" s="61"/>
    </row>
    <row r="221" spans="2:9" x14ac:dyDescent="0.25">
      <c r="B221" s="6">
        <v>191</v>
      </c>
      <c r="D221" s="9">
        <v>73856.301200000002</v>
      </c>
      <c r="F221" s="9">
        <v>4078.721</v>
      </c>
      <c r="G221" s="61">
        <f t="shared" si="6"/>
        <v>-69777.580199999997</v>
      </c>
      <c r="H221" s="61"/>
      <c r="I221" s="61"/>
    </row>
    <row r="222" spans="2:9" x14ac:dyDescent="0.25">
      <c r="B222" s="6">
        <v>192</v>
      </c>
      <c r="D222" s="9">
        <v>73907.048800000004</v>
      </c>
      <c r="F222" s="9">
        <v>4078.7211000000002</v>
      </c>
      <c r="G222" s="61">
        <f t="shared" si="6"/>
        <v>-69828.327700000009</v>
      </c>
      <c r="H222" s="61"/>
      <c r="I222" s="61"/>
    </row>
    <row r="223" spans="2:9" x14ac:dyDescent="0.25">
      <c r="B223" s="6">
        <v>193</v>
      </c>
      <c r="D223" s="9">
        <v>73958.2788</v>
      </c>
      <c r="F223" s="9">
        <v>4078.7211000000002</v>
      </c>
      <c r="G223" s="61">
        <f t="shared" ref="G223:G286" si="7">IFERROR(F223-D223,0)</f>
        <v>-69879.557700000005</v>
      </c>
      <c r="H223" s="61"/>
      <c r="I223" s="61"/>
    </row>
    <row r="224" spans="2:9" x14ac:dyDescent="0.25">
      <c r="B224" s="6">
        <v>194</v>
      </c>
      <c r="D224" s="9">
        <v>74009.995299999995</v>
      </c>
      <c r="F224" s="9">
        <v>4078.721</v>
      </c>
      <c r="G224" s="61">
        <f t="shared" si="7"/>
        <v>-69931.27429999999</v>
      </c>
      <c r="H224" s="61"/>
      <c r="I224" s="61"/>
    </row>
    <row r="225" spans="2:9" x14ac:dyDescent="0.25">
      <c r="B225" s="6">
        <v>195</v>
      </c>
      <c r="D225" s="9">
        <v>74062.203099999999</v>
      </c>
      <c r="F225" s="9">
        <v>4078.721</v>
      </c>
      <c r="G225" s="61">
        <f t="shared" si="7"/>
        <v>-69983.482099999994</v>
      </c>
      <c r="H225" s="61"/>
      <c r="I225" s="61"/>
    </row>
    <row r="226" spans="2:9" x14ac:dyDescent="0.25">
      <c r="B226" s="6">
        <v>196</v>
      </c>
      <c r="D226" s="9">
        <v>74114.907000000007</v>
      </c>
      <c r="F226" s="9">
        <v>4078.721</v>
      </c>
      <c r="G226" s="61">
        <f t="shared" si="7"/>
        <v>-70036.186000000002</v>
      </c>
      <c r="H226" s="61"/>
      <c r="I226" s="61"/>
    </row>
    <row r="227" spans="2:9" x14ac:dyDescent="0.25">
      <c r="B227" s="6">
        <v>197</v>
      </c>
      <c r="D227" s="9">
        <v>74168.111499999999</v>
      </c>
      <c r="F227" s="9">
        <v>4078.721</v>
      </c>
      <c r="G227" s="61">
        <f t="shared" si="7"/>
        <v>-70089.390499999994</v>
      </c>
      <c r="H227" s="61"/>
      <c r="I227" s="61"/>
    </row>
    <row r="228" spans="2:9" x14ac:dyDescent="0.25">
      <c r="B228" s="6">
        <v>198</v>
      </c>
      <c r="D228" s="9">
        <v>74221.821400000001</v>
      </c>
      <c r="F228" s="9">
        <v>4078.721</v>
      </c>
      <c r="G228" s="61">
        <f t="shared" si="7"/>
        <v>-70143.100399999996</v>
      </c>
      <c r="H228" s="61"/>
      <c r="I228" s="61"/>
    </row>
    <row r="229" spans="2:9" x14ac:dyDescent="0.25">
      <c r="B229" s="6">
        <v>199</v>
      </c>
      <c r="D229" s="9">
        <v>74276.041599999997</v>
      </c>
      <c r="F229" s="9">
        <v>4078.721</v>
      </c>
      <c r="G229" s="61">
        <f t="shared" si="7"/>
        <v>-70197.320599999992</v>
      </c>
      <c r="H229" s="61"/>
      <c r="I229" s="61"/>
    </row>
    <row r="230" spans="2:9" x14ac:dyDescent="0.25">
      <c r="B230" s="6">
        <v>200</v>
      </c>
      <c r="D230" s="9">
        <v>74330.776899999997</v>
      </c>
      <c r="F230" s="9">
        <v>4078.721</v>
      </c>
      <c r="G230" s="61">
        <f t="shared" si="7"/>
        <v>-70252.055899999992</v>
      </c>
      <c r="H230" s="61"/>
      <c r="I230" s="61"/>
    </row>
    <row r="231" spans="2:9" x14ac:dyDescent="0.25">
      <c r="B231" s="6">
        <v>201</v>
      </c>
      <c r="D231" s="9">
        <v>74386.032200000001</v>
      </c>
      <c r="F231" s="9">
        <v>4078.721</v>
      </c>
      <c r="G231" s="61">
        <f t="shared" si="7"/>
        <v>-70307.311199999996</v>
      </c>
      <c r="H231" s="61"/>
      <c r="I231" s="61"/>
    </row>
    <row r="232" spans="2:9" x14ac:dyDescent="0.25">
      <c r="B232" s="6">
        <v>202</v>
      </c>
      <c r="D232" s="9">
        <v>74441.812399999995</v>
      </c>
      <c r="F232" s="9">
        <v>4078.7211000000002</v>
      </c>
      <c r="G232" s="61">
        <f t="shared" si="7"/>
        <v>-70363.0913</v>
      </c>
      <c r="H232" s="61"/>
      <c r="I232" s="61"/>
    </row>
    <row r="233" spans="2:9" x14ac:dyDescent="0.25">
      <c r="B233" s="6">
        <v>203</v>
      </c>
      <c r="D233" s="9">
        <v>74498.122499999998</v>
      </c>
      <c r="F233" s="9">
        <v>4078.721</v>
      </c>
      <c r="G233" s="61">
        <f t="shared" si="7"/>
        <v>-70419.401499999993</v>
      </c>
      <c r="H233" s="61"/>
      <c r="I233" s="61"/>
    </row>
    <row r="234" spans="2:9" x14ac:dyDescent="0.25">
      <c r="B234" s="6">
        <v>204</v>
      </c>
      <c r="D234" s="9">
        <v>74554.967600000004</v>
      </c>
      <c r="F234" s="9">
        <v>4078.7211000000002</v>
      </c>
      <c r="G234" s="61">
        <f t="shared" si="7"/>
        <v>-70476.246500000008</v>
      </c>
      <c r="H234" s="61"/>
      <c r="I234" s="61"/>
    </row>
    <row r="235" spans="2:9" x14ac:dyDescent="0.25">
      <c r="B235" s="6">
        <v>205</v>
      </c>
      <c r="D235" s="9">
        <v>74612.352599999998</v>
      </c>
      <c r="F235" s="9">
        <v>4078.7211000000002</v>
      </c>
      <c r="G235" s="61">
        <f t="shared" si="7"/>
        <v>-70533.631500000003</v>
      </c>
      <c r="H235" s="61"/>
      <c r="I235" s="61"/>
    </row>
    <row r="236" spans="2:9" x14ac:dyDescent="0.25">
      <c r="B236" s="6">
        <v>206</v>
      </c>
      <c r="D236" s="9">
        <v>74670.282900000006</v>
      </c>
      <c r="F236" s="9">
        <v>4078.721</v>
      </c>
      <c r="G236" s="61">
        <f t="shared" si="7"/>
        <v>-70591.561900000001</v>
      </c>
      <c r="H236" s="61"/>
      <c r="I236" s="61"/>
    </row>
    <row r="237" spans="2:9" x14ac:dyDescent="0.25">
      <c r="B237" s="6">
        <v>207</v>
      </c>
      <c r="D237" s="9">
        <v>74728.763500000001</v>
      </c>
      <c r="F237" s="9">
        <v>4078.721</v>
      </c>
      <c r="G237" s="61">
        <f t="shared" si="7"/>
        <v>-70650.042499999996</v>
      </c>
      <c r="H237" s="61"/>
      <c r="I237" s="61"/>
    </row>
    <row r="238" spans="2:9" x14ac:dyDescent="0.25">
      <c r="B238" s="6">
        <v>208</v>
      </c>
      <c r="D238" s="9">
        <v>74787.799599999998</v>
      </c>
      <c r="F238" s="9">
        <v>4078.721</v>
      </c>
      <c r="G238" s="61">
        <f t="shared" si="7"/>
        <v>-70709.078599999993</v>
      </c>
      <c r="H238" s="61"/>
      <c r="I238" s="61"/>
    </row>
    <row r="239" spans="2:9" x14ac:dyDescent="0.25">
      <c r="B239" s="6">
        <v>209</v>
      </c>
      <c r="D239" s="9">
        <v>74847.396599999993</v>
      </c>
      <c r="F239" s="9">
        <v>4078.721</v>
      </c>
      <c r="G239" s="61">
        <f t="shared" si="7"/>
        <v>-70768.675599999988</v>
      </c>
      <c r="H239" s="61"/>
      <c r="I239" s="61"/>
    </row>
    <row r="240" spans="2:9" x14ac:dyDescent="0.25">
      <c r="B240" s="6">
        <v>210</v>
      </c>
      <c r="D240" s="9">
        <v>74907.559800000003</v>
      </c>
      <c r="F240" s="9">
        <v>4078.721</v>
      </c>
      <c r="G240" s="61">
        <f t="shared" si="7"/>
        <v>-70828.838799999998</v>
      </c>
      <c r="H240" s="61"/>
      <c r="I240" s="61"/>
    </row>
    <row r="241" spans="2:9" x14ac:dyDescent="0.25">
      <c r="B241" s="6">
        <v>211</v>
      </c>
      <c r="D241" s="9">
        <v>74968.294599999994</v>
      </c>
      <c r="F241" s="9">
        <v>4078.7211000000002</v>
      </c>
      <c r="G241" s="61">
        <f t="shared" si="7"/>
        <v>-70889.573499999999</v>
      </c>
      <c r="H241" s="61"/>
      <c r="I241" s="61"/>
    </row>
    <row r="242" spans="2:9" x14ac:dyDescent="0.25">
      <c r="B242" s="6">
        <v>212</v>
      </c>
      <c r="D242" s="9">
        <v>75029.606199999995</v>
      </c>
      <c r="F242" s="9">
        <v>4078.721</v>
      </c>
      <c r="G242" s="61">
        <f t="shared" si="7"/>
        <v>-70950.88519999999</v>
      </c>
      <c r="H242" s="61"/>
      <c r="I242" s="61"/>
    </row>
    <row r="243" spans="2:9" x14ac:dyDescent="0.25">
      <c r="B243" s="6">
        <v>213</v>
      </c>
      <c r="D243" s="9">
        <v>75091.500400000004</v>
      </c>
      <c r="F243" s="9">
        <v>4078.721</v>
      </c>
      <c r="G243" s="61">
        <f t="shared" si="7"/>
        <v>-71012.779399999999</v>
      </c>
      <c r="H243" s="61"/>
      <c r="I243" s="61"/>
    </row>
    <row r="244" spans="2:9" x14ac:dyDescent="0.25">
      <c r="B244" s="6">
        <v>214</v>
      </c>
      <c r="D244" s="9">
        <v>75153.982499999998</v>
      </c>
      <c r="F244" s="9">
        <v>4078.721</v>
      </c>
      <c r="G244" s="61">
        <f t="shared" si="7"/>
        <v>-71075.261499999993</v>
      </c>
      <c r="H244" s="61"/>
      <c r="I244" s="61"/>
    </row>
    <row r="245" spans="2:9" x14ac:dyDescent="0.25">
      <c r="B245" s="6">
        <v>215</v>
      </c>
      <c r="D245" s="9">
        <v>75217.058199999999</v>
      </c>
      <c r="F245" s="9">
        <v>4078.721</v>
      </c>
      <c r="G245" s="61">
        <f t="shared" si="7"/>
        <v>-71138.337199999994</v>
      </c>
      <c r="H245" s="61"/>
      <c r="I245" s="61"/>
    </row>
    <row r="246" spans="2:9" x14ac:dyDescent="0.25">
      <c r="B246" s="6">
        <v>216</v>
      </c>
      <c r="D246" s="9">
        <v>75280.733200000002</v>
      </c>
      <c r="F246" s="9">
        <v>4078.721</v>
      </c>
      <c r="G246" s="61">
        <f t="shared" si="7"/>
        <v>-71202.012199999997</v>
      </c>
      <c r="H246" s="61"/>
      <c r="I246" s="61"/>
    </row>
    <row r="247" spans="2:9" x14ac:dyDescent="0.25">
      <c r="B247" s="6">
        <v>217</v>
      </c>
      <c r="D247" s="9">
        <v>75345.013000000006</v>
      </c>
      <c r="F247" s="9">
        <v>4078.721</v>
      </c>
      <c r="G247" s="61">
        <f t="shared" si="7"/>
        <v>-71266.292000000001</v>
      </c>
      <c r="H247" s="61"/>
      <c r="I247" s="61"/>
    </row>
    <row r="248" spans="2:9" x14ac:dyDescent="0.25">
      <c r="B248" s="6">
        <v>218</v>
      </c>
      <c r="D248" s="9">
        <v>75409.903600000005</v>
      </c>
      <c r="F248" s="9">
        <v>4078.721</v>
      </c>
      <c r="G248" s="61">
        <f t="shared" si="7"/>
        <v>-71331.1826</v>
      </c>
      <c r="H248" s="61"/>
      <c r="I248" s="61"/>
    </row>
    <row r="249" spans="2:9" x14ac:dyDescent="0.25">
      <c r="B249" s="6">
        <v>219</v>
      </c>
      <c r="D249" s="9">
        <v>75475.410600000003</v>
      </c>
      <c r="F249" s="9">
        <v>4078.721</v>
      </c>
      <c r="G249" s="61">
        <f t="shared" si="7"/>
        <v>-71396.689599999998</v>
      </c>
      <c r="H249" s="61"/>
      <c r="I249" s="61"/>
    </row>
    <row r="250" spans="2:9" x14ac:dyDescent="0.25">
      <c r="B250" s="6">
        <v>220</v>
      </c>
      <c r="D250" s="9">
        <v>75541.539799999999</v>
      </c>
      <c r="F250" s="9">
        <v>4078.721</v>
      </c>
      <c r="G250" s="61">
        <f t="shared" si="7"/>
        <v>-71462.818799999994</v>
      </c>
      <c r="H250" s="61"/>
      <c r="I250" s="61"/>
    </row>
    <row r="251" spans="2:9" x14ac:dyDescent="0.25">
      <c r="B251" s="6">
        <v>221</v>
      </c>
      <c r="D251" s="9">
        <v>75608.297399999996</v>
      </c>
      <c r="F251" s="9">
        <v>4078.7211000000002</v>
      </c>
      <c r="G251" s="61">
        <f t="shared" si="7"/>
        <v>-71529.576300000001</v>
      </c>
      <c r="H251" s="61"/>
      <c r="I251" s="61"/>
    </row>
    <row r="252" spans="2:9" x14ac:dyDescent="0.25">
      <c r="B252" s="6">
        <v>222</v>
      </c>
      <c r="D252" s="9">
        <v>75675.689100000003</v>
      </c>
      <c r="F252" s="9">
        <v>4078.721</v>
      </c>
      <c r="G252" s="61">
        <f t="shared" si="7"/>
        <v>-71596.968099999998</v>
      </c>
      <c r="H252" s="61"/>
      <c r="I252" s="61"/>
    </row>
    <row r="253" spans="2:9" x14ac:dyDescent="0.25">
      <c r="B253" s="6">
        <v>223</v>
      </c>
      <c r="D253" s="9">
        <v>75743.721099999995</v>
      </c>
      <c r="F253" s="9">
        <v>4078.721</v>
      </c>
      <c r="G253" s="61">
        <f t="shared" si="7"/>
        <v>-71665.00009999999</v>
      </c>
      <c r="H253" s="61"/>
      <c r="I253" s="61"/>
    </row>
    <row r="254" spans="2:9" x14ac:dyDescent="0.25">
      <c r="B254" s="6">
        <v>224</v>
      </c>
      <c r="D254" s="9">
        <v>75812.399300000005</v>
      </c>
      <c r="F254" s="9">
        <v>4078.721</v>
      </c>
      <c r="G254" s="61">
        <f t="shared" si="7"/>
        <v>-71733.6783</v>
      </c>
      <c r="H254" s="61"/>
      <c r="I254" s="61"/>
    </row>
    <row r="255" spans="2:9" x14ac:dyDescent="0.25">
      <c r="B255" s="6">
        <v>225</v>
      </c>
      <c r="D255" s="9">
        <v>75881.73</v>
      </c>
      <c r="F255" s="9">
        <v>4078.721</v>
      </c>
      <c r="G255" s="61">
        <f t="shared" si="7"/>
        <v>-71803.008999999991</v>
      </c>
      <c r="H255" s="61"/>
      <c r="I255" s="61"/>
    </row>
    <row r="256" spans="2:9" x14ac:dyDescent="0.25">
      <c r="B256" s="6">
        <v>226</v>
      </c>
      <c r="D256" s="9">
        <v>75951.719299999997</v>
      </c>
      <c r="F256" s="9">
        <v>4078.721</v>
      </c>
      <c r="G256" s="61">
        <f t="shared" si="7"/>
        <v>-71872.998299999992</v>
      </c>
      <c r="H256" s="61"/>
      <c r="I256" s="61"/>
    </row>
    <row r="257" spans="2:9" x14ac:dyDescent="0.25">
      <c r="B257" s="6">
        <v>227</v>
      </c>
      <c r="D257" s="9">
        <v>76022.373500000002</v>
      </c>
      <c r="F257" s="9">
        <v>4078.721</v>
      </c>
      <c r="G257" s="61">
        <f t="shared" si="7"/>
        <v>-71943.652499999997</v>
      </c>
      <c r="H257" s="61"/>
      <c r="I257" s="61"/>
    </row>
    <row r="258" spans="2:9" x14ac:dyDescent="0.25">
      <c r="B258" s="6">
        <v>228</v>
      </c>
      <c r="D258" s="9">
        <v>76093.698900000003</v>
      </c>
      <c r="F258" s="9">
        <v>4078.721</v>
      </c>
      <c r="G258" s="61">
        <f t="shared" si="7"/>
        <v>-72014.977899999998</v>
      </c>
      <c r="H258" s="61"/>
      <c r="I258" s="61"/>
    </row>
    <row r="259" spans="2:9" x14ac:dyDescent="0.25">
      <c r="B259" s="6">
        <v>229</v>
      </c>
      <c r="D259" s="9">
        <v>76165.702099999995</v>
      </c>
      <c r="F259" s="9">
        <v>4078.721</v>
      </c>
      <c r="G259" s="61">
        <f t="shared" si="7"/>
        <v>-72086.98109999999</v>
      </c>
      <c r="H259" s="61"/>
      <c r="I259" s="61"/>
    </row>
    <row r="260" spans="2:9" x14ac:dyDescent="0.25">
      <c r="B260" s="6">
        <v>230</v>
      </c>
      <c r="D260" s="9">
        <v>76238.3891</v>
      </c>
      <c r="F260" s="9">
        <v>4078.7211000000002</v>
      </c>
      <c r="G260" s="61">
        <f t="shared" si="7"/>
        <v>-72159.668000000005</v>
      </c>
      <c r="H260" s="61"/>
      <c r="I260" s="61"/>
    </row>
    <row r="261" spans="2:9" x14ac:dyDescent="0.25">
      <c r="B261" s="6">
        <v>231</v>
      </c>
      <c r="D261" s="9">
        <v>76311.766600000003</v>
      </c>
      <c r="F261" s="9">
        <v>4078.721</v>
      </c>
      <c r="G261" s="61">
        <f t="shared" si="7"/>
        <v>-72233.045599999998</v>
      </c>
      <c r="H261" s="61"/>
      <c r="I261" s="61"/>
    </row>
    <row r="262" spans="2:9" x14ac:dyDescent="0.25">
      <c r="B262" s="6">
        <v>232</v>
      </c>
      <c r="D262" s="9">
        <v>76385.841400000005</v>
      </c>
      <c r="F262" s="9">
        <v>4078.721</v>
      </c>
      <c r="G262" s="61">
        <f t="shared" si="7"/>
        <v>-72307.1204</v>
      </c>
      <c r="H262" s="61"/>
      <c r="I262" s="61"/>
    </row>
    <row r="263" spans="2:9" x14ac:dyDescent="0.25">
      <c r="B263" s="6">
        <v>233</v>
      </c>
      <c r="D263" s="9">
        <v>76460.6198</v>
      </c>
      <c r="F263" s="9">
        <v>4078.721</v>
      </c>
      <c r="G263" s="61">
        <f t="shared" si="7"/>
        <v>-72381.898799999995</v>
      </c>
      <c r="H263" s="61"/>
      <c r="I263" s="61"/>
    </row>
    <row r="264" spans="2:9" x14ac:dyDescent="0.25">
      <c r="B264" s="6">
        <v>234</v>
      </c>
      <c r="D264" s="9">
        <v>76536.108600000007</v>
      </c>
      <c r="F264" s="9">
        <v>4078.721</v>
      </c>
      <c r="G264" s="61">
        <f t="shared" si="7"/>
        <v>-72457.387600000002</v>
      </c>
      <c r="H264" s="61"/>
      <c r="I264" s="61"/>
    </row>
    <row r="265" spans="2:9" x14ac:dyDescent="0.25">
      <c r="B265" s="6">
        <v>235</v>
      </c>
      <c r="D265" s="9">
        <v>76612.314400000003</v>
      </c>
      <c r="F265" s="9">
        <v>4078.721</v>
      </c>
      <c r="G265" s="61">
        <f t="shared" si="7"/>
        <v>-72533.593399999998</v>
      </c>
      <c r="H265" s="61"/>
      <c r="I265" s="61"/>
    </row>
    <row r="266" spans="2:9" x14ac:dyDescent="0.25">
      <c r="B266" s="6">
        <v>236</v>
      </c>
      <c r="D266" s="9">
        <v>76689.244399999996</v>
      </c>
      <c r="F266" s="9">
        <v>4078.721</v>
      </c>
      <c r="G266" s="61">
        <f t="shared" si="7"/>
        <v>-72610.523399999991</v>
      </c>
      <c r="H266" s="61"/>
      <c r="I266" s="61"/>
    </row>
    <row r="267" spans="2:9" x14ac:dyDescent="0.25">
      <c r="B267" s="6">
        <v>237</v>
      </c>
      <c r="D267" s="9">
        <v>76766.904999999999</v>
      </c>
      <c r="F267" s="9">
        <v>4078.721</v>
      </c>
      <c r="G267" s="61">
        <f t="shared" si="7"/>
        <v>-72688.183999999994</v>
      </c>
      <c r="H267" s="61"/>
      <c r="I267" s="61"/>
    </row>
    <row r="268" spans="2:9" x14ac:dyDescent="0.25">
      <c r="B268" s="6">
        <v>238</v>
      </c>
      <c r="D268" s="9">
        <v>76845.303499999995</v>
      </c>
      <c r="F268" s="9">
        <v>4078.721</v>
      </c>
      <c r="G268" s="61">
        <f t="shared" si="7"/>
        <v>-72766.58249999999</v>
      </c>
      <c r="H268" s="61"/>
      <c r="I268" s="61"/>
    </row>
    <row r="269" spans="2:9" x14ac:dyDescent="0.25">
      <c r="B269" s="6">
        <v>239</v>
      </c>
      <c r="D269" s="9">
        <v>76924.446800000005</v>
      </c>
      <c r="F269" s="9">
        <v>4078.721</v>
      </c>
      <c r="G269" s="61">
        <f t="shared" si="7"/>
        <v>-72845.7258</v>
      </c>
      <c r="H269" s="61"/>
      <c r="I269" s="61"/>
    </row>
    <row r="270" spans="2:9" x14ac:dyDescent="0.25">
      <c r="B270" s="6">
        <v>240</v>
      </c>
      <c r="D270" s="9">
        <v>77004.342699999994</v>
      </c>
      <c r="F270" s="9">
        <v>4078.7215999999999</v>
      </c>
      <c r="G270" s="61">
        <f t="shared" si="7"/>
        <v>-72925.621099999989</v>
      </c>
      <c r="H270" s="61"/>
      <c r="I270" s="61"/>
    </row>
    <row r="271" spans="2:9" x14ac:dyDescent="0.25">
      <c r="B271" s="6">
        <v>241</v>
      </c>
      <c r="D271" s="9" t="s">
        <v>17</v>
      </c>
      <c r="F271" s="9" t="s">
        <v>17</v>
      </c>
      <c r="G271" s="61">
        <f t="shared" si="7"/>
        <v>0</v>
      </c>
      <c r="H271" s="61"/>
      <c r="I271" s="61"/>
    </row>
    <row r="272" spans="2:9" x14ac:dyDescent="0.25">
      <c r="B272" s="6">
        <v>242</v>
      </c>
      <c r="D272" s="9" t="s">
        <v>17</v>
      </c>
      <c r="F272" s="9" t="s">
        <v>17</v>
      </c>
      <c r="G272" s="61">
        <f t="shared" si="7"/>
        <v>0</v>
      </c>
      <c r="H272" s="61"/>
      <c r="I272" s="61"/>
    </row>
    <row r="273" spans="2:9" x14ac:dyDescent="0.25">
      <c r="B273" s="6">
        <v>243</v>
      </c>
      <c r="D273" s="9" t="s">
        <v>17</v>
      </c>
      <c r="F273" s="9" t="s">
        <v>17</v>
      </c>
      <c r="G273" s="61">
        <f t="shared" si="7"/>
        <v>0</v>
      </c>
      <c r="H273" s="61"/>
      <c r="I273" s="61"/>
    </row>
    <row r="274" spans="2:9" x14ac:dyDescent="0.25">
      <c r="B274" s="6">
        <v>244</v>
      </c>
      <c r="D274" s="9" t="s">
        <v>17</v>
      </c>
      <c r="F274" s="9" t="s">
        <v>17</v>
      </c>
      <c r="G274" s="61">
        <f t="shared" si="7"/>
        <v>0</v>
      </c>
      <c r="H274" s="61"/>
      <c r="I274" s="61"/>
    </row>
    <row r="275" spans="2:9" x14ac:dyDescent="0.25">
      <c r="B275" s="6">
        <v>245</v>
      </c>
      <c r="D275" s="9" t="s">
        <v>17</v>
      </c>
      <c r="F275" s="9" t="s">
        <v>17</v>
      </c>
      <c r="G275" s="61">
        <f t="shared" si="7"/>
        <v>0</v>
      </c>
      <c r="H275" s="61"/>
      <c r="I275" s="61"/>
    </row>
    <row r="276" spans="2:9" x14ac:dyDescent="0.25">
      <c r="B276" s="6">
        <v>246</v>
      </c>
      <c r="D276" s="9" t="s">
        <v>17</v>
      </c>
      <c r="F276" s="9" t="s">
        <v>17</v>
      </c>
      <c r="G276" s="61">
        <f t="shared" si="7"/>
        <v>0</v>
      </c>
      <c r="H276" s="61"/>
      <c r="I276" s="61"/>
    </row>
    <row r="277" spans="2:9" x14ac:dyDescent="0.25">
      <c r="B277" s="6">
        <v>247</v>
      </c>
      <c r="D277" s="9" t="s">
        <v>17</v>
      </c>
      <c r="F277" s="9" t="s">
        <v>17</v>
      </c>
      <c r="G277" s="61">
        <f t="shared" si="7"/>
        <v>0</v>
      </c>
      <c r="H277" s="61"/>
      <c r="I277" s="61"/>
    </row>
    <row r="278" spans="2:9" x14ac:dyDescent="0.25">
      <c r="B278" s="6">
        <v>248</v>
      </c>
      <c r="D278" s="9" t="s">
        <v>17</v>
      </c>
      <c r="F278" s="9" t="s">
        <v>17</v>
      </c>
      <c r="G278" s="61">
        <f t="shared" si="7"/>
        <v>0</v>
      </c>
      <c r="H278" s="61"/>
      <c r="I278" s="61"/>
    </row>
    <row r="279" spans="2:9" x14ac:dyDescent="0.25">
      <c r="B279" s="6">
        <v>249</v>
      </c>
      <c r="D279" s="9" t="s">
        <v>17</v>
      </c>
      <c r="F279" s="9" t="s">
        <v>17</v>
      </c>
      <c r="G279" s="61">
        <f t="shared" si="7"/>
        <v>0</v>
      </c>
      <c r="H279" s="61"/>
      <c r="I279" s="61"/>
    </row>
    <row r="280" spans="2:9" x14ac:dyDescent="0.25">
      <c r="B280" s="6">
        <v>250</v>
      </c>
      <c r="D280" s="9" t="s">
        <v>17</v>
      </c>
      <c r="F280" s="9" t="s">
        <v>17</v>
      </c>
      <c r="G280" s="61">
        <f t="shared" si="7"/>
        <v>0</v>
      </c>
      <c r="H280" s="61"/>
      <c r="I280" s="61"/>
    </row>
    <row r="281" spans="2:9" x14ac:dyDescent="0.25">
      <c r="B281" s="6">
        <v>251</v>
      </c>
      <c r="D281" s="9" t="s">
        <v>17</v>
      </c>
      <c r="F281" s="9" t="s">
        <v>17</v>
      </c>
      <c r="G281" s="61">
        <f t="shared" si="7"/>
        <v>0</v>
      </c>
      <c r="H281" s="61"/>
      <c r="I281" s="61"/>
    </row>
    <row r="282" spans="2:9" x14ac:dyDescent="0.25">
      <c r="B282" s="6">
        <v>252</v>
      </c>
      <c r="D282" s="9" t="s">
        <v>17</v>
      </c>
      <c r="F282" s="9" t="s">
        <v>17</v>
      </c>
      <c r="G282" s="61">
        <f t="shared" si="7"/>
        <v>0</v>
      </c>
      <c r="H282" s="61"/>
      <c r="I282" s="61"/>
    </row>
    <row r="283" spans="2:9" x14ac:dyDescent="0.25">
      <c r="B283" s="6">
        <v>253</v>
      </c>
      <c r="D283" s="9" t="s">
        <v>17</v>
      </c>
      <c r="F283" s="9" t="s">
        <v>17</v>
      </c>
      <c r="G283" s="61">
        <f t="shared" si="7"/>
        <v>0</v>
      </c>
      <c r="H283" s="61"/>
      <c r="I283" s="61"/>
    </row>
    <row r="284" spans="2:9" x14ac:dyDescent="0.25">
      <c r="B284" s="6">
        <v>254</v>
      </c>
      <c r="D284" s="9" t="s">
        <v>17</v>
      </c>
      <c r="F284" s="9" t="s">
        <v>17</v>
      </c>
      <c r="G284" s="61">
        <f t="shared" si="7"/>
        <v>0</v>
      </c>
      <c r="H284" s="61"/>
      <c r="I284" s="61"/>
    </row>
    <row r="285" spans="2:9" x14ac:dyDescent="0.25">
      <c r="B285" s="6">
        <v>255</v>
      </c>
      <c r="D285" s="9" t="s">
        <v>17</v>
      </c>
      <c r="F285" s="9" t="s">
        <v>17</v>
      </c>
      <c r="G285" s="61">
        <f t="shared" si="7"/>
        <v>0</v>
      </c>
      <c r="H285" s="61"/>
      <c r="I285" s="61"/>
    </row>
    <row r="286" spans="2:9" x14ac:dyDescent="0.25">
      <c r="B286" s="6">
        <v>256</v>
      </c>
      <c r="D286" s="9" t="s">
        <v>17</v>
      </c>
      <c r="F286" s="9" t="s">
        <v>17</v>
      </c>
      <c r="G286" s="61">
        <f t="shared" si="7"/>
        <v>0</v>
      </c>
      <c r="H286" s="61"/>
      <c r="I286" s="61"/>
    </row>
    <row r="287" spans="2:9" x14ac:dyDescent="0.25">
      <c r="B287" s="6">
        <v>257</v>
      </c>
      <c r="D287" s="9" t="s">
        <v>17</v>
      </c>
      <c r="F287" s="9" t="s">
        <v>17</v>
      </c>
      <c r="G287" s="61">
        <f t="shared" ref="G287:G350" si="8">IFERROR(F287-D287,0)</f>
        <v>0</v>
      </c>
      <c r="H287" s="61"/>
      <c r="I287" s="61"/>
    </row>
    <row r="288" spans="2:9" x14ac:dyDescent="0.25">
      <c r="B288" s="6">
        <v>258</v>
      </c>
      <c r="D288" s="9" t="s">
        <v>17</v>
      </c>
      <c r="F288" s="9" t="s">
        <v>17</v>
      </c>
      <c r="G288" s="61">
        <f t="shared" si="8"/>
        <v>0</v>
      </c>
      <c r="H288" s="61"/>
      <c r="I288" s="61"/>
    </row>
    <row r="289" spans="2:9" x14ac:dyDescent="0.25">
      <c r="B289" s="6">
        <v>259</v>
      </c>
      <c r="D289" s="9" t="s">
        <v>17</v>
      </c>
      <c r="F289" s="9" t="s">
        <v>17</v>
      </c>
      <c r="G289" s="61">
        <f t="shared" si="8"/>
        <v>0</v>
      </c>
      <c r="H289" s="61"/>
      <c r="I289" s="61"/>
    </row>
    <row r="290" spans="2:9" x14ac:dyDescent="0.25">
      <c r="B290" s="6">
        <v>260</v>
      </c>
      <c r="D290" s="9" t="s">
        <v>17</v>
      </c>
      <c r="F290" s="9" t="s">
        <v>17</v>
      </c>
      <c r="G290" s="61">
        <f t="shared" si="8"/>
        <v>0</v>
      </c>
      <c r="H290" s="61"/>
      <c r="I290" s="61"/>
    </row>
    <row r="291" spans="2:9" x14ac:dyDescent="0.25">
      <c r="B291" s="6">
        <v>261</v>
      </c>
      <c r="D291" s="9" t="s">
        <v>17</v>
      </c>
      <c r="F291" s="9" t="s">
        <v>17</v>
      </c>
      <c r="G291" s="61">
        <f t="shared" si="8"/>
        <v>0</v>
      </c>
      <c r="H291" s="61"/>
      <c r="I291" s="61"/>
    </row>
    <row r="292" spans="2:9" x14ac:dyDescent="0.25">
      <c r="B292" s="6">
        <v>262</v>
      </c>
      <c r="D292" s="9" t="s">
        <v>17</v>
      </c>
      <c r="F292" s="9" t="s">
        <v>17</v>
      </c>
      <c r="G292" s="61">
        <f t="shared" si="8"/>
        <v>0</v>
      </c>
      <c r="H292" s="61"/>
      <c r="I292" s="61"/>
    </row>
    <row r="293" spans="2:9" x14ac:dyDescent="0.25">
      <c r="B293" s="6">
        <v>263</v>
      </c>
      <c r="D293" s="9" t="s">
        <v>17</v>
      </c>
      <c r="F293" s="9" t="s">
        <v>17</v>
      </c>
      <c r="G293" s="61">
        <f t="shared" si="8"/>
        <v>0</v>
      </c>
      <c r="H293" s="61"/>
      <c r="I293" s="61"/>
    </row>
    <row r="294" spans="2:9" x14ac:dyDescent="0.25">
      <c r="B294" s="6">
        <v>264</v>
      </c>
      <c r="D294" s="9" t="s">
        <v>17</v>
      </c>
      <c r="F294" s="9" t="s">
        <v>17</v>
      </c>
      <c r="G294" s="61">
        <f t="shared" si="8"/>
        <v>0</v>
      </c>
      <c r="H294" s="61"/>
      <c r="I294" s="61"/>
    </row>
    <row r="295" spans="2:9" x14ac:dyDescent="0.25">
      <c r="B295" s="6">
        <v>265</v>
      </c>
      <c r="D295" s="9" t="s">
        <v>17</v>
      </c>
      <c r="F295" s="9" t="s">
        <v>17</v>
      </c>
      <c r="G295" s="61">
        <f t="shared" si="8"/>
        <v>0</v>
      </c>
      <c r="H295" s="61"/>
      <c r="I295" s="61"/>
    </row>
    <row r="296" spans="2:9" x14ac:dyDescent="0.25">
      <c r="B296" s="6">
        <v>266</v>
      </c>
      <c r="D296" s="9" t="s">
        <v>17</v>
      </c>
      <c r="F296" s="9" t="s">
        <v>17</v>
      </c>
      <c r="G296" s="61">
        <f t="shared" si="8"/>
        <v>0</v>
      </c>
      <c r="H296" s="61"/>
      <c r="I296" s="61"/>
    </row>
    <row r="297" spans="2:9" x14ac:dyDescent="0.25">
      <c r="B297" s="6">
        <v>267</v>
      </c>
      <c r="D297" s="9" t="s">
        <v>17</v>
      </c>
      <c r="F297" s="9" t="s">
        <v>17</v>
      </c>
      <c r="G297" s="61">
        <f t="shared" si="8"/>
        <v>0</v>
      </c>
      <c r="H297" s="61"/>
      <c r="I297" s="61"/>
    </row>
    <row r="298" spans="2:9" x14ac:dyDescent="0.25">
      <c r="B298" s="6">
        <v>268</v>
      </c>
      <c r="D298" s="9" t="s">
        <v>17</v>
      </c>
      <c r="F298" s="9" t="s">
        <v>17</v>
      </c>
      <c r="G298" s="61">
        <f t="shared" si="8"/>
        <v>0</v>
      </c>
      <c r="H298" s="61"/>
      <c r="I298" s="61"/>
    </row>
    <row r="299" spans="2:9" x14ac:dyDescent="0.25">
      <c r="B299" s="6">
        <v>269</v>
      </c>
      <c r="D299" s="9" t="s">
        <v>17</v>
      </c>
      <c r="F299" s="9" t="s">
        <v>17</v>
      </c>
      <c r="G299" s="61">
        <f t="shared" si="8"/>
        <v>0</v>
      </c>
      <c r="H299" s="61"/>
      <c r="I299" s="61"/>
    </row>
    <row r="300" spans="2:9" x14ac:dyDescent="0.25">
      <c r="B300" s="6">
        <v>270</v>
      </c>
      <c r="D300" s="9" t="s">
        <v>17</v>
      </c>
      <c r="F300" s="9" t="s">
        <v>17</v>
      </c>
      <c r="G300" s="61">
        <f t="shared" si="8"/>
        <v>0</v>
      </c>
      <c r="H300" s="61"/>
      <c r="I300" s="61"/>
    </row>
    <row r="301" spans="2:9" x14ac:dyDescent="0.25">
      <c r="B301" s="6">
        <v>271</v>
      </c>
      <c r="D301" s="9" t="s">
        <v>17</v>
      </c>
      <c r="F301" s="9" t="s">
        <v>17</v>
      </c>
      <c r="G301" s="61">
        <f t="shared" si="8"/>
        <v>0</v>
      </c>
      <c r="H301" s="61"/>
      <c r="I301" s="61"/>
    </row>
    <row r="302" spans="2:9" x14ac:dyDescent="0.25">
      <c r="B302" s="6">
        <v>272</v>
      </c>
      <c r="D302" s="9" t="s">
        <v>17</v>
      </c>
      <c r="F302" s="9" t="s">
        <v>17</v>
      </c>
      <c r="G302" s="61">
        <f t="shared" si="8"/>
        <v>0</v>
      </c>
      <c r="H302" s="61"/>
      <c r="I302" s="61"/>
    </row>
    <row r="303" spans="2:9" x14ac:dyDescent="0.25">
      <c r="B303" s="6">
        <v>273</v>
      </c>
      <c r="D303" s="9" t="s">
        <v>17</v>
      </c>
      <c r="F303" s="9" t="s">
        <v>17</v>
      </c>
      <c r="G303" s="61">
        <f t="shared" si="8"/>
        <v>0</v>
      </c>
      <c r="H303" s="61"/>
      <c r="I303" s="61"/>
    </row>
    <row r="304" spans="2:9" x14ac:dyDescent="0.25">
      <c r="B304" s="6">
        <v>274</v>
      </c>
      <c r="D304" s="9" t="s">
        <v>17</v>
      </c>
      <c r="F304" s="9" t="s">
        <v>17</v>
      </c>
      <c r="G304" s="61">
        <f t="shared" si="8"/>
        <v>0</v>
      </c>
      <c r="H304" s="61"/>
      <c r="I304" s="61"/>
    </row>
    <row r="305" spans="2:9" x14ac:dyDescent="0.25">
      <c r="B305" s="6">
        <v>275</v>
      </c>
      <c r="D305" s="9" t="s">
        <v>17</v>
      </c>
      <c r="F305" s="9" t="s">
        <v>17</v>
      </c>
      <c r="G305" s="61">
        <f t="shared" si="8"/>
        <v>0</v>
      </c>
      <c r="H305" s="61"/>
      <c r="I305" s="61"/>
    </row>
    <row r="306" spans="2:9" x14ac:dyDescent="0.25">
      <c r="B306" s="6">
        <v>276</v>
      </c>
      <c r="D306" s="9" t="s">
        <v>17</v>
      </c>
      <c r="F306" s="9" t="s">
        <v>17</v>
      </c>
      <c r="G306" s="61">
        <f t="shared" si="8"/>
        <v>0</v>
      </c>
      <c r="H306" s="61"/>
      <c r="I306" s="61"/>
    </row>
    <row r="307" spans="2:9" x14ac:dyDescent="0.25">
      <c r="B307" s="6">
        <v>277</v>
      </c>
      <c r="D307" s="9" t="s">
        <v>17</v>
      </c>
      <c r="F307" s="9" t="s">
        <v>17</v>
      </c>
      <c r="G307" s="61">
        <f t="shared" si="8"/>
        <v>0</v>
      </c>
      <c r="H307" s="61"/>
      <c r="I307" s="61"/>
    </row>
    <row r="308" spans="2:9" x14ac:dyDescent="0.25">
      <c r="B308" s="6">
        <v>278</v>
      </c>
      <c r="D308" s="9" t="s">
        <v>17</v>
      </c>
      <c r="F308" s="9" t="s">
        <v>17</v>
      </c>
      <c r="G308" s="61">
        <f t="shared" si="8"/>
        <v>0</v>
      </c>
      <c r="H308" s="61"/>
      <c r="I308" s="61"/>
    </row>
    <row r="309" spans="2:9" x14ac:dyDescent="0.25">
      <c r="B309" s="6">
        <v>279</v>
      </c>
      <c r="D309" s="9" t="s">
        <v>17</v>
      </c>
      <c r="F309" s="9" t="s">
        <v>17</v>
      </c>
      <c r="G309" s="61">
        <f t="shared" si="8"/>
        <v>0</v>
      </c>
      <c r="H309" s="61"/>
      <c r="I309" s="61"/>
    </row>
    <row r="310" spans="2:9" x14ac:dyDescent="0.25">
      <c r="B310" s="6">
        <v>280</v>
      </c>
      <c r="D310" s="9" t="s">
        <v>17</v>
      </c>
      <c r="F310" s="9" t="s">
        <v>17</v>
      </c>
      <c r="G310" s="61">
        <f t="shared" si="8"/>
        <v>0</v>
      </c>
      <c r="H310" s="61"/>
      <c r="I310" s="61"/>
    </row>
    <row r="311" spans="2:9" x14ac:dyDescent="0.25">
      <c r="B311" s="6">
        <v>281</v>
      </c>
      <c r="D311" s="9" t="s">
        <v>17</v>
      </c>
      <c r="F311" s="9" t="s">
        <v>17</v>
      </c>
      <c r="G311" s="61">
        <f t="shared" si="8"/>
        <v>0</v>
      </c>
      <c r="H311" s="61"/>
      <c r="I311" s="61"/>
    </row>
    <row r="312" spans="2:9" x14ac:dyDescent="0.25">
      <c r="B312" s="6">
        <v>282</v>
      </c>
      <c r="D312" s="9" t="s">
        <v>17</v>
      </c>
      <c r="F312" s="9" t="s">
        <v>17</v>
      </c>
      <c r="G312" s="61">
        <f t="shared" si="8"/>
        <v>0</v>
      </c>
      <c r="H312" s="61"/>
      <c r="I312" s="61"/>
    </row>
    <row r="313" spans="2:9" x14ac:dyDescent="0.25">
      <c r="B313" s="6">
        <v>283</v>
      </c>
      <c r="D313" s="9" t="s">
        <v>17</v>
      </c>
      <c r="F313" s="9" t="s">
        <v>17</v>
      </c>
      <c r="G313" s="61">
        <f t="shared" si="8"/>
        <v>0</v>
      </c>
      <c r="H313" s="61"/>
      <c r="I313" s="61"/>
    </row>
    <row r="314" spans="2:9" x14ac:dyDescent="0.25">
      <c r="B314" s="6">
        <v>284</v>
      </c>
      <c r="D314" s="9" t="s">
        <v>17</v>
      </c>
      <c r="F314" s="9" t="s">
        <v>17</v>
      </c>
      <c r="G314" s="61">
        <f t="shared" si="8"/>
        <v>0</v>
      </c>
      <c r="H314" s="61"/>
      <c r="I314" s="61"/>
    </row>
    <row r="315" spans="2:9" x14ac:dyDescent="0.25">
      <c r="B315" s="6">
        <v>285</v>
      </c>
      <c r="D315" s="9" t="s">
        <v>17</v>
      </c>
      <c r="F315" s="9" t="s">
        <v>17</v>
      </c>
      <c r="G315" s="61">
        <f t="shared" si="8"/>
        <v>0</v>
      </c>
      <c r="H315" s="61"/>
      <c r="I315" s="61"/>
    </row>
    <row r="316" spans="2:9" x14ac:dyDescent="0.25">
      <c r="B316" s="6">
        <v>286</v>
      </c>
      <c r="D316" s="9" t="s">
        <v>17</v>
      </c>
      <c r="F316" s="9" t="s">
        <v>17</v>
      </c>
      <c r="G316" s="61">
        <f t="shared" si="8"/>
        <v>0</v>
      </c>
      <c r="H316" s="61"/>
      <c r="I316" s="61"/>
    </row>
    <row r="317" spans="2:9" x14ac:dyDescent="0.25">
      <c r="B317" s="6">
        <v>287</v>
      </c>
      <c r="D317" s="9" t="s">
        <v>17</v>
      </c>
      <c r="F317" s="9" t="s">
        <v>17</v>
      </c>
      <c r="G317" s="61">
        <f t="shared" si="8"/>
        <v>0</v>
      </c>
      <c r="H317" s="61"/>
      <c r="I317" s="61"/>
    </row>
    <row r="318" spans="2:9" x14ac:dyDescent="0.25">
      <c r="B318" s="6">
        <v>288</v>
      </c>
      <c r="D318" s="9" t="s">
        <v>17</v>
      </c>
      <c r="F318" s="9" t="s">
        <v>17</v>
      </c>
      <c r="G318" s="61">
        <f t="shared" si="8"/>
        <v>0</v>
      </c>
      <c r="H318" s="61"/>
      <c r="I318" s="61"/>
    </row>
    <row r="319" spans="2:9" x14ac:dyDescent="0.25">
      <c r="B319" s="6">
        <v>289</v>
      </c>
      <c r="D319" s="9" t="s">
        <v>17</v>
      </c>
      <c r="F319" s="9" t="s">
        <v>17</v>
      </c>
      <c r="G319" s="61">
        <f t="shared" si="8"/>
        <v>0</v>
      </c>
      <c r="H319" s="61"/>
      <c r="I319" s="61"/>
    </row>
    <row r="320" spans="2:9" x14ac:dyDescent="0.25">
      <c r="B320" s="6">
        <v>290</v>
      </c>
      <c r="D320" s="9" t="s">
        <v>17</v>
      </c>
      <c r="F320" s="9" t="s">
        <v>17</v>
      </c>
      <c r="G320" s="61">
        <f t="shared" si="8"/>
        <v>0</v>
      </c>
      <c r="H320" s="61"/>
      <c r="I320" s="61"/>
    </row>
    <row r="321" spans="2:9" x14ac:dyDescent="0.25">
      <c r="B321" s="6">
        <v>291</v>
      </c>
      <c r="D321" s="9" t="s">
        <v>17</v>
      </c>
      <c r="F321" s="9" t="s">
        <v>17</v>
      </c>
      <c r="G321" s="61">
        <f t="shared" si="8"/>
        <v>0</v>
      </c>
      <c r="H321" s="61"/>
      <c r="I321" s="61"/>
    </row>
    <row r="322" spans="2:9" x14ac:dyDescent="0.25">
      <c r="B322" s="6">
        <v>292</v>
      </c>
      <c r="D322" s="9" t="s">
        <v>17</v>
      </c>
      <c r="F322" s="9" t="s">
        <v>17</v>
      </c>
      <c r="G322" s="61">
        <f t="shared" si="8"/>
        <v>0</v>
      </c>
      <c r="H322" s="61"/>
      <c r="I322" s="61"/>
    </row>
    <row r="323" spans="2:9" x14ac:dyDescent="0.25">
      <c r="B323" s="6">
        <v>293</v>
      </c>
      <c r="D323" s="9" t="s">
        <v>17</v>
      </c>
      <c r="F323" s="9" t="s">
        <v>17</v>
      </c>
      <c r="G323" s="61">
        <f t="shared" si="8"/>
        <v>0</v>
      </c>
      <c r="H323" s="61"/>
      <c r="I323" s="61"/>
    </row>
    <row r="324" spans="2:9" x14ac:dyDescent="0.25">
      <c r="B324" s="6">
        <v>294</v>
      </c>
      <c r="D324" s="9" t="s">
        <v>17</v>
      </c>
      <c r="F324" s="9" t="s">
        <v>17</v>
      </c>
      <c r="G324" s="61">
        <f t="shared" si="8"/>
        <v>0</v>
      </c>
      <c r="H324" s="61"/>
      <c r="I324" s="61"/>
    </row>
    <row r="325" spans="2:9" x14ac:dyDescent="0.25">
      <c r="B325" s="6">
        <v>295</v>
      </c>
      <c r="D325" s="9" t="s">
        <v>17</v>
      </c>
      <c r="F325" s="9" t="s">
        <v>17</v>
      </c>
      <c r="G325" s="61">
        <f t="shared" si="8"/>
        <v>0</v>
      </c>
      <c r="H325" s="61"/>
      <c r="I325" s="61"/>
    </row>
    <row r="326" spans="2:9" x14ac:dyDescent="0.25">
      <c r="B326" s="6">
        <v>296</v>
      </c>
      <c r="D326" s="9" t="s">
        <v>17</v>
      </c>
      <c r="F326" s="9" t="s">
        <v>17</v>
      </c>
      <c r="G326" s="61">
        <f t="shared" si="8"/>
        <v>0</v>
      </c>
      <c r="H326" s="61"/>
      <c r="I326" s="61"/>
    </row>
    <row r="327" spans="2:9" x14ac:dyDescent="0.25">
      <c r="B327" s="6">
        <v>297</v>
      </c>
      <c r="D327" s="9" t="s">
        <v>17</v>
      </c>
      <c r="F327" s="9" t="s">
        <v>17</v>
      </c>
      <c r="G327" s="61">
        <f t="shared" si="8"/>
        <v>0</v>
      </c>
      <c r="H327" s="61"/>
      <c r="I327" s="61"/>
    </row>
    <row r="328" spans="2:9" x14ac:dyDescent="0.25">
      <c r="B328" s="6">
        <v>298</v>
      </c>
      <c r="D328" s="9" t="s">
        <v>17</v>
      </c>
      <c r="F328" s="9" t="s">
        <v>17</v>
      </c>
      <c r="G328" s="61">
        <f t="shared" si="8"/>
        <v>0</v>
      </c>
      <c r="H328" s="61"/>
      <c r="I328" s="61"/>
    </row>
    <row r="329" spans="2:9" x14ac:dyDescent="0.25">
      <c r="B329" s="6">
        <v>299</v>
      </c>
      <c r="D329" s="9" t="s">
        <v>17</v>
      </c>
      <c r="F329" s="9" t="s">
        <v>17</v>
      </c>
      <c r="G329" s="61">
        <f t="shared" si="8"/>
        <v>0</v>
      </c>
      <c r="H329" s="61"/>
      <c r="I329" s="61"/>
    </row>
    <row r="330" spans="2:9" x14ac:dyDescent="0.25">
      <c r="B330" s="6">
        <v>300</v>
      </c>
      <c r="D330" s="9" t="s">
        <v>17</v>
      </c>
      <c r="F330" s="9" t="s">
        <v>17</v>
      </c>
      <c r="G330" s="61">
        <f t="shared" si="8"/>
        <v>0</v>
      </c>
      <c r="H330" s="61"/>
      <c r="I330" s="61"/>
    </row>
    <row r="331" spans="2:9" x14ac:dyDescent="0.25">
      <c r="B331" s="6">
        <v>301</v>
      </c>
      <c r="D331" s="9" t="s">
        <v>17</v>
      </c>
      <c r="F331" s="9" t="s">
        <v>17</v>
      </c>
      <c r="G331" s="61">
        <f t="shared" si="8"/>
        <v>0</v>
      </c>
      <c r="H331" s="61"/>
      <c r="I331" s="61"/>
    </row>
    <row r="332" spans="2:9" x14ac:dyDescent="0.25">
      <c r="B332" s="6">
        <v>302</v>
      </c>
      <c r="D332" s="9" t="s">
        <v>17</v>
      </c>
      <c r="F332" s="9" t="s">
        <v>17</v>
      </c>
      <c r="G332" s="61">
        <f t="shared" si="8"/>
        <v>0</v>
      </c>
      <c r="H332" s="61"/>
      <c r="I332" s="61"/>
    </row>
    <row r="333" spans="2:9" x14ac:dyDescent="0.25">
      <c r="B333" s="6">
        <v>303</v>
      </c>
      <c r="D333" s="9" t="s">
        <v>17</v>
      </c>
      <c r="F333" s="9" t="s">
        <v>17</v>
      </c>
      <c r="G333" s="61">
        <f t="shared" si="8"/>
        <v>0</v>
      </c>
      <c r="H333" s="61"/>
      <c r="I333" s="61"/>
    </row>
    <row r="334" spans="2:9" x14ac:dyDescent="0.25">
      <c r="B334" s="6">
        <v>304</v>
      </c>
      <c r="D334" s="9" t="s">
        <v>17</v>
      </c>
      <c r="F334" s="9" t="s">
        <v>17</v>
      </c>
      <c r="G334" s="61">
        <f t="shared" si="8"/>
        <v>0</v>
      </c>
      <c r="H334" s="61"/>
      <c r="I334" s="61"/>
    </row>
    <row r="335" spans="2:9" x14ac:dyDescent="0.25">
      <c r="B335" s="6">
        <v>305</v>
      </c>
      <c r="D335" s="9" t="s">
        <v>17</v>
      </c>
      <c r="F335" s="9" t="s">
        <v>17</v>
      </c>
      <c r="G335" s="61">
        <f t="shared" si="8"/>
        <v>0</v>
      </c>
      <c r="H335" s="61"/>
      <c r="I335" s="61"/>
    </row>
    <row r="336" spans="2:9" x14ac:dyDescent="0.25">
      <c r="B336" s="6">
        <v>306</v>
      </c>
      <c r="D336" s="9" t="s">
        <v>17</v>
      </c>
      <c r="F336" s="9" t="s">
        <v>17</v>
      </c>
      <c r="G336" s="61">
        <f t="shared" si="8"/>
        <v>0</v>
      </c>
      <c r="H336" s="61"/>
      <c r="I336" s="61"/>
    </row>
    <row r="337" spans="2:9" x14ac:dyDescent="0.25">
      <c r="B337" s="6">
        <v>307</v>
      </c>
      <c r="D337" s="9" t="s">
        <v>17</v>
      </c>
      <c r="F337" s="9" t="s">
        <v>17</v>
      </c>
      <c r="G337" s="61">
        <f t="shared" si="8"/>
        <v>0</v>
      </c>
      <c r="H337" s="61"/>
      <c r="I337" s="61"/>
    </row>
    <row r="338" spans="2:9" x14ac:dyDescent="0.25">
      <c r="B338" s="6">
        <v>308</v>
      </c>
      <c r="D338" s="9" t="s">
        <v>17</v>
      </c>
      <c r="F338" s="9" t="s">
        <v>17</v>
      </c>
      <c r="G338" s="61">
        <f t="shared" si="8"/>
        <v>0</v>
      </c>
      <c r="H338" s="61"/>
      <c r="I338" s="61"/>
    </row>
    <row r="339" spans="2:9" x14ac:dyDescent="0.25">
      <c r="B339" s="6">
        <v>309</v>
      </c>
      <c r="D339" s="9" t="s">
        <v>17</v>
      </c>
      <c r="F339" s="9" t="s">
        <v>17</v>
      </c>
      <c r="G339" s="61">
        <f t="shared" si="8"/>
        <v>0</v>
      </c>
      <c r="H339" s="61"/>
      <c r="I339" s="61"/>
    </row>
    <row r="340" spans="2:9" x14ac:dyDescent="0.25">
      <c r="B340" s="6">
        <v>310</v>
      </c>
      <c r="D340" s="9" t="s">
        <v>17</v>
      </c>
      <c r="F340" s="9" t="s">
        <v>17</v>
      </c>
      <c r="G340" s="61">
        <f t="shared" si="8"/>
        <v>0</v>
      </c>
      <c r="H340" s="61"/>
      <c r="I340" s="61"/>
    </row>
    <row r="341" spans="2:9" x14ac:dyDescent="0.25">
      <c r="B341" s="6">
        <v>311</v>
      </c>
      <c r="D341" s="9" t="s">
        <v>17</v>
      </c>
      <c r="F341" s="9" t="s">
        <v>17</v>
      </c>
      <c r="G341" s="61">
        <f t="shared" si="8"/>
        <v>0</v>
      </c>
      <c r="H341" s="61"/>
      <c r="I341" s="61"/>
    </row>
    <row r="342" spans="2:9" x14ac:dyDescent="0.25">
      <c r="B342" s="6">
        <v>312</v>
      </c>
      <c r="D342" s="9" t="s">
        <v>17</v>
      </c>
      <c r="F342" s="9" t="s">
        <v>17</v>
      </c>
      <c r="G342" s="61">
        <f t="shared" si="8"/>
        <v>0</v>
      </c>
      <c r="H342" s="61"/>
      <c r="I342" s="61"/>
    </row>
    <row r="343" spans="2:9" x14ac:dyDescent="0.25">
      <c r="B343" s="6">
        <v>313</v>
      </c>
      <c r="D343" s="9" t="s">
        <v>17</v>
      </c>
      <c r="F343" s="9" t="s">
        <v>17</v>
      </c>
      <c r="G343" s="61">
        <f t="shared" si="8"/>
        <v>0</v>
      </c>
      <c r="H343" s="61"/>
      <c r="I343" s="61"/>
    </row>
    <row r="344" spans="2:9" x14ac:dyDescent="0.25">
      <c r="B344" s="6">
        <v>314</v>
      </c>
      <c r="D344" s="9" t="s">
        <v>17</v>
      </c>
      <c r="F344" s="9" t="s">
        <v>17</v>
      </c>
      <c r="G344" s="61">
        <f t="shared" si="8"/>
        <v>0</v>
      </c>
      <c r="H344" s="61"/>
      <c r="I344" s="61"/>
    </row>
    <row r="345" spans="2:9" x14ac:dyDescent="0.25">
      <c r="B345" s="6">
        <v>315</v>
      </c>
      <c r="D345" s="9" t="s">
        <v>17</v>
      </c>
      <c r="F345" s="9" t="s">
        <v>17</v>
      </c>
      <c r="G345" s="61">
        <f t="shared" si="8"/>
        <v>0</v>
      </c>
      <c r="H345" s="61"/>
      <c r="I345" s="61"/>
    </row>
    <row r="346" spans="2:9" x14ac:dyDescent="0.25">
      <c r="B346" s="6">
        <v>316</v>
      </c>
      <c r="D346" s="9" t="s">
        <v>17</v>
      </c>
      <c r="F346" s="9" t="s">
        <v>17</v>
      </c>
      <c r="G346" s="61">
        <f t="shared" si="8"/>
        <v>0</v>
      </c>
      <c r="H346" s="61"/>
      <c r="I346" s="61"/>
    </row>
    <row r="347" spans="2:9" x14ac:dyDescent="0.25">
      <c r="B347" s="6">
        <v>317</v>
      </c>
      <c r="D347" s="9" t="s">
        <v>17</v>
      </c>
      <c r="F347" s="9" t="s">
        <v>17</v>
      </c>
      <c r="G347" s="61">
        <f t="shared" si="8"/>
        <v>0</v>
      </c>
      <c r="H347" s="61"/>
      <c r="I347" s="61"/>
    </row>
    <row r="348" spans="2:9" x14ac:dyDescent="0.25">
      <c r="B348" s="6">
        <v>318</v>
      </c>
      <c r="D348" s="9" t="s">
        <v>17</v>
      </c>
      <c r="F348" s="9" t="s">
        <v>17</v>
      </c>
      <c r="G348" s="61">
        <f t="shared" si="8"/>
        <v>0</v>
      </c>
      <c r="H348" s="61"/>
      <c r="I348" s="61"/>
    </row>
    <row r="349" spans="2:9" x14ac:dyDescent="0.25">
      <c r="B349" s="6">
        <v>319</v>
      </c>
      <c r="D349" s="9" t="s">
        <v>17</v>
      </c>
      <c r="F349" s="9" t="s">
        <v>17</v>
      </c>
      <c r="G349" s="61">
        <f t="shared" si="8"/>
        <v>0</v>
      </c>
      <c r="H349" s="61"/>
      <c r="I349" s="61"/>
    </row>
    <row r="350" spans="2:9" x14ac:dyDescent="0.25">
      <c r="B350" s="6">
        <v>320</v>
      </c>
      <c r="D350" s="9" t="s">
        <v>17</v>
      </c>
      <c r="F350" s="9" t="s">
        <v>17</v>
      </c>
      <c r="G350" s="61">
        <f t="shared" si="8"/>
        <v>0</v>
      </c>
      <c r="H350" s="61"/>
      <c r="I350" s="61"/>
    </row>
    <row r="351" spans="2:9" x14ac:dyDescent="0.25">
      <c r="B351" s="6">
        <v>321</v>
      </c>
      <c r="D351" s="9" t="s">
        <v>17</v>
      </c>
      <c r="F351" s="9" t="s">
        <v>17</v>
      </c>
      <c r="G351" s="61">
        <f t="shared" ref="G351:G390" si="9">IFERROR(F351-D351,0)</f>
        <v>0</v>
      </c>
      <c r="H351" s="61"/>
      <c r="I351" s="61"/>
    </row>
    <row r="352" spans="2:9" x14ac:dyDescent="0.25">
      <c r="B352" s="6">
        <v>322</v>
      </c>
      <c r="D352" s="9" t="s">
        <v>17</v>
      </c>
      <c r="F352" s="9" t="s">
        <v>17</v>
      </c>
      <c r="G352" s="61">
        <f t="shared" si="9"/>
        <v>0</v>
      </c>
      <c r="H352" s="61"/>
      <c r="I352" s="61"/>
    </row>
    <row r="353" spans="2:9" x14ac:dyDescent="0.25">
      <c r="B353" s="6">
        <v>323</v>
      </c>
      <c r="D353" s="9" t="s">
        <v>17</v>
      </c>
      <c r="F353" s="9" t="s">
        <v>17</v>
      </c>
      <c r="G353" s="61">
        <f t="shared" si="9"/>
        <v>0</v>
      </c>
      <c r="H353" s="61"/>
      <c r="I353" s="61"/>
    </row>
    <row r="354" spans="2:9" x14ac:dyDescent="0.25">
      <c r="B354" s="6">
        <v>324</v>
      </c>
      <c r="D354" s="9" t="s">
        <v>17</v>
      </c>
      <c r="F354" s="9" t="s">
        <v>17</v>
      </c>
      <c r="G354" s="61">
        <f t="shared" si="9"/>
        <v>0</v>
      </c>
      <c r="H354" s="61"/>
      <c r="I354" s="61"/>
    </row>
    <row r="355" spans="2:9" x14ac:dyDescent="0.25">
      <c r="B355" s="6">
        <v>325</v>
      </c>
      <c r="D355" s="9" t="s">
        <v>17</v>
      </c>
      <c r="F355" s="9" t="s">
        <v>17</v>
      </c>
      <c r="G355" s="61">
        <f t="shared" si="9"/>
        <v>0</v>
      </c>
      <c r="H355" s="61"/>
      <c r="I355" s="61"/>
    </row>
    <row r="356" spans="2:9" x14ac:dyDescent="0.25">
      <c r="B356" s="6">
        <v>326</v>
      </c>
      <c r="D356" s="9" t="s">
        <v>17</v>
      </c>
      <c r="F356" s="9" t="s">
        <v>17</v>
      </c>
      <c r="G356" s="61">
        <f t="shared" si="9"/>
        <v>0</v>
      </c>
      <c r="H356" s="61"/>
      <c r="I356" s="61"/>
    </row>
    <row r="357" spans="2:9" x14ac:dyDescent="0.25">
      <c r="B357" s="6">
        <v>327</v>
      </c>
      <c r="D357" s="9" t="s">
        <v>17</v>
      </c>
      <c r="F357" s="9" t="s">
        <v>17</v>
      </c>
      <c r="G357" s="61">
        <f t="shared" si="9"/>
        <v>0</v>
      </c>
      <c r="H357" s="61"/>
      <c r="I357" s="61"/>
    </row>
    <row r="358" spans="2:9" x14ac:dyDescent="0.25">
      <c r="B358" s="6">
        <v>328</v>
      </c>
      <c r="D358" s="9" t="s">
        <v>17</v>
      </c>
      <c r="F358" s="9" t="s">
        <v>17</v>
      </c>
      <c r="G358" s="61">
        <f t="shared" si="9"/>
        <v>0</v>
      </c>
      <c r="H358" s="61"/>
      <c r="I358" s="61"/>
    </row>
    <row r="359" spans="2:9" x14ac:dyDescent="0.25">
      <c r="B359" s="6">
        <v>329</v>
      </c>
      <c r="D359" s="9" t="s">
        <v>17</v>
      </c>
      <c r="F359" s="9" t="s">
        <v>17</v>
      </c>
      <c r="G359" s="61">
        <f t="shared" si="9"/>
        <v>0</v>
      </c>
      <c r="H359" s="61"/>
      <c r="I359" s="61"/>
    </row>
    <row r="360" spans="2:9" x14ac:dyDescent="0.25">
      <c r="B360" s="6">
        <v>330</v>
      </c>
      <c r="D360" s="9" t="s">
        <v>17</v>
      </c>
      <c r="F360" s="9" t="s">
        <v>17</v>
      </c>
      <c r="G360" s="61">
        <f t="shared" si="9"/>
        <v>0</v>
      </c>
      <c r="H360" s="61"/>
      <c r="I360" s="61"/>
    </row>
    <row r="361" spans="2:9" x14ac:dyDescent="0.25">
      <c r="B361" s="6">
        <v>331</v>
      </c>
      <c r="D361" s="9" t="s">
        <v>17</v>
      </c>
      <c r="F361" s="9" t="s">
        <v>17</v>
      </c>
      <c r="G361" s="61">
        <f t="shared" si="9"/>
        <v>0</v>
      </c>
      <c r="H361" s="61"/>
      <c r="I361" s="61"/>
    </row>
    <row r="362" spans="2:9" x14ac:dyDescent="0.25">
      <c r="B362" s="6">
        <v>332</v>
      </c>
      <c r="D362" s="9" t="s">
        <v>17</v>
      </c>
      <c r="F362" s="9" t="s">
        <v>17</v>
      </c>
      <c r="G362" s="61">
        <f t="shared" si="9"/>
        <v>0</v>
      </c>
      <c r="H362" s="61"/>
      <c r="I362" s="61"/>
    </row>
    <row r="363" spans="2:9" x14ac:dyDescent="0.25">
      <c r="B363" s="6">
        <v>333</v>
      </c>
      <c r="D363" s="9" t="s">
        <v>17</v>
      </c>
      <c r="F363" s="9" t="s">
        <v>17</v>
      </c>
      <c r="G363" s="61">
        <f t="shared" si="9"/>
        <v>0</v>
      </c>
      <c r="H363" s="61"/>
      <c r="I363" s="61"/>
    </row>
    <row r="364" spans="2:9" x14ac:dyDescent="0.25">
      <c r="B364" s="6">
        <v>334</v>
      </c>
      <c r="D364" s="9" t="s">
        <v>17</v>
      </c>
      <c r="F364" s="9" t="s">
        <v>17</v>
      </c>
      <c r="G364" s="61">
        <f t="shared" si="9"/>
        <v>0</v>
      </c>
      <c r="H364" s="61"/>
      <c r="I364" s="61"/>
    </row>
    <row r="365" spans="2:9" x14ac:dyDescent="0.25">
      <c r="B365" s="6">
        <v>335</v>
      </c>
      <c r="D365" s="9" t="s">
        <v>17</v>
      </c>
      <c r="F365" s="9" t="s">
        <v>17</v>
      </c>
      <c r="G365" s="61">
        <f t="shared" si="9"/>
        <v>0</v>
      </c>
      <c r="H365" s="61"/>
      <c r="I365" s="61"/>
    </row>
    <row r="366" spans="2:9" x14ac:dyDescent="0.25">
      <c r="B366" s="6">
        <v>336</v>
      </c>
      <c r="D366" s="9" t="s">
        <v>17</v>
      </c>
      <c r="F366" s="9" t="s">
        <v>17</v>
      </c>
      <c r="G366" s="61">
        <f t="shared" si="9"/>
        <v>0</v>
      </c>
      <c r="H366" s="61"/>
      <c r="I366" s="61"/>
    </row>
    <row r="367" spans="2:9" x14ac:dyDescent="0.25">
      <c r="B367" s="6">
        <v>337</v>
      </c>
      <c r="D367" s="9" t="s">
        <v>17</v>
      </c>
      <c r="F367" s="9" t="s">
        <v>17</v>
      </c>
      <c r="G367" s="61">
        <f t="shared" si="9"/>
        <v>0</v>
      </c>
      <c r="H367" s="61"/>
      <c r="I367" s="61"/>
    </row>
    <row r="368" spans="2:9" x14ac:dyDescent="0.25">
      <c r="B368" s="6">
        <v>338</v>
      </c>
      <c r="D368" s="9" t="s">
        <v>17</v>
      </c>
      <c r="F368" s="9" t="s">
        <v>17</v>
      </c>
      <c r="G368" s="61">
        <f t="shared" si="9"/>
        <v>0</v>
      </c>
      <c r="H368" s="61"/>
      <c r="I368" s="61"/>
    </row>
    <row r="369" spans="2:9" x14ac:dyDescent="0.25">
      <c r="B369" s="6">
        <v>339</v>
      </c>
      <c r="D369" s="9" t="s">
        <v>17</v>
      </c>
      <c r="F369" s="9" t="s">
        <v>17</v>
      </c>
      <c r="G369" s="61">
        <f t="shared" si="9"/>
        <v>0</v>
      </c>
      <c r="H369" s="61"/>
      <c r="I369" s="61"/>
    </row>
    <row r="370" spans="2:9" x14ac:dyDescent="0.25">
      <c r="B370" s="6">
        <v>340</v>
      </c>
      <c r="D370" s="9" t="s">
        <v>17</v>
      </c>
      <c r="F370" s="9" t="s">
        <v>17</v>
      </c>
      <c r="G370" s="61">
        <f t="shared" si="9"/>
        <v>0</v>
      </c>
      <c r="H370" s="61"/>
      <c r="I370" s="61"/>
    </row>
    <row r="371" spans="2:9" x14ac:dyDescent="0.25">
      <c r="B371" s="6">
        <v>341</v>
      </c>
      <c r="D371" s="9" t="s">
        <v>17</v>
      </c>
      <c r="F371" s="9" t="s">
        <v>17</v>
      </c>
      <c r="G371" s="61">
        <f t="shared" si="9"/>
        <v>0</v>
      </c>
      <c r="H371" s="61"/>
      <c r="I371" s="61"/>
    </row>
    <row r="372" spans="2:9" x14ac:dyDescent="0.25">
      <c r="B372" s="6">
        <v>342</v>
      </c>
      <c r="D372" s="9" t="s">
        <v>17</v>
      </c>
      <c r="F372" s="9" t="s">
        <v>17</v>
      </c>
      <c r="G372" s="61">
        <f t="shared" si="9"/>
        <v>0</v>
      </c>
      <c r="H372" s="61"/>
      <c r="I372" s="61"/>
    </row>
    <row r="373" spans="2:9" x14ac:dyDescent="0.25">
      <c r="B373" s="6">
        <v>343</v>
      </c>
      <c r="D373" s="9" t="s">
        <v>17</v>
      </c>
      <c r="F373" s="9" t="s">
        <v>17</v>
      </c>
      <c r="G373" s="61">
        <f t="shared" si="9"/>
        <v>0</v>
      </c>
      <c r="H373" s="61"/>
      <c r="I373" s="61"/>
    </row>
    <row r="374" spans="2:9" x14ac:dyDescent="0.25">
      <c r="B374" s="6">
        <v>344</v>
      </c>
      <c r="D374" s="9" t="s">
        <v>17</v>
      </c>
      <c r="F374" s="9" t="s">
        <v>17</v>
      </c>
      <c r="G374" s="61">
        <f t="shared" si="9"/>
        <v>0</v>
      </c>
      <c r="H374" s="61"/>
      <c r="I374" s="61"/>
    </row>
    <row r="375" spans="2:9" x14ac:dyDescent="0.25">
      <c r="B375" s="6">
        <v>345</v>
      </c>
      <c r="D375" s="9" t="s">
        <v>17</v>
      </c>
      <c r="F375" s="9" t="s">
        <v>17</v>
      </c>
      <c r="G375" s="61">
        <f t="shared" si="9"/>
        <v>0</v>
      </c>
      <c r="H375" s="61"/>
      <c r="I375" s="61"/>
    </row>
    <row r="376" spans="2:9" x14ac:dyDescent="0.25">
      <c r="B376" s="6">
        <v>346</v>
      </c>
      <c r="D376" s="9" t="s">
        <v>17</v>
      </c>
      <c r="F376" s="9" t="s">
        <v>17</v>
      </c>
      <c r="G376" s="61">
        <f t="shared" si="9"/>
        <v>0</v>
      </c>
      <c r="H376" s="61"/>
      <c r="I376" s="61"/>
    </row>
    <row r="377" spans="2:9" x14ac:dyDescent="0.25">
      <c r="B377" s="6">
        <v>347</v>
      </c>
      <c r="D377" s="9" t="s">
        <v>17</v>
      </c>
      <c r="F377" s="9" t="s">
        <v>17</v>
      </c>
      <c r="G377" s="61">
        <f t="shared" si="9"/>
        <v>0</v>
      </c>
      <c r="H377" s="61"/>
      <c r="I377" s="61"/>
    </row>
    <row r="378" spans="2:9" x14ac:dyDescent="0.25">
      <c r="B378" s="6">
        <v>348</v>
      </c>
      <c r="D378" s="9" t="s">
        <v>17</v>
      </c>
      <c r="F378" s="9" t="s">
        <v>17</v>
      </c>
      <c r="G378" s="61">
        <f t="shared" si="9"/>
        <v>0</v>
      </c>
      <c r="H378" s="61"/>
      <c r="I378" s="61"/>
    </row>
    <row r="379" spans="2:9" x14ac:dyDescent="0.25">
      <c r="B379" s="6">
        <v>349</v>
      </c>
      <c r="D379" s="9" t="s">
        <v>17</v>
      </c>
      <c r="F379" s="9" t="s">
        <v>17</v>
      </c>
      <c r="G379" s="61">
        <f t="shared" si="9"/>
        <v>0</v>
      </c>
      <c r="H379" s="61"/>
      <c r="I379" s="61"/>
    </row>
    <row r="380" spans="2:9" x14ac:dyDescent="0.25">
      <c r="B380" s="6">
        <v>350</v>
      </c>
      <c r="D380" s="9" t="s">
        <v>17</v>
      </c>
      <c r="F380" s="9" t="s">
        <v>17</v>
      </c>
      <c r="G380" s="61">
        <f t="shared" si="9"/>
        <v>0</v>
      </c>
      <c r="H380" s="61"/>
      <c r="I380" s="61"/>
    </row>
    <row r="381" spans="2:9" x14ac:dyDescent="0.25">
      <c r="B381" s="6">
        <v>351</v>
      </c>
      <c r="D381" s="9" t="s">
        <v>17</v>
      </c>
      <c r="F381" s="9" t="s">
        <v>17</v>
      </c>
      <c r="G381" s="61">
        <f t="shared" si="9"/>
        <v>0</v>
      </c>
      <c r="H381" s="61"/>
      <c r="I381" s="61"/>
    </row>
    <row r="382" spans="2:9" x14ac:dyDescent="0.25">
      <c r="B382" s="6">
        <v>352</v>
      </c>
      <c r="D382" s="9" t="s">
        <v>17</v>
      </c>
      <c r="F382" s="9" t="s">
        <v>17</v>
      </c>
      <c r="G382" s="61">
        <f t="shared" si="9"/>
        <v>0</v>
      </c>
      <c r="H382" s="61"/>
      <c r="I382" s="61"/>
    </row>
    <row r="383" spans="2:9" x14ac:dyDescent="0.25">
      <c r="B383" s="6">
        <v>353</v>
      </c>
      <c r="D383" s="9" t="s">
        <v>17</v>
      </c>
      <c r="F383" s="9" t="s">
        <v>17</v>
      </c>
      <c r="G383" s="61">
        <f t="shared" si="9"/>
        <v>0</v>
      </c>
      <c r="H383" s="61"/>
      <c r="I383" s="61"/>
    </row>
    <row r="384" spans="2:9" x14ac:dyDescent="0.25">
      <c r="B384" s="6">
        <v>354</v>
      </c>
      <c r="D384" s="9" t="s">
        <v>17</v>
      </c>
      <c r="F384" s="9" t="s">
        <v>17</v>
      </c>
      <c r="G384" s="61">
        <f t="shared" si="9"/>
        <v>0</v>
      </c>
      <c r="H384" s="61"/>
      <c r="I384" s="61"/>
    </row>
    <row r="385" spans="2:9" x14ac:dyDescent="0.25">
      <c r="B385" s="6">
        <v>355</v>
      </c>
      <c r="D385" s="9" t="s">
        <v>17</v>
      </c>
      <c r="F385" s="9" t="s">
        <v>17</v>
      </c>
      <c r="G385" s="61">
        <f t="shared" si="9"/>
        <v>0</v>
      </c>
      <c r="H385" s="61"/>
      <c r="I385" s="61"/>
    </row>
    <row r="386" spans="2:9" x14ac:dyDescent="0.25">
      <c r="B386" s="6">
        <v>356</v>
      </c>
      <c r="D386" s="9" t="s">
        <v>17</v>
      </c>
      <c r="F386" s="9" t="s">
        <v>17</v>
      </c>
      <c r="G386" s="61">
        <f t="shared" si="9"/>
        <v>0</v>
      </c>
      <c r="H386" s="61"/>
      <c r="I386" s="61"/>
    </row>
    <row r="387" spans="2:9" x14ac:dyDescent="0.25">
      <c r="B387" s="6">
        <v>357</v>
      </c>
      <c r="D387" s="9" t="s">
        <v>17</v>
      </c>
      <c r="F387" s="9" t="s">
        <v>17</v>
      </c>
      <c r="G387" s="61">
        <f t="shared" si="9"/>
        <v>0</v>
      </c>
      <c r="H387" s="61"/>
      <c r="I387" s="61"/>
    </row>
    <row r="388" spans="2:9" x14ac:dyDescent="0.25">
      <c r="B388" s="6">
        <v>358</v>
      </c>
      <c r="D388" s="9" t="s">
        <v>17</v>
      </c>
      <c r="F388" s="9" t="s">
        <v>17</v>
      </c>
      <c r="G388" s="61">
        <f t="shared" si="9"/>
        <v>0</v>
      </c>
      <c r="H388" s="61"/>
      <c r="I388" s="61"/>
    </row>
    <row r="389" spans="2:9" x14ac:dyDescent="0.25">
      <c r="B389" s="6">
        <v>359</v>
      </c>
      <c r="D389" s="9" t="s">
        <v>17</v>
      </c>
      <c r="F389" s="9" t="s">
        <v>17</v>
      </c>
      <c r="G389" s="61">
        <f t="shared" si="9"/>
        <v>0</v>
      </c>
      <c r="H389" s="61"/>
      <c r="I389" s="61"/>
    </row>
    <row r="390" spans="2:9" x14ac:dyDescent="0.25">
      <c r="B390" s="6">
        <v>360</v>
      </c>
      <c r="D390" s="9" t="s">
        <v>17</v>
      </c>
      <c r="F390" s="9" t="s">
        <v>17</v>
      </c>
      <c r="G390" s="61">
        <f t="shared" si="9"/>
        <v>0</v>
      </c>
      <c r="H390" s="61"/>
      <c r="I390" s="6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dimension ref="A1:N363"/>
  <sheetViews>
    <sheetView workbookViewId="0">
      <selection activeCell="N2" sqref="N2"/>
    </sheetView>
  </sheetViews>
  <sheetFormatPr baseColWidth="10" defaultColWidth="11.453125" defaultRowHeight="10" x14ac:dyDescent="0.2"/>
  <cols>
    <col min="1" max="1" width="19" style="1" bestFit="1" customWidth="1"/>
    <col min="2" max="2" width="11.453125" style="1"/>
    <col min="3" max="3" width="8.7265625" style="1" bestFit="1" customWidth="1"/>
    <col min="4" max="4" width="4.453125" style="1" bestFit="1" customWidth="1"/>
    <col min="5" max="5" width="5.26953125" style="1" customWidth="1"/>
    <col min="6" max="6" width="10.26953125" style="1" bestFit="1" customWidth="1"/>
    <col min="7" max="9" width="11.453125" style="1"/>
    <col min="10" max="11" width="13.453125" style="1" bestFit="1" customWidth="1"/>
    <col min="12" max="12" width="16.1796875" style="1" bestFit="1" customWidth="1"/>
    <col min="13" max="16384" width="11.453125" style="1"/>
  </cols>
  <sheetData>
    <row r="1" spans="1:14" ht="10.5" x14ac:dyDescent="0.25">
      <c r="A1" s="1" t="s">
        <v>167</v>
      </c>
      <c r="B1" s="62">
        <v>3</v>
      </c>
      <c r="D1" s="63"/>
      <c r="E1" s="3"/>
      <c r="F1" s="1" t="s">
        <v>168</v>
      </c>
      <c r="G1" s="1" t="s">
        <v>194</v>
      </c>
      <c r="H1" s="79">
        <f>+Simulador!$H$49</f>
        <v>240</v>
      </c>
      <c r="J1" s="64"/>
      <c r="L1" s="65"/>
    </row>
    <row r="2" spans="1:14" x14ac:dyDescent="0.2">
      <c r="A2" s="1" t="s">
        <v>169</v>
      </c>
      <c r="B2" s="66">
        <f ca="1">Simulador!$F$7</f>
        <v>46168</v>
      </c>
      <c r="E2" s="67"/>
      <c r="F2" s="1" t="s">
        <v>170</v>
      </c>
      <c r="G2" s="1" t="s">
        <v>3</v>
      </c>
      <c r="H2" s="1">
        <v>30.4</v>
      </c>
      <c r="N2" s="1">
        <f ca="1">IF(OR(B3=30,B3=31),30,0)</f>
        <v>0</v>
      </c>
    </row>
    <row r="3" spans="1:14" ht="10.5" x14ac:dyDescent="0.25">
      <c r="A3" s="1" t="s">
        <v>171</v>
      </c>
      <c r="B3" s="68">
        <f ca="1">DAY($B$2)</f>
        <v>26</v>
      </c>
      <c r="C3" s="67">
        <f ca="1">B3</f>
        <v>26</v>
      </c>
      <c r="D3" s="67">
        <f ca="1">$B3-$C3</f>
        <v>0</v>
      </c>
      <c r="J3" s="69"/>
      <c r="K3" s="70">
        <f ca="1">B2</f>
        <v>46168</v>
      </c>
      <c r="L3" s="71" t="s">
        <v>172</v>
      </c>
    </row>
    <row r="4" spans="1:14" x14ac:dyDescent="0.2">
      <c r="A4" s="1" t="s">
        <v>173</v>
      </c>
      <c r="B4" s="68">
        <f ca="1">MONTH($B$2)</f>
        <v>5</v>
      </c>
      <c r="C4" s="67">
        <f ca="1">B4</f>
        <v>5</v>
      </c>
      <c r="D4" s="67">
        <f ca="1">$B4-$C4</f>
        <v>0</v>
      </c>
      <c r="J4" s="5">
        <v>1</v>
      </c>
      <c r="K4" s="72">
        <f ca="1">IF(($J$4:$J$363)&lt;=$H$1,(EOMONTH(K3,0)+$B$6+N2))</f>
        <v>46176</v>
      </c>
      <c r="L4" s="77">
        <f ca="1">$K$1:$K$363 - $B$2 + 1</f>
        <v>9</v>
      </c>
    </row>
    <row r="5" spans="1:14" x14ac:dyDescent="0.2">
      <c r="A5" s="1" t="s">
        <v>174</v>
      </c>
      <c r="B5" s="68">
        <f ca="1">YEAR($B$2)</f>
        <v>2026</v>
      </c>
      <c r="C5" s="67">
        <f ca="1">B5</f>
        <v>2026</v>
      </c>
      <c r="D5" s="67">
        <f ca="1">$B5-$C5</f>
        <v>0</v>
      </c>
      <c r="J5" s="5">
        <v>2</v>
      </c>
      <c r="K5" s="72">
        <f t="shared" ref="K5:K68" ca="1" si="0">IF(($J$4:$J$363)&lt;=$H$1,(EOMONTH(K4,0)+$B$6))</f>
        <v>46206</v>
      </c>
      <c r="L5" s="78">
        <f>IF($J$4:$J$363 &lt;= $H$1,$H$2,"")</f>
        <v>30.4</v>
      </c>
    </row>
    <row r="6" spans="1:14" x14ac:dyDescent="0.2">
      <c r="A6" s="1" t="s">
        <v>175</v>
      </c>
      <c r="B6" s="62">
        <v>3</v>
      </c>
      <c r="D6" s="73" t="str">
        <f ca="1">IF(SUM($D$3:$D$5)&lt;&gt;0,"SI","NO")</f>
        <v>NO</v>
      </c>
      <c r="E6" s="1" t="s">
        <v>176</v>
      </c>
      <c r="J6" s="5">
        <v>3</v>
      </c>
      <c r="K6" s="72">
        <f t="shared" ca="1" si="0"/>
        <v>46237</v>
      </c>
      <c r="L6" s="78">
        <f>IF($J$4:$J$363 &lt;= $H$1,$H$2,"")</f>
        <v>30.4</v>
      </c>
    </row>
    <row r="7" spans="1:14" x14ac:dyDescent="0.2">
      <c r="A7" s="1" t="s">
        <v>177</v>
      </c>
      <c r="B7" s="74">
        <f ca="1">MONTH(B2)+1</f>
        <v>6</v>
      </c>
      <c r="J7" s="5">
        <v>4</v>
      </c>
      <c r="K7" s="72">
        <f t="shared" ca="1" si="0"/>
        <v>46268</v>
      </c>
      <c r="L7" s="78">
        <f t="shared" ref="L7:L69" si="1">IF($J$4:$J$363 &lt;= $H$1,$H$2,"")</f>
        <v>30.4</v>
      </c>
    </row>
    <row r="8" spans="1:14" x14ac:dyDescent="0.2">
      <c r="A8" s="1" t="s">
        <v>178</v>
      </c>
      <c r="B8" s="66">
        <f ca="1">DATE(B5,B7,B6)</f>
        <v>46176</v>
      </c>
      <c r="J8" s="5">
        <v>5</v>
      </c>
      <c r="K8" s="72">
        <f t="shared" ca="1" si="0"/>
        <v>46298</v>
      </c>
      <c r="L8" s="78">
        <f t="shared" si="1"/>
        <v>30.4</v>
      </c>
    </row>
    <row r="9" spans="1:14" x14ac:dyDescent="0.2">
      <c r="B9" s="5" t="s">
        <v>179</v>
      </c>
      <c r="C9" s="5" t="s">
        <v>24</v>
      </c>
      <c r="D9" s="5" t="s">
        <v>180</v>
      </c>
      <c r="J9" s="5">
        <v>6</v>
      </c>
      <c r="K9" s="72">
        <f t="shared" ca="1" si="0"/>
        <v>46329</v>
      </c>
      <c r="L9" s="78">
        <f t="shared" si="1"/>
        <v>30.4</v>
      </c>
    </row>
    <row r="10" spans="1:14" x14ac:dyDescent="0.2">
      <c r="B10" s="75">
        <f ca="1">B3</f>
        <v>26</v>
      </c>
      <c r="C10" s="75">
        <f ca="1">B4</f>
        <v>5</v>
      </c>
      <c r="D10" s="73">
        <f ca="1">VLOOKUP($D$11,$A$12:$D$42,4,FALSE)</f>
        <v>2026</v>
      </c>
      <c r="J10" s="5">
        <v>7</v>
      </c>
      <c r="K10" s="72">
        <f t="shared" ca="1" si="0"/>
        <v>46359</v>
      </c>
      <c r="L10" s="78">
        <f t="shared" si="1"/>
        <v>30.4</v>
      </c>
    </row>
    <row r="11" spans="1:14" x14ac:dyDescent="0.2">
      <c r="D11" s="75">
        <v>1</v>
      </c>
      <c r="F11" s="2" t="s">
        <v>181</v>
      </c>
      <c r="G11" s="73">
        <f ca="1">+VLOOKUP(C4,E12:F23,2)</f>
        <v>31</v>
      </c>
      <c r="J11" s="5">
        <v>8</v>
      </c>
      <c r="K11" s="72">
        <f t="shared" ca="1" si="0"/>
        <v>46390</v>
      </c>
      <c r="L11" s="78">
        <f t="shared" si="1"/>
        <v>30.4</v>
      </c>
    </row>
    <row r="12" spans="1:14" x14ac:dyDescent="0.2">
      <c r="A12" s="1">
        <v>1</v>
      </c>
      <c r="B12" s="1">
        <v>1</v>
      </c>
      <c r="C12" s="1" t="s">
        <v>182</v>
      </c>
      <c r="D12" s="5">
        <f ca="1">YEAR(TODAY())</f>
        <v>2026</v>
      </c>
      <c r="E12" s="5">
        <v>1</v>
      </c>
      <c r="F12" s="76">
        <v>31</v>
      </c>
      <c r="J12" s="5">
        <v>9</v>
      </c>
      <c r="K12" s="72">
        <f t="shared" ca="1" si="0"/>
        <v>46421</v>
      </c>
      <c r="L12" s="78">
        <f t="shared" si="1"/>
        <v>30.4</v>
      </c>
    </row>
    <row r="13" spans="1:14" x14ac:dyDescent="0.2">
      <c r="A13" s="1">
        <v>2</v>
      </c>
      <c r="B13" s="67">
        <v>2</v>
      </c>
      <c r="C13" s="1" t="s">
        <v>183</v>
      </c>
      <c r="D13" s="5">
        <f ca="1">+D12+1</f>
        <v>2027</v>
      </c>
      <c r="E13" s="5">
        <v>2</v>
      </c>
      <c r="F13" s="76">
        <v>28</v>
      </c>
      <c r="J13" s="5">
        <v>10</v>
      </c>
      <c r="K13" s="72">
        <f t="shared" ca="1" si="0"/>
        <v>46449</v>
      </c>
      <c r="L13" s="78">
        <f t="shared" si="1"/>
        <v>30.4</v>
      </c>
    </row>
    <row r="14" spans="1:14" x14ac:dyDescent="0.2">
      <c r="A14" s="1">
        <v>3</v>
      </c>
      <c r="B14" s="67">
        <v>3</v>
      </c>
      <c r="C14" s="1" t="s">
        <v>184</v>
      </c>
      <c r="D14" s="5">
        <f ca="1">+D13+1</f>
        <v>2028</v>
      </c>
      <c r="E14" s="5">
        <v>3</v>
      </c>
      <c r="F14" s="76">
        <v>31</v>
      </c>
      <c r="J14" s="5">
        <v>11</v>
      </c>
      <c r="K14" s="72">
        <f t="shared" ca="1" si="0"/>
        <v>46480</v>
      </c>
      <c r="L14" s="78">
        <f t="shared" si="1"/>
        <v>30.4</v>
      </c>
    </row>
    <row r="15" spans="1:14" x14ac:dyDescent="0.2">
      <c r="A15" s="1">
        <v>4</v>
      </c>
      <c r="B15" s="67">
        <v>4</v>
      </c>
      <c r="C15" s="1" t="s">
        <v>185</v>
      </c>
      <c r="D15" s="5">
        <f ca="1">+D14+1</f>
        <v>2029</v>
      </c>
      <c r="E15" s="5">
        <v>4</v>
      </c>
      <c r="F15" s="76">
        <v>30</v>
      </c>
      <c r="J15" s="5">
        <v>12</v>
      </c>
      <c r="K15" s="72">
        <f t="shared" ca="1" si="0"/>
        <v>46510</v>
      </c>
      <c r="L15" s="78">
        <f t="shared" si="1"/>
        <v>30.4</v>
      </c>
    </row>
    <row r="16" spans="1:14" x14ac:dyDescent="0.2">
      <c r="A16" s="1">
        <v>5</v>
      </c>
      <c r="B16" s="67">
        <v>5</v>
      </c>
      <c r="C16" s="1" t="s">
        <v>186</v>
      </c>
      <c r="D16" s="5">
        <f ca="1">+D15+1</f>
        <v>2030</v>
      </c>
      <c r="E16" s="5">
        <v>5</v>
      </c>
      <c r="F16" s="76">
        <v>31</v>
      </c>
      <c r="J16" s="5">
        <v>13</v>
      </c>
      <c r="K16" s="72">
        <f t="shared" ca="1" si="0"/>
        <v>46541</v>
      </c>
      <c r="L16" s="78">
        <f t="shared" si="1"/>
        <v>30.4</v>
      </c>
    </row>
    <row r="17" spans="1:12" x14ac:dyDescent="0.2">
      <c r="A17" s="1">
        <v>6</v>
      </c>
      <c r="B17" s="67">
        <v>6</v>
      </c>
      <c r="C17" s="1" t="s">
        <v>187</v>
      </c>
      <c r="D17" s="5"/>
      <c r="E17" s="5">
        <v>6</v>
      </c>
      <c r="F17" s="76">
        <v>30</v>
      </c>
      <c r="J17" s="5">
        <v>14</v>
      </c>
      <c r="K17" s="72">
        <f t="shared" ca="1" si="0"/>
        <v>46571</v>
      </c>
      <c r="L17" s="78">
        <f t="shared" si="1"/>
        <v>30.4</v>
      </c>
    </row>
    <row r="18" spans="1:12" x14ac:dyDescent="0.2">
      <c r="A18" s="1">
        <v>7</v>
      </c>
      <c r="B18" s="67">
        <v>7</v>
      </c>
      <c r="C18" s="1" t="s">
        <v>188</v>
      </c>
      <c r="D18" s="5"/>
      <c r="E18" s="5">
        <v>7</v>
      </c>
      <c r="F18" s="76">
        <v>31</v>
      </c>
      <c r="J18" s="5">
        <v>15</v>
      </c>
      <c r="K18" s="72">
        <f t="shared" ca="1" si="0"/>
        <v>46602</v>
      </c>
      <c r="L18" s="78">
        <f t="shared" si="1"/>
        <v>30.4</v>
      </c>
    </row>
    <row r="19" spans="1:12" x14ac:dyDescent="0.2">
      <c r="A19" s="1">
        <v>8</v>
      </c>
      <c r="B19" s="67">
        <v>8</v>
      </c>
      <c r="C19" s="1" t="s">
        <v>189</v>
      </c>
      <c r="D19" s="5"/>
      <c r="E19" s="5">
        <v>8</v>
      </c>
      <c r="F19" s="76">
        <v>31</v>
      </c>
      <c r="J19" s="5">
        <v>16</v>
      </c>
      <c r="K19" s="72">
        <f t="shared" ca="1" si="0"/>
        <v>46633</v>
      </c>
      <c r="L19" s="78">
        <f t="shared" si="1"/>
        <v>30.4</v>
      </c>
    </row>
    <row r="20" spans="1:12" x14ac:dyDescent="0.2">
      <c r="A20" s="1">
        <v>9</v>
      </c>
      <c r="B20" s="67">
        <v>9</v>
      </c>
      <c r="C20" s="1" t="s">
        <v>190</v>
      </c>
      <c r="D20" s="5"/>
      <c r="E20" s="5">
        <v>9</v>
      </c>
      <c r="F20" s="76">
        <v>30</v>
      </c>
      <c r="J20" s="5">
        <v>17</v>
      </c>
      <c r="K20" s="72">
        <f t="shared" ca="1" si="0"/>
        <v>46663</v>
      </c>
      <c r="L20" s="78">
        <f t="shared" si="1"/>
        <v>30.4</v>
      </c>
    </row>
    <row r="21" spans="1:12" x14ac:dyDescent="0.2">
      <c r="A21" s="1">
        <v>10</v>
      </c>
      <c r="B21" s="67">
        <v>10</v>
      </c>
      <c r="C21" s="1" t="s">
        <v>191</v>
      </c>
      <c r="D21" s="5"/>
      <c r="E21" s="5">
        <v>10</v>
      </c>
      <c r="F21" s="76">
        <v>31</v>
      </c>
      <c r="J21" s="5">
        <v>18</v>
      </c>
      <c r="K21" s="72">
        <f t="shared" ca="1" si="0"/>
        <v>46694</v>
      </c>
      <c r="L21" s="78">
        <f t="shared" si="1"/>
        <v>30.4</v>
      </c>
    </row>
    <row r="22" spans="1:12" x14ac:dyDescent="0.2">
      <c r="A22" s="1">
        <v>11</v>
      </c>
      <c r="B22" s="67">
        <v>11</v>
      </c>
      <c r="C22" s="1" t="s">
        <v>192</v>
      </c>
      <c r="D22" s="5"/>
      <c r="E22" s="5">
        <v>11</v>
      </c>
      <c r="F22" s="76">
        <v>30</v>
      </c>
      <c r="J22" s="5">
        <v>19</v>
      </c>
      <c r="K22" s="72">
        <f t="shared" ca="1" si="0"/>
        <v>46724</v>
      </c>
      <c r="L22" s="78">
        <f t="shared" si="1"/>
        <v>30.4</v>
      </c>
    </row>
    <row r="23" spans="1:12" x14ac:dyDescent="0.2">
      <c r="A23" s="1">
        <v>12</v>
      </c>
      <c r="B23" s="67">
        <v>12</v>
      </c>
      <c r="C23" s="1" t="s">
        <v>193</v>
      </c>
      <c r="D23" s="5"/>
      <c r="E23" s="5">
        <v>12</v>
      </c>
      <c r="F23" s="76">
        <v>31</v>
      </c>
      <c r="J23" s="5">
        <v>20</v>
      </c>
      <c r="K23" s="72">
        <f t="shared" ca="1" si="0"/>
        <v>46755</v>
      </c>
      <c r="L23" s="78">
        <f t="shared" si="1"/>
        <v>30.4</v>
      </c>
    </row>
    <row r="24" spans="1:12" x14ac:dyDescent="0.2">
      <c r="A24" s="1">
        <v>13</v>
      </c>
      <c r="B24" s="67">
        <v>13</v>
      </c>
      <c r="J24" s="5">
        <v>21</v>
      </c>
      <c r="K24" s="72">
        <f t="shared" ca="1" si="0"/>
        <v>46786</v>
      </c>
      <c r="L24" s="78">
        <f t="shared" si="1"/>
        <v>30.4</v>
      </c>
    </row>
    <row r="25" spans="1:12" x14ac:dyDescent="0.2">
      <c r="A25" s="1">
        <v>14</v>
      </c>
      <c r="B25" s="67">
        <v>14</v>
      </c>
      <c r="J25" s="5">
        <v>22</v>
      </c>
      <c r="K25" s="72">
        <f t="shared" ca="1" si="0"/>
        <v>46815</v>
      </c>
      <c r="L25" s="78">
        <f t="shared" si="1"/>
        <v>30.4</v>
      </c>
    </row>
    <row r="26" spans="1:12" x14ac:dyDescent="0.2">
      <c r="A26" s="1">
        <v>15</v>
      </c>
      <c r="B26" s="67">
        <v>15</v>
      </c>
      <c r="J26" s="5">
        <v>23</v>
      </c>
      <c r="K26" s="72">
        <f t="shared" ca="1" si="0"/>
        <v>46846</v>
      </c>
      <c r="L26" s="78">
        <f t="shared" si="1"/>
        <v>30.4</v>
      </c>
    </row>
    <row r="27" spans="1:12" x14ac:dyDescent="0.2">
      <c r="A27" s="1">
        <v>16</v>
      </c>
      <c r="B27" s="67">
        <v>16</v>
      </c>
      <c r="J27" s="5">
        <v>24</v>
      </c>
      <c r="K27" s="72">
        <f t="shared" ca="1" si="0"/>
        <v>46876</v>
      </c>
      <c r="L27" s="78">
        <f t="shared" si="1"/>
        <v>30.4</v>
      </c>
    </row>
    <row r="28" spans="1:12" x14ac:dyDescent="0.2">
      <c r="A28" s="1">
        <v>17</v>
      </c>
      <c r="B28" s="67">
        <v>17</v>
      </c>
      <c r="J28" s="5">
        <v>25</v>
      </c>
      <c r="K28" s="72">
        <f t="shared" ca="1" si="0"/>
        <v>46907</v>
      </c>
      <c r="L28" s="78">
        <f t="shared" si="1"/>
        <v>30.4</v>
      </c>
    </row>
    <row r="29" spans="1:12" x14ac:dyDescent="0.2">
      <c r="A29" s="1">
        <v>18</v>
      </c>
      <c r="B29" s="67">
        <v>18</v>
      </c>
      <c r="J29" s="5">
        <v>26</v>
      </c>
      <c r="K29" s="72">
        <f t="shared" ca="1" si="0"/>
        <v>46937</v>
      </c>
      <c r="L29" s="78">
        <f t="shared" si="1"/>
        <v>30.4</v>
      </c>
    </row>
    <row r="30" spans="1:12" x14ac:dyDescent="0.2">
      <c r="A30" s="1">
        <v>19</v>
      </c>
      <c r="B30" s="67">
        <v>19</v>
      </c>
      <c r="J30" s="5">
        <v>27</v>
      </c>
      <c r="K30" s="72">
        <f t="shared" ca="1" si="0"/>
        <v>46968</v>
      </c>
      <c r="L30" s="78">
        <f t="shared" si="1"/>
        <v>30.4</v>
      </c>
    </row>
    <row r="31" spans="1:12" x14ac:dyDescent="0.2">
      <c r="A31" s="1">
        <v>20</v>
      </c>
      <c r="B31" s="67">
        <v>20</v>
      </c>
      <c r="J31" s="5">
        <v>28</v>
      </c>
      <c r="K31" s="72">
        <f t="shared" ca="1" si="0"/>
        <v>46999</v>
      </c>
      <c r="L31" s="78">
        <f t="shared" si="1"/>
        <v>30.4</v>
      </c>
    </row>
    <row r="32" spans="1:12" x14ac:dyDescent="0.2">
      <c r="A32" s="1">
        <v>21</v>
      </c>
      <c r="B32" s="67">
        <v>21</v>
      </c>
      <c r="J32" s="5">
        <v>29</v>
      </c>
      <c r="K32" s="72">
        <f t="shared" ca="1" si="0"/>
        <v>47029</v>
      </c>
      <c r="L32" s="78">
        <f t="shared" si="1"/>
        <v>30.4</v>
      </c>
    </row>
    <row r="33" spans="1:12" x14ac:dyDescent="0.2">
      <c r="A33" s="1">
        <v>22</v>
      </c>
      <c r="B33" s="67">
        <v>22</v>
      </c>
      <c r="J33" s="5">
        <v>30</v>
      </c>
      <c r="K33" s="72">
        <f t="shared" ca="1" si="0"/>
        <v>47060</v>
      </c>
      <c r="L33" s="78">
        <f t="shared" si="1"/>
        <v>30.4</v>
      </c>
    </row>
    <row r="34" spans="1:12" x14ac:dyDescent="0.2">
      <c r="A34" s="1">
        <v>23</v>
      </c>
      <c r="B34" s="67">
        <v>23</v>
      </c>
      <c r="J34" s="5">
        <v>31</v>
      </c>
      <c r="K34" s="72">
        <f t="shared" ca="1" si="0"/>
        <v>47090</v>
      </c>
      <c r="L34" s="78">
        <f t="shared" si="1"/>
        <v>30.4</v>
      </c>
    </row>
    <row r="35" spans="1:12" x14ac:dyDescent="0.2">
      <c r="A35" s="1">
        <v>24</v>
      </c>
      <c r="B35" s="67">
        <v>24</v>
      </c>
      <c r="J35" s="5">
        <v>32</v>
      </c>
      <c r="K35" s="72">
        <f t="shared" ca="1" si="0"/>
        <v>47121</v>
      </c>
      <c r="L35" s="78">
        <f t="shared" si="1"/>
        <v>30.4</v>
      </c>
    </row>
    <row r="36" spans="1:12" x14ac:dyDescent="0.2">
      <c r="A36" s="1">
        <v>25</v>
      </c>
      <c r="B36" s="67">
        <v>25</v>
      </c>
      <c r="J36" s="5">
        <v>33</v>
      </c>
      <c r="K36" s="72">
        <f t="shared" ca="1" si="0"/>
        <v>47152</v>
      </c>
      <c r="L36" s="78">
        <f t="shared" si="1"/>
        <v>30.4</v>
      </c>
    </row>
    <row r="37" spans="1:12" x14ac:dyDescent="0.2">
      <c r="A37" s="1">
        <v>26</v>
      </c>
      <c r="B37" s="67">
        <v>26</v>
      </c>
      <c r="J37" s="5">
        <v>34</v>
      </c>
      <c r="K37" s="72">
        <f t="shared" ca="1" si="0"/>
        <v>47180</v>
      </c>
      <c r="L37" s="78">
        <f t="shared" si="1"/>
        <v>30.4</v>
      </c>
    </row>
    <row r="38" spans="1:12" x14ac:dyDescent="0.2">
      <c r="A38" s="1">
        <v>27</v>
      </c>
      <c r="B38" s="67">
        <v>27</v>
      </c>
      <c r="J38" s="5">
        <v>35</v>
      </c>
      <c r="K38" s="72">
        <f t="shared" ca="1" si="0"/>
        <v>47211</v>
      </c>
      <c r="L38" s="78">
        <f t="shared" si="1"/>
        <v>30.4</v>
      </c>
    </row>
    <row r="39" spans="1:12" x14ac:dyDescent="0.2">
      <c r="A39" s="1">
        <v>28</v>
      </c>
      <c r="B39" s="67">
        <v>28</v>
      </c>
      <c r="J39" s="5">
        <v>36</v>
      </c>
      <c r="K39" s="72">
        <f t="shared" ca="1" si="0"/>
        <v>47241</v>
      </c>
      <c r="L39" s="78">
        <f t="shared" si="1"/>
        <v>30.4</v>
      </c>
    </row>
    <row r="40" spans="1:12" x14ac:dyDescent="0.2">
      <c r="A40" s="1">
        <v>29</v>
      </c>
      <c r="B40" s="67">
        <v>29</v>
      </c>
      <c r="J40" s="5">
        <v>37</v>
      </c>
      <c r="K40" s="72">
        <f t="shared" ca="1" si="0"/>
        <v>47272</v>
      </c>
      <c r="L40" s="78">
        <f t="shared" si="1"/>
        <v>30.4</v>
      </c>
    </row>
    <row r="41" spans="1:12" x14ac:dyDescent="0.2">
      <c r="A41" s="1">
        <v>30</v>
      </c>
      <c r="B41" s="67">
        <v>30</v>
      </c>
      <c r="J41" s="5">
        <v>38</v>
      </c>
      <c r="K41" s="72">
        <f t="shared" ca="1" si="0"/>
        <v>47302</v>
      </c>
      <c r="L41" s="78">
        <f t="shared" si="1"/>
        <v>30.4</v>
      </c>
    </row>
    <row r="42" spans="1:12" x14ac:dyDescent="0.2">
      <c r="A42" s="1">
        <v>31</v>
      </c>
      <c r="B42" s="67" t="s">
        <v>17</v>
      </c>
      <c r="J42" s="5">
        <v>39</v>
      </c>
      <c r="K42" s="72">
        <f t="shared" ca="1" si="0"/>
        <v>47333</v>
      </c>
      <c r="L42" s="78">
        <f t="shared" si="1"/>
        <v>30.4</v>
      </c>
    </row>
    <row r="43" spans="1:12" x14ac:dyDescent="0.2">
      <c r="J43" s="5">
        <v>40</v>
      </c>
      <c r="K43" s="72">
        <f t="shared" ca="1" si="0"/>
        <v>47364</v>
      </c>
      <c r="L43" s="78">
        <f t="shared" si="1"/>
        <v>30.4</v>
      </c>
    </row>
    <row r="44" spans="1:12" x14ac:dyDescent="0.2">
      <c r="J44" s="5">
        <v>41</v>
      </c>
      <c r="K44" s="72">
        <f t="shared" ca="1" si="0"/>
        <v>47394</v>
      </c>
      <c r="L44" s="78">
        <f t="shared" si="1"/>
        <v>30.4</v>
      </c>
    </row>
    <row r="45" spans="1:12" x14ac:dyDescent="0.2">
      <c r="J45" s="5">
        <v>42</v>
      </c>
      <c r="K45" s="72">
        <f t="shared" ca="1" si="0"/>
        <v>47425</v>
      </c>
      <c r="L45" s="78">
        <f t="shared" si="1"/>
        <v>30.4</v>
      </c>
    </row>
    <row r="46" spans="1:12" x14ac:dyDescent="0.2">
      <c r="J46" s="5">
        <v>43</v>
      </c>
      <c r="K46" s="72">
        <f t="shared" ca="1" si="0"/>
        <v>47455</v>
      </c>
      <c r="L46" s="78">
        <f t="shared" si="1"/>
        <v>30.4</v>
      </c>
    </row>
    <row r="47" spans="1:12" x14ac:dyDescent="0.2">
      <c r="J47" s="5">
        <v>44</v>
      </c>
      <c r="K47" s="72">
        <f t="shared" ca="1" si="0"/>
        <v>47486</v>
      </c>
      <c r="L47" s="78">
        <f t="shared" si="1"/>
        <v>30.4</v>
      </c>
    </row>
    <row r="48" spans="1:12" x14ac:dyDescent="0.2">
      <c r="J48" s="5">
        <v>45</v>
      </c>
      <c r="K48" s="72">
        <f t="shared" ca="1" si="0"/>
        <v>47517</v>
      </c>
      <c r="L48" s="78">
        <f t="shared" si="1"/>
        <v>30.4</v>
      </c>
    </row>
    <row r="49" spans="10:12" x14ac:dyDescent="0.2">
      <c r="J49" s="5">
        <v>46</v>
      </c>
      <c r="K49" s="72">
        <f t="shared" ca="1" si="0"/>
        <v>47545</v>
      </c>
      <c r="L49" s="78">
        <f t="shared" si="1"/>
        <v>30.4</v>
      </c>
    </row>
    <row r="50" spans="10:12" x14ac:dyDescent="0.2">
      <c r="J50" s="5">
        <v>47</v>
      </c>
      <c r="K50" s="72">
        <f t="shared" ca="1" si="0"/>
        <v>47576</v>
      </c>
      <c r="L50" s="78">
        <f t="shared" si="1"/>
        <v>30.4</v>
      </c>
    </row>
    <row r="51" spans="10:12" x14ac:dyDescent="0.2">
      <c r="J51" s="5">
        <v>48</v>
      </c>
      <c r="K51" s="72">
        <f t="shared" ca="1" si="0"/>
        <v>47606</v>
      </c>
      <c r="L51" s="78">
        <f t="shared" si="1"/>
        <v>30.4</v>
      </c>
    </row>
    <row r="52" spans="10:12" x14ac:dyDescent="0.2">
      <c r="J52" s="5">
        <v>49</v>
      </c>
      <c r="K52" s="72">
        <f t="shared" ca="1" si="0"/>
        <v>47637</v>
      </c>
      <c r="L52" s="78">
        <f t="shared" si="1"/>
        <v>30.4</v>
      </c>
    </row>
    <row r="53" spans="10:12" x14ac:dyDescent="0.2">
      <c r="J53" s="5">
        <v>50</v>
      </c>
      <c r="K53" s="72">
        <f t="shared" ca="1" si="0"/>
        <v>47667</v>
      </c>
      <c r="L53" s="78">
        <f t="shared" si="1"/>
        <v>30.4</v>
      </c>
    </row>
    <row r="54" spans="10:12" x14ac:dyDescent="0.2">
      <c r="J54" s="5">
        <v>51</v>
      </c>
      <c r="K54" s="72">
        <f t="shared" ca="1" si="0"/>
        <v>47698</v>
      </c>
      <c r="L54" s="78">
        <f t="shared" si="1"/>
        <v>30.4</v>
      </c>
    </row>
    <row r="55" spans="10:12" x14ac:dyDescent="0.2">
      <c r="J55" s="5">
        <v>52</v>
      </c>
      <c r="K55" s="72">
        <f t="shared" ca="1" si="0"/>
        <v>47729</v>
      </c>
      <c r="L55" s="78">
        <f t="shared" si="1"/>
        <v>30.4</v>
      </c>
    </row>
    <row r="56" spans="10:12" x14ac:dyDescent="0.2">
      <c r="J56" s="5">
        <v>53</v>
      </c>
      <c r="K56" s="72">
        <f t="shared" ca="1" si="0"/>
        <v>47759</v>
      </c>
      <c r="L56" s="78">
        <f t="shared" si="1"/>
        <v>30.4</v>
      </c>
    </row>
    <row r="57" spans="10:12" x14ac:dyDescent="0.2">
      <c r="J57" s="5">
        <v>54</v>
      </c>
      <c r="K57" s="72">
        <f t="shared" ca="1" si="0"/>
        <v>47790</v>
      </c>
      <c r="L57" s="78">
        <f t="shared" si="1"/>
        <v>30.4</v>
      </c>
    </row>
    <row r="58" spans="10:12" x14ac:dyDescent="0.2">
      <c r="J58" s="5">
        <v>55</v>
      </c>
      <c r="K58" s="72">
        <f t="shared" ca="1" si="0"/>
        <v>47820</v>
      </c>
      <c r="L58" s="78">
        <f t="shared" si="1"/>
        <v>30.4</v>
      </c>
    </row>
    <row r="59" spans="10:12" x14ac:dyDescent="0.2">
      <c r="J59" s="5">
        <v>56</v>
      </c>
      <c r="K59" s="72">
        <f t="shared" ca="1" si="0"/>
        <v>47851</v>
      </c>
      <c r="L59" s="78">
        <f t="shared" si="1"/>
        <v>30.4</v>
      </c>
    </row>
    <row r="60" spans="10:12" x14ac:dyDescent="0.2">
      <c r="J60" s="5">
        <v>57</v>
      </c>
      <c r="K60" s="72">
        <f t="shared" ca="1" si="0"/>
        <v>47882</v>
      </c>
      <c r="L60" s="78">
        <f t="shared" si="1"/>
        <v>30.4</v>
      </c>
    </row>
    <row r="61" spans="10:12" x14ac:dyDescent="0.2">
      <c r="J61" s="5">
        <v>58</v>
      </c>
      <c r="K61" s="72">
        <f t="shared" ca="1" si="0"/>
        <v>47910</v>
      </c>
      <c r="L61" s="78">
        <f t="shared" si="1"/>
        <v>30.4</v>
      </c>
    </row>
    <row r="62" spans="10:12" x14ac:dyDescent="0.2">
      <c r="J62" s="5">
        <v>59</v>
      </c>
      <c r="K62" s="72">
        <f t="shared" ca="1" si="0"/>
        <v>47941</v>
      </c>
      <c r="L62" s="78">
        <f t="shared" si="1"/>
        <v>30.4</v>
      </c>
    </row>
    <row r="63" spans="10:12" x14ac:dyDescent="0.2">
      <c r="J63" s="5">
        <v>60</v>
      </c>
      <c r="K63" s="72">
        <f t="shared" ca="1" si="0"/>
        <v>47971</v>
      </c>
      <c r="L63" s="78">
        <f t="shared" si="1"/>
        <v>30.4</v>
      </c>
    </row>
    <row r="64" spans="10:12" x14ac:dyDescent="0.2">
      <c r="J64" s="5">
        <v>61</v>
      </c>
      <c r="K64" s="72">
        <f t="shared" ca="1" si="0"/>
        <v>48002</v>
      </c>
      <c r="L64" s="78">
        <f t="shared" si="1"/>
        <v>30.4</v>
      </c>
    </row>
    <row r="65" spans="10:12" x14ac:dyDescent="0.2">
      <c r="J65" s="5">
        <v>62</v>
      </c>
      <c r="K65" s="72">
        <f t="shared" ca="1" si="0"/>
        <v>48032</v>
      </c>
      <c r="L65" s="78">
        <f t="shared" si="1"/>
        <v>30.4</v>
      </c>
    </row>
    <row r="66" spans="10:12" x14ac:dyDescent="0.2">
      <c r="J66" s="5">
        <v>63</v>
      </c>
      <c r="K66" s="72">
        <f t="shared" ca="1" si="0"/>
        <v>48063</v>
      </c>
      <c r="L66" s="78">
        <f t="shared" si="1"/>
        <v>30.4</v>
      </c>
    </row>
    <row r="67" spans="10:12" x14ac:dyDescent="0.2">
      <c r="J67" s="5">
        <v>64</v>
      </c>
      <c r="K67" s="72">
        <f t="shared" ca="1" si="0"/>
        <v>48094</v>
      </c>
      <c r="L67" s="78">
        <f t="shared" si="1"/>
        <v>30.4</v>
      </c>
    </row>
    <row r="68" spans="10:12" x14ac:dyDescent="0.2">
      <c r="J68" s="5">
        <v>65</v>
      </c>
      <c r="K68" s="72">
        <f t="shared" ca="1" si="0"/>
        <v>48124</v>
      </c>
      <c r="L68" s="78">
        <f t="shared" si="1"/>
        <v>30.4</v>
      </c>
    </row>
    <row r="69" spans="10:12" x14ac:dyDescent="0.2">
      <c r="J69" s="5">
        <v>66</v>
      </c>
      <c r="K69" s="72">
        <f t="shared" ref="K69:K132" ca="1" si="2">IF(($J$4:$J$363)&lt;=$H$1,(EOMONTH(K68,0)+$B$6))</f>
        <v>48155</v>
      </c>
      <c r="L69" s="78">
        <f t="shared" si="1"/>
        <v>30.4</v>
      </c>
    </row>
    <row r="70" spans="10:12" x14ac:dyDescent="0.2">
      <c r="J70" s="5">
        <v>67</v>
      </c>
      <c r="K70" s="72">
        <f t="shared" ca="1" si="2"/>
        <v>48185</v>
      </c>
      <c r="L70" s="78">
        <f t="shared" ref="L70:L133" si="3">IF($J$4:$J$363 &lt;= $H$1,$H$2,"")</f>
        <v>30.4</v>
      </c>
    </row>
    <row r="71" spans="10:12" x14ac:dyDescent="0.2">
      <c r="J71" s="5">
        <v>68</v>
      </c>
      <c r="K71" s="72">
        <f t="shared" ca="1" si="2"/>
        <v>48216</v>
      </c>
      <c r="L71" s="78">
        <f t="shared" si="3"/>
        <v>30.4</v>
      </c>
    </row>
    <row r="72" spans="10:12" x14ac:dyDescent="0.2">
      <c r="J72" s="5">
        <v>69</v>
      </c>
      <c r="K72" s="72">
        <f t="shared" ca="1" si="2"/>
        <v>48247</v>
      </c>
      <c r="L72" s="78">
        <f t="shared" si="3"/>
        <v>30.4</v>
      </c>
    </row>
    <row r="73" spans="10:12" x14ac:dyDescent="0.2">
      <c r="J73" s="5">
        <v>70</v>
      </c>
      <c r="K73" s="72">
        <f t="shared" ca="1" si="2"/>
        <v>48276</v>
      </c>
      <c r="L73" s="78">
        <f t="shared" si="3"/>
        <v>30.4</v>
      </c>
    </row>
    <row r="74" spans="10:12" x14ac:dyDescent="0.2">
      <c r="J74" s="5">
        <v>71</v>
      </c>
      <c r="K74" s="72">
        <f t="shared" ca="1" si="2"/>
        <v>48307</v>
      </c>
      <c r="L74" s="78">
        <f t="shared" si="3"/>
        <v>30.4</v>
      </c>
    </row>
    <row r="75" spans="10:12" x14ac:dyDescent="0.2">
      <c r="J75" s="5">
        <v>72</v>
      </c>
      <c r="K75" s="72">
        <f t="shared" ca="1" si="2"/>
        <v>48337</v>
      </c>
      <c r="L75" s="78">
        <f t="shared" si="3"/>
        <v>30.4</v>
      </c>
    </row>
    <row r="76" spans="10:12" x14ac:dyDescent="0.2">
      <c r="J76" s="5">
        <v>73</v>
      </c>
      <c r="K76" s="72">
        <f t="shared" ca="1" si="2"/>
        <v>48368</v>
      </c>
      <c r="L76" s="78">
        <f t="shared" si="3"/>
        <v>30.4</v>
      </c>
    </row>
    <row r="77" spans="10:12" x14ac:dyDescent="0.2">
      <c r="J77" s="5">
        <v>74</v>
      </c>
      <c r="K77" s="72">
        <f t="shared" ca="1" si="2"/>
        <v>48398</v>
      </c>
      <c r="L77" s="78">
        <f t="shared" si="3"/>
        <v>30.4</v>
      </c>
    </row>
    <row r="78" spans="10:12" x14ac:dyDescent="0.2">
      <c r="J78" s="5">
        <v>75</v>
      </c>
      <c r="K78" s="72">
        <f t="shared" ca="1" si="2"/>
        <v>48429</v>
      </c>
      <c r="L78" s="78">
        <f t="shared" si="3"/>
        <v>30.4</v>
      </c>
    </row>
    <row r="79" spans="10:12" x14ac:dyDescent="0.2">
      <c r="J79" s="5">
        <v>76</v>
      </c>
      <c r="K79" s="72">
        <f t="shared" ca="1" si="2"/>
        <v>48460</v>
      </c>
      <c r="L79" s="78">
        <f t="shared" si="3"/>
        <v>30.4</v>
      </c>
    </row>
    <row r="80" spans="10:12" x14ac:dyDescent="0.2">
      <c r="J80" s="5">
        <v>77</v>
      </c>
      <c r="K80" s="72">
        <f t="shared" ca="1" si="2"/>
        <v>48490</v>
      </c>
      <c r="L80" s="78">
        <f t="shared" si="3"/>
        <v>30.4</v>
      </c>
    </row>
    <row r="81" spans="10:12" x14ac:dyDescent="0.2">
      <c r="J81" s="5">
        <v>78</v>
      </c>
      <c r="K81" s="72">
        <f t="shared" ca="1" si="2"/>
        <v>48521</v>
      </c>
      <c r="L81" s="78">
        <f t="shared" si="3"/>
        <v>30.4</v>
      </c>
    </row>
    <row r="82" spans="10:12" x14ac:dyDescent="0.2">
      <c r="J82" s="5">
        <v>79</v>
      </c>
      <c r="K82" s="72">
        <f t="shared" ca="1" si="2"/>
        <v>48551</v>
      </c>
      <c r="L82" s="78">
        <f t="shared" si="3"/>
        <v>30.4</v>
      </c>
    </row>
    <row r="83" spans="10:12" x14ac:dyDescent="0.2">
      <c r="J83" s="5">
        <v>80</v>
      </c>
      <c r="K83" s="72">
        <f t="shared" ca="1" si="2"/>
        <v>48582</v>
      </c>
      <c r="L83" s="78">
        <f t="shared" si="3"/>
        <v>30.4</v>
      </c>
    </row>
    <row r="84" spans="10:12" x14ac:dyDescent="0.2">
      <c r="J84" s="5">
        <v>81</v>
      </c>
      <c r="K84" s="72">
        <f t="shared" ca="1" si="2"/>
        <v>48613</v>
      </c>
      <c r="L84" s="78">
        <f t="shared" si="3"/>
        <v>30.4</v>
      </c>
    </row>
    <row r="85" spans="10:12" x14ac:dyDescent="0.2">
      <c r="J85" s="5">
        <v>82</v>
      </c>
      <c r="K85" s="72">
        <f t="shared" ca="1" si="2"/>
        <v>48641</v>
      </c>
      <c r="L85" s="78">
        <f t="shared" si="3"/>
        <v>30.4</v>
      </c>
    </row>
    <row r="86" spans="10:12" x14ac:dyDescent="0.2">
      <c r="J86" s="5">
        <v>83</v>
      </c>
      <c r="K86" s="72">
        <f t="shared" ca="1" si="2"/>
        <v>48672</v>
      </c>
      <c r="L86" s="78">
        <f t="shared" si="3"/>
        <v>30.4</v>
      </c>
    </row>
    <row r="87" spans="10:12" x14ac:dyDescent="0.2">
      <c r="J87" s="5">
        <v>84</v>
      </c>
      <c r="K87" s="72">
        <f t="shared" ca="1" si="2"/>
        <v>48702</v>
      </c>
      <c r="L87" s="78">
        <f t="shared" si="3"/>
        <v>30.4</v>
      </c>
    </row>
    <row r="88" spans="10:12" x14ac:dyDescent="0.2">
      <c r="J88" s="5">
        <v>85</v>
      </c>
      <c r="K88" s="72">
        <f t="shared" ca="1" si="2"/>
        <v>48733</v>
      </c>
      <c r="L88" s="78">
        <f t="shared" si="3"/>
        <v>30.4</v>
      </c>
    </row>
    <row r="89" spans="10:12" x14ac:dyDescent="0.2">
      <c r="J89" s="5">
        <v>86</v>
      </c>
      <c r="K89" s="72">
        <f t="shared" ca="1" si="2"/>
        <v>48763</v>
      </c>
      <c r="L89" s="78">
        <f t="shared" si="3"/>
        <v>30.4</v>
      </c>
    </row>
    <row r="90" spans="10:12" x14ac:dyDescent="0.2">
      <c r="J90" s="5">
        <v>87</v>
      </c>
      <c r="K90" s="72">
        <f t="shared" ca="1" si="2"/>
        <v>48794</v>
      </c>
      <c r="L90" s="78">
        <f t="shared" si="3"/>
        <v>30.4</v>
      </c>
    </row>
    <row r="91" spans="10:12" x14ac:dyDescent="0.2">
      <c r="J91" s="5">
        <v>88</v>
      </c>
      <c r="K91" s="72">
        <f t="shared" ca="1" si="2"/>
        <v>48825</v>
      </c>
      <c r="L91" s="78">
        <f t="shared" si="3"/>
        <v>30.4</v>
      </c>
    </row>
    <row r="92" spans="10:12" x14ac:dyDescent="0.2">
      <c r="J92" s="5">
        <v>89</v>
      </c>
      <c r="K92" s="72">
        <f t="shared" ca="1" si="2"/>
        <v>48855</v>
      </c>
      <c r="L92" s="78">
        <f t="shared" si="3"/>
        <v>30.4</v>
      </c>
    </row>
    <row r="93" spans="10:12" x14ac:dyDescent="0.2">
      <c r="J93" s="5">
        <v>90</v>
      </c>
      <c r="K93" s="72">
        <f t="shared" ca="1" si="2"/>
        <v>48886</v>
      </c>
      <c r="L93" s="78">
        <f t="shared" si="3"/>
        <v>30.4</v>
      </c>
    </row>
    <row r="94" spans="10:12" x14ac:dyDescent="0.2">
      <c r="J94" s="5">
        <v>91</v>
      </c>
      <c r="K94" s="72">
        <f t="shared" ca="1" si="2"/>
        <v>48916</v>
      </c>
      <c r="L94" s="78">
        <f t="shared" si="3"/>
        <v>30.4</v>
      </c>
    </row>
    <row r="95" spans="10:12" x14ac:dyDescent="0.2">
      <c r="J95" s="5">
        <v>92</v>
      </c>
      <c r="K95" s="72">
        <f t="shared" ca="1" si="2"/>
        <v>48947</v>
      </c>
      <c r="L95" s="78">
        <f t="shared" si="3"/>
        <v>30.4</v>
      </c>
    </row>
    <row r="96" spans="10:12" x14ac:dyDescent="0.2">
      <c r="J96" s="5">
        <v>93</v>
      </c>
      <c r="K96" s="72">
        <f t="shared" ca="1" si="2"/>
        <v>48978</v>
      </c>
      <c r="L96" s="78">
        <f t="shared" si="3"/>
        <v>30.4</v>
      </c>
    </row>
    <row r="97" spans="10:12" x14ac:dyDescent="0.2">
      <c r="J97" s="5">
        <v>94</v>
      </c>
      <c r="K97" s="72">
        <f t="shared" ca="1" si="2"/>
        <v>49006</v>
      </c>
      <c r="L97" s="78">
        <f t="shared" si="3"/>
        <v>30.4</v>
      </c>
    </row>
    <row r="98" spans="10:12" x14ac:dyDescent="0.2">
      <c r="J98" s="5">
        <v>95</v>
      </c>
      <c r="K98" s="72">
        <f t="shared" ca="1" si="2"/>
        <v>49037</v>
      </c>
      <c r="L98" s="78">
        <f t="shared" si="3"/>
        <v>30.4</v>
      </c>
    </row>
    <row r="99" spans="10:12" x14ac:dyDescent="0.2">
      <c r="J99" s="5">
        <v>96</v>
      </c>
      <c r="K99" s="72">
        <f t="shared" ca="1" si="2"/>
        <v>49067</v>
      </c>
      <c r="L99" s="78">
        <f t="shared" si="3"/>
        <v>30.4</v>
      </c>
    </row>
    <row r="100" spans="10:12" x14ac:dyDescent="0.2">
      <c r="J100" s="5">
        <v>97</v>
      </c>
      <c r="K100" s="72">
        <f t="shared" ca="1" si="2"/>
        <v>49098</v>
      </c>
      <c r="L100" s="78">
        <f t="shared" si="3"/>
        <v>30.4</v>
      </c>
    </row>
    <row r="101" spans="10:12" x14ac:dyDescent="0.2">
      <c r="J101" s="5">
        <v>98</v>
      </c>
      <c r="K101" s="72">
        <f t="shared" ca="1" si="2"/>
        <v>49128</v>
      </c>
      <c r="L101" s="78">
        <f t="shared" si="3"/>
        <v>30.4</v>
      </c>
    </row>
    <row r="102" spans="10:12" x14ac:dyDescent="0.2">
      <c r="J102" s="5">
        <v>99</v>
      </c>
      <c r="K102" s="72">
        <f t="shared" ca="1" si="2"/>
        <v>49159</v>
      </c>
      <c r="L102" s="78">
        <f t="shared" si="3"/>
        <v>30.4</v>
      </c>
    </row>
    <row r="103" spans="10:12" x14ac:dyDescent="0.2">
      <c r="J103" s="5">
        <v>100</v>
      </c>
      <c r="K103" s="72">
        <f t="shared" ca="1" si="2"/>
        <v>49190</v>
      </c>
      <c r="L103" s="78">
        <f t="shared" si="3"/>
        <v>30.4</v>
      </c>
    </row>
    <row r="104" spans="10:12" x14ac:dyDescent="0.2">
      <c r="J104" s="5">
        <v>101</v>
      </c>
      <c r="K104" s="72">
        <f t="shared" ca="1" si="2"/>
        <v>49220</v>
      </c>
      <c r="L104" s="78">
        <f t="shared" si="3"/>
        <v>30.4</v>
      </c>
    </row>
    <row r="105" spans="10:12" x14ac:dyDescent="0.2">
      <c r="J105" s="5">
        <v>102</v>
      </c>
      <c r="K105" s="72">
        <f t="shared" ca="1" si="2"/>
        <v>49251</v>
      </c>
      <c r="L105" s="78">
        <f t="shared" si="3"/>
        <v>30.4</v>
      </c>
    </row>
    <row r="106" spans="10:12" x14ac:dyDescent="0.2">
      <c r="J106" s="5">
        <v>103</v>
      </c>
      <c r="K106" s="72">
        <f t="shared" ca="1" si="2"/>
        <v>49281</v>
      </c>
      <c r="L106" s="78">
        <f t="shared" si="3"/>
        <v>30.4</v>
      </c>
    </row>
    <row r="107" spans="10:12" x14ac:dyDescent="0.2">
      <c r="J107" s="5">
        <v>104</v>
      </c>
      <c r="K107" s="72">
        <f t="shared" ca="1" si="2"/>
        <v>49312</v>
      </c>
      <c r="L107" s="78">
        <f t="shared" si="3"/>
        <v>30.4</v>
      </c>
    </row>
    <row r="108" spans="10:12" x14ac:dyDescent="0.2">
      <c r="J108" s="5">
        <v>105</v>
      </c>
      <c r="K108" s="72">
        <f t="shared" ca="1" si="2"/>
        <v>49343</v>
      </c>
      <c r="L108" s="78">
        <f t="shared" si="3"/>
        <v>30.4</v>
      </c>
    </row>
    <row r="109" spans="10:12" x14ac:dyDescent="0.2">
      <c r="J109" s="5">
        <v>106</v>
      </c>
      <c r="K109" s="72">
        <f t="shared" ca="1" si="2"/>
        <v>49371</v>
      </c>
      <c r="L109" s="78">
        <f t="shared" si="3"/>
        <v>30.4</v>
      </c>
    </row>
    <row r="110" spans="10:12" x14ac:dyDescent="0.2">
      <c r="J110" s="5">
        <v>107</v>
      </c>
      <c r="K110" s="72">
        <f t="shared" ca="1" si="2"/>
        <v>49402</v>
      </c>
      <c r="L110" s="78">
        <f t="shared" si="3"/>
        <v>30.4</v>
      </c>
    </row>
    <row r="111" spans="10:12" x14ac:dyDescent="0.2">
      <c r="J111" s="5">
        <v>108</v>
      </c>
      <c r="K111" s="72">
        <f t="shared" ca="1" si="2"/>
        <v>49432</v>
      </c>
      <c r="L111" s="78">
        <f t="shared" si="3"/>
        <v>30.4</v>
      </c>
    </row>
    <row r="112" spans="10:12" x14ac:dyDescent="0.2">
      <c r="J112" s="5">
        <v>109</v>
      </c>
      <c r="K112" s="72">
        <f t="shared" ca="1" si="2"/>
        <v>49463</v>
      </c>
      <c r="L112" s="78">
        <f t="shared" si="3"/>
        <v>30.4</v>
      </c>
    </row>
    <row r="113" spans="10:12" x14ac:dyDescent="0.2">
      <c r="J113" s="5">
        <v>110</v>
      </c>
      <c r="K113" s="72">
        <f t="shared" ca="1" si="2"/>
        <v>49493</v>
      </c>
      <c r="L113" s="78">
        <f t="shared" si="3"/>
        <v>30.4</v>
      </c>
    </row>
    <row r="114" spans="10:12" x14ac:dyDescent="0.2">
      <c r="J114" s="5">
        <v>111</v>
      </c>
      <c r="K114" s="72">
        <f t="shared" ca="1" si="2"/>
        <v>49524</v>
      </c>
      <c r="L114" s="78">
        <f t="shared" si="3"/>
        <v>30.4</v>
      </c>
    </row>
    <row r="115" spans="10:12" x14ac:dyDescent="0.2">
      <c r="J115" s="5">
        <v>112</v>
      </c>
      <c r="K115" s="72">
        <f t="shared" ca="1" si="2"/>
        <v>49555</v>
      </c>
      <c r="L115" s="78">
        <f t="shared" si="3"/>
        <v>30.4</v>
      </c>
    </row>
    <row r="116" spans="10:12" x14ac:dyDescent="0.2">
      <c r="J116" s="5">
        <v>113</v>
      </c>
      <c r="K116" s="72">
        <f t="shared" ca="1" si="2"/>
        <v>49585</v>
      </c>
      <c r="L116" s="78">
        <f t="shared" si="3"/>
        <v>30.4</v>
      </c>
    </row>
    <row r="117" spans="10:12" x14ac:dyDescent="0.2">
      <c r="J117" s="5">
        <v>114</v>
      </c>
      <c r="K117" s="72">
        <f t="shared" ca="1" si="2"/>
        <v>49616</v>
      </c>
      <c r="L117" s="78">
        <f t="shared" si="3"/>
        <v>30.4</v>
      </c>
    </row>
    <row r="118" spans="10:12" x14ac:dyDescent="0.2">
      <c r="J118" s="5">
        <v>115</v>
      </c>
      <c r="K118" s="72">
        <f t="shared" ca="1" si="2"/>
        <v>49646</v>
      </c>
      <c r="L118" s="78">
        <f t="shared" si="3"/>
        <v>30.4</v>
      </c>
    </row>
    <row r="119" spans="10:12" x14ac:dyDescent="0.2">
      <c r="J119" s="5">
        <v>116</v>
      </c>
      <c r="K119" s="72">
        <f t="shared" ca="1" si="2"/>
        <v>49677</v>
      </c>
      <c r="L119" s="78">
        <f t="shared" si="3"/>
        <v>30.4</v>
      </c>
    </row>
    <row r="120" spans="10:12" x14ac:dyDescent="0.2">
      <c r="J120" s="5">
        <v>117</v>
      </c>
      <c r="K120" s="72">
        <f t="shared" ca="1" si="2"/>
        <v>49708</v>
      </c>
      <c r="L120" s="78">
        <f t="shared" si="3"/>
        <v>30.4</v>
      </c>
    </row>
    <row r="121" spans="10:12" x14ac:dyDescent="0.2">
      <c r="J121" s="5">
        <v>118</v>
      </c>
      <c r="K121" s="72">
        <f t="shared" ca="1" si="2"/>
        <v>49737</v>
      </c>
      <c r="L121" s="78">
        <f t="shared" si="3"/>
        <v>30.4</v>
      </c>
    </row>
    <row r="122" spans="10:12" x14ac:dyDescent="0.2">
      <c r="J122" s="5">
        <v>119</v>
      </c>
      <c r="K122" s="72">
        <f t="shared" ca="1" si="2"/>
        <v>49768</v>
      </c>
      <c r="L122" s="78">
        <f t="shared" si="3"/>
        <v>30.4</v>
      </c>
    </row>
    <row r="123" spans="10:12" x14ac:dyDescent="0.2">
      <c r="J123" s="5">
        <v>120</v>
      </c>
      <c r="K123" s="72">
        <f t="shared" ca="1" si="2"/>
        <v>49798</v>
      </c>
      <c r="L123" s="78">
        <f t="shared" si="3"/>
        <v>30.4</v>
      </c>
    </row>
    <row r="124" spans="10:12" x14ac:dyDescent="0.2">
      <c r="J124" s="5">
        <v>121</v>
      </c>
      <c r="K124" s="72">
        <f t="shared" ca="1" si="2"/>
        <v>49829</v>
      </c>
      <c r="L124" s="78">
        <f t="shared" si="3"/>
        <v>30.4</v>
      </c>
    </row>
    <row r="125" spans="10:12" x14ac:dyDescent="0.2">
      <c r="J125" s="5">
        <v>122</v>
      </c>
      <c r="K125" s="72">
        <f t="shared" ca="1" si="2"/>
        <v>49859</v>
      </c>
      <c r="L125" s="78">
        <f t="shared" si="3"/>
        <v>30.4</v>
      </c>
    </row>
    <row r="126" spans="10:12" x14ac:dyDescent="0.2">
      <c r="J126" s="5">
        <v>123</v>
      </c>
      <c r="K126" s="72">
        <f t="shared" ca="1" si="2"/>
        <v>49890</v>
      </c>
      <c r="L126" s="78">
        <f t="shared" si="3"/>
        <v>30.4</v>
      </c>
    </row>
    <row r="127" spans="10:12" x14ac:dyDescent="0.2">
      <c r="J127" s="5">
        <v>124</v>
      </c>
      <c r="K127" s="72">
        <f t="shared" ca="1" si="2"/>
        <v>49921</v>
      </c>
      <c r="L127" s="78">
        <f t="shared" si="3"/>
        <v>30.4</v>
      </c>
    </row>
    <row r="128" spans="10:12" x14ac:dyDescent="0.2">
      <c r="J128" s="5">
        <v>125</v>
      </c>
      <c r="K128" s="72">
        <f t="shared" ca="1" si="2"/>
        <v>49951</v>
      </c>
      <c r="L128" s="78">
        <f t="shared" si="3"/>
        <v>30.4</v>
      </c>
    </row>
    <row r="129" spans="10:12" x14ac:dyDescent="0.2">
      <c r="J129" s="5">
        <v>126</v>
      </c>
      <c r="K129" s="72">
        <f t="shared" ca="1" si="2"/>
        <v>49982</v>
      </c>
      <c r="L129" s="78">
        <f t="shared" si="3"/>
        <v>30.4</v>
      </c>
    </row>
    <row r="130" spans="10:12" x14ac:dyDescent="0.2">
      <c r="J130" s="5">
        <v>127</v>
      </c>
      <c r="K130" s="72">
        <f t="shared" ca="1" si="2"/>
        <v>50012</v>
      </c>
      <c r="L130" s="78">
        <f t="shared" si="3"/>
        <v>30.4</v>
      </c>
    </row>
    <row r="131" spans="10:12" x14ac:dyDescent="0.2">
      <c r="J131" s="5">
        <v>128</v>
      </c>
      <c r="K131" s="72">
        <f t="shared" ca="1" si="2"/>
        <v>50043</v>
      </c>
      <c r="L131" s="78">
        <f t="shared" si="3"/>
        <v>30.4</v>
      </c>
    </row>
    <row r="132" spans="10:12" x14ac:dyDescent="0.2">
      <c r="J132" s="5">
        <v>129</v>
      </c>
      <c r="K132" s="72">
        <f t="shared" ca="1" si="2"/>
        <v>50074</v>
      </c>
      <c r="L132" s="78">
        <f t="shared" si="3"/>
        <v>30.4</v>
      </c>
    </row>
    <row r="133" spans="10:12" x14ac:dyDescent="0.2">
      <c r="J133" s="5">
        <v>130</v>
      </c>
      <c r="K133" s="72">
        <f t="shared" ref="K133:K196" ca="1" si="4">IF(($J$4:$J$363)&lt;=$H$1,(EOMONTH(K132,0)+$B$6))</f>
        <v>50102</v>
      </c>
      <c r="L133" s="78">
        <f t="shared" si="3"/>
        <v>30.4</v>
      </c>
    </row>
    <row r="134" spans="10:12" x14ac:dyDescent="0.2">
      <c r="J134" s="5">
        <v>131</v>
      </c>
      <c r="K134" s="72">
        <f t="shared" ca="1" si="4"/>
        <v>50133</v>
      </c>
      <c r="L134" s="78">
        <f t="shared" ref="L134:L197" si="5">IF($J$4:$J$363 &lt;= $H$1,$H$2,"")</f>
        <v>30.4</v>
      </c>
    </row>
    <row r="135" spans="10:12" x14ac:dyDescent="0.2">
      <c r="J135" s="5">
        <v>132</v>
      </c>
      <c r="K135" s="72">
        <f t="shared" ca="1" si="4"/>
        <v>50163</v>
      </c>
      <c r="L135" s="78">
        <f t="shared" si="5"/>
        <v>30.4</v>
      </c>
    </row>
    <row r="136" spans="10:12" x14ac:dyDescent="0.2">
      <c r="J136" s="5">
        <v>133</v>
      </c>
      <c r="K136" s="72">
        <f t="shared" ca="1" si="4"/>
        <v>50194</v>
      </c>
      <c r="L136" s="78">
        <f t="shared" si="5"/>
        <v>30.4</v>
      </c>
    </row>
    <row r="137" spans="10:12" x14ac:dyDescent="0.2">
      <c r="J137" s="5">
        <v>134</v>
      </c>
      <c r="K137" s="72">
        <f t="shared" ca="1" si="4"/>
        <v>50224</v>
      </c>
      <c r="L137" s="78">
        <f t="shared" si="5"/>
        <v>30.4</v>
      </c>
    </row>
    <row r="138" spans="10:12" x14ac:dyDescent="0.2">
      <c r="J138" s="5">
        <v>135</v>
      </c>
      <c r="K138" s="72">
        <f t="shared" ca="1" si="4"/>
        <v>50255</v>
      </c>
      <c r="L138" s="78">
        <f t="shared" si="5"/>
        <v>30.4</v>
      </c>
    </row>
    <row r="139" spans="10:12" x14ac:dyDescent="0.2">
      <c r="J139" s="5">
        <v>136</v>
      </c>
      <c r="K139" s="72">
        <f t="shared" ca="1" si="4"/>
        <v>50286</v>
      </c>
      <c r="L139" s="78">
        <f t="shared" si="5"/>
        <v>30.4</v>
      </c>
    </row>
    <row r="140" spans="10:12" x14ac:dyDescent="0.2">
      <c r="J140" s="5">
        <v>137</v>
      </c>
      <c r="K140" s="72">
        <f t="shared" ca="1" si="4"/>
        <v>50316</v>
      </c>
      <c r="L140" s="78">
        <f t="shared" si="5"/>
        <v>30.4</v>
      </c>
    </row>
    <row r="141" spans="10:12" x14ac:dyDescent="0.2">
      <c r="J141" s="5">
        <v>138</v>
      </c>
      <c r="K141" s="72">
        <f t="shared" ca="1" si="4"/>
        <v>50347</v>
      </c>
      <c r="L141" s="78">
        <f t="shared" si="5"/>
        <v>30.4</v>
      </c>
    </row>
    <row r="142" spans="10:12" x14ac:dyDescent="0.2">
      <c r="J142" s="5">
        <v>139</v>
      </c>
      <c r="K142" s="72">
        <f t="shared" ca="1" si="4"/>
        <v>50377</v>
      </c>
      <c r="L142" s="78">
        <f t="shared" si="5"/>
        <v>30.4</v>
      </c>
    </row>
    <row r="143" spans="10:12" x14ac:dyDescent="0.2">
      <c r="J143" s="5">
        <v>140</v>
      </c>
      <c r="K143" s="72">
        <f t="shared" ca="1" si="4"/>
        <v>50408</v>
      </c>
      <c r="L143" s="78">
        <f t="shared" si="5"/>
        <v>30.4</v>
      </c>
    </row>
    <row r="144" spans="10:12" x14ac:dyDescent="0.2">
      <c r="J144" s="5">
        <v>141</v>
      </c>
      <c r="K144" s="72">
        <f t="shared" ca="1" si="4"/>
        <v>50439</v>
      </c>
      <c r="L144" s="78">
        <f t="shared" si="5"/>
        <v>30.4</v>
      </c>
    </row>
    <row r="145" spans="10:12" x14ac:dyDescent="0.2">
      <c r="J145" s="5">
        <v>142</v>
      </c>
      <c r="K145" s="72">
        <f t="shared" ca="1" si="4"/>
        <v>50467</v>
      </c>
      <c r="L145" s="78">
        <f t="shared" si="5"/>
        <v>30.4</v>
      </c>
    </row>
    <row r="146" spans="10:12" x14ac:dyDescent="0.2">
      <c r="J146" s="5">
        <v>143</v>
      </c>
      <c r="K146" s="72">
        <f t="shared" ca="1" si="4"/>
        <v>50498</v>
      </c>
      <c r="L146" s="78">
        <f t="shared" si="5"/>
        <v>30.4</v>
      </c>
    </row>
    <row r="147" spans="10:12" x14ac:dyDescent="0.2">
      <c r="J147" s="5">
        <v>144</v>
      </c>
      <c r="K147" s="72">
        <f t="shared" ca="1" si="4"/>
        <v>50528</v>
      </c>
      <c r="L147" s="78">
        <f t="shared" si="5"/>
        <v>30.4</v>
      </c>
    </row>
    <row r="148" spans="10:12" x14ac:dyDescent="0.2">
      <c r="J148" s="5">
        <v>145</v>
      </c>
      <c r="K148" s="72">
        <f t="shared" ca="1" si="4"/>
        <v>50559</v>
      </c>
      <c r="L148" s="78">
        <f t="shared" si="5"/>
        <v>30.4</v>
      </c>
    </row>
    <row r="149" spans="10:12" x14ac:dyDescent="0.2">
      <c r="J149" s="5">
        <v>146</v>
      </c>
      <c r="K149" s="72">
        <f t="shared" ca="1" si="4"/>
        <v>50589</v>
      </c>
      <c r="L149" s="78">
        <f t="shared" si="5"/>
        <v>30.4</v>
      </c>
    </row>
    <row r="150" spans="10:12" x14ac:dyDescent="0.2">
      <c r="J150" s="5">
        <v>147</v>
      </c>
      <c r="K150" s="72">
        <f t="shared" ca="1" si="4"/>
        <v>50620</v>
      </c>
      <c r="L150" s="78">
        <f t="shared" si="5"/>
        <v>30.4</v>
      </c>
    </row>
    <row r="151" spans="10:12" x14ac:dyDescent="0.2">
      <c r="J151" s="5">
        <v>148</v>
      </c>
      <c r="K151" s="72">
        <f t="shared" ca="1" si="4"/>
        <v>50651</v>
      </c>
      <c r="L151" s="78">
        <f t="shared" si="5"/>
        <v>30.4</v>
      </c>
    </row>
    <row r="152" spans="10:12" x14ac:dyDescent="0.2">
      <c r="J152" s="5">
        <v>149</v>
      </c>
      <c r="K152" s="72">
        <f t="shared" ca="1" si="4"/>
        <v>50681</v>
      </c>
      <c r="L152" s="78">
        <f t="shared" si="5"/>
        <v>30.4</v>
      </c>
    </row>
    <row r="153" spans="10:12" x14ac:dyDescent="0.2">
      <c r="J153" s="5">
        <v>150</v>
      </c>
      <c r="K153" s="72">
        <f t="shared" ca="1" si="4"/>
        <v>50712</v>
      </c>
      <c r="L153" s="78">
        <f t="shared" si="5"/>
        <v>30.4</v>
      </c>
    </row>
    <row r="154" spans="10:12" x14ac:dyDescent="0.2">
      <c r="J154" s="5">
        <v>151</v>
      </c>
      <c r="K154" s="72">
        <f t="shared" ca="1" si="4"/>
        <v>50742</v>
      </c>
      <c r="L154" s="78">
        <f t="shared" si="5"/>
        <v>30.4</v>
      </c>
    </row>
    <row r="155" spans="10:12" x14ac:dyDescent="0.2">
      <c r="J155" s="5">
        <v>152</v>
      </c>
      <c r="K155" s="72">
        <f t="shared" ca="1" si="4"/>
        <v>50773</v>
      </c>
      <c r="L155" s="78">
        <f t="shared" si="5"/>
        <v>30.4</v>
      </c>
    </row>
    <row r="156" spans="10:12" x14ac:dyDescent="0.2">
      <c r="J156" s="5">
        <v>153</v>
      </c>
      <c r="K156" s="72">
        <f t="shared" ca="1" si="4"/>
        <v>50804</v>
      </c>
      <c r="L156" s="78">
        <f t="shared" si="5"/>
        <v>30.4</v>
      </c>
    </row>
    <row r="157" spans="10:12" x14ac:dyDescent="0.2">
      <c r="J157" s="5">
        <v>154</v>
      </c>
      <c r="K157" s="72">
        <f t="shared" ca="1" si="4"/>
        <v>50832</v>
      </c>
      <c r="L157" s="78">
        <f t="shared" si="5"/>
        <v>30.4</v>
      </c>
    </row>
    <row r="158" spans="10:12" x14ac:dyDescent="0.2">
      <c r="J158" s="5">
        <v>155</v>
      </c>
      <c r="K158" s="72">
        <f t="shared" ca="1" si="4"/>
        <v>50863</v>
      </c>
      <c r="L158" s="78">
        <f t="shared" si="5"/>
        <v>30.4</v>
      </c>
    </row>
    <row r="159" spans="10:12" x14ac:dyDescent="0.2">
      <c r="J159" s="5">
        <v>156</v>
      </c>
      <c r="K159" s="72">
        <f t="shared" ca="1" si="4"/>
        <v>50893</v>
      </c>
      <c r="L159" s="78">
        <f t="shared" si="5"/>
        <v>30.4</v>
      </c>
    </row>
    <row r="160" spans="10:12" x14ac:dyDescent="0.2">
      <c r="J160" s="5">
        <v>157</v>
      </c>
      <c r="K160" s="72">
        <f t="shared" ca="1" si="4"/>
        <v>50924</v>
      </c>
      <c r="L160" s="78">
        <f t="shared" si="5"/>
        <v>30.4</v>
      </c>
    </row>
    <row r="161" spans="10:12" x14ac:dyDescent="0.2">
      <c r="J161" s="5">
        <v>158</v>
      </c>
      <c r="K161" s="72">
        <f t="shared" ca="1" si="4"/>
        <v>50954</v>
      </c>
      <c r="L161" s="78">
        <f t="shared" si="5"/>
        <v>30.4</v>
      </c>
    </row>
    <row r="162" spans="10:12" x14ac:dyDescent="0.2">
      <c r="J162" s="5">
        <v>159</v>
      </c>
      <c r="K162" s="72">
        <f t="shared" ca="1" si="4"/>
        <v>50985</v>
      </c>
      <c r="L162" s="78">
        <f t="shared" si="5"/>
        <v>30.4</v>
      </c>
    </row>
    <row r="163" spans="10:12" x14ac:dyDescent="0.2">
      <c r="J163" s="5">
        <v>160</v>
      </c>
      <c r="K163" s="72">
        <f t="shared" ca="1" si="4"/>
        <v>51016</v>
      </c>
      <c r="L163" s="78">
        <f t="shared" si="5"/>
        <v>30.4</v>
      </c>
    </row>
    <row r="164" spans="10:12" x14ac:dyDescent="0.2">
      <c r="J164" s="5">
        <v>161</v>
      </c>
      <c r="K164" s="72">
        <f t="shared" ca="1" si="4"/>
        <v>51046</v>
      </c>
      <c r="L164" s="78">
        <f t="shared" si="5"/>
        <v>30.4</v>
      </c>
    </row>
    <row r="165" spans="10:12" x14ac:dyDescent="0.2">
      <c r="J165" s="5">
        <v>162</v>
      </c>
      <c r="K165" s="72">
        <f t="shared" ca="1" si="4"/>
        <v>51077</v>
      </c>
      <c r="L165" s="78">
        <f t="shared" si="5"/>
        <v>30.4</v>
      </c>
    </row>
    <row r="166" spans="10:12" x14ac:dyDescent="0.2">
      <c r="J166" s="5">
        <v>163</v>
      </c>
      <c r="K166" s="72">
        <f t="shared" ca="1" si="4"/>
        <v>51107</v>
      </c>
      <c r="L166" s="78">
        <f t="shared" si="5"/>
        <v>30.4</v>
      </c>
    </row>
    <row r="167" spans="10:12" x14ac:dyDescent="0.2">
      <c r="J167" s="5">
        <v>164</v>
      </c>
      <c r="K167" s="72">
        <f t="shared" ca="1" si="4"/>
        <v>51138</v>
      </c>
      <c r="L167" s="78">
        <f t="shared" si="5"/>
        <v>30.4</v>
      </c>
    </row>
    <row r="168" spans="10:12" x14ac:dyDescent="0.2">
      <c r="J168" s="5">
        <v>165</v>
      </c>
      <c r="K168" s="72">
        <f t="shared" ca="1" si="4"/>
        <v>51169</v>
      </c>
      <c r="L168" s="78">
        <f t="shared" si="5"/>
        <v>30.4</v>
      </c>
    </row>
    <row r="169" spans="10:12" x14ac:dyDescent="0.2">
      <c r="J169" s="5">
        <v>166</v>
      </c>
      <c r="K169" s="72">
        <f t="shared" ca="1" si="4"/>
        <v>51198</v>
      </c>
      <c r="L169" s="78">
        <f t="shared" si="5"/>
        <v>30.4</v>
      </c>
    </row>
    <row r="170" spans="10:12" x14ac:dyDescent="0.2">
      <c r="J170" s="5">
        <v>167</v>
      </c>
      <c r="K170" s="72">
        <f t="shared" ca="1" si="4"/>
        <v>51229</v>
      </c>
      <c r="L170" s="78">
        <f t="shared" si="5"/>
        <v>30.4</v>
      </c>
    </row>
    <row r="171" spans="10:12" x14ac:dyDescent="0.2">
      <c r="J171" s="5">
        <v>168</v>
      </c>
      <c r="K171" s="72">
        <f t="shared" ca="1" si="4"/>
        <v>51259</v>
      </c>
      <c r="L171" s="78">
        <f t="shared" si="5"/>
        <v>30.4</v>
      </c>
    </row>
    <row r="172" spans="10:12" x14ac:dyDescent="0.2">
      <c r="J172" s="5">
        <v>169</v>
      </c>
      <c r="K172" s="72">
        <f t="shared" ca="1" si="4"/>
        <v>51290</v>
      </c>
      <c r="L172" s="78">
        <f t="shared" si="5"/>
        <v>30.4</v>
      </c>
    </row>
    <row r="173" spans="10:12" x14ac:dyDescent="0.2">
      <c r="J173" s="5">
        <v>170</v>
      </c>
      <c r="K173" s="72">
        <f t="shared" ca="1" si="4"/>
        <v>51320</v>
      </c>
      <c r="L173" s="78">
        <f t="shared" si="5"/>
        <v>30.4</v>
      </c>
    </row>
    <row r="174" spans="10:12" x14ac:dyDescent="0.2">
      <c r="J174" s="5">
        <v>171</v>
      </c>
      <c r="K174" s="72">
        <f t="shared" ca="1" si="4"/>
        <v>51351</v>
      </c>
      <c r="L174" s="78">
        <f t="shared" si="5"/>
        <v>30.4</v>
      </c>
    </row>
    <row r="175" spans="10:12" x14ac:dyDescent="0.2">
      <c r="J175" s="5">
        <v>172</v>
      </c>
      <c r="K175" s="72">
        <f t="shared" ca="1" si="4"/>
        <v>51382</v>
      </c>
      <c r="L175" s="78">
        <f t="shared" si="5"/>
        <v>30.4</v>
      </c>
    </row>
    <row r="176" spans="10:12" x14ac:dyDescent="0.2">
      <c r="J176" s="5">
        <v>173</v>
      </c>
      <c r="K176" s="72">
        <f t="shared" ca="1" si="4"/>
        <v>51412</v>
      </c>
      <c r="L176" s="78">
        <f t="shared" si="5"/>
        <v>30.4</v>
      </c>
    </row>
    <row r="177" spans="10:12" x14ac:dyDescent="0.2">
      <c r="J177" s="5">
        <v>174</v>
      </c>
      <c r="K177" s="72">
        <f t="shared" ca="1" si="4"/>
        <v>51443</v>
      </c>
      <c r="L177" s="78">
        <f t="shared" si="5"/>
        <v>30.4</v>
      </c>
    </row>
    <row r="178" spans="10:12" x14ac:dyDescent="0.2">
      <c r="J178" s="5">
        <v>175</v>
      </c>
      <c r="K178" s="72">
        <f t="shared" ca="1" si="4"/>
        <v>51473</v>
      </c>
      <c r="L178" s="78">
        <f t="shared" si="5"/>
        <v>30.4</v>
      </c>
    </row>
    <row r="179" spans="10:12" x14ac:dyDescent="0.2">
      <c r="J179" s="5">
        <v>176</v>
      </c>
      <c r="K179" s="72">
        <f t="shared" ca="1" si="4"/>
        <v>51504</v>
      </c>
      <c r="L179" s="78">
        <f t="shared" si="5"/>
        <v>30.4</v>
      </c>
    </row>
    <row r="180" spans="10:12" x14ac:dyDescent="0.2">
      <c r="J180" s="5">
        <v>177</v>
      </c>
      <c r="K180" s="72">
        <f t="shared" ca="1" si="4"/>
        <v>51535</v>
      </c>
      <c r="L180" s="78">
        <f t="shared" si="5"/>
        <v>30.4</v>
      </c>
    </row>
    <row r="181" spans="10:12" x14ac:dyDescent="0.2">
      <c r="J181" s="5">
        <v>178</v>
      </c>
      <c r="K181" s="72">
        <f t="shared" ca="1" si="4"/>
        <v>51563</v>
      </c>
      <c r="L181" s="78">
        <f t="shared" si="5"/>
        <v>30.4</v>
      </c>
    </row>
    <row r="182" spans="10:12" x14ac:dyDescent="0.2">
      <c r="J182" s="5">
        <v>179</v>
      </c>
      <c r="K182" s="72">
        <f t="shared" ca="1" si="4"/>
        <v>51594</v>
      </c>
      <c r="L182" s="78">
        <f t="shared" si="5"/>
        <v>30.4</v>
      </c>
    </row>
    <row r="183" spans="10:12" x14ac:dyDescent="0.2">
      <c r="J183" s="5">
        <v>180</v>
      </c>
      <c r="K183" s="72">
        <f t="shared" ca="1" si="4"/>
        <v>51624</v>
      </c>
      <c r="L183" s="78">
        <f t="shared" si="5"/>
        <v>30.4</v>
      </c>
    </row>
    <row r="184" spans="10:12" x14ac:dyDescent="0.2">
      <c r="J184" s="5">
        <v>181</v>
      </c>
      <c r="K184" s="72">
        <f t="shared" ca="1" si="4"/>
        <v>51655</v>
      </c>
      <c r="L184" s="78">
        <f t="shared" si="5"/>
        <v>30.4</v>
      </c>
    </row>
    <row r="185" spans="10:12" x14ac:dyDescent="0.2">
      <c r="J185" s="5">
        <v>182</v>
      </c>
      <c r="K185" s="72">
        <f t="shared" ca="1" si="4"/>
        <v>51685</v>
      </c>
      <c r="L185" s="78">
        <f t="shared" si="5"/>
        <v>30.4</v>
      </c>
    </row>
    <row r="186" spans="10:12" x14ac:dyDescent="0.2">
      <c r="J186" s="5">
        <v>183</v>
      </c>
      <c r="K186" s="72">
        <f t="shared" ca="1" si="4"/>
        <v>51716</v>
      </c>
      <c r="L186" s="78">
        <f t="shared" si="5"/>
        <v>30.4</v>
      </c>
    </row>
    <row r="187" spans="10:12" x14ac:dyDescent="0.2">
      <c r="J187" s="5">
        <v>184</v>
      </c>
      <c r="K187" s="72">
        <f t="shared" ca="1" si="4"/>
        <v>51747</v>
      </c>
      <c r="L187" s="78">
        <f t="shared" si="5"/>
        <v>30.4</v>
      </c>
    </row>
    <row r="188" spans="10:12" x14ac:dyDescent="0.2">
      <c r="J188" s="5">
        <v>185</v>
      </c>
      <c r="K188" s="72">
        <f t="shared" ca="1" si="4"/>
        <v>51777</v>
      </c>
      <c r="L188" s="78">
        <f t="shared" si="5"/>
        <v>30.4</v>
      </c>
    </row>
    <row r="189" spans="10:12" x14ac:dyDescent="0.2">
      <c r="J189" s="5">
        <v>186</v>
      </c>
      <c r="K189" s="72">
        <f t="shared" ca="1" si="4"/>
        <v>51808</v>
      </c>
      <c r="L189" s="78">
        <f t="shared" si="5"/>
        <v>30.4</v>
      </c>
    </row>
    <row r="190" spans="10:12" x14ac:dyDescent="0.2">
      <c r="J190" s="5">
        <v>187</v>
      </c>
      <c r="K190" s="72">
        <f t="shared" ca="1" si="4"/>
        <v>51838</v>
      </c>
      <c r="L190" s="78">
        <f t="shared" si="5"/>
        <v>30.4</v>
      </c>
    </row>
    <row r="191" spans="10:12" x14ac:dyDescent="0.2">
      <c r="J191" s="5">
        <v>188</v>
      </c>
      <c r="K191" s="72">
        <f t="shared" ca="1" si="4"/>
        <v>51869</v>
      </c>
      <c r="L191" s="78">
        <f t="shared" si="5"/>
        <v>30.4</v>
      </c>
    </row>
    <row r="192" spans="10:12" x14ac:dyDescent="0.2">
      <c r="J192" s="5">
        <v>189</v>
      </c>
      <c r="K192" s="72">
        <f t="shared" ca="1" si="4"/>
        <v>51900</v>
      </c>
      <c r="L192" s="78">
        <f t="shared" si="5"/>
        <v>30.4</v>
      </c>
    </row>
    <row r="193" spans="10:12" x14ac:dyDescent="0.2">
      <c r="J193" s="5">
        <v>190</v>
      </c>
      <c r="K193" s="72">
        <f t="shared" ca="1" si="4"/>
        <v>51928</v>
      </c>
      <c r="L193" s="78">
        <f t="shared" si="5"/>
        <v>30.4</v>
      </c>
    </row>
    <row r="194" spans="10:12" x14ac:dyDescent="0.2">
      <c r="J194" s="5">
        <v>191</v>
      </c>
      <c r="K194" s="72">
        <f t="shared" ca="1" si="4"/>
        <v>51959</v>
      </c>
      <c r="L194" s="78">
        <f t="shared" si="5"/>
        <v>30.4</v>
      </c>
    </row>
    <row r="195" spans="10:12" x14ac:dyDescent="0.2">
      <c r="J195" s="5">
        <v>192</v>
      </c>
      <c r="K195" s="72">
        <f t="shared" ca="1" si="4"/>
        <v>51989</v>
      </c>
      <c r="L195" s="78">
        <f t="shared" si="5"/>
        <v>30.4</v>
      </c>
    </row>
    <row r="196" spans="10:12" x14ac:dyDescent="0.2">
      <c r="J196" s="5">
        <v>193</v>
      </c>
      <c r="K196" s="72">
        <f t="shared" ca="1" si="4"/>
        <v>52020</v>
      </c>
      <c r="L196" s="78">
        <f t="shared" si="5"/>
        <v>30.4</v>
      </c>
    </row>
    <row r="197" spans="10:12" x14ac:dyDescent="0.2">
      <c r="J197" s="5">
        <v>194</v>
      </c>
      <c r="K197" s="72">
        <f t="shared" ref="K197:K260" ca="1" si="6">IF(($J$4:$J$363)&lt;=$H$1,(EOMONTH(K196,0)+$B$6))</f>
        <v>52050</v>
      </c>
      <c r="L197" s="78">
        <f t="shared" si="5"/>
        <v>30.4</v>
      </c>
    </row>
    <row r="198" spans="10:12" x14ac:dyDescent="0.2">
      <c r="J198" s="5">
        <v>195</v>
      </c>
      <c r="K198" s="72">
        <f t="shared" ca="1" si="6"/>
        <v>52081</v>
      </c>
      <c r="L198" s="78">
        <f t="shared" ref="L198:L261" si="7">IF($J$4:$J$363 &lt;= $H$1,$H$2,"")</f>
        <v>30.4</v>
      </c>
    </row>
    <row r="199" spans="10:12" x14ac:dyDescent="0.2">
      <c r="J199" s="5">
        <v>196</v>
      </c>
      <c r="K199" s="72">
        <f t="shared" ca="1" si="6"/>
        <v>52112</v>
      </c>
      <c r="L199" s="78">
        <f t="shared" si="7"/>
        <v>30.4</v>
      </c>
    </row>
    <row r="200" spans="10:12" x14ac:dyDescent="0.2">
      <c r="J200" s="5">
        <v>197</v>
      </c>
      <c r="K200" s="72">
        <f t="shared" ca="1" si="6"/>
        <v>52142</v>
      </c>
      <c r="L200" s="78">
        <f t="shared" si="7"/>
        <v>30.4</v>
      </c>
    </row>
    <row r="201" spans="10:12" x14ac:dyDescent="0.2">
      <c r="J201" s="5">
        <v>198</v>
      </c>
      <c r="K201" s="72">
        <f t="shared" ca="1" si="6"/>
        <v>52173</v>
      </c>
      <c r="L201" s="78">
        <f t="shared" si="7"/>
        <v>30.4</v>
      </c>
    </row>
    <row r="202" spans="10:12" x14ac:dyDescent="0.2">
      <c r="J202" s="5">
        <v>199</v>
      </c>
      <c r="K202" s="72">
        <f t="shared" ca="1" si="6"/>
        <v>52203</v>
      </c>
      <c r="L202" s="78">
        <f t="shared" si="7"/>
        <v>30.4</v>
      </c>
    </row>
    <row r="203" spans="10:12" x14ac:dyDescent="0.2">
      <c r="J203" s="5">
        <v>200</v>
      </c>
      <c r="K203" s="72">
        <f t="shared" ca="1" si="6"/>
        <v>52234</v>
      </c>
      <c r="L203" s="78">
        <f t="shared" si="7"/>
        <v>30.4</v>
      </c>
    </row>
    <row r="204" spans="10:12" x14ac:dyDescent="0.2">
      <c r="J204" s="5">
        <v>201</v>
      </c>
      <c r="K204" s="72">
        <f t="shared" ca="1" si="6"/>
        <v>52265</v>
      </c>
      <c r="L204" s="78">
        <f t="shared" si="7"/>
        <v>30.4</v>
      </c>
    </row>
    <row r="205" spans="10:12" x14ac:dyDescent="0.2">
      <c r="J205" s="5">
        <v>202</v>
      </c>
      <c r="K205" s="72">
        <f t="shared" ca="1" si="6"/>
        <v>52293</v>
      </c>
      <c r="L205" s="78">
        <f t="shared" si="7"/>
        <v>30.4</v>
      </c>
    </row>
    <row r="206" spans="10:12" x14ac:dyDescent="0.2">
      <c r="J206" s="5">
        <v>203</v>
      </c>
      <c r="K206" s="72">
        <f t="shared" ca="1" si="6"/>
        <v>52324</v>
      </c>
      <c r="L206" s="78">
        <f t="shared" si="7"/>
        <v>30.4</v>
      </c>
    </row>
    <row r="207" spans="10:12" x14ac:dyDescent="0.2">
      <c r="J207" s="5">
        <v>204</v>
      </c>
      <c r="K207" s="72">
        <f t="shared" ca="1" si="6"/>
        <v>52354</v>
      </c>
      <c r="L207" s="78">
        <f t="shared" si="7"/>
        <v>30.4</v>
      </c>
    </row>
    <row r="208" spans="10:12" x14ac:dyDescent="0.2">
      <c r="J208" s="5">
        <v>205</v>
      </c>
      <c r="K208" s="72">
        <f t="shared" ca="1" si="6"/>
        <v>52385</v>
      </c>
      <c r="L208" s="78">
        <f t="shared" si="7"/>
        <v>30.4</v>
      </c>
    </row>
    <row r="209" spans="10:12" x14ac:dyDescent="0.2">
      <c r="J209" s="5">
        <v>206</v>
      </c>
      <c r="K209" s="72">
        <f t="shared" ca="1" si="6"/>
        <v>52415</v>
      </c>
      <c r="L209" s="78">
        <f t="shared" si="7"/>
        <v>30.4</v>
      </c>
    </row>
    <row r="210" spans="10:12" x14ac:dyDescent="0.2">
      <c r="J210" s="5">
        <v>207</v>
      </c>
      <c r="K210" s="72">
        <f t="shared" ca="1" si="6"/>
        <v>52446</v>
      </c>
      <c r="L210" s="78">
        <f t="shared" si="7"/>
        <v>30.4</v>
      </c>
    </row>
    <row r="211" spans="10:12" x14ac:dyDescent="0.2">
      <c r="J211" s="5">
        <v>208</v>
      </c>
      <c r="K211" s="72">
        <f t="shared" ca="1" si="6"/>
        <v>52477</v>
      </c>
      <c r="L211" s="78">
        <f t="shared" si="7"/>
        <v>30.4</v>
      </c>
    </row>
    <row r="212" spans="10:12" x14ac:dyDescent="0.2">
      <c r="J212" s="5">
        <v>209</v>
      </c>
      <c r="K212" s="72">
        <f t="shared" ca="1" si="6"/>
        <v>52507</v>
      </c>
      <c r="L212" s="78">
        <f t="shared" si="7"/>
        <v>30.4</v>
      </c>
    </row>
    <row r="213" spans="10:12" x14ac:dyDescent="0.2">
      <c r="J213" s="5">
        <v>210</v>
      </c>
      <c r="K213" s="72">
        <f t="shared" ca="1" si="6"/>
        <v>52538</v>
      </c>
      <c r="L213" s="78">
        <f t="shared" si="7"/>
        <v>30.4</v>
      </c>
    </row>
    <row r="214" spans="10:12" x14ac:dyDescent="0.2">
      <c r="J214" s="5">
        <v>211</v>
      </c>
      <c r="K214" s="72">
        <f t="shared" ca="1" si="6"/>
        <v>52568</v>
      </c>
      <c r="L214" s="78">
        <f t="shared" si="7"/>
        <v>30.4</v>
      </c>
    </row>
    <row r="215" spans="10:12" x14ac:dyDescent="0.2">
      <c r="J215" s="5">
        <v>212</v>
      </c>
      <c r="K215" s="72">
        <f t="shared" ca="1" si="6"/>
        <v>52599</v>
      </c>
      <c r="L215" s="78">
        <f t="shared" si="7"/>
        <v>30.4</v>
      </c>
    </row>
    <row r="216" spans="10:12" x14ac:dyDescent="0.2">
      <c r="J216" s="5">
        <v>213</v>
      </c>
      <c r="K216" s="72">
        <f t="shared" ca="1" si="6"/>
        <v>52630</v>
      </c>
      <c r="L216" s="78">
        <f t="shared" si="7"/>
        <v>30.4</v>
      </c>
    </row>
    <row r="217" spans="10:12" x14ac:dyDescent="0.2">
      <c r="J217" s="5">
        <v>214</v>
      </c>
      <c r="K217" s="72">
        <f t="shared" ca="1" si="6"/>
        <v>52659</v>
      </c>
      <c r="L217" s="78">
        <f t="shared" si="7"/>
        <v>30.4</v>
      </c>
    </row>
    <row r="218" spans="10:12" x14ac:dyDescent="0.2">
      <c r="J218" s="5">
        <v>215</v>
      </c>
      <c r="K218" s="72">
        <f t="shared" ca="1" si="6"/>
        <v>52690</v>
      </c>
      <c r="L218" s="78">
        <f t="shared" si="7"/>
        <v>30.4</v>
      </c>
    </row>
    <row r="219" spans="10:12" x14ac:dyDescent="0.2">
      <c r="J219" s="5">
        <v>216</v>
      </c>
      <c r="K219" s="72">
        <f t="shared" ca="1" si="6"/>
        <v>52720</v>
      </c>
      <c r="L219" s="78">
        <f t="shared" si="7"/>
        <v>30.4</v>
      </c>
    </row>
    <row r="220" spans="10:12" x14ac:dyDescent="0.2">
      <c r="J220" s="5">
        <v>217</v>
      </c>
      <c r="K220" s="72">
        <f t="shared" ca="1" si="6"/>
        <v>52751</v>
      </c>
      <c r="L220" s="78">
        <f t="shared" si="7"/>
        <v>30.4</v>
      </c>
    </row>
    <row r="221" spans="10:12" x14ac:dyDescent="0.2">
      <c r="J221" s="5">
        <v>218</v>
      </c>
      <c r="K221" s="72">
        <f t="shared" ca="1" si="6"/>
        <v>52781</v>
      </c>
      <c r="L221" s="78">
        <f t="shared" si="7"/>
        <v>30.4</v>
      </c>
    </row>
    <row r="222" spans="10:12" x14ac:dyDescent="0.2">
      <c r="J222" s="5">
        <v>219</v>
      </c>
      <c r="K222" s="72">
        <f t="shared" ca="1" si="6"/>
        <v>52812</v>
      </c>
      <c r="L222" s="78">
        <f t="shared" si="7"/>
        <v>30.4</v>
      </c>
    </row>
    <row r="223" spans="10:12" x14ac:dyDescent="0.2">
      <c r="J223" s="5">
        <v>220</v>
      </c>
      <c r="K223" s="72">
        <f t="shared" ca="1" si="6"/>
        <v>52843</v>
      </c>
      <c r="L223" s="78">
        <f t="shared" si="7"/>
        <v>30.4</v>
      </c>
    </row>
    <row r="224" spans="10:12" x14ac:dyDescent="0.2">
      <c r="J224" s="5">
        <v>221</v>
      </c>
      <c r="K224" s="72">
        <f t="shared" ca="1" si="6"/>
        <v>52873</v>
      </c>
      <c r="L224" s="78">
        <f t="shared" si="7"/>
        <v>30.4</v>
      </c>
    </row>
    <row r="225" spans="10:12" x14ac:dyDescent="0.2">
      <c r="J225" s="5">
        <v>222</v>
      </c>
      <c r="K225" s="72">
        <f t="shared" ca="1" si="6"/>
        <v>52904</v>
      </c>
      <c r="L225" s="78">
        <f t="shared" si="7"/>
        <v>30.4</v>
      </c>
    </row>
    <row r="226" spans="10:12" x14ac:dyDescent="0.2">
      <c r="J226" s="5">
        <v>223</v>
      </c>
      <c r="K226" s="72">
        <f t="shared" ca="1" si="6"/>
        <v>52934</v>
      </c>
      <c r="L226" s="78">
        <f t="shared" si="7"/>
        <v>30.4</v>
      </c>
    </row>
    <row r="227" spans="10:12" x14ac:dyDescent="0.2">
      <c r="J227" s="5">
        <v>224</v>
      </c>
      <c r="K227" s="72">
        <f t="shared" ca="1" si="6"/>
        <v>52965</v>
      </c>
      <c r="L227" s="78">
        <f t="shared" si="7"/>
        <v>30.4</v>
      </c>
    </row>
    <row r="228" spans="10:12" x14ac:dyDescent="0.2">
      <c r="J228" s="5">
        <v>225</v>
      </c>
      <c r="K228" s="72">
        <f t="shared" ca="1" si="6"/>
        <v>52996</v>
      </c>
      <c r="L228" s="78">
        <f t="shared" si="7"/>
        <v>30.4</v>
      </c>
    </row>
    <row r="229" spans="10:12" x14ac:dyDescent="0.2">
      <c r="J229" s="5">
        <v>226</v>
      </c>
      <c r="K229" s="72">
        <f t="shared" ca="1" si="6"/>
        <v>53024</v>
      </c>
      <c r="L229" s="78">
        <f t="shared" si="7"/>
        <v>30.4</v>
      </c>
    </row>
    <row r="230" spans="10:12" x14ac:dyDescent="0.2">
      <c r="J230" s="5">
        <v>227</v>
      </c>
      <c r="K230" s="72">
        <f t="shared" ca="1" si="6"/>
        <v>53055</v>
      </c>
      <c r="L230" s="78">
        <f t="shared" si="7"/>
        <v>30.4</v>
      </c>
    </row>
    <row r="231" spans="10:12" x14ac:dyDescent="0.2">
      <c r="J231" s="5">
        <v>228</v>
      </c>
      <c r="K231" s="72">
        <f t="shared" ca="1" si="6"/>
        <v>53085</v>
      </c>
      <c r="L231" s="78">
        <f t="shared" si="7"/>
        <v>30.4</v>
      </c>
    </row>
    <row r="232" spans="10:12" x14ac:dyDescent="0.2">
      <c r="J232" s="5">
        <v>229</v>
      </c>
      <c r="K232" s="72">
        <f t="shared" ca="1" si="6"/>
        <v>53116</v>
      </c>
      <c r="L232" s="78">
        <f t="shared" si="7"/>
        <v>30.4</v>
      </c>
    </row>
    <row r="233" spans="10:12" x14ac:dyDescent="0.2">
      <c r="J233" s="5">
        <v>230</v>
      </c>
      <c r="K233" s="72">
        <f t="shared" ca="1" si="6"/>
        <v>53146</v>
      </c>
      <c r="L233" s="78">
        <f t="shared" si="7"/>
        <v>30.4</v>
      </c>
    </row>
    <row r="234" spans="10:12" x14ac:dyDescent="0.2">
      <c r="J234" s="5">
        <v>231</v>
      </c>
      <c r="K234" s="72">
        <f t="shared" ca="1" si="6"/>
        <v>53177</v>
      </c>
      <c r="L234" s="78">
        <f t="shared" si="7"/>
        <v>30.4</v>
      </c>
    </row>
    <row r="235" spans="10:12" x14ac:dyDescent="0.2">
      <c r="J235" s="5">
        <v>232</v>
      </c>
      <c r="K235" s="72">
        <f t="shared" ca="1" si="6"/>
        <v>53208</v>
      </c>
      <c r="L235" s="78">
        <f t="shared" si="7"/>
        <v>30.4</v>
      </c>
    </row>
    <row r="236" spans="10:12" x14ac:dyDescent="0.2">
      <c r="J236" s="5">
        <v>233</v>
      </c>
      <c r="K236" s="72">
        <f t="shared" ca="1" si="6"/>
        <v>53238</v>
      </c>
      <c r="L236" s="78">
        <f t="shared" si="7"/>
        <v>30.4</v>
      </c>
    </row>
    <row r="237" spans="10:12" x14ac:dyDescent="0.2">
      <c r="J237" s="5">
        <v>234</v>
      </c>
      <c r="K237" s="72">
        <f t="shared" ca="1" si="6"/>
        <v>53269</v>
      </c>
      <c r="L237" s="78">
        <f t="shared" si="7"/>
        <v>30.4</v>
      </c>
    </row>
    <row r="238" spans="10:12" x14ac:dyDescent="0.2">
      <c r="J238" s="5">
        <v>235</v>
      </c>
      <c r="K238" s="72">
        <f t="shared" ca="1" si="6"/>
        <v>53299</v>
      </c>
      <c r="L238" s="78">
        <f t="shared" si="7"/>
        <v>30.4</v>
      </c>
    </row>
    <row r="239" spans="10:12" x14ac:dyDescent="0.2">
      <c r="J239" s="5">
        <v>236</v>
      </c>
      <c r="K239" s="72">
        <f t="shared" ca="1" si="6"/>
        <v>53330</v>
      </c>
      <c r="L239" s="78">
        <f t="shared" si="7"/>
        <v>30.4</v>
      </c>
    </row>
    <row r="240" spans="10:12" x14ac:dyDescent="0.2">
      <c r="J240" s="5">
        <v>237</v>
      </c>
      <c r="K240" s="72">
        <f t="shared" ca="1" si="6"/>
        <v>53361</v>
      </c>
      <c r="L240" s="78">
        <f t="shared" si="7"/>
        <v>30.4</v>
      </c>
    </row>
    <row r="241" spans="10:12" x14ac:dyDescent="0.2">
      <c r="J241" s="5">
        <v>238</v>
      </c>
      <c r="K241" s="72">
        <f t="shared" ca="1" si="6"/>
        <v>53389</v>
      </c>
      <c r="L241" s="78">
        <f t="shared" si="7"/>
        <v>30.4</v>
      </c>
    </row>
    <row r="242" spans="10:12" x14ac:dyDescent="0.2">
      <c r="J242" s="5">
        <v>239</v>
      </c>
      <c r="K242" s="72">
        <f t="shared" ca="1" si="6"/>
        <v>53420</v>
      </c>
      <c r="L242" s="78">
        <f t="shared" si="7"/>
        <v>30.4</v>
      </c>
    </row>
    <row r="243" spans="10:12" x14ac:dyDescent="0.2">
      <c r="J243" s="5">
        <v>240</v>
      </c>
      <c r="K243" s="72">
        <f t="shared" ca="1" si="6"/>
        <v>53450</v>
      </c>
      <c r="L243" s="78">
        <f t="shared" si="7"/>
        <v>30.4</v>
      </c>
    </row>
    <row r="244" spans="10:12" x14ac:dyDescent="0.2">
      <c r="J244" s="5">
        <v>241</v>
      </c>
      <c r="K244" s="72" t="b">
        <f t="shared" si="6"/>
        <v>0</v>
      </c>
      <c r="L244" s="78" t="str">
        <f t="shared" si="7"/>
        <v/>
      </c>
    </row>
    <row r="245" spans="10:12" x14ac:dyDescent="0.2">
      <c r="J245" s="5">
        <v>242</v>
      </c>
      <c r="K245" s="72" t="b">
        <f t="shared" si="6"/>
        <v>0</v>
      </c>
      <c r="L245" s="78" t="str">
        <f t="shared" si="7"/>
        <v/>
      </c>
    </row>
    <row r="246" spans="10:12" x14ac:dyDescent="0.2">
      <c r="J246" s="5">
        <v>243</v>
      </c>
      <c r="K246" s="72" t="b">
        <f t="shared" si="6"/>
        <v>0</v>
      </c>
      <c r="L246" s="78" t="str">
        <f t="shared" si="7"/>
        <v/>
      </c>
    </row>
    <row r="247" spans="10:12" x14ac:dyDescent="0.2">
      <c r="J247" s="5">
        <v>244</v>
      </c>
      <c r="K247" s="72" t="b">
        <f t="shared" si="6"/>
        <v>0</v>
      </c>
      <c r="L247" s="78" t="str">
        <f t="shared" si="7"/>
        <v/>
      </c>
    </row>
    <row r="248" spans="10:12" x14ac:dyDescent="0.2">
      <c r="J248" s="5">
        <v>245</v>
      </c>
      <c r="K248" s="72" t="b">
        <f t="shared" si="6"/>
        <v>0</v>
      </c>
      <c r="L248" s="78" t="str">
        <f t="shared" si="7"/>
        <v/>
      </c>
    </row>
    <row r="249" spans="10:12" x14ac:dyDescent="0.2">
      <c r="J249" s="5">
        <v>246</v>
      </c>
      <c r="K249" s="72" t="b">
        <f t="shared" si="6"/>
        <v>0</v>
      </c>
      <c r="L249" s="78" t="str">
        <f t="shared" si="7"/>
        <v/>
      </c>
    </row>
    <row r="250" spans="10:12" x14ac:dyDescent="0.2">
      <c r="J250" s="5">
        <v>247</v>
      </c>
      <c r="K250" s="72" t="b">
        <f t="shared" si="6"/>
        <v>0</v>
      </c>
      <c r="L250" s="78" t="str">
        <f t="shared" si="7"/>
        <v/>
      </c>
    </row>
    <row r="251" spans="10:12" x14ac:dyDescent="0.2">
      <c r="J251" s="5">
        <v>248</v>
      </c>
      <c r="K251" s="72" t="b">
        <f t="shared" si="6"/>
        <v>0</v>
      </c>
      <c r="L251" s="78" t="str">
        <f t="shared" si="7"/>
        <v/>
      </c>
    </row>
    <row r="252" spans="10:12" x14ac:dyDescent="0.2">
      <c r="J252" s="5">
        <v>249</v>
      </c>
      <c r="K252" s="72" t="b">
        <f t="shared" si="6"/>
        <v>0</v>
      </c>
      <c r="L252" s="78" t="str">
        <f t="shared" si="7"/>
        <v/>
      </c>
    </row>
    <row r="253" spans="10:12" x14ac:dyDescent="0.2">
      <c r="J253" s="5">
        <v>250</v>
      </c>
      <c r="K253" s="72" t="b">
        <f t="shared" si="6"/>
        <v>0</v>
      </c>
      <c r="L253" s="78" t="str">
        <f t="shared" si="7"/>
        <v/>
      </c>
    </row>
    <row r="254" spans="10:12" x14ac:dyDescent="0.2">
      <c r="J254" s="5">
        <v>251</v>
      </c>
      <c r="K254" s="72" t="b">
        <f t="shared" si="6"/>
        <v>0</v>
      </c>
      <c r="L254" s="78" t="str">
        <f t="shared" si="7"/>
        <v/>
      </c>
    </row>
    <row r="255" spans="10:12" x14ac:dyDescent="0.2">
      <c r="J255" s="5">
        <v>252</v>
      </c>
      <c r="K255" s="72" t="b">
        <f t="shared" si="6"/>
        <v>0</v>
      </c>
      <c r="L255" s="78" t="str">
        <f t="shared" si="7"/>
        <v/>
      </c>
    </row>
    <row r="256" spans="10:12" x14ac:dyDescent="0.2">
      <c r="J256" s="5">
        <v>253</v>
      </c>
      <c r="K256" s="72" t="b">
        <f t="shared" si="6"/>
        <v>0</v>
      </c>
      <c r="L256" s="78" t="str">
        <f t="shared" si="7"/>
        <v/>
      </c>
    </row>
    <row r="257" spans="10:12" x14ac:dyDescent="0.2">
      <c r="J257" s="5">
        <v>254</v>
      </c>
      <c r="K257" s="72" t="b">
        <f t="shared" si="6"/>
        <v>0</v>
      </c>
      <c r="L257" s="78" t="str">
        <f t="shared" si="7"/>
        <v/>
      </c>
    </row>
    <row r="258" spans="10:12" x14ac:dyDescent="0.2">
      <c r="J258" s="5">
        <v>255</v>
      </c>
      <c r="K258" s="72" t="b">
        <f t="shared" si="6"/>
        <v>0</v>
      </c>
      <c r="L258" s="78" t="str">
        <f t="shared" si="7"/>
        <v/>
      </c>
    </row>
    <row r="259" spans="10:12" x14ac:dyDescent="0.2">
      <c r="J259" s="5">
        <v>256</v>
      </c>
      <c r="K259" s="72" t="b">
        <f t="shared" si="6"/>
        <v>0</v>
      </c>
      <c r="L259" s="78" t="str">
        <f t="shared" si="7"/>
        <v/>
      </c>
    </row>
    <row r="260" spans="10:12" x14ac:dyDescent="0.2">
      <c r="J260" s="5">
        <v>257</v>
      </c>
      <c r="K260" s="72" t="b">
        <f t="shared" si="6"/>
        <v>0</v>
      </c>
      <c r="L260" s="78" t="str">
        <f t="shared" si="7"/>
        <v/>
      </c>
    </row>
    <row r="261" spans="10:12" x14ac:dyDescent="0.2">
      <c r="J261" s="5">
        <v>258</v>
      </c>
      <c r="K261" s="72" t="b">
        <f t="shared" ref="K261:K324" si="8">IF(($J$4:$J$363)&lt;=$H$1,(EOMONTH(K260,0)+$B$6))</f>
        <v>0</v>
      </c>
      <c r="L261" s="78" t="str">
        <f t="shared" si="7"/>
        <v/>
      </c>
    </row>
    <row r="262" spans="10:12" x14ac:dyDescent="0.2">
      <c r="J262" s="5">
        <v>259</v>
      </c>
      <c r="K262" s="72" t="b">
        <f t="shared" si="8"/>
        <v>0</v>
      </c>
      <c r="L262" s="78" t="str">
        <f t="shared" ref="L262:L325" si="9">IF($J$4:$J$363 &lt;= $H$1,$H$2,"")</f>
        <v/>
      </c>
    </row>
    <row r="263" spans="10:12" x14ac:dyDescent="0.2">
      <c r="J263" s="5">
        <v>260</v>
      </c>
      <c r="K263" s="72" t="b">
        <f t="shared" si="8"/>
        <v>0</v>
      </c>
      <c r="L263" s="78" t="str">
        <f t="shared" si="9"/>
        <v/>
      </c>
    </row>
    <row r="264" spans="10:12" x14ac:dyDescent="0.2">
      <c r="J264" s="5">
        <v>261</v>
      </c>
      <c r="K264" s="72" t="b">
        <f t="shared" si="8"/>
        <v>0</v>
      </c>
      <c r="L264" s="78" t="str">
        <f t="shared" si="9"/>
        <v/>
      </c>
    </row>
    <row r="265" spans="10:12" x14ac:dyDescent="0.2">
      <c r="J265" s="5">
        <v>262</v>
      </c>
      <c r="K265" s="72" t="b">
        <f t="shared" si="8"/>
        <v>0</v>
      </c>
      <c r="L265" s="78" t="str">
        <f t="shared" si="9"/>
        <v/>
      </c>
    </row>
    <row r="266" spans="10:12" x14ac:dyDescent="0.2">
      <c r="J266" s="5">
        <v>263</v>
      </c>
      <c r="K266" s="72" t="b">
        <f t="shared" si="8"/>
        <v>0</v>
      </c>
      <c r="L266" s="78" t="str">
        <f t="shared" si="9"/>
        <v/>
      </c>
    </row>
    <row r="267" spans="10:12" x14ac:dyDescent="0.2">
      <c r="J267" s="5">
        <v>264</v>
      </c>
      <c r="K267" s="72" t="b">
        <f t="shared" si="8"/>
        <v>0</v>
      </c>
      <c r="L267" s="78" t="str">
        <f t="shared" si="9"/>
        <v/>
      </c>
    </row>
    <row r="268" spans="10:12" x14ac:dyDescent="0.2">
      <c r="J268" s="5">
        <v>265</v>
      </c>
      <c r="K268" s="72" t="b">
        <f t="shared" si="8"/>
        <v>0</v>
      </c>
      <c r="L268" s="78" t="str">
        <f t="shared" si="9"/>
        <v/>
      </c>
    </row>
    <row r="269" spans="10:12" x14ac:dyDescent="0.2">
      <c r="J269" s="5">
        <v>266</v>
      </c>
      <c r="K269" s="72" t="b">
        <f t="shared" si="8"/>
        <v>0</v>
      </c>
      <c r="L269" s="78" t="str">
        <f t="shared" si="9"/>
        <v/>
      </c>
    </row>
    <row r="270" spans="10:12" x14ac:dyDescent="0.2">
      <c r="J270" s="5">
        <v>267</v>
      </c>
      <c r="K270" s="72" t="b">
        <f t="shared" si="8"/>
        <v>0</v>
      </c>
      <c r="L270" s="78" t="str">
        <f t="shared" si="9"/>
        <v/>
      </c>
    </row>
    <row r="271" spans="10:12" x14ac:dyDescent="0.2">
      <c r="J271" s="5">
        <v>268</v>
      </c>
      <c r="K271" s="72" t="b">
        <f t="shared" si="8"/>
        <v>0</v>
      </c>
      <c r="L271" s="78" t="str">
        <f t="shared" si="9"/>
        <v/>
      </c>
    </row>
    <row r="272" spans="10:12" x14ac:dyDescent="0.2">
      <c r="J272" s="5">
        <v>269</v>
      </c>
      <c r="K272" s="72" t="b">
        <f t="shared" si="8"/>
        <v>0</v>
      </c>
      <c r="L272" s="78" t="str">
        <f t="shared" si="9"/>
        <v/>
      </c>
    </row>
    <row r="273" spans="10:12" x14ac:dyDescent="0.2">
      <c r="J273" s="5">
        <v>270</v>
      </c>
      <c r="K273" s="72" t="b">
        <f t="shared" si="8"/>
        <v>0</v>
      </c>
      <c r="L273" s="78" t="str">
        <f t="shared" si="9"/>
        <v/>
      </c>
    </row>
    <row r="274" spans="10:12" x14ac:dyDescent="0.2">
      <c r="J274" s="5">
        <v>271</v>
      </c>
      <c r="K274" s="72" t="b">
        <f t="shared" si="8"/>
        <v>0</v>
      </c>
      <c r="L274" s="78" t="str">
        <f t="shared" si="9"/>
        <v/>
      </c>
    </row>
    <row r="275" spans="10:12" x14ac:dyDescent="0.2">
      <c r="J275" s="5">
        <v>272</v>
      </c>
      <c r="K275" s="72" t="b">
        <f t="shared" si="8"/>
        <v>0</v>
      </c>
      <c r="L275" s="78" t="str">
        <f t="shared" si="9"/>
        <v/>
      </c>
    </row>
    <row r="276" spans="10:12" x14ac:dyDescent="0.2">
      <c r="J276" s="5">
        <v>273</v>
      </c>
      <c r="K276" s="72" t="b">
        <f t="shared" si="8"/>
        <v>0</v>
      </c>
      <c r="L276" s="78" t="str">
        <f t="shared" si="9"/>
        <v/>
      </c>
    </row>
    <row r="277" spans="10:12" x14ac:dyDescent="0.2">
      <c r="J277" s="5">
        <v>274</v>
      </c>
      <c r="K277" s="72" t="b">
        <f t="shared" si="8"/>
        <v>0</v>
      </c>
      <c r="L277" s="78" t="str">
        <f t="shared" si="9"/>
        <v/>
      </c>
    </row>
    <row r="278" spans="10:12" x14ac:dyDescent="0.2">
      <c r="J278" s="5">
        <v>275</v>
      </c>
      <c r="K278" s="72" t="b">
        <f t="shared" si="8"/>
        <v>0</v>
      </c>
      <c r="L278" s="78" t="str">
        <f t="shared" si="9"/>
        <v/>
      </c>
    </row>
    <row r="279" spans="10:12" x14ac:dyDescent="0.2">
      <c r="J279" s="5">
        <v>276</v>
      </c>
      <c r="K279" s="72" t="b">
        <f t="shared" si="8"/>
        <v>0</v>
      </c>
      <c r="L279" s="78" t="str">
        <f t="shared" si="9"/>
        <v/>
      </c>
    </row>
    <row r="280" spans="10:12" x14ac:dyDescent="0.2">
      <c r="J280" s="5">
        <v>277</v>
      </c>
      <c r="K280" s="72" t="b">
        <f t="shared" si="8"/>
        <v>0</v>
      </c>
      <c r="L280" s="78" t="str">
        <f t="shared" si="9"/>
        <v/>
      </c>
    </row>
    <row r="281" spans="10:12" x14ac:dyDescent="0.2">
      <c r="J281" s="5">
        <v>278</v>
      </c>
      <c r="K281" s="72" t="b">
        <f t="shared" si="8"/>
        <v>0</v>
      </c>
      <c r="L281" s="78" t="str">
        <f t="shared" si="9"/>
        <v/>
      </c>
    </row>
    <row r="282" spans="10:12" x14ac:dyDescent="0.2">
      <c r="J282" s="5">
        <v>279</v>
      </c>
      <c r="K282" s="72" t="b">
        <f t="shared" si="8"/>
        <v>0</v>
      </c>
      <c r="L282" s="78" t="str">
        <f t="shared" si="9"/>
        <v/>
      </c>
    </row>
    <row r="283" spans="10:12" x14ac:dyDescent="0.2">
      <c r="J283" s="5">
        <v>280</v>
      </c>
      <c r="K283" s="72" t="b">
        <f t="shared" si="8"/>
        <v>0</v>
      </c>
      <c r="L283" s="78" t="str">
        <f t="shared" si="9"/>
        <v/>
      </c>
    </row>
    <row r="284" spans="10:12" x14ac:dyDescent="0.2">
      <c r="J284" s="5">
        <v>281</v>
      </c>
      <c r="K284" s="72" t="b">
        <f t="shared" si="8"/>
        <v>0</v>
      </c>
      <c r="L284" s="78" t="str">
        <f t="shared" si="9"/>
        <v/>
      </c>
    </row>
    <row r="285" spans="10:12" x14ac:dyDescent="0.2">
      <c r="J285" s="5">
        <v>282</v>
      </c>
      <c r="K285" s="72" t="b">
        <f t="shared" si="8"/>
        <v>0</v>
      </c>
      <c r="L285" s="78" t="str">
        <f t="shared" si="9"/>
        <v/>
      </c>
    </row>
    <row r="286" spans="10:12" x14ac:dyDescent="0.2">
      <c r="J286" s="5">
        <v>283</v>
      </c>
      <c r="K286" s="72" t="b">
        <f t="shared" si="8"/>
        <v>0</v>
      </c>
      <c r="L286" s="78" t="str">
        <f t="shared" si="9"/>
        <v/>
      </c>
    </row>
    <row r="287" spans="10:12" x14ac:dyDescent="0.2">
      <c r="J287" s="5">
        <v>284</v>
      </c>
      <c r="K287" s="72" t="b">
        <f t="shared" si="8"/>
        <v>0</v>
      </c>
      <c r="L287" s="78" t="str">
        <f t="shared" si="9"/>
        <v/>
      </c>
    </row>
    <row r="288" spans="10:12" x14ac:dyDescent="0.2">
      <c r="J288" s="5">
        <v>285</v>
      </c>
      <c r="K288" s="72" t="b">
        <f t="shared" si="8"/>
        <v>0</v>
      </c>
      <c r="L288" s="78" t="str">
        <f t="shared" si="9"/>
        <v/>
      </c>
    </row>
    <row r="289" spans="10:12" x14ac:dyDescent="0.2">
      <c r="J289" s="5">
        <v>286</v>
      </c>
      <c r="K289" s="72" t="b">
        <f t="shared" si="8"/>
        <v>0</v>
      </c>
      <c r="L289" s="78" t="str">
        <f t="shared" si="9"/>
        <v/>
      </c>
    </row>
    <row r="290" spans="10:12" x14ac:dyDescent="0.2">
      <c r="J290" s="5">
        <v>287</v>
      </c>
      <c r="K290" s="72" t="b">
        <f t="shared" si="8"/>
        <v>0</v>
      </c>
      <c r="L290" s="78" t="str">
        <f t="shared" si="9"/>
        <v/>
      </c>
    </row>
    <row r="291" spans="10:12" x14ac:dyDescent="0.2">
      <c r="J291" s="5">
        <v>288</v>
      </c>
      <c r="K291" s="72" t="b">
        <f t="shared" si="8"/>
        <v>0</v>
      </c>
      <c r="L291" s="78" t="str">
        <f t="shared" si="9"/>
        <v/>
      </c>
    </row>
    <row r="292" spans="10:12" x14ac:dyDescent="0.2">
      <c r="J292" s="5">
        <v>289</v>
      </c>
      <c r="K292" s="72" t="b">
        <f t="shared" si="8"/>
        <v>0</v>
      </c>
      <c r="L292" s="78" t="str">
        <f t="shared" si="9"/>
        <v/>
      </c>
    </row>
    <row r="293" spans="10:12" x14ac:dyDescent="0.2">
      <c r="J293" s="5">
        <v>290</v>
      </c>
      <c r="K293" s="72" t="b">
        <f t="shared" si="8"/>
        <v>0</v>
      </c>
      <c r="L293" s="78" t="str">
        <f t="shared" si="9"/>
        <v/>
      </c>
    </row>
    <row r="294" spans="10:12" x14ac:dyDescent="0.2">
      <c r="J294" s="5">
        <v>291</v>
      </c>
      <c r="K294" s="72" t="b">
        <f t="shared" si="8"/>
        <v>0</v>
      </c>
      <c r="L294" s="78" t="str">
        <f t="shared" si="9"/>
        <v/>
      </c>
    </row>
    <row r="295" spans="10:12" x14ac:dyDescent="0.2">
      <c r="J295" s="5">
        <v>292</v>
      </c>
      <c r="K295" s="72" t="b">
        <f t="shared" si="8"/>
        <v>0</v>
      </c>
      <c r="L295" s="78" t="str">
        <f t="shared" si="9"/>
        <v/>
      </c>
    </row>
    <row r="296" spans="10:12" x14ac:dyDescent="0.2">
      <c r="J296" s="5">
        <v>293</v>
      </c>
      <c r="K296" s="72" t="b">
        <f t="shared" si="8"/>
        <v>0</v>
      </c>
      <c r="L296" s="78" t="str">
        <f t="shared" si="9"/>
        <v/>
      </c>
    </row>
    <row r="297" spans="10:12" x14ac:dyDescent="0.2">
      <c r="J297" s="5">
        <v>294</v>
      </c>
      <c r="K297" s="72" t="b">
        <f t="shared" si="8"/>
        <v>0</v>
      </c>
      <c r="L297" s="78" t="str">
        <f t="shared" si="9"/>
        <v/>
      </c>
    </row>
    <row r="298" spans="10:12" x14ac:dyDescent="0.2">
      <c r="J298" s="5">
        <v>295</v>
      </c>
      <c r="K298" s="72" t="b">
        <f t="shared" si="8"/>
        <v>0</v>
      </c>
      <c r="L298" s="78" t="str">
        <f t="shared" si="9"/>
        <v/>
      </c>
    </row>
    <row r="299" spans="10:12" x14ac:dyDescent="0.2">
      <c r="J299" s="5">
        <v>296</v>
      </c>
      <c r="K299" s="72" t="b">
        <f t="shared" si="8"/>
        <v>0</v>
      </c>
      <c r="L299" s="78" t="str">
        <f t="shared" si="9"/>
        <v/>
      </c>
    </row>
    <row r="300" spans="10:12" x14ac:dyDescent="0.2">
      <c r="J300" s="5">
        <v>297</v>
      </c>
      <c r="K300" s="72" t="b">
        <f t="shared" si="8"/>
        <v>0</v>
      </c>
      <c r="L300" s="78" t="str">
        <f t="shared" si="9"/>
        <v/>
      </c>
    </row>
    <row r="301" spans="10:12" x14ac:dyDescent="0.2">
      <c r="J301" s="5">
        <v>298</v>
      </c>
      <c r="K301" s="72" t="b">
        <f t="shared" si="8"/>
        <v>0</v>
      </c>
      <c r="L301" s="78" t="str">
        <f t="shared" si="9"/>
        <v/>
      </c>
    </row>
    <row r="302" spans="10:12" x14ac:dyDescent="0.2">
      <c r="J302" s="5">
        <v>299</v>
      </c>
      <c r="K302" s="72" t="b">
        <f t="shared" si="8"/>
        <v>0</v>
      </c>
      <c r="L302" s="78" t="str">
        <f t="shared" si="9"/>
        <v/>
      </c>
    </row>
    <row r="303" spans="10:12" x14ac:dyDescent="0.2">
      <c r="J303" s="5">
        <v>300</v>
      </c>
      <c r="K303" s="72" t="b">
        <f t="shared" si="8"/>
        <v>0</v>
      </c>
      <c r="L303" s="78" t="str">
        <f t="shared" si="9"/>
        <v/>
      </c>
    </row>
    <row r="304" spans="10:12" x14ac:dyDescent="0.2">
      <c r="J304" s="5">
        <v>301</v>
      </c>
      <c r="K304" s="72" t="b">
        <f t="shared" si="8"/>
        <v>0</v>
      </c>
      <c r="L304" s="78" t="str">
        <f t="shared" si="9"/>
        <v/>
      </c>
    </row>
    <row r="305" spans="10:12" x14ac:dyDescent="0.2">
      <c r="J305" s="5">
        <v>302</v>
      </c>
      <c r="K305" s="72" t="b">
        <f t="shared" si="8"/>
        <v>0</v>
      </c>
      <c r="L305" s="78" t="str">
        <f t="shared" si="9"/>
        <v/>
      </c>
    </row>
    <row r="306" spans="10:12" x14ac:dyDescent="0.2">
      <c r="J306" s="5">
        <v>303</v>
      </c>
      <c r="K306" s="72" t="b">
        <f t="shared" si="8"/>
        <v>0</v>
      </c>
      <c r="L306" s="78" t="str">
        <f t="shared" si="9"/>
        <v/>
      </c>
    </row>
    <row r="307" spans="10:12" x14ac:dyDescent="0.2">
      <c r="J307" s="5">
        <v>304</v>
      </c>
      <c r="K307" s="72" t="b">
        <f t="shared" si="8"/>
        <v>0</v>
      </c>
      <c r="L307" s="78" t="str">
        <f t="shared" si="9"/>
        <v/>
      </c>
    </row>
    <row r="308" spans="10:12" x14ac:dyDescent="0.2">
      <c r="J308" s="5">
        <v>305</v>
      </c>
      <c r="K308" s="72" t="b">
        <f t="shared" si="8"/>
        <v>0</v>
      </c>
      <c r="L308" s="78" t="str">
        <f t="shared" si="9"/>
        <v/>
      </c>
    </row>
    <row r="309" spans="10:12" x14ac:dyDescent="0.2">
      <c r="J309" s="5">
        <v>306</v>
      </c>
      <c r="K309" s="72" t="b">
        <f t="shared" si="8"/>
        <v>0</v>
      </c>
      <c r="L309" s="78" t="str">
        <f t="shared" si="9"/>
        <v/>
      </c>
    </row>
    <row r="310" spans="10:12" x14ac:dyDescent="0.2">
      <c r="J310" s="5">
        <v>307</v>
      </c>
      <c r="K310" s="72" t="b">
        <f t="shared" si="8"/>
        <v>0</v>
      </c>
      <c r="L310" s="78" t="str">
        <f t="shared" si="9"/>
        <v/>
      </c>
    </row>
    <row r="311" spans="10:12" x14ac:dyDescent="0.2">
      <c r="J311" s="5">
        <v>308</v>
      </c>
      <c r="K311" s="72" t="b">
        <f t="shared" si="8"/>
        <v>0</v>
      </c>
      <c r="L311" s="78" t="str">
        <f t="shared" si="9"/>
        <v/>
      </c>
    </row>
    <row r="312" spans="10:12" x14ac:dyDescent="0.2">
      <c r="J312" s="5">
        <v>309</v>
      </c>
      <c r="K312" s="72" t="b">
        <f t="shared" si="8"/>
        <v>0</v>
      </c>
      <c r="L312" s="78" t="str">
        <f t="shared" si="9"/>
        <v/>
      </c>
    </row>
    <row r="313" spans="10:12" x14ac:dyDescent="0.2">
      <c r="J313" s="5">
        <v>310</v>
      </c>
      <c r="K313" s="72" t="b">
        <f t="shared" si="8"/>
        <v>0</v>
      </c>
      <c r="L313" s="78" t="str">
        <f t="shared" si="9"/>
        <v/>
      </c>
    </row>
    <row r="314" spans="10:12" x14ac:dyDescent="0.2">
      <c r="J314" s="5">
        <v>311</v>
      </c>
      <c r="K314" s="72" t="b">
        <f t="shared" si="8"/>
        <v>0</v>
      </c>
      <c r="L314" s="78" t="str">
        <f t="shared" si="9"/>
        <v/>
      </c>
    </row>
    <row r="315" spans="10:12" x14ac:dyDescent="0.2">
      <c r="J315" s="5">
        <v>312</v>
      </c>
      <c r="K315" s="72" t="b">
        <f t="shared" si="8"/>
        <v>0</v>
      </c>
      <c r="L315" s="78" t="str">
        <f t="shared" si="9"/>
        <v/>
      </c>
    </row>
    <row r="316" spans="10:12" x14ac:dyDescent="0.2">
      <c r="J316" s="5">
        <v>313</v>
      </c>
      <c r="K316" s="72" t="b">
        <f t="shared" si="8"/>
        <v>0</v>
      </c>
      <c r="L316" s="78" t="str">
        <f t="shared" si="9"/>
        <v/>
      </c>
    </row>
    <row r="317" spans="10:12" x14ac:dyDescent="0.2">
      <c r="J317" s="5">
        <v>314</v>
      </c>
      <c r="K317" s="72" t="b">
        <f t="shared" si="8"/>
        <v>0</v>
      </c>
      <c r="L317" s="78" t="str">
        <f t="shared" si="9"/>
        <v/>
      </c>
    </row>
    <row r="318" spans="10:12" x14ac:dyDescent="0.2">
      <c r="J318" s="5">
        <v>315</v>
      </c>
      <c r="K318" s="72" t="b">
        <f t="shared" si="8"/>
        <v>0</v>
      </c>
      <c r="L318" s="78" t="str">
        <f t="shared" si="9"/>
        <v/>
      </c>
    </row>
    <row r="319" spans="10:12" x14ac:dyDescent="0.2">
      <c r="J319" s="5">
        <v>316</v>
      </c>
      <c r="K319" s="72" t="b">
        <f t="shared" si="8"/>
        <v>0</v>
      </c>
      <c r="L319" s="78" t="str">
        <f t="shared" si="9"/>
        <v/>
      </c>
    </row>
    <row r="320" spans="10:12" x14ac:dyDescent="0.2">
      <c r="J320" s="5">
        <v>317</v>
      </c>
      <c r="K320" s="72" t="b">
        <f t="shared" si="8"/>
        <v>0</v>
      </c>
      <c r="L320" s="78" t="str">
        <f t="shared" si="9"/>
        <v/>
      </c>
    </row>
    <row r="321" spans="10:12" x14ac:dyDescent="0.2">
      <c r="J321" s="5">
        <v>318</v>
      </c>
      <c r="K321" s="72" t="b">
        <f t="shared" si="8"/>
        <v>0</v>
      </c>
      <c r="L321" s="78" t="str">
        <f t="shared" si="9"/>
        <v/>
      </c>
    </row>
    <row r="322" spans="10:12" x14ac:dyDescent="0.2">
      <c r="J322" s="5">
        <v>319</v>
      </c>
      <c r="K322" s="72" t="b">
        <f t="shared" si="8"/>
        <v>0</v>
      </c>
      <c r="L322" s="78" t="str">
        <f t="shared" si="9"/>
        <v/>
      </c>
    </row>
    <row r="323" spans="10:12" x14ac:dyDescent="0.2">
      <c r="J323" s="5">
        <v>320</v>
      </c>
      <c r="K323" s="72" t="b">
        <f t="shared" si="8"/>
        <v>0</v>
      </c>
      <c r="L323" s="78" t="str">
        <f t="shared" si="9"/>
        <v/>
      </c>
    </row>
    <row r="324" spans="10:12" x14ac:dyDescent="0.2">
      <c r="J324" s="5">
        <v>321</v>
      </c>
      <c r="K324" s="72" t="b">
        <f t="shared" si="8"/>
        <v>0</v>
      </c>
      <c r="L324" s="78" t="str">
        <f t="shared" si="9"/>
        <v/>
      </c>
    </row>
    <row r="325" spans="10:12" x14ac:dyDescent="0.2">
      <c r="J325" s="5">
        <v>322</v>
      </c>
      <c r="K325" s="72" t="b">
        <f t="shared" ref="K325:K363" si="10">IF(($J$4:$J$363)&lt;=$H$1,(EOMONTH(K324,0)+$B$6))</f>
        <v>0</v>
      </c>
      <c r="L325" s="78" t="str">
        <f t="shared" si="9"/>
        <v/>
      </c>
    </row>
    <row r="326" spans="10:12" x14ac:dyDescent="0.2">
      <c r="J326" s="5">
        <v>323</v>
      </c>
      <c r="K326" s="72" t="b">
        <f t="shared" si="10"/>
        <v>0</v>
      </c>
      <c r="L326" s="78" t="str">
        <f t="shared" ref="L326:L363" si="11">IF($J$4:$J$363 &lt;= $H$1,$H$2,"")</f>
        <v/>
      </c>
    </row>
    <row r="327" spans="10:12" x14ac:dyDescent="0.2">
      <c r="J327" s="5">
        <v>324</v>
      </c>
      <c r="K327" s="72" t="b">
        <f t="shared" si="10"/>
        <v>0</v>
      </c>
      <c r="L327" s="78" t="str">
        <f t="shared" si="11"/>
        <v/>
      </c>
    </row>
    <row r="328" spans="10:12" x14ac:dyDescent="0.2">
      <c r="J328" s="5">
        <v>325</v>
      </c>
      <c r="K328" s="72" t="b">
        <f t="shared" si="10"/>
        <v>0</v>
      </c>
      <c r="L328" s="78" t="str">
        <f t="shared" si="11"/>
        <v/>
      </c>
    </row>
    <row r="329" spans="10:12" x14ac:dyDescent="0.2">
      <c r="J329" s="5">
        <v>326</v>
      </c>
      <c r="K329" s="72" t="b">
        <f t="shared" si="10"/>
        <v>0</v>
      </c>
      <c r="L329" s="78" t="str">
        <f t="shared" si="11"/>
        <v/>
      </c>
    </row>
    <row r="330" spans="10:12" x14ac:dyDescent="0.2">
      <c r="J330" s="5">
        <v>327</v>
      </c>
      <c r="K330" s="72" t="b">
        <f t="shared" si="10"/>
        <v>0</v>
      </c>
      <c r="L330" s="78" t="str">
        <f t="shared" si="11"/>
        <v/>
      </c>
    </row>
    <row r="331" spans="10:12" x14ac:dyDescent="0.2">
      <c r="J331" s="5">
        <v>328</v>
      </c>
      <c r="K331" s="72" t="b">
        <f t="shared" si="10"/>
        <v>0</v>
      </c>
      <c r="L331" s="78" t="str">
        <f t="shared" si="11"/>
        <v/>
      </c>
    </row>
    <row r="332" spans="10:12" x14ac:dyDescent="0.2">
      <c r="J332" s="5">
        <v>329</v>
      </c>
      <c r="K332" s="72" t="b">
        <f t="shared" si="10"/>
        <v>0</v>
      </c>
      <c r="L332" s="78" t="str">
        <f t="shared" si="11"/>
        <v/>
      </c>
    </row>
    <row r="333" spans="10:12" x14ac:dyDescent="0.2">
      <c r="J333" s="5">
        <v>330</v>
      </c>
      <c r="K333" s="72" t="b">
        <f t="shared" si="10"/>
        <v>0</v>
      </c>
      <c r="L333" s="78" t="str">
        <f t="shared" si="11"/>
        <v/>
      </c>
    </row>
    <row r="334" spans="10:12" x14ac:dyDescent="0.2">
      <c r="J334" s="5">
        <v>331</v>
      </c>
      <c r="K334" s="72" t="b">
        <f t="shared" si="10"/>
        <v>0</v>
      </c>
      <c r="L334" s="78" t="str">
        <f t="shared" si="11"/>
        <v/>
      </c>
    </row>
    <row r="335" spans="10:12" x14ac:dyDescent="0.2">
      <c r="J335" s="5">
        <v>332</v>
      </c>
      <c r="K335" s="72" t="b">
        <f t="shared" si="10"/>
        <v>0</v>
      </c>
      <c r="L335" s="78" t="str">
        <f t="shared" si="11"/>
        <v/>
      </c>
    </row>
    <row r="336" spans="10:12" x14ac:dyDescent="0.2">
      <c r="J336" s="5">
        <v>333</v>
      </c>
      <c r="K336" s="72" t="b">
        <f t="shared" si="10"/>
        <v>0</v>
      </c>
      <c r="L336" s="78" t="str">
        <f t="shared" si="11"/>
        <v/>
      </c>
    </row>
    <row r="337" spans="10:12" x14ac:dyDescent="0.2">
      <c r="J337" s="5">
        <v>334</v>
      </c>
      <c r="K337" s="72" t="b">
        <f t="shared" si="10"/>
        <v>0</v>
      </c>
      <c r="L337" s="78" t="str">
        <f t="shared" si="11"/>
        <v/>
      </c>
    </row>
    <row r="338" spans="10:12" x14ac:dyDescent="0.2">
      <c r="J338" s="5">
        <v>335</v>
      </c>
      <c r="K338" s="72" t="b">
        <f t="shared" si="10"/>
        <v>0</v>
      </c>
      <c r="L338" s="78" t="str">
        <f t="shared" si="11"/>
        <v/>
      </c>
    </row>
    <row r="339" spans="10:12" x14ac:dyDescent="0.2">
      <c r="J339" s="5">
        <v>336</v>
      </c>
      <c r="K339" s="72" t="b">
        <f t="shared" si="10"/>
        <v>0</v>
      </c>
      <c r="L339" s="78" t="str">
        <f t="shared" si="11"/>
        <v/>
      </c>
    </row>
    <row r="340" spans="10:12" x14ac:dyDescent="0.2">
      <c r="J340" s="5">
        <v>337</v>
      </c>
      <c r="K340" s="72" t="b">
        <f t="shared" si="10"/>
        <v>0</v>
      </c>
      <c r="L340" s="78" t="str">
        <f t="shared" si="11"/>
        <v/>
      </c>
    </row>
    <row r="341" spans="10:12" x14ac:dyDescent="0.2">
      <c r="J341" s="5">
        <v>338</v>
      </c>
      <c r="K341" s="72" t="b">
        <f t="shared" si="10"/>
        <v>0</v>
      </c>
      <c r="L341" s="78" t="str">
        <f t="shared" si="11"/>
        <v/>
      </c>
    </row>
    <row r="342" spans="10:12" x14ac:dyDescent="0.2">
      <c r="J342" s="5">
        <v>339</v>
      </c>
      <c r="K342" s="72" t="b">
        <f t="shared" si="10"/>
        <v>0</v>
      </c>
      <c r="L342" s="78" t="str">
        <f t="shared" si="11"/>
        <v/>
      </c>
    </row>
    <row r="343" spans="10:12" x14ac:dyDescent="0.2">
      <c r="J343" s="5">
        <v>340</v>
      </c>
      <c r="K343" s="72" t="b">
        <f t="shared" si="10"/>
        <v>0</v>
      </c>
      <c r="L343" s="78" t="str">
        <f t="shared" si="11"/>
        <v/>
      </c>
    </row>
    <row r="344" spans="10:12" x14ac:dyDescent="0.2">
      <c r="J344" s="5">
        <v>341</v>
      </c>
      <c r="K344" s="72" t="b">
        <f t="shared" si="10"/>
        <v>0</v>
      </c>
      <c r="L344" s="78" t="str">
        <f t="shared" si="11"/>
        <v/>
      </c>
    </row>
    <row r="345" spans="10:12" x14ac:dyDescent="0.2">
      <c r="J345" s="5">
        <v>342</v>
      </c>
      <c r="K345" s="72" t="b">
        <f t="shared" si="10"/>
        <v>0</v>
      </c>
      <c r="L345" s="78" t="str">
        <f t="shared" si="11"/>
        <v/>
      </c>
    </row>
    <row r="346" spans="10:12" x14ac:dyDescent="0.2">
      <c r="J346" s="5">
        <v>343</v>
      </c>
      <c r="K346" s="72" t="b">
        <f t="shared" si="10"/>
        <v>0</v>
      </c>
      <c r="L346" s="78" t="str">
        <f t="shared" si="11"/>
        <v/>
      </c>
    </row>
    <row r="347" spans="10:12" x14ac:dyDescent="0.2">
      <c r="J347" s="5">
        <v>344</v>
      </c>
      <c r="K347" s="72" t="b">
        <f t="shared" si="10"/>
        <v>0</v>
      </c>
      <c r="L347" s="78" t="str">
        <f t="shared" si="11"/>
        <v/>
      </c>
    </row>
    <row r="348" spans="10:12" x14ac:dyDescent="0.2">
      <c r="J348" s="5">
        <v>345</v>
      </c>
      <c r="K348" s="72" t="b">
        <f t="shared" si="10"/>
        <v>0</v>
      </c>
      <c r="L348" s="78" t="str">
        <f t="shared" si="11"/>
        <v/>
      </c>
    </row>
    <row r="349" spans="10:12" x14ac:dyDescent="0.2">
      <c r="J349" s="5">
        <v>346</v>
      </c>
      <c r="K349" s="72" t="b">
        <f t="shared" si="10"/>
        <v>0</v>
      </c>
      <c r="L349" s="78" t="str">
        <f t="shared" si="11"/>
        <v/>
      </c>
    </row>
    <row r="350" spans="10:12" x14ac:dyDescent="0.2">
      <c r="J350" s="5">
        <v>347</v>
      </c>
      <c r="K350" s="72" t="b">
        <f t="shared" si="10"/>
        <v>0</v>
      </c>
      <c r="L350" s="78" t="str">
        <f t="shared" si="11"/>
        <v/>
      </c>
    </row>
    <row r="351" spans="10:12" x14ac:dyDescent="0.2">
      <c r="J351" s="5">
        <v>348</v>
      </c>
      <c r="K351" s="72" t="b">
        <f t="shared" si="10"/>
        <v>0</v>
      </c>
      <c r="L351" s="78" t="str">
        <f t="shared" si="11"/>
        <v/>
      </c>
    </row>
    <row r="352" spans="10:12" x14ac:dyDescent="0.2">
      <c r="J352" s="5">
        <v>349</v>
      </c>
      <c r="K352" s="72" t="b">
        <f t="shared" si="10"/>
        <v>0</v>
      </c>
      <c r="L352" s="78" t="str">
        <f t="shared" si="11"/>
        <v/>
      </c>
    </row>
    <row r="353" spans="10:12" x14ac:dyDescent="0.2">
      <c r="J353" s="5">
        <v>350</v>
      </c>
      <c r="K353" s="72" t="b">
        <f t="shared" si="10"/>
        <v>0</v>
      </c>
      <c r="L353" s="78" t="str">
        <f t="shared" si="11"/>
        <v/>
      </c>
    </row>
    <row r="354" spans="10:12" x14ac:dyDescent="0.2">
      <c r="J354" s="5">
        <v>351</v>
      </c>
      <c r="K354" s="72" t="b">
        <f t="shared" si="10"/>
        <v>0</v>
      </c>
      <c r="L354" s="78" t="str">
        <f t="shared" si="11"/>
        <v/>
      </c>
    </row>
    <row r="355" spans="10:12" x14ac:dyDescent="0.2">
      <c r="J355" s="5">
        <v>352</v>
      </c>
      <c r="K355" s="72" t="b">
        <f t="shared" si="10"/>
        <v>0</v>
      </c>
      <c r="L355" s="78" t="str">
        <f t="shared" si="11"/>
        <v/>
      </c>
    </row>
    <row r="356" spans="10:12" x14ac:dyDescent="0.2">
      <c r="J356" s="5">
        <v>353</v>
      </c>
      <c r="K356" s="72" t="b">
        <f t="shared" si="10"/>
        <v>0</v>
      </c>
      <c r="L356" s="78" t="str">
        <f t="shared" si="11"/>
        <v/>
      </c>
    </row>
    <row r="357" spans="10:12" x14ac:dyDescent="0.2">
      <c r="J357" s="5">
        <v>354</v>
      </c>
      <c r="K357" s="72" t="b">
        <f t="shared" si="10"/>
        <v>0</v>
      </c>
      <c r="L357" s="78" t="str">
        <f t="shared" si="11"/>
        <v/>
      </c>
    </row>
    <row r="358" spans="10:12" x14ac:dyDescent="0.2">
      <c r="J358" s="5">
        <v>355</v>
      </c>
      <c r="K358" s="72" t="b">
        <f t="shared" si="10"/>
        <v>0</v>
      </c>
      <c r="L358" s="78" t="str">
        <f t="shared" si="11"/>
        <v/>
      </c>
    </row>
    <row r="359" spans="10:12" x14ac:dyDescent="0.2">
      <c r="J359" s="5">
        <v>356</v>
      </c>
      <c r="K359" s="72" t="b">
        <f t="shared" si="10"/>
        <v>0</v>
      </c>
      <c r="L359" s="78" t="str">
        <f t="shared" si="11"/>
        <v/>
      </c>
    </row>
    <row r="360" spans="10:12" x14ac:dyDescent="0.2">
      <c r="J360" s="5">
        <v>357</v>
      </c>
      <c r="K360" s="72" t="b">
        <f t="shared" si="10"/>
        <v>0</v>
      </c>
      <c r="L360" s="78" t="str">
        <f t="shared" si="11"/>
        <v/>
      </c>
    </row>
    <row r="361" spans="10:12" x14ac:dyDescent="0.2">
      <c r="J361" s="5">
        <v>358</v>
      </c>
      <c r="K361" s="72" t="b">
        <f t="shared" si="10"/>
        <v>0</v>
      </c>
      <c r="L361" s="78" t="str">
        <f t="shared" si="11"/>
        <v/>
      </c>
    </row>
    <row r="362" spans="10:12" x14ac:dyDescent="0.2">
      <c r="J362" s="5">
        <v>359</v>
      </c>
      <c r="K362" s="72" t="b">
        <f t="shared" si="10"/>
        <v>0</v>
      </c>
      <c r="L362" s="78" t="str">
        <f t="shared" si="11"/>
        <v/>
      </c>
    </row>
    <row r="363" spans="10:12" x14ac:dyDescent="0.2">
      <c r="J363" s="5">
        <v>360</v>
      </c>
      <c r="K363" s="72" t="b">
        <f t="shared" si="10"/>
        <v>0</v>
      </c>
      <c r="L363" s="78" t="str">
        <f t="shared" si="11"/>
        <v/>
      </c>
    </row>
  </sheetData>
  <conditionalFormatting sqref="J4:K363">
    <cfRule type="expression" dxfId="23" priority="1" stopIfTrue="1">
      <formula>$J4&gt;Plazo_Crédito</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dimension ref="B1:E242"/>
  <sheetViews>
    <sheetView showGridLines="0" workbookViewId="0">
      <selection activeCell="D39" sqref="D39:D40"/>
    </sheetView>
  </sheetViews>
  <sheetFormatPr baseColWidth="10" defaultColWidth="11.453125" defaultRowHeight="10.5" x14ac:dyDescent="0.25"/>
  <cols>
    <col min="1" max="1" width="11.453125" style="6"/>
    <col min="2" max="2" width="16.7265625" style="6" bestFit="1" customWidth="1"/>
    <col min="3" max="3" width="11.7265625" style="6" bestFit="1" customWidth="1"/>
    <col min="4" max="16384" width="11.453125" style="6"/>
  </cols>
  <sheetData>
    <row r="1" spans="2:5" x14ac:dyDescent="0.25">
      <c r="E1" s="35" t="s">
        <v>140</v>
      </c>
    </row>
    <row r="2" spans="2:5" x14ac:dyDescent="0.25">
      <c r="B2" s="32" t="s">
        <v>135</v>
      </c>
      <c r="C2" s="34">
        <f>Simulador!H48</f>
        <v>1000000</v>
      </c>
      <c r="E2" s="34">
        <f>-C2+(Simulador!L46+(Simulador!L47/1.16)+(Simulador!L49/1.16))</f>
        <v>-1000000</v>
      </c>
    </row>
    <row r="3" spans="2:5" x14ac:dyDescent="0.25">
      <c r="B3" s="32" t="s">
        <v>136</v>
      </c>
      <c r="C3" s="14">
        <f>Simulador!F62</f>
        <v>0.11</v>
      </c>
      <c r="E3" s="29">
        <f ca="1">IF(Simulador!B67="","",Simulador!I67+Simulador!J67+(Simulador!K67/1.16)+Simulador!L67)</f>
        <v>0</v>
      </c>
    </row>
    <row r="4" spans="2:5" x14ac:dyDescent="0.25">
      <c r="B4" s="32" t="s">
        <v>137</v>
      </c>
      <c r="C4" s="14" t="e">
        <f ca="1">IRR(E2:E242)</f>
        <v>#NUM!</v>
      </c>
      <c r="E4" s="29">
        <f ca="1">IF(Simulador!B68="","",Simulador!I68+Simulador!J68+(Simulador!K68/1.16)+Simulador!L68)</f>
        <v>0</v>
      </c>
    </row>
    <row r="5" spans="2:5" x14ac:dyDescent="0.25">
      <c r="B5" s="32" t="s">
        <v>138</v>
      </c>
      <c r="C5" s="36" t="e">
        <f ca="1">C4*12</f>
        <v>#NUM!</v>
      </c>
      <c r="E5" s="29">
        <f ca="1">IF(Simulador!B69="","",Simulador!I69+Simulador!J69+(Simulador!K69/1.16)+Simulador!L69)</f>
        <v>0</v>
      </c>
    </row>
    <row r="6" spans="2:5" x14ac:dyDescent="0.25">
      <c r="B6" s="33" t="s">
        <v>139</v>
      </c>
      <c r="C6" s="36" t="e">
        <f ca="1">EFFECT(C5,12)</f>
        <v>#NUM!</v>
      </c>
      <c r="E6" s="29">
        <f ca="1">IF(Simulador!B70="","",Simulador!I70+Simulador!J70+(Simulador!K70/1.16)+Simulador!L70)</f>
        <v>0</v>
      </c>
    </row>
    <row r="7" spans="2:5" x14ac:dyDescent="0.25">
      <c r="B7" s="37"/>
      <c r="C7" s="38"/>
      <c r="E7" s="29">
        <f ca="1">IF(Simulador!B71="","",Simulador!I71+Simulador!J71+(Simulador!K71/1.16)+Simulador!L71)</f>
        <v>0</v>
      </c>
    </row>
    <row r="8" spans="2:5" x14ac:dyDescent="0.25">
      <c r="E8" s="29">
        <f ca="1">IF(Simulador!B72="","",Simulador!I72+Simulador!J72+(Simulador!K72/1.16)+Simulador!L72)</f>
        <v>0</v>
      </c>
    </row>
    <row r="9" spans="2:5" x14ac:dyDescent="0.25">
      <c r="E9" s="29">
        <f ca="1">IF(Simulador!B73="","",Simulador!I73+Simulador!J73+(Simulador!K73/1.16)+Simulador!L73)</f>
        <v>0</v>
      </c>
    </row>
    <row r="10" spans="2:5" x14ac:dyDescent="0.25">
      <c r="E10" s="29">
        <f ca="1">IF(Simulador!B74="","",Simulador!I74+Simulador!J74+(Simulador!K74/1.16)+Simulador!L74)</f>
        <v>0</v>
      </c>
    </row>
    <row r="11" spans="2:5" x14ac:dyDescent="0.25">
      <c r="E11" s="29">
        <f ca="1">IF(Simulador!B75="","",Simulador!I75+Simulador!J75+(Simulador!K75/1.16)+Simulador!L75)</f>
        <v>0</v>
      </c>
    </row>
    <row r="12" spans="2:5" x14ac:dyDescent="0.25">
      <c r="E12" s="29">
        <f ca="1">IF(Simulador!B76="","",Simulador!I76+Simulador!J76+(Simulador!K76/1.16)+Simulador!L76)</f>
        <v>0</v>
      </c>
    </row>
    <row r="13" spans="2:5" x14ac:dyDescent="0.25">
      <c r="E13" s="29">
        <f ca="1">IF(Simulador!B77="","",Simulador!I77+Simulador!J77+(Simulador!K77/1.16)+Simulador!L77)</f>
        <v>0</v>
      </c>
    </row>
    <row r="14" spans="2:5" x14ac:dyDescent="0.25">
      <c r="E14" s="29">
        <f ca="1">IF(Simulador!B78="","",Simulador!I78+Simulador!J78+(Simulador!K78/1.16)+Simulador!L78)</f>
        <v>0</v>
      </c>
    </row>
    <row r="15" spans="2:5" x14ac:dyDescent="0.25">
      <c r="E15" s="29">
        <f ca="1">IF(Simulador!B79="","",Simulador!I79+Simulador!J79+(Simulador!K79/1.16)+Simulador!L79)</f>
        <v>0</v>
      </c>
    </row>
    <row r="16" spans="2:5" x14ac:dyDescent="0.25">
      <c r="E16" s="29">
        <f ca="1">IF(Simulador!B80="","",Simulador!I80+Simulador!J80+(Simulador!K80/1.16)+Simulador!L80)</f>
        <v>0</v>
      </c>
    </row>
    <row r="17" spans="5:5" x14ac:dyDescent="0.25">
      <c r="E17" s="29">
        <f ca="1">IF(Simulador!B81="","",Simulador!I81+Simulador!J81+(Simulador!K81/1.16)+Simulador!L81)</f>
        <v>0</v>
      </c>
    </row>
    <row r="18" spans="5:5" x14ac:dyDescent="0.25">
      <c r="E18" s="29">
        <f ca="1">IF(Simulador!B82="","",Simulador!I82+Simulador!J82+(Simulador!K82/1.16)+Simulador!L82)</f>
        <v>0</v>
      </c>
    </row>
    <row r="19" spans="5:5" x14ac:dyDescent="0.25">
      <c r="E19" s="29">
        <f ca="1">IF(Simulador!B83="","",Simulador!I83+Simulador!J83+(Simulador!K83/1.16)+Simulador!L83)</f>
        <v>0</v>
      </c>
    </row>
    <row r="20" spans="5:5" x14ac:dyDescent="0.25">
      <c r="E20" s="29">
        <f ca="1">IF(Simulador!B84="","",Simulador!I84+Simulador!J84+(Simulador!K84/1.16)+Simulador!L84)</f>
        <v>0</v>
      </c>
    </row>
    <row r="21" spans="5:5" x14ac:dyDescent="0.25">
      <c r="E21" s="29">
        <f ca="1">IF(Simulador!B85="","",Simulador!I85+Simulador!J85+(Simulador!K85/1.16)+Simulador!L85)</f>
        <v>0</v>
      </c>
    </row>
    <row r="22" spans="5:5" x14ac:dyDescent="0.25">
      <c r="E22" s="29">
        <f ca="1">IF(Simulador!B86="","",Simulador!I86+Simulador!J86+(Simulador!K86/1.16)+Simulador!L86)</f>
        <v>0</v>
      </c>
    </row>
    <row r="23" spans="5:5" x14ac:dyDescent="0.25">
      <c r="E23" s="29">
        <f ca="1">IF(Simulador!B87="","",Simulador!I87+Simulador!J87+(Simulador!K87/1.16)+Simulador!L87)</f>
        <v>0</v>
      </c>
    </row>
    <row r="24" spans="5:5" x14ac:dyDescent="0.25">
      <c r="E24" s="29">
        <f ca="1">IF(Simulador!B88="","",Simulador!I88+Simulador!J88+(Simulador!K88/1.16)+Simulador!L88)</f>
        <v>0</v>
      </c>
    </row>
    <row r="25" spans="5:5" x14ac:dyDescent="0.25">
      <c r="E25" s="29">
        <f ca="1">IF(Simulador!B89="","",Simulador!I89+Simulador!J89+(Simulador!K89/1.16)+Simulador!L89)</f>
        <v>0</v>
      </c>
    </row>
    <row r="26" spans="5:5" x14ac:dyDescent="0.25">
      <c r="E26" s="29">
        <f ca="1">IF(Simulador!B90="","",Simulador!I90+Simulador!J90+(Simulador!K90/1.16)+Simulador!L90)</f>
        <v>0</v>
      </c>
    </row>
    <row r="27" spans="5:5" x14ac:dyDescent="0.25">
      <c r="E27" s="29">
        <f ca="1">IF(Simulador!B91="","",Simulador!I91+Simulador!J91+(Simulador!K91/1.16)+Simulador!L91)</f>
        <v>0</v>
      </c>
    </row>
    <row r="28" spans="5:5" x14ac:dyDescent="0.25">
      <c r="E28" s="29">
        <f ca="1">IF(Simulador!B92="","",Simulador!I92+Simulador!J92+(Simulador!K92/1.16)+Simulador!L92)</f>
        <v>0</v>
      </c>
    </row>
    <row r="29" spans="5:5" x14ac:dyDescent="0.25">
      <c r="E29" s="29">
        <f ca="1">IF(Simulador!B93="","",Simulador!I93+Simulador!J93+(Simulador!K93/1.16)+Simulador!L93)</f>
        <v>0</v>
      </c>
    </row>
    <row r="30" spans="5:5" x14ac:dyDescent="0.25">
      <c r="E30" s="29">
        <f ca="1">IF(Simulador!B94="","",Simulador!I94+Simulador!J94+(Simulador!K94/1.16)+Simulador!L94)</f>
        <v>0</v>
      </c>
    </row>
    <row r="31" spans="5:5" x14ac:dyDescent="0.25">
      <c r="E31" s="29">
        <f ca="1">IF(Simulador!B95="","",Simulador!I95+Simulador!J95+(Simulador!K95/1.16)+Simulador!L95)</f>
        <v>0</v>
      </c>
    </row>
    <row r="32" spans="5:5" x14ac:dyDescent="0.25">
      <c r="E32" s="29">
        <f ca="1">IF(Simulador!B96="","",Simulador!I96+Simulador!J96+(Simulador!K96/1.16)+Simulador!L96)</f>
        <v>0</v>
      </c>
    </row>
    <row r="33" spans="5:5" x14ac:dyDescent="0.25">
      <c r="E33" s="29">
        <f ca="1">IF(Simulador!B97="","",Simulador!I97+Simulador!J97+(Simulador!K97/1.16)+Simulador!L97)</f>
        <v>0</v>
      </c>
    </row>
    <row r="34" spans="5:5" x14ac:dyDescent="0.25">
      <c r="E34" s="29">
        <f ca="1">IF(Simulador!B98="","",Simulador!I98+Simulador!J98+(Simulador!K98/1.16)+Simulador!L98)</f>
        <v>0</v>
      </c>
    </row>
    <row r="35" spans="5:5" x14ac:dyDescent="0.25">
      <c r="E35" s="29">
        <f ca="1">IF(Simulador!B99="","",Simulador!I99+Simulador!J99+(Simulador!K99/1.16)+Simulador!L99)</f>
        <v>0</v>
      </c>
    </row>
    <row r="36" spans="5:5" x14ac:dyDescent="0.25">
      <c r="E36" s="29">
        <f ca="1">IF(Simulador!B100="","",Simulador!I100+Simulador!J100+(Simulador!K100/1.16)+Simulador!L100)</f>
        <v>0</v>
      </c>
    </row>
    <row r="37" spans="5:5" x14ac:dyDescent="0.25">
      <c r="E37" s="29">
        <f ca="1">IF(Simulador!B101="","",Simulador!I101+Simulador!J101+(Simulador!K101/1.16)+Simulador!L101)</f>
        <v>0</v>
      </c>
    </row>
    <row r="38" spans="5:5" x14ac:dyDescent="0.25">
      <c r="E38" s="29">
        <f ca="1">IF(Simulador!B102="","",Simulador!I102+Simulador!J102+(Simulador!K102/1.16)+Simulador!L102)</f>
        <v>0</v>
      </c>
    </row>
    <row r="39" spans="5:5" x14ac:dyDescent="0.25">
      <c r="E39" s="29">
        <f ca="1">IF(Simulador!B103="","",Simulador!I103+Simulador!J103+(Simulador!K103/1.16)+Simulador!L103)</f>
        <v>0</v>
      </c>
    </row>
    <row r="40" spans="5:5" x14ac:dyDescent="0.25">
      <c r="E40" s="29">
        <f ca="1">IF(Simulador!B104="","",Simulador!I104+Simulador!J104+(Simulador!K104/1.16)+Simulador!L104)</f>
        <v>0</v>
      </c>
    </row>
    <row r="41" spans="5:5" x14ac:dyDescent="0.25">
      <c r="E41" s="29">
        <f ca="1">IF(Simulador!B105="","",Simulador!I105+Simulador!J105+(Simulador!K105/1.16)+Simulador!L105)</f>
        <v>0</v>
      </c>
    </row>
    <row r="42" spans="5:5" x14ac:dyDescent="0.25">
      <c r="E42" s="29">
        <f ca="1">IF(Simulador!B106="","",Simulador!I106+Simulador!J106+(Simulador!K106/1.16)+Simulador!L106)</f>
        <v>0</v>
      </c>
    </row>
    <row r="43" spans="5:5" x14ac:dyDescent="0.25">
      <c r="E43" s="29">
        <f ca="1">IF(Simulador!B107="","",Simulador!I107+Simulador!J107+(Simulador!K107/1.16)+Simulador!L107)</f>
        <v>0</v>
      </c>
    </row>
    <row r="44" spans="5:5" x14ac:dyDescent="0.25">
      <c r="E44" s="29">
        <f ca="1">IF(Simulador!B108="","",Simulador!I108+Simulador!J108+(Simulador!K108/1.16)+Simulador!L108)</f>
        <v>0</v>
      </c>
    </row>
    <row r="45" spans="5:5" x14ac:dyDescent="0.25">
      <c r="E45" s="29">
        <f ca="1">IF(Simulador!B109="","",Simulador!I109+Simulador!J109+(Simulador!K109/1.16)+Simulador!L109)</f>
        <v>0</v>
      </c>
    </row>
    <row r="46" spans="5:5" x14ac:dyDescent="0.25">
      <c r="E46" s="29">
        <f ca="1">IF(Simulador!B110="","",Simulador!I110+Simulador!J110+(Simulador!K110/1.16)+Simulador!L110)</f>
        <v>0</v>
      </c>
    </row>
    <row r="47" spans="5:5" x14ac:dyDescent="0.25">
      <c r="E47" s="29">
        <f ca="1">IF(Simulador!B111="","",Simulador!I111+Simulador!J111+(Simulador!K111/1.16)+Simulador!L111)</f>
        <v>0</v>
      </c>
    </row>
    <row r="48" spans="5:5" x14ac:dyDescent="0.25">
      <c r="E48" s="29">
        <f ca="1">IF(Simulador!B112="","",Simulador!I112+Simulador!J112+(Simulador!K112/1.16)+Simulador!L112)</f>
        <v>0</v>
      </c>
    </row>
    <row r="49" spans="5:5" x14ac:dyDescent="0.25">
      <c r="E49" s="29">
        <f ca="1">IF(Simulador!B113="","",Simulador!I113+Simulador!J113+(Simulador!K113/1.16)+Simulador!L113)</f>
        <v>0</v>
      </c>
    </row>
    <row r="50" spans="5:5" x14ac:dyDescent="0.25">
      <c r="E50" s="29">
        <f ca="1">IF(Simulador!B114="","",Simulador!I114+Simulador!J114+(Simulador!K114/1.16)+Simulador!L114)</f>
        <v>0</v>
      </c>
    </row>
    <row r="51" spans="5:5" x14ac:dyDescent="0.25">
      <c r="E51" s="29">
        <f ca="1">IF(Simulador!B115="","",Simulador!I115+Simulador!J115+(Simulador!K115/1.16)+Simulador!L115)</f>
        <v>0</v>
      </c>
    </row>
    <row r="52" spans="5:5" x14ac:dyDescent="0.25">
      <c r="E52" s="29">
        <f ca="1">IF(Simulador!B116="","",Simulador!I116+Simulador!J116+(Simulador!K116/1.16)+Simulador!L116)</f>
        <v>0</v>
      </c>
    </row>
    <row r="53" spans="5:5" x14ac:dyDescent="0.25">
      <c r="E53" s="29">
        <f ca="1">IF(Simulador!B117="","",Simulador!I117+Simulador!J117+(Simulador!K117/1.16)+Simulador!L117)</f>
        <v>0</v>
      </c>
    </row>
    <row r="54" spans="5:5" x14ac:dyDescent="0.25">
      <c r="E54" s="29">
        <f ca="1">IF(Simulador!B118="","",Simulador!I118+Simulador!J118+(Simulador!K118/1.16)+Simulador!L118)</f>
        <v>0</v>
      </c>
    </row>
    <row r="55" spans="5:5" x14ac:dyDescent="0.25">
      <c r="E55" s="29">
        <f ca="1">IF(Simulador!B119="","",Simulador!I119+Simulador!J119+(Simulador!K119/1.16)+Simulador!L119)</f>
        <v>0</v>
      </c>
    </row>
    <row r="56" spans="5:5" x14ac:dyDescent="0.25">
      <c r="E56" s="29">
        <f ca="1">IF(Simulador!B120="","",Simulador!I120+Simulador!J120+(Simulador!K120/1.16)+Simulador!L120)</f>
        <v>0</v>
      </c>
    </row>
    <row r="57" spans="5:5" x14ac:dyDescent="0.25">
      <c r="E57" s="29">
        <f ca="1">IF(Simulador!B121="","",Simulador!I121+Simulador!J121+(Simulador!K121/1.16)+Simulador!L121)</f>
        <v>0</v>
      </c>
    </row>
    <row r="58" spans="5:5" x14ac:dyDescent="0.25">
      <c r="E58" s="29">
        <f ca="1">IF(Simulador!B122="","",Simulador!I122+Simulador!J122+(Simulador!K122/1.16)+Simulador!L122)</f>
        <v>0</v>
      </c>
    </row>
    <row r="59" spans="5:5" x14ac:dyDescent="0.25">
      <c r="E59" s="29">
        <f ca="1">IF(Simulador!B123="","",Simulador!I123+Simulador!J123+(Simulador!K123/1.16)+Simulador!L123)</f>
        <v>0</v>
      </c>
    </row>
    <row r="60" spans="5:5" x14ac:dyDescent="0.25">
      <c r="E60" s="29">
        <f ca="1">IF(Simulador!B124="","",Simulador!I124+Simulador!J124+(Simulador!K124/1.16)+Simulador!L124)</f>
        <v>0</v>
      </c>
    </row>
    <row r="61" spans="5:5" x14ac:dyDescent="0.25">
      <c r="E61" s="29">
        <f ca="1">IF(Simulador!B125="","",Simulador!I125+Simulador!J125+(Simulador!K125/1.16)+Simulador!L125)</f>
        <v>0</v>
      </c>
    </row>
    <row r="62" spans="5:5" x14ac:dyDescent="0.25">
      <c r="E62" s="29">
        <f ca="1">IF(Simulador!B126="","",Simulador!I126+Simulador!J126+(Simulador!K126/1.16)+Simulador!L126)</f>
        <v>0</v>
      </c>
    </row>
    <row r="63" spans="5:5" x14ac:dyDescent="0.25">
      <c r="E63" s="29">
        <f ca="1">IF(Simulador!B127="","",Simulador!I127+Simulador!J127+(Simulador!K127/1.16)+Simulador!L127)</f>
        <v>0</v>
      </c>
    </row>
    <row r="64" spans="5:5" x14ac:dyDescent="0.25">
      <c r="E64" s="29">
        <f ca="1">IF(Simulador!B128="","",Simulador!I128+Simulador!J128+(Simulador!K128/1.16)+Simulador!L128)</f>
        <v>0</v>
      </c>
    </row>
    <row r="65" spans="5:5" x14ac:dyDescent="0.25">
      <c r="E65" s="29">
        <f ca="1">IF(Simulador!B129="","",Simulador!I129+Simulador!J129+(Simulador!K129/1.16)+Simulador!L129)</f>
        <v>0</v>
      </c>
    </row>
    <row r="66" spans="5:5" x14ac:dyDescent="0.25">
      <c r="E66" s="29">
        <f ca="1">IF(Simulador!B130="","",Simulador!I130+Simulador!J130+(Simulador!K130/1.16)+Simulador!L130)</f>
        <v>0</v>
      </c>
    </row>
    <row r="67" spans="5:5" x14ac:dyDescent="0.25">
      <c r="E67" s="29">
        <f ca="1">IF(Simulador!B131="","",Simulador!I131+Simulador!J131+(Simulador!K131/1.16)+Simulador!L131)</f>
        <v>0</v>
      </c>
    </row>
    <row r="68" spans="5:5" x14ac:dyDescent="0.25">
      <c r="E68" s="29">
        <f ca="1">IF(Simulador!B132="","",Simulador!I132+Simulador!J132+(Simulador!K132/1.16)+Simulador!L132)</f>
        <v>0</v>
      </c>
    </row>
    <row r="69" spans="5:5" x14ac:dyDescent="0.25">
      <c r="E69" s="29">
        <f ca="1">IF(Simulador!B133="","",Simulador!I133+Simulador!J133+(Simulador!K133/1.16)+Simulador!L133)</f>
        <v>0</v>
      </c>
    </row>
    <row r="70" spans="5:5" x14ac:dyDescent="0.25">
      <c r="E70" s="29">
        <f ca="1">IF(Simulador!B134="","",Simulador!I134+Simulador!J134+(Simulador!K134/1.16)+Simulador!L134)</f>
        <v>0</v>
      </c>
    </row>
    <row r="71" spans="5:5" x14ac:dyDescent="0.25">
      <c r="E71" s="29">
        <f ca="1">IF(Simulador!B135="","",Simulador!I135+Simulador!J135+(Simulador!K135/1.16)+Simulador!L135)</f>
        <v>0</v>
      </c>
    </row>
    <row r="72" spans="5:5" x14ac:dyDescent="0.25">
      <c r="E72" s="29">
        <f ca="1">IF(Simulador!B136="","",Simulador!I136+Simulador!J136+(Simulador!K136/1.16)+Simulador!L136)</f>
        <v>0</v>
      </c>
    </row>
    <row r="73" spans="5:5" x14ac:dyDescent="0.25">
      <c r="E73" s="29">
        <f ca="1">IF(Simulador!B137="","",Simulador!I137+Simulador!J137+(Simulador!K137/1.16)+Simulador!L137)</f>
        <v>0</v>
      </c>
    </row>
    <row r="74" spans="5:5" x14ac:dyDescent="0.25">
      <c r="E74" s="29">
        <f ca="1">IF(Simulador!B138="","",Simulador!I138+Simulador!J138+(Simulador!K138/1.16)+Simulador!L138)</f>
        <v>0</v>
      </c>
    </row>
    <row r="75" spans="5:5" x14ac:dyDescent="0.25">
      <c r="E75" s="29">
        <f ca="1">IF(Simulador!B139="","",Simulador!I139+Simulador!J139+(Simulador!K139/1.16)+Simulador!L139)</f>
        <v>0</v>
      </c>
    </row>
    <row r="76" spans="5:5" x14ac:dyDescent="0.25">
      <c r="E76" s="29">
        <f ca="1">IF(Simulador!B140="","",Simulador!I140+Simulador!J140+(Simulador!K140/1.16)+Simulador!L140)</f>
        <v>0</v>
      </c>
    </row>
    <row r="77" spans="5:5" x14ac:dyDescent="0.25">
      <c r="E77" s="29">
        <f ca="1">IF(Simulador!B141="","",Simulador!I141+Simulador!J141+(Simulador!K141/1.16)+Simulador!L141)</f>
        <v>0</v>
      </c>
    </row>
    <row r="78" spans="5:5" x14ac:dyDescent="0.25">
      <c r="E78" s="29">
        <f ca="1">IF(Simulador!B142="","",Simulador!I142+Simulador!J142+(Simulador!K142/1.16)+Simulador!L142)</f>
        <v>0</v>
      </c>
    </row>
    <row r="79" spans="5:5" x14ac:dyDescent="0.25">
      <c r="E79" s="29">
        <f ca="1">IF(Simulador!B143="","",Simulador!I143+Simulador!J143+(Simulador!K143/1.16)+Simulador!L143)</f>
        <v>0</v>
      </c>
    </row>
    <row r="80" spans="5:5" x14ac:dyDescent="0.25">
      <c r="E80" s="29">
        <f ca="1">IF(Simulador!B144="","",Simulador!I144+Simulador!J144+(Simulador!K144/1.16)+Simulador!L144)</f>
        <v>0</v>
      </c>
    </row>
    <row r="81" spans="5:5" x14ac:dyDescent="0.25">
      <c r="E81" s="29">
        <f ca="1">IF(Simulador!B145="","",Simulador!I145+Simulador!J145+(Simulador!K145/1.16)+Simulador!L145)</f>
        <v>0</v>
      </c>
    </row>
    <row r="82" spans="5:5" x14ac:dyDescent="0.25">
      <c r="E82" s="29">
        <f ca="1">IF(Simulador!B146="","",Simulador!I146+Simulador!J146+(Simulador!K146/1.16)+Simulador!L146)</f>
        <v>0</v>
      </c>
    </row>
    <row r="83" spans="5:5" x14ac:dyDescent="0.25">
      <c r="E83" s="29">
        <f ca="1">IF(Simulador!B147="","",Simulador!I147+Simulador!J147+(Simulador!K147/1.16)+Simulador!L147)</f>
        <v>0</v>
      </c>
    </row>
    <row r="84" spans="5:5" x14ac:dyDescent="0.25">
      <c r="E84" s="29">
        <f ca="1">IF(Simulador!B148="","",Simulador!I148+Simulador!J148+(Simulador!K148/1.16)+Simulador!L148)</f>
        <v>0</v>
      </c>
    </row>
    <row r="85" spans="5:5" x14ac:dyDescent="0.25">
      <c r="E85" s="29">
        <f ca="1">IF(Simulador!B149="","",Simulador!I149+Simulador!J149+(Simulador!K149/1.16)+Simulador!L149)</f>
        <v>0</v>
      </c>
    </row>
    <row r="86" spans="5:5" x14ac:dyDescent="0.25">
      <c r="E86" s="29">
        <f ca="1">IF(Simulador!B150="","",Simulador!I150+Simulador!J150+(Simulador!K150/1.16)+Simulador!L150)</f>
        <v>0</v>
      </c>
    </row>
    <row r="87" spans="5:5" x14ac:dyDescent="0.25">
      <c r="E87" s="29">
        <f ca="1">IF(Simulador!B151="","",Simulador!I151+Simulador!J151+(Simulador!K151/1.16)+Simulador!L151)</f>
        <v>0</v>
      </c>
    </row>
    <row r="88" spans="5:5" x14ac:dyDescent="0.25">
      <c r="E88" s="29">
        <f ca="1">IF(Simulador!B152="","",Simulador!I152+Simulador!J152+(Simulador!K152/1.16)+Simulador!L152)</f>
        <v>0</v>
      </c>
    </row>
    <row r="89" spans="5:5" x14ac:dyDescent="0.25">
      <c r="E89" s="29">
        <f ca="1">IF(Simulador!B153="","",Simulador!I153+Simulador!J153+(Simulador!K153/1.16)+Simulador!L153)</f>
        <v>0</v>
      </c>
    </row>
    <row r="90" spans="5:5" x14ac:dyDescent="0.25">
      <c r="E90" s="29">
        <f ca="1">IF(Simulador!B154="","",Simulador!I154+Simulador!J154+(Simulador!K154/1.16)+Simulador!L154)</f>
        <v>0</v>
      </c>
    </row>
    <row r="91" spans="5:5" x14ac:dyDescent="0.25">
      <c r="E91" s="29">
        <f ca="1">IF(Simulador!B155="","",Simulador!I155+Simulador!J155+(Simulador!K155/1.16)+Simulador!L155)</f>
        <v>0</v>
      </c>
    </row>
    <row r="92" spans="5:5" x14ac:dyDescent="0.25">
      <c r="E92" s="29">
        <f ca="1">IF(Simulador!B156="","",Simulador!I156+Simulador!J156+(Simulador!K156/1.16)+Simulador!L156)</f>
        <v>0</v>
      </c>
    </row>
    <row r="93" spans="5:5" x14ac:dyDescent="0.25">
      <c r="E93" s="29">
        <f ca="1">IF(Simulador!B157="","",Simulador!I157+Simulador!J157+(Simulador!K157/1.16)+Simulador!L157)</f>
        <v>0</v>
      </c>
    </row>
    <row r="94" spans="5:5" x14ac:dyDescent="0.25">
      <c r="E94" s="29">
        <f ca="1">IF(Simulador!B158="","",Simulador!I158+Simulador!J158+(Simulador!K158/1.16)+Simulador!L158)</f>
        <v>0</v>
      </c>
    </row>
    <row r="95" spans="5:5" x14ac:dyDescent="0.25">
      <c r="E95" s="29">
        <f ca="1">IF(Simulador!B159="","",Simulador!I159+Simulador!J159+(Simulador!K159/1.16)+Simulador!L159)</f>
        <v>0</v>
      </c>
    </row>
    <row r="96" spans="5:5" x14ac:dyDescent="0.25">
      <c r="E96" s="29">
        <f ca="1">IF(Simulador!B160="","",Simulador!I160+Simulador!J160+(Simulador!K160/1.16)+Simulador!L160)</f>
        <v>0</v>
      </c>
    </row>
    <row r="97" spans="5:5" x14ac:dyDescent="0.25">
      <c r="E97" s="29">
        <f ca="1">IF(Simulador!B161="","",Simulador!I161+Simulador!J161+(Simulador!K161/1.16)+Simulador!L161)</f>
        <v>0</v>
      </c>
    </row>
    <row r="98" spans="5:5" x14ac:dyDescent="0.25">
      <c r="E98" s="29">
        <f ca="1">IF(Simulador!B162="","",Simulador!I162+Simulador!J162+(Simulador!K162/1.16)+Simulador!L162)</f>
        <v>0</v>
      </c>
    </row>
    <row r="99" spans="5:5" x14ac:dyDescent="0.25">
      <c r="E99" s="29">
        <f ca="1">IF(Simulador!B163="","",Simulador!I163+Simulador!J163+(Simulador!K163/1.16)+Simulador!L163)</f>
        <v>0</v>
      </c>
    </row>
    <row r="100" spans="5:5" x14ac:dyDescent="0.25">
      <c r="E100" s="29">
        <f ca="1">IF(Simulador!B164="","",Simulador!I164+Simulador!J164+(Simulador!K164/1.16)+Simulador!L164)</f>
        <v>0</v>
      </c>
    </row>
    <row r="101" spans="5:5" x14ac:dyDescent="0.25">
      <c r="E101" s="29">
        <f ca="1">IF(Simulador!B165="","",Simulador!I165+Simulador!J165+(Simulador!K165/1.16)+Simulador!L165)</f>
        <v>0</v>
      </c>
    </row>
    <row r="102" spans="5:5" x14ac:dyDescent="0.25">
      <c r="E102" s="29">
        <f ca="1">IF(Simulador!B166="","",Simulador!I166+Simulador!J166+(Simulador!K166/1.16)+Simulador!L166)</f>
        <v>0</v>
      </c>
    </row>
    <row r="103" spans="5:5" x14ac:dyDescent="0.25">
      <c r="E103" s="29">
        <f ca="1">IF(Simulador!B167="","",Simulador!I167+Simulador!J167+(Simulador!K167/1.16)+Simulador!L167)</f>
        <v>0</v>
      </c>
    </row>
    <row r="104" spans="5:5" x14ac:dyDescent="0.25">
      <c r="E104" s="29">
        <f ca="1">IF(Simulador!B168="","",Simulador!I168+Simulador!J168+(Simulador!K168/1.16)+Simulador!L168)</f>
        <v>0</v>
      </c>
    </row>
    <row r="105" spans="5:5" x14ac:dyDescent="0.25">
      <c r="E105" s="29">
        <f ca="1">IF(Simulador!B169="","",Simulador!I169+Simulador!J169+(Simulador!K169/1.16)+Simulador!L169)</f>
        <v>0</v>
      </c>
    </row>
    <row r="106" spans="5:5" x14ac:dyDescent="0.25">
      <c r="E106" s="29">
        <f ca="1">IF(Simulador!B170="","",Simulador!I170+Simulador!J170+(Simulador!K170/1.16)+Simulador!L170)</f>
        <v>0</v>
      </c>
    </row>
    <row r="107" spans="5:5" x14ac:dyDescent="0.25">
      <c r="E107" s="29">
        <f ca="1">IF(Simulador!B171="","",Simulador!I171+Simulador!J171+(Simulador!K171/1.16)+Simulador!L171)</f>
        <v>0</v>
      </c>
    </row>
    <row r="108" spans="5:5" x14ac:dyDescent="0.25">
      <c r="E108" s="29">
        <f ca="1">IF(Simulador!B172="","",Simulador!I172+Simulador!J172+(Simulador!K172/1.16)+Simulador!L172)</f>
        <v>0</v>
      </c>
    </row>
    <row r="109" spans="5:5" x14ac:dyDescent="0.25">
      <c r="E109" s="29">
        <f ca="1">IF(Simulador!B173="","",Simulador!I173+Simulador!J173+(Simulador!K173/1.16)+Simulador!L173)</f>
        <v>0</v>
      </c>
    </row>
    <row r="110" spans="5:5" x14ac:dyDescent="0.25">
      <c r="E110" s="29">
        <f ca="1">IF(Simulador!B174="","",Simulador!I174+Simulador!J174+(Simulador!K174/1.16)+Simulador!L174)</f>
        <v>0</v>
      </c>
    </row>
    <row r="111" spans="5:5" x14ac:dyDescent="0.25">
      <c r="E111" s="29">
        <f ca="1">IF(Simulador!B175="","",Simulador!I175+Simulador!J175+(Simulador!K175/1.16)+Simulador!L175)</f>
        <v>0</v>
      </c>
    </row>
    <row r="112" spans="5:5" x14ac:dyDescent="0.25">
      <c r="E112" s="29">
        <f ca="1">IF(Simulador!B176="","",Simulador!I176+Simulador!J176+(Simulador!K176/1.16)+Simulador!L176)</f>
        <v>0</v>
      </c>
    </row>
    <row r="113" spans="5:5" x14ac:dyDescent="0.25">
      <c r="E113" s="29">
        <f ca="1">IF(Simulador!B177="","",Simulador!I177+Simulador!J177+(Simulador!K177/1.16)+Simulador!L177)</f>
        <v>0</v>
      </c>
    </row>
    <row r="114" spans="5:5" x14ac:dyDescent="0.25">
      <c r="E114" s="29">
        <f ca="1">IF(Simulador!B178="","",Simulador!I178+Simulador!J178+(Simulador!K178/1.16)+Simulador!L178)</f>
        <v>0</v>
      </c>
    </row>
    <row r="115" spans="5:5" x14ac:dyDescent="0.25">
      <c r="E115" s="29">
        <f ca="1">IF(Simulador!B179="","",Simulador!I179+Simulador!J179+(Simulador!K179/1.16)+Simulador!L179)</f>
        <v>0</v>
      </c>
    </row>
    <row r="116" spans="5:5" x14ac:dyDescent="0.25">
      <c r="E116" s="29">
        <f ca="1">IF(Simulador!B180="","",Simulador!I180+Simulador!J180+(Simulador!K180/1.16)+Simulador!L180)</f>
        <v>0</v>
      </c>
    </row>
    <row r="117" spans="5:5" x14ac:dyDescent="0.25">
      <c r="E117" s="29">
        <f ca="1">IF(Simulador!B181="","",Simulador!I181+Simulador!J181+(Simulador!K181/1.16)+Simulador!L181)</f>
        <v>0</v>
      </c>
    </row>
    <row r="118" spans="5:5" x14ac:dyDescent="0.25">
      <c r="E118" s="29">
        <f ca="1">IF(Simulador!B182="","",Simulador!I182+Simulador!J182+(Simulador!K182/1.16)+Simulador!L182)</f>
        <v>0</v>
      </c>
    </row>
    <row r="119" spans="5:5" x14ac:dyDescent="0.25">
      <c r="E119" s="29">
        <f ca="1">IF(Simulador!B183="","",Simulador!I183+Simulador!J183+(Simulador!K183/1.16)+Simulador!L183)</f>
        <v>0</v>
      </c>
    </row>
    <row r="120" spans="5:5" x14ac:dyDescent="0.25">
      <c r="E120" s="29">
        <f ca="1">IF(Simulador!B184="","",Simulador!I184+Simulador!J184+(Simulador!K184/1.16)+Simulador!L184)</f>
        <v>0</v>
      </c>
    </row>
    <row r="121" spans="5:5" x14ac:dyDescent="0.25">
      <c r="E121" s="29">
        <f ca="1">IF(Simulador!B185="","",Simulador!I185+Simulador!J185+(Simulador!K185/1.16)+Simulador!L185)</f>
        <v>0</v>
      </c>
    </row>
    <row r="122" spans="5:5" x14ac:dyDescent="0.25">
      <c r="E122" s="29">
        <f ca="1">IF(Simulador!B186="","",Simulador!I186+Simulador!J186+(Simulador!K186/1.16)+Simulador!L186)</f>
        <v>0</v>
      </c>
    </row>
    <row r="123" spans="5:5" x14ac:dyDescent="0.25">
      <c r="E123" s="29">
        <f ca="1">IF(Simulador!B187="","",Simulador!I187+Simulador!J187+(Simulador!K187/1.16)+Simulador!L187)</f>
        <v>0</v>
      </c>
    </row>
    <row r="124" spans="5:5" x14ac:dyDescent="0.25">
      <c r="E124" s="29">
        <f ca="1">IF(Simulador!B188="","",Simulador!I188+Simulador!J188+(Simulador!K188/1.16)+Simulador!L188)</f>
        <v>0</v>
      </c>
    </row>
    <row r="125" spans="5:5" x14ac:dyDescent="0.25">
      <c r="E125" s="29">
        <f ca="1">IF(Simulador!B189="","",Simulador!I189+Simulador!J189+(Simulador!K189/1.16)+Simulador!L189)</f>
        <v>0</v>
      </c>
    </row>
    <row r="126" spans="5:5" x14ac:dyDescent="0.25">
      <c r="E126" s="29">
        <f ca="1">IF(Simulador!B190="","",Simulador!I190+Simulador!J190+(Simulador!K190/1.16)+Simulador!L190)</f>
        <v>0</v>
      </c>
    </row>
    <row r="127" spans="5:5" x14ac:dyDescent="0.25">
      <c r="E127" s="29">
        <f ca="1">IF(Simulador!B191="","",Simulador!I191+Simulador!J191+(Simulador!K191/1.16)+Simulador!L191)</f>
        <v>0</v>
      </c>
    </row>
    <row r="128" spans="5:5" x14ac:dyDescent="0.25">
      <c r="E128" s="29">
        <f ca="1">IF(Simulador!B192="","",Simulador!I192+Simulador!J192+(Simulador!K192/1.16)+Simulador!L192)</f>
        <v>0</v>
      </c>
    </row>
    <row r="129" spans="5:5" x14ac:dyDescent="0.25">
      <c r="E129" s="29">
        <f ca="1">IF(Simulador!B193="","",Simulador!I193+Simulador!J193+(Simulador!K193/1.16)+Simulador!L193)</f>
        <v>0</v>
      </c>
    </row>
    <row r="130" spans="5:5" x14ac:dyDescent="0.25">
      <c r="E130" s="29">
        <f ca="1">IF(Simulador!B194="","",Simulador!I194+Simulador!J194+(Simulador!K194/1.16)+Simulador!L194)</f>
        <v>0</v>
      </c>
    </row>
    <row r="131" spans="5:5" x14ac:dyDescent="0.25">
      <c r="E131" s="29">
        <f ca="1">IF(Simulador!B195="","",Simulador!I195+Simulador!J195+(Simulador!K195/1.16)+Simulador!L195)</f>
        <v>0</v>
      </c>
    </row>
    <row r="132" spans="5:5" x14ac:dyDescent="0.25">
      <c r="E132" s="29">
        <f ca="1">IF(Simulador!B196="","",Simulador!I196+Simulador!J196+(Simulador!K196/1.16)+Simulador!L196)</f>
        <v>0</v>
      </c>
    </row>
    <row r="133" spans="5:5" x14ac:dyDescent="0.25">
      <c r="E133" s="29">
        <f ca="1">IF(Simulador!B197="","",Simulador!I197+Simulador!J197+(Simulador!K197/1.16)+Simulador!L197)</f>
        <v>0</v>
      </c>
    </row>
    <row r="134" spans="5:5" x14ac:dyDescent="0.25">
      <c r="E134" s="29">
        <f ca="1">IF(Simulador!B198="","",Simulador!I198+Simulador!J198+(Simulador!K198/1.16)+Simulador!L198)</f>
        <v>0</v>
      </c>
    </row>
    <row r="135" spans="5:5" x14ac:dyDescent="0.25">
      <c r="E135" s="29">
        <f ca="1">IF(Simulador!B199="","",Simulador!I199+Simulador!J199+(Simulador!K199/1.16)+Simulador!L199)</f>
        <v>0</v>
      </c>
    </row>
    <row r="136" spans="5:5" x14ac:dyDescent="0.25">
      <c r="E136" s="29">
        <f ca="1">IF(Simulador!B200="","",Simulador!I200+Simulador!J200+(Simulador!K200/1.16)+Simulador!L200)</f>
        <v>0</v>
      </c>
    </row>
    <row r="137" spans="5:5" x14ac:dyDescent="0.25">
      <c r="E137" s="29">
        <f ca="1">IF(Simulador!B201="","",Simulador!I201+Simulador!J201+(Simulador!K201/1.16)+Simulador!L201)</f>
        <v>0</v>
      </c>
    </row>
    <row r="138" spans="5:5" x14ac:dyDescent="0.25">
      <c r="E138" s="29">
        <f ca="1">IF(Simulador!B202="","",Simulador!I202+Simulador!J202+(Simulador!K202/1.16)+Simulador!L202)</f>
        <v>0</v>
      </c>
    </row>
    <row r="139" spans="5:5" x14ac:dyDescent="0.25">
      <c r="E139" s="29">
        <f ca="1">IF(Simulador!B203="","",Simulador!I203+Simulador!J203+(Simulador!K203/1.16)+Simulador!L203)</f>
        <v>0</v>
      </c>
    </row>
    <row r="140" spans="5:5" x14ac:dyDescent="0.25">
      <c r="E140" s="29">
        <f ca="1">IF(Simulador!B204="","",Simulador!I204+Simulador!J204+(Simulador!K204/1.16)+Simulador!L204)</f>
        <v>0</v>
      </c>
    </row>
    <row r="141" spans="5:5" x14ac:dyDescent="0.25">
      <c r="E141" s="29">
        <f ca="1">IF(Simulador!B205="","",Simulador!I205+Simulador!J205+(Simulador!K205/1.16)+Simulador!L205)</f>
        <v>0</v>
      </c>
    </row>
    <row r="142" spans="5:5" x14ac:dyDescent="0.25">
      <c r="E142" s="29">
        <f ca="1">IF(Simulador!B206="","",Simulador!I206+Simulador!J206+(Simulador!K206/1.16)+Simulador!L206)</f>
        <v>0</v>
      </c>
    </row>
    <row r="143" spans="5:5" x14ac:dyDescent="0.25">
      <c r="E143" s="29">
        <f ca="1">IF(Simulador!B207="","",Simulador!I207+Simulador!J207+(Simulador!K207/1.16)+Simulador!L207)</f>
        <v>0</v>
      </c>
    </row>
    <row r="144" spans="5:5" x14ac:dyDescent="0.25">
      <c r="E144" s="29">
        <f ca="1">IF(Simulador!B208="","",Simulador!I208+Simulador!J208+(Simulador!K208/1.16)+Simulador!L208)</f>
        <v>0</v>
      </c>
    </row>
    <row r="145" spans="5:5" x14ac:dyDescent="0.25">
      <c r="E145" s="29">
        <f ca="1">IF(Simulador!B209="","",Simulador!I209+Simulador!J209+(Simulador!K209/1.16)+Simulador!L209)</f>
        <v>0</v>
      </c>
    </row>
    <row r="146" spans="5:5" x14ac:dyDescent="0.25">
      <c r="E146" s="29">
        <f ca="1">IF(Simulador!B210="","",Simulador!I210+Simulador!J210+(Simulador!K210/1.16)+Simulador!L210)</f>
        <v>0</v>
      </c>
    </row>
    <row r="147" spans="5:5" x14ac:dyDescent="0.25">
      <c r="E147" s="29">
        <f ca="1">IF(Simulador!B211="","",Simulador!I211+Simulador!J211+(Simulador!K211/1.16)+Simulador!L211)</f>
        <v>0</v>
      </c>
    </row>
    <row r="148" spans="5:5" x14ac:dyDescent="0.25">
      <c r="E148" s="29">
        <f ca="1">IF(Simulador!B212="","",Simulador!I212+Simulador!J212+(Simulador!K212/1.16)+Simulador!L212)</f>
        <v>0</v>
      </c>
    </row>
    <row r="149" spans="5:5" x14ac:dyDescent="0.25">
      <c r="E149" s="29">
        <f ca="1">IF(Simulador!B213="","",Simulador!I213+Simulador!J213+(Simulador!K213/1.16)+Simulador!L213)</f>
        <v>0</v>
      </c>
    </row>
    <row r="150" spans="5:5" x14ac:dyDescent="0.25">
      <c r="E150" s="29">
        <f ca="1">IF(Simulador!B214="","",Simulador!I214+Simulador!J214+(Simulador!K214/1.16)+Simulador!L214)</f>
        <v>0</v>
      </c>
    </row>
    <row r="151" spans="5:5" x14ac:dyDescent="0.25">
      <c r="E151" s="29">
        <f ca="1">IF(Simulador!B215="","",Simulador!I215+Simulador!J215+(Simulador!K215/1.16)+Simulador!L215)</f>
        <v>0</v>
      </c>
    </row>
    <row r="152" spans="5:5" x14ac:dyDescent="0.25">
      <c r="E152" s="29">
        <f ca="1">IF(Simulador!B216="","",Simulador!I216+Simulador!J216+(Simulador!K216/1.16)+Simulador!L216)</f>
        <v>0</v>
      </c>
    </row>
    <row r="153" spans="5:5" x14ac:dyDescent="0.25">
      <c r="E153" s="29">
        <f ca="1">IF(Simulador!B217="","",Simulador!I217+Simulador!J217+(Simulador!K217/1.16)+Simulador!L217)</f>
        <v>0</v>
      </c>
    </row>
    <row r="154" spans="5:5" x14ac:dyDescent="0.25">
      <c r="E154" s="29">
        <f ca="1">IF(Simulador!B218="","",Simulador!I218+Simulador!J218+(Simulador!K218/1.16)+Simulador!L218)</f>
        <v>0</v>
      </c>
    </row>
    <row r="155" spans="5:5" x14ac:dyDescent="0.25">
      <c r="E155" s="29">
        <f ca="1">IF(Simulador!B219="","",Simulador!I219+Simulador!J219+(Simulador!K219/1.16)+Simulador!L219)</f>
        <v>0</v>
      </c>
    </row>
    <row r="156" spans="5:5" x14ac:dyDescent="0.25">
      <c r="E156" s="29">
        <f ca="1">IF(Simulador!B220="","",Simulador!I220+Simulador!J220+(Simulador!K220/1.16)+Simulador!L220)</f>
        <v>0</v>
      </c>
    </row>
    <row r="157" spans="5:5" x14ac:dyDescent="0.25">
      <c r="E157" s="29">
        <f ca="1">IF(Simulador!B221="","",Simulador!I221+Simulador!J221+(Simulador!K221/1.16)+Simulador!L221)</f>
        <v>0</v>
      </c>
    </row>
    <row r="158" spans="5:5" x14ac:dyDescent="0.25">
      <c r="E158" s="29">
        <f ca="1">IF(Simulador!B222="","",Simulador!I222+Simulador!J222+(Simulador!K222/1.16)+Simulador!L222)</f>
        <v>0</v>
      </c>
    </row>
    <row r="159" spans="5:5" x14ac:dyDescent="0.25">
      <c r="E159" s="29">
        <f ca="1">IF(Simulador!B223="","",Simulador!I223+Simulador!J223+(Simulador!K223/1.16)+Simulador!L223)</f>
        <v>0</v>
      </c>
    </row>
    <row r="160" spans="5:5" x14ac:dyDescent="0.25">
      <c r="E160" s="29">
        <f ca="1">IF(Simulador!B224="","",Simulador!I224+Simulador!J224+(Simulador!K224/1.16)+Simulador!L224)</f>
        <v>0</v>
      </c>
    </row>
    <row r="161" spans="5:5" x14ac:dyDescent="0.25">
      <c r="E161" s="29">
        <f ca="1">IF(Simulador!B225="","",Simulador!I225+Simulador!J225+(Simulador!K225/1.16)+Simulador!L225)</f>
        <v>0</v>
      </c>
    </row>
    <row r="162" spans="5:5" x14ac:dyDescent="0.25">
      <c r="E162" s="29">
        <f ca="1">IF(Simulador!B226="","",Simulador!I226+Simulador!J226+(Simulador!K226/1.16)+Simulador!L226)</f>
        <v>0</v>
      </c>
    </row>
    <row r="163" spans="5:5" x14ac:dyDescent="0.25">
      <c r="E163" s="29">
        <f ca="1">IF(Simulador!B227="","",Simulador!I227+Simulador!J227+(Simulador!K227/1.16)+Simulador!L227)</f>
        <v>0</v>
      </c>
    </row>
    <row r="164" spans="5:5" x14ac:dyDescent="0.25">
      <c r="E164" s="29">
        <f ca="1">IF(Simulador!B228="","",Simulador!I228+Simulador!J228+(Simulador!K228/1.16)+Simulador!L228)</f>
        <v>0</v>
      </c>
    </row>
    <row r="165" spans="5:5" x14ac:dyDescent="0.25">
      <c r="E165" s="29">
        <f ca="1">IF(Simulador!B229="","",Simulador!I229+Simulador!J229+(Simulador!K229/1.16)+Simulador!L229)</f>
        <v>0</v>
      </c>
    </row>
    <row r="166" spans="5:5" x14ac:dyDescent="0.25">
      <c r="E166" s="29">
        <f ca="1">IF(Simulador!B230="","",Simulador!I230+Simulador!J230+(Simulador!K230/1.16)+Simulador!L230)</f>
        <v>0</v>
      </c>
    </row>
    <row r="167" spans="5:5" x14ac:dyDescent="0.25">
      <c r="E167" s="29">
        <f ca="1">IF(Simulador!B231="","",Simulador!I231+Simulador!J231+(Simulador!K231/1.16)+Simulador!L231)</f>
        <v>0</v>
      </c>
    </row>
    <row r="168" spans="5:5" x14ac:dyDescent="0.25">
      <c r="E168" s="29">
        <f ca="1">IF(Simulador!B232="","",Simulador!I232+Simulador!J232+(Simulador!K232/1.16)+Simulador!L232)</f>
        <v>0</v>
      </c>
    </row>
    <row r="169" spans="5:5" x14ac:dyDescent="0.25">
      <c r="E169" s="29">
        <f ca="1">IF(Simulador!B233="","",Simulador!I233+Simulador!J233+(Simulador!K233/1.16)+Simulador!L233)</f>
        <v>0</v>
      </c>
    </row>
    <row r="170" spans="5:5" x14ac:dyDescent="0.25">
      <c r="E170" s="29">
        <f ca="1">IF(Simulador!B234="","",Simulador!I234+Simulador!J234+(Simulador!K234/1.16)+Simulador!L234)</f>
        <v>0</v>
      </c>
    </row>
    <row r="171" spans="5:5" x14ac:dyDescent="0.25">
      <c r="E171" s="29">
        <f ca="1">IF(Simulador!B235="","",Simulador!I235+Simulador!J235+(Simulador!K235/1.16)+Simulador!L235)</f>
        <v>0</v>
      </c>
    </row>
    <row r="172" spans="5:5" x14ac:dyDescent="0.25">
      <c r="E172" s="29">
        <f ca="1">IF(Simulador!B236="","",Simulador!I236+Simulador!J236+(Simulador!K236/1.16)+Simulador!L236)</f>
        <v>0</v>
      </c>
    </row>
    <row r="173" spans="5:5" x14ac:dyDescent="0.25">
      <c r="E173" s="29">
        <f ca="1">IF(Simulador!B237="","",Simulador!I237+Simulador!J237+(Simulador!K237/1.16)+Simulador!L237)</f>
        <v>0</v>
      </c>
    </row>
    <row r="174" spans="5:5" x14ac:dyDescent="0.25">
      <c r="E174" s="29">
        <f ca="1">IF(Simulador!B238="","",Simulador!I238+Simulador!J238+(Simulador!K238/1.16)+Simulador!L238)</f>
        <v>0</v>
      </c>
    </row>
    <row r="175" spans="5:5" x14ac:dyDescent="0.25">
      <c r="E175" s="29">
        <f ca="1">IF(Simulador!B239="","",Simulador!I239+Simulador!J239+(Simulador!K239/1.16)+Simulador!L239)</f>
        <v>0</v>
      </c>
    </row>
    <row r="176" spans="5:5" x14ac:dyDescent="0.25">
      <c r="E176" s="29">
        <f ca="1">IF(Simulador!B240="","",Simulador!I240+Simulador!J240+(Simulador!K240/1.16)+Simulador!L240)</f>
        <v>0</v>
      </c>
    </row>
    <row r="177" spans="5:5" x14ac:dyDescent="0.25">
      <c r="E177" s="29">
        <f ca="1">IF(Simulador!B241="","",Simulador!I241+Simulador!J241+(Simulador!K241/1.16)+Simulador!L241)</f>
        <v>0</v>
      </c>
    </row>
    <row r="178" spans="5:5" x14ac:dyDescent="0.25">
      <c r="E178" s="29">
        <f ca="1">IF(Simulador!B242="","",Simulador!I242+Simulador!J242+(Simulador!K242/1.16)+Simulador!L242)</f>
        <v>0</v>
      </c>
    </row>
    <row r="179" spans="5:5" x14ac:dyDescent="0.25">
      <c r="E179" s="29">
        <f ca="1">IF(Simulador!B243="","",Simulador!I243+Simulador!J243+(Simulador!K243/1.16)+Simulador!L243)</f>
        <v>0</v>
      </c>
    </row>
    <row r="180" spans="5:5" x14ac:dyDescent="0.25">
      <c r="E180" s="29">
        <f ca="1">IF(Simulador!B244="","",Simulador!I244+Simulador!J244+(Simulador!K244/1.16)+Simulador!L244)</f>
        <v>0</v>
      </c>
    </row>
    <row r="181" spans="5:5" x14ac:dyDescent="0.25">
      <c r="E181" s="29">
        <f ca="1">IF(Simulador!B245="","",Simulador!I245+Simulador!J245+(Simulador!K245/1.16)+Simulador!L245)</f>
        <v>0</v>
      </c>
    </row>
    <row r="182" spans="5:5" x14ac:dyDescent="0.25">
      <c r="E182" s="29">
        <f ca="1">IF(Simulador!B246="","",Simulador!I246+Simulador!J246+(Simulador!K246/1.16)+Simulador!L246)</f>
        <v>0</v>
      </c>
    </row>
    <row r="183" spans="5:5" x14ac:dyDescent="0.25">
      <c r="E183" s="29">
        <f ca="1">IF(Simulador!B247="","",Simulador!I247+Simulador!J247+(Simulador!K247/1.16)+Simulador!L247)</f>
        <v>0</v>
      </c>
    </row>
    <row r="184" spans="5:5" x14ac:dyDescent="0.25">
      <c r="E184" s="29">
        <f ca="1">IF(Simulador!B248="","",Simulador!I248+Simulador!J248+(Simulador!K248/1.16)+Simulador!L248)</f>
        <v>0</v>
      </c>
    </row>
    <row r="185" spans="5:5" x14ac:dyDescent="0.25">
      <c r="E185" s="29">
        <f ca="1">IF(Simulador!B249="","",Simulador!I249+Simulador!J249+(Simulador!K249/1.16)+Simulador!L249)</f>
        <v>0</v>
      </c>
    </row>
    <row r="186" spans="5:5" x14ac:dyDescent="0.25">
      <c r="E186" s="29">
        <f ca="1">IF(Simulador!B250="","",Simulador!I250+Simulador!J250+(Simulador!K250/1.16)+Simulador!L250)</f>
        <v>0</v>
      </c>
    </row>
    <row r="187" spans="5:5" x14ac:dyDescent="0.25">
      <c r="E187" s="29">
        <f ca="1">IF(Simulador!B251="","",Simulador!I251+Simulador!J251+(Simulador!K251/1.16)+Simulador!L251)</f>
        <v>0</v>
      </c>
    </row>
    <row r="188" spans="5:5" x14ac:dyDescent="0.25">
      <c r="E188" s="29">
        <f ca="1">IF(Simulador!B252="","",Simulador!I252+Simulador!J252+(Simulador!K252/1.16)+Simulador!L252)</f>
        <v>0</v>
      </c>
    </row>
    <row r="189" spans="5:5" x14ac:dyDescent="0.25">
      <c r="E189" s="29">
        <f ca="1">IF(Simulador!B253="","",Simulador!I253+Simulador!J253+(Simulador!K253/1.16)+Simulador!L253)</f>
        <v>0</v>
      </c>
    </row>
    <row r="190" spans="5:5" x14ac:dyDescent="0.25">
      <c r="E190" s="29">
        <f ca="1">IF(Simulador!B254="","",Simulador!I254+Simulador!J254+(Simulador!K254/1.16)+Simulador!L254)</f>
        <v>0</v>
      </c>
    </row>
    <row r="191" spans="5:5" x14ac:dyDescent="0.25">
      <c r="E191" s="29">
        <f ca="1">IF(Simulador!B255="","",Simulador!I255+Simulador!J255+(Simulador!K255/1.16)+Simulador!L255)</f>
        <v>0</v>
      </c>
    </row>
    <row r="192" spans="5:5" x14ac:dyDescent="0.25">
      <c r="E192" s="29">
        <f ca="1">IF(Simulador!B256="","",Simulador!I256+Simulador!J256+(Simulador!K256/1.16)+Simulador!L256)</f>
        <v>0</v>
      </c>
    </row>
    <row r="193" spans="5:5" x14ac:dyDescent="0.25">
      <c r="E193" s="29">
        <f ca="1">IF(Simulador!B257="","",Simulador!I257+Simulador!J257+(Simulador!K257/1.16)+Simulador!L257)</f>
        <v>0</v>
      </c>
    </row>
    <row r="194" spans="5:5" x14ac:dyDescent="0.25">
      <c r="E194" s="29">
        <f ca="1">IF(Simulador!B258="","",Simulador!I258+Simulador!J258+(Simulador!K258/1.16)+Simulador!L258)</f>
        <v>0</v>
      </c>
    </row>
    <row r="195" spans="5:5" x14ac:dyDescent="0.25">
      <c r="E195" s="29">
        <f ca="1">IF(Simulador!B259="","",Simulador!I259+Simulador!J259+(Simulador!K259/1.16)+Simulador!L259)</f>
        <v>0</v>
      </c>
    </row>
    <row r="196" spans="5:5" x14ac:dyDescent="0.25">
      <c r="E196" s="29">
        <f ca="1">IF(Simulador!B260="","",Simulador!I260+Simulador!J260+(Simulador!K260/1.16)+Simulador!L260)</f>
        <v>0</v>
      </c>
    </row>
    <row r="197" spans="5:5" x14ac:dyDescent="0.25">
      <c r="E197" s="29">
        <f ca="1">IF(Simulador!B261="","",Simulador!I261+Simulador!J261+(Simulador!K261/1.16)+Simulador!L261)</f>
        <v>0</v>
      </c>
    </row>
    <row r="198" spans="5:5" x14ac:dyDescent="0.25">
      <c r="E198" s="29">
        <f ca="1">IF(Simulador!B262="","",Simulador!I262+Simulador!J262+(Simulador!K262/1.16)+Simulador!L262)</f>
        <v>0</v>
      </c>
    </row>
    <row r="199" spans="5:5" x14ac:dyDescent="0.25">
      <c r="E199" s="29">
        <f ca="1">IF(Simulador!B263="","",Simulador!I263+Simulador!J263+(Simulador!K263/1.16)+Simulador!L263)</f>
        <v>0</v>
      </c>
    </row>
    <row r="200" spans="5:5" x14ac:dyDescent="0.25">
      <c r="E200" s="29">
        <f ca="1">IF(Simulador!B264="","",Simulador!I264+Simulador!J264+(Simulador!K264/1.16)+Simulador!L264)</f>
        <v>0</v>
      </c>
    </row>
    <row r="201" spans="5:5" x14ac:dyDescent="0.25">
      <c r="E201" s="29">
        <f ca="1">IF(Simulador!B265="","",Simulador!I265+Simulador!J265+(Simulador!K265/1.16)+Simulador!L265)</f>
        <v>0</v>
      </c>
    </row>
    <row r="202" spans="5:5" x14ac:dyDescent="0.25">
      <c r="E202" s="29">
        <f ca="1">IF(Simulador!B266="","",Simulador!I266+Simulador!J266+(Simulador!K266/1.16)+Simulador!L266)</f>
        <v>0</v>
      </c>
    </row>
    <row r="203" spans="5:5" x14ac:dyDescent="0.25">
      <c r="E203" s="29">
        <f ca="1">IF(Simulador!B267="","",Simulador!I267+Simulador!J267+(Simulador!K267/1.16)+Simulador!L267)</f>
        <v>0</v>
      </c>
    </row>
    <row r="204" spans="5:5" x14ac:dyDescent="0.25">
      <c r="E204" s="29">
        <f ca="1">IF(Simulador!B268="","",Simulador!I268+Simulador!J268+(Simulador!K268/1.16)+Simulador!L268)</f>
        <v>0</v>
      </c>
    </row>
    <row r="205" spans="5:5" x14ac:dyDescent="0.25">
      <c r="E205" s="29">
        <f ca="1">IF(Simulador!B269="","",Simulador!I269+Simulador!J269+(Simulador!K269/1.16)+Simulador!L269)</f>
        <v>0</v>
      </c>
    </row>
    <row r="206" spans="5:5" x14ac:dyDescent="0.25">
      <c r="E206" s="29">
        <f ca="1">IF(Simulador!B270="","",Simulador!I270+Simulador!J270+(Simulador!K270/1.16)+Simulador!L270)</f>
        <v>0</v>
      </c>
    </row>
    <row r="207" spans="5:5" x14ac:dyDescent="0.25">
      <c r="E207" s="29">
        <f ca="1">IF(Simulador!B271="","",Simulador!I271+Simulador!J271+(Simulador!K271/1.16)+Simulador!L271)</f>
        <v>0</v>
      </c>
    </row>
    <row r="208" spans="5:5" x14ac:dyDescent="0.25">
      <c r="E208" s="29">
        <f ca="1">IF(Simulador!B272="","",Simulador!I272+Simulador!J272+(Simulador!K272/1.16)+Simulador!L272)</f>
        <v>0</v>
      </c>
    </row>
    <row r="209" spans="5:5" x14ac:dyDescent="0.25">
      <c r="E209" s="29">
        <f ca="1">IF(Simulador!B273="","",Simulador!I273+Simulador!J273+(Simulador!K273/1.16)+Simulador!L273)</f>
        <v>0</v>
      </c>
    </row>
    <row r="210" spans="5:5" x14ac:dyDescent="0.25">
      <c r="E210" s="29">
        <f ca="1">IF(Simulador!B274="","",Simulador!I274+Simulador!J274+(Simulador!K274/1.16)+Simulador!L274)</f>
        <v>0</v>
      </c>
    </row>
    <row r="211" spans="5:5" x14ac:dyDescent="0.25">
      <c r="E211" s="29">
        <f ca="1">IF(Simulador!B275="","",Simulador!I275+Simulador!J275+(Simulador!K275/1.16)+Simulador!L275)</f>
        <v>0</v>
      </c>
    </row>
    <row r="212" spans="5:5" x14ac:dyDescent="0.25">
      <c r="E212" s="29">
        <f ca="1">IF(Simulador!B276="","",Simulador!I276+Simulador!J276+(Simulador!K276/1.16)+Simulador!L276)</f>
        <v>0</v>
      </c>
    </row>
    <row r="213" spans="5:5" x14ac:dyDescent="0.25">
      <c r="E213" s="29">
        <f ca="1">IF(Simulador!B277="","",Simulador!I277+Simulador!J277+(Simulador!K277/1.16)+Simulador!L277)</f>
        <v>0</v>
      </c>
    </row>
    <row r="214" spans="5:5" x14ac:dyDescent="0.25">
      <c r="E214" s="29">
        <f ca="1">IF(Simulador!B278="","",Simulador!I278+Simulador!J278+(Simulador!K278/1.16)+Simulador!L278)</f>
        <v>0</v>
      </c>
    </row>
    <row r="215" spans="5:5" x14ac:dyDescent="0.25">
      <c r="E215" s="29">
        <f ca="1">IF(Simulador!B279="","",Simulador!I279+Simulador!J279+(Simulador!K279/1.16)+Simulador!L279)</f>
        <v>0</v>
      </c>
    </row>
    <row r="216" spans="5:5" x14ac:dyDescent="0.25">
      <c r="E216" s="29">
        <f ca="1">IF(Simulador!B280="","",Simulador!I280+Simulador!J280+(Simulador!K280/1.16)+Simulador!L280)</f>
        <v>0</v>
      </c>
    </row>
    <row r="217" spans="5:5" x14ac:dyDescent="0.25">
      <c r="E217" s="29">
        <f ca="1">IF(Simulador!B281="","",Simulador!I281+Simulador!J281+(Simulador!K281/1.16)+Simulador!L281)</f>
        <v>0</v>
      </c>
    </row>
    <row r="218" spans="5:5" x14ac:dyDescent="0.25">
      <c r="E218" s="29">
        <f ca="1">IF(Simulador!B282="","",Simulador!I282+Simulador!J282+(Simulador!K282/1.16)+Simulador!L282)</f>
        <v>0</v>
      </c>
    </row>
    <row r="219" spans="5:5" x14ac:dyDescent="0.25">
      <c r="E219" s="29">
        <f ca="1">IF(Simulador!B283="","",Simulador!I283+Simulador!J283+(Simulador!K283/1.16)+Simulador!L283)</f>
        <v>0</v>
      </c>
    </row>
    <row r="220" spans="5:5" x14ac:dyDescent="0.25">
      <c r="E220" s="29">
        <f ca="1">IF(Simulador!B284="","",Simulador!I284+Simulador!J284+(Simulador!K284/1.16)+Simulador!L284)</f>
        <v>0</v>
      </c>
    </row>
    <row r="221" spans="5:5" x14ac:dyDescent="0.25">
      <c r="E221" s="29">
        <f ca="1">IF(Simulador!B285="","",Simulador!I285+Simulador!J285+(Simulador!K285/1.16)+Simulador!L285)</f>
        <v>0</v>
      </c>
    </row>
    <row r="222" spans="5:5" x14ac:dyDescent="0.25">
      <c r="E222" s="29">
        <f ca="1">IF(Simulador!B286="","",Simulador!I286+Simulador!J286+(Simulador!K286/1.16)+Simulador!L286)</f>
        <v>0</v>
      </c>
    </row>
    <row r="223" spans="5:5" x14ac:dyDescent="0.25">
      <c r="E223" s="29">
        <f ca="1">IF(Simulador!B287="","",Simulador!I287+Simulador!J287+(Simulador!K287/1.16)+Simulador!L287)</f>
        <v>0</v>
      </c>
    </row>
    <row r="224" spans="5:5" x14ac:dyDescent="0.25">
      <c r="E224" s="29">
        <f ca="1">IF(Simulador!B288="","",Simulador!I288+Simulador!J288+(Simulador!K288/1.16)+Simulador!L288)</f>
        <v>0</v>
      </c>
    </row>
    <row r="225" spans="5:5" x14ac:dyDescent="0.25">
      <c r="E225" s="29">
        <f ca="1">IF(Simulador!B289="","",Simulador!I289+Simulador!J289+(Simulador!K289/1.16)+Simulador!L289)</f>
        <v>0</v>
      </c>
    </row>
    <row r="226" spans="5:5" x14ac:dyDescent="0.25">
      <c r="E226" s="29">
        <f ca="1">IF(Simulador!B290="","",Simulador!I290+Simulador!J290+(Simulador!K290/1.16)+Simulador!L290)</f>
        <v>0</v>
      </c>
    </row>
    <row r="227" spans="5:5" x14ac:dyDescent="0.25">
      <c r="E227" s="29">
        <f ca="1">IF(Simulador!B291="","",Simulador!I291+Simulador!J291+(Simulador!K291/1.16)+Simulador!L291)</f>
        <v>0</v>
      </c>
    </row>
    <row r="228" spans="5:5" x14ac:dyDescent="0.25">
      <c r="E228" s="29">
        <f ca="1">IF(Simulador!B292="","",Simulador!I292+Simulador!J292+(Simulador!K292/1.16)+Simulador!L292)</f>
        <v>0</v>
      </c>
    </row>
    <row r="229" spans="5:5" x14ac:dyDescent="0.25">
      <c r="E229" s="29">
        <f ca="1">IF(Simulador!B293="","",Simulador!I293+Simulador!J293+(Simulador!K293/1.16)+Simulador!L293)</f>
        <v>0</v>
      </c>
    </row>
    <row r="230" spans="5:5" x14ac:dyDescent="0.25">
      <c r="E230" s="29">
        <f ca="1">IF(Simulador!B294="","",Simulador!I294+Simulador!J294+(Simulador!K294/1.16)+Simulador!L294)</f>
        <v>0</v>
      </c>
    </row>
    <row r="231" spans="5:5" x14ac:dyDescent="0.25">
      <c r="E231" s="29">
        <f ca="1">IF(Simulador!B295="","",Simulador!I295+Simulador!J295+(Simulador!K295/1.16)+Simulador!L295)</f>
        <v>0</v>
      </c>
    </row>
    <row r="232" spans="5:5" x14ac:dyDescent="0.25">
      <c r="E232" s="29">
        <f ca="1">IF(Simulador!B296="","",Simulador!I296+Simulador!J296+(Simulador!K296/1.16)+Simulador!L296)</f>
        <v>0</v>
      </c>
    </row>
    <row r="233" spans="5:5" x14ac:dyDescent="0.25">
      <c r="E233" s="29">
        <f ca="1">IF(Simulador!B297="","",Simulador!I297+Simulador!J297+(Simulador!K297/1.16)+Simulador!L297)</f>
        <v>0</v>
      </c>
    </row>
    <row r="234" spans="5:5" x14ac:dyDescent="0.25">
      <c r="E234" s="29">
        <f ca="1">IF(Simulador!B298="","",Simulador!I298+Simulador!J298+(Simulador!K298/1.16)+Simulador!L298)</f>
        <v>0</v>
      </c>
    </row>
    <row r="235" spans="5:5" x14ac:dyDescent="0.25">
      <c r="E235" s="29">
        <f ca="1">IF(Simulador!B299="","",Simulador!I299+Simulador!J299+(Simulador!K299/1.16)+Simulador!L299)</f>
        <v>0</v>
      </c>
    </row>
    <row r="236" spans="5:5" x14ac:dyDescent="0.25">
      <c r="E236" s="29">
        <f ca="1">IF(Simulador!B300="","",Simulador!I300+Simulador!J300+(Simulador!K300/1.16)+Simulador!L300)</f>
        <v>0</v>
      </c>
    </row>
    <row r="237" spans="5:5" x14ac:dyDescent="0.25">
      <c r="E237" s="29">
        <f ca="1">IF(Simulador!B301="","",Simulador!I301+Simulador!J301+(Simulador!K301/1.16)+Simulador!L301)</f>
        <v>0</v>
      </c>
    </row>
    <row r="238" spans="5:5" x14ac:dyDescent="0.25">
      <c r="E238" s="29">
        <f ca="1">IF(Simulador!B302="","",Simulador!I302+Simulador!J302+(Simulador!K302/1.16)+Simulador!L302)</f>
        <v>0</v>
      </c>
    </row>
    <row r="239" spans="5:5" x14ac:dyDescent="0.25">
      <c r="E239" s="29">
        <f ca="1">IF(Simulador!B303="","",Simulador!I303+Simulador!J303+(Simulador!K303/1.16)+Simulador!L303)</f>
        <v>0</v>
      </c>
    </row>
    <row r="240" spans="5:5" x14ac:dyDescent="0.25">
      <c r="E240" s="29">
        <f ca="1">IF(Simulador!B304="","",Simulador!I304+Simulador!J304+(Simulador!K304/1.16)+Simulador!L304)</f>
        <v>0</v>
      </c>
    </row>
    <row r="241" spans="5:5" x14ac:dyDescent="0.25">
      <c r="E241" s="29">
        <f ca="1">IF(Simulador!B305="","",Simulador!I305+Simulador!J305+(Simulador!K305/1.16)+Simulador!L305)</f>
        <v>0</v>
      </c>
    </row>
    <row r="242" spans="5:5" x14ac:dyDescent="0.25">
      <c r="E242" s="29" t="str">
        <f>IF(Simulador!B366="","",Simulador!I366+Simulador!J366+(Simulador!K366/1.16)+Simulador!L366)</f>
        <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E14"/>
  <sheetViews>
    <sheetView workbookViewId="0">
      <selection activeCell="C6" sqref="C6"/>
    </sheetView>
  </sheetViews>
  <sheetFormatPr baseColWidth="10" defaultColWidth="9.1796875" defaultRowHeight="14.5" x14ac:dyDescent="0.35"/>
  <cols>
    <col min="1" max="1" width="16.54296875" bestFit="1" customWidth="1"/>
    <col min="2" max="3" width="16.7265625" customWidth="1"/>
    <col min="4" max="4" width="1.453125" customWidth="1"/>
    <col min="5" max="5" width="16.7265625" customWidth="1"/>
  </cols>
  <sheetData>
    <row r="1" spans="1:5" x14ac:dyDescent="0.35">
      <c r="A1" s="151" t="s">
        <v>311</v>
      </c>
    </row>
    <row r="3" spans="1:5" x14ac:dyDescent="0.35">
      <c r="B3" s="152" t="s">
        <v>312</v>
      </c>
      <c r="C3" s="153" t="s">
        <v>313</v>
      </c>
    </row>
    <row r="4" spans="1:5" x14ac:dyDescent="0.35">
      <c r="A4" s="154" t="s">
        <v>314</v>
      </c>
      <c r="B4" s="155" t="s">
        <v>315</v>
      </c>
      <c r="C4" s="156"/>
    </row>
    <row r="5" spans="1:5" x14ac:dyDescent="0.35">
      <c r="A5" s="154" t="s">
        <v>316</v>
      </c>
      <c r="B5" s="157">
        <v>0</v>
      </c>
      <c r="C5" s="158" t="s">
        <v>317</v>
      </c>
      <c r="D5" s="159"/>
      <c r="E5" s="159"/>
    </row>
    <row r="6" spans="1:5" x14ac:dyDescent="0.35">
      <c r="A6" s="154" t="s">
        <v>21</v>
      </c>
      <c r="B6" s="164">
        <v>0</v>
      </c>
      <c r="C6" s="157">
        <f>'Tabla Parámetros'!$R$90</f>
        <v>0</v>
      </c>
      <c r="D6" s="159"/>
      <c r="E6" s="159"/>
    </row>
    <row r="7" spans="1:5" x14ac:dyDescent="0.35">
      <c r="A7" s="154" t="s">
        <v>318</v>
      </c>
      <c r="B7" s="157">
        <v>0</v>
      </c>
      <c r="C7" s="157">
        <f>Simulador!L49/1.16</f>
        <v>0</v>
      </c>
      <c r="D7" s="159"/>
      <c r="E7" s="159"/>
    </row>
    <row r="8" spans="1:5" x14ac:dyDescent="0.35">
      <c r="A8" s="154" t="s">
        <v>87</v>
      </c>
      <c r="B8" s="164">
        <f>IF(Simulador!N17="SI",-C8,0)</f>
        <v>0</v>
      </c>
      <c r="C8" s="157">
        <f>IF(Simulador!$F$9="Liquidez",Simulador!L46/1.16,Simulador!$L$46)</f>
        <v>0</v>
      </c>
      <c r="D8" s="159"/>
      <c r="E8" s="152" t="s">
        <v>319</v>
      </c>
    </row>
    <row r="9" spans="1:5" x14ac:dyDescent="0.35">
      <c r="A9" s="160"/>
      <c r="B9" s="161">
        <f>SUM(B5:B8)</f>
        <v>0</v>
      </c>
      <c r="C9" s="161">
        <f>SUM(C5:C8)</f>
        <v>0</v>
      </c>
      <c r="D9" s="159"/>
      <c r="E9" s="162">
        <f>SUM(B9:C9)</f>
        <v>0</v>
      </c>
    </row>
    <row r="11" spans="1:5" x14ac:dyDescent="0.35">
      <c r="A11" s="163" t="s">
        <v>320</v>
      </c>
    </row>
    <row r="12" spans="1:5" x14ac:dyDescent="0.35">
      <c r="A12" t="s">
        <v>321</v>
      </c>
    </row>
    <row r="13" spans="1:5" x14ac:dyDescent="0.35">
      <c r="A13" t="s">
        <v>322</v>
      </c>
    </row>
    <row r="14" spans="1:5" x14ac:dyDescent="0.35">
      <c r="A14" t="s">
        <v>323</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9"/>
  <dimension ref="B1:AC314"/>
  <sheetViews>
    <sheetView showGridLines="0" zoomScaleNormal="100" workbookViewId="0">
      <selection activeCell="D3" sqref="D3"/>
    </sheetView>
  </sheetViews>
  <sheetFormatPr baseColWidth="10" defaultColWidth="11.453125" defaultRowHeight="12" x14ac:dyDescent="0.3"/>
  <cols>
    <col min="1" max="1" width="2.26953125" style="82" customWidth="1"/>
    <col min="2" max="2" width="15.1796875" style="82" bestFit="1" customWidth="1"/>
    <col min="3" max="3" width="13.7265625" style="82" bestFit="1" customWidth="1"/>
    <col min="4" max="7" width="11.453125" style="82" customWidth="1"/>
    <col min="8" max="8" width="12.54296875" style="82" customWidth="1"/>
    <col min="9" max="10" width="11.453125" style="82" customWidth="1"/>
    <col min="11" max="11" width="16.81640625" style="82" bestFit="1" customWidth="1"/>
    <col min="12" max="16" width="11.453125" style="82" customWidth="1"/>
    <col min="17" max="17" width="11.453125" style="354" customWidth="1"/>
    <col min="18" max="20" width="9.54296875" style="82" hidden="1" customWidth="1"/>
    <col min="21" max="26" width="11.453125" style="82" hidden="1" customWidth="1"/>
    <col min="27" max="27" width="11.453125" style="82" customWidth="1"/>
    <col min="28" max="28" width="12.54296875" style="82" bestFit="1" customWidth="1"/>
    <col min="29" max="29" width="12.26953125" style="82" bestFit="1" customWidth="1"/>
    <col min="30" max="16384" width="11.453125" style="82"/>
  </cols>
  <sheetData>
    <row r="1" spans="2:29" ht="14.5" x14ac:dyDescent="0.35">
      <c r="N1" s="102" t="s">
        <v>199</v>
      </c>
      <c r="Q1" s="103" t="s">
        <v>194</v>
      </c>
      <c r="S1" s="109"/>
      <c r="T1" s="197"/>
      <c r="U1" s="198"/>
      <c r="V1"/>
    </row>
    <row r="2" spans="2:29" ht="14.5" x14ac:dyDescent="0.35">
      <c r="B2" s="98" t="s">
        <v>84</v>
      </c>
      <c r="C2" s="96">
        <f>Simulador!N11</f>
        <v>3498000</v>
      </c>
      <c r="E2" s="98" t="s">
        <v>23</v>
      </c>
      <c r="F2" s="99">
        <f>Simulador!$F$62</f>
        <v>0.11</v>
      </c>
      <c r="H2" s="98" t="s">
        <v>2</v>
      </c>
      <c r="I2" s="107" t="str">
        <f>Simulador!F9</f>
        <v>Adquisición</v>
      </c>
      <c r="K2" s="98" t="s">
        <v>206</v>
      </c>
      <c r="L2" s="113" t="str">
        <f>Simulador!$N$17</f>
        <v>NO</v>
      </c>
      <c r="M2" s="113"/>
      <c r="N2" s="102" t="s">
        <v>200</v>
      </c>
      <c r="Q2" s="103" t="s">
        <v>202</v>
      </c>
      <c r="S2"/>
      <c r="T2"/>
      <c r="U2"/>
      <c r="V2"/>
    </row>
    <row r="3" spans="2:29" ht="14.5" x14ac:dyDescent="0.35">
      <c r="B3" s="98" t="s">
        <v>197</v>
      </c>
      <c r="C3" s="96">
        <f>IF($L$2='Tabla Parámetros'!$N$10,Simulador!$H$48+Simulador!$L$46,IF('Tabla Fijos CAT'!$L$2='Tabla Parámetros'!$N$11,Simulador!$H$48,))</f>
        <v>1000000</v>
      </c>
      <c r="E3" s="98" t="s">
        <v>204</v>
      </c>
      <c r="F3" s="101" t="str">
        <f>IF(Simulador!F13='Tabla Parámetros'!$N$13,Simulador!N9,IF(Simulador!F13='Tabla Parámetros'!$N$7,"",))</f>
        <v>Básico</v>
      </c>
      <c r="H3" s="98" t="s">
        <v>27</v>
      </c>
      <c r="I3" s="101" t="str">
        <f>Simulador!N7</f>
        <v>Tradicional</v>
      </c>
      <c r="K3" s="98" t="s">
        <v>205</v>
      </c>
      <c r="L3" s="111">
        <f>Simulador!N15</f>
        <v>0</v>
      </c>
      <c r="M3" s="111"/>
      <c r="Q3" s="81" t="s">
        <v>203</v>
      </c>
      <c r="S3"/>
      <c r="T3"/>
      <c r="U3"/>
      <c r="V3"/>
    </row>
    <row r="4" spans="2:29" ht="14.5" x14ac:dyDescent="0.35">
      <c r="B4" s="98" t="s">
        <v>194</v>
      </c>
      <c r="C4" s="100">
        <f>Simulador!F19</f>
        <v>240</v>
      </c>
      <c r="E4" s="98" t="s">
        <v>207</v>
      </c>
      <c r="F4" s="423">
        <f>IF(F3="","",IF($F$3='Tabla Parámetros'!N4,'Tabla Parámetros'!$R$5,IF($F$3='Tabla Parámetros'!N3,'Tabla Parámetros'!$R$10)))</f>
        <v>0</v>
      </c>
      <c r="H4" s="82" t="s">
        <v>33</v>
      </c>
      <c r="I4" s="82">
        <f>Sheet1!C29</f>
        <v>0</v>
      </c>
      <c r="S4"/>
      <c r="T4" s="109"/>
      <c r="U4"/>
      <c r="V4"/>
    </row>
    <row r="5" spans="2:29" ht="14.5" x14ac:dyDescent="0.35">
      <c r="B5" s="98" t="s">
        <v>215</v>
      </c>
      <c r="C5" s="96">
        <f>IF(Simulador!$K$13="No",Simulador!$N$13,IF(Simulador!$K$13="Si",Simulador!$O$13,))</f>
        <v>2448600</v>
      </c>
      <c r="E5" s="98" t="s">
        <v>208</v>
      </c>
      <c r="F5" s="709">
        <f>IF(F3="","",IF(F3='Tabla Parámetros'!N4,'Tabla Parámetros'!$S$5,IF(F3='Tabla Parámetros'!N3,'Tabla Parámetros'!$S$10)))</f>
        <v>0</v>
      </c>
      <c r="S5"/>
      <c r="T5"/>
      <c r="U5"/>
      <c r="V5"/>
    </row>
    <row r="6" spans="2:29" ht="14.5" x14ac:dyDescent="0.35">
      <c r="D6" s="96"/>
      <c r="S6"/>
      <c r="T6"/>
      <c r="U6" s="199"/>
      <c r="V6"/>
    </row>
    <row r="7" spans="2:29" ht="14.5" x14ac:dyDescent="0.35">
      <c r="D7" s="710">
        <f>C5*F5</f>
        <v>0</v>
      </c>
      <c r="J7" s="96">
        <f>C5*'Tabla Parámetros'!S13</f>
        <v>591.04137931034484</v>
      </c>
      <c r="K7" s="260">
        <f>K12/1.16</f>
        <v>0</v>
      </c>
      <c r="O7" s="98" t="s">
        <v>201</v>
      </c>
      <c r="P7" s="82" t="str">
        <f>U10</f>
        <v>Reduce Plazo</v>
      </c>
      <c r="S7"/>
      <c r="T7" s="200"/>
      <c r="U7" s="200"/>
      <c r="V7"/>
    </row>
    <row r="8" spans="2:29" x14ac:dyDescent="0.3">
      <c r="G8" s="196">
        <f>PPMT((F2/360*30.4),B12,C4,-F12)</f>
        <v>1132.9953218287653</v>
      </c>
      <c r="I8" s="149">
        <f>PMT((F2/360)*14,C4,-C3)</f>
        <v>6673.4354828133119</v>
      </c>
    </row>
    <row r="9" spans="2:29" x14ac:dyDescent="0.3">
      <c r="J9" s="149"/>
      <c r="L9" s="106"/>
      <c r="M9" s="106"/>
      <c r="AA9" s="912" t="s">
        <v>454</v>
      </c>
      <c r="AB9" s="912"/>
      <c r="AC9" s="912"/>
    </row>
    <row r="10" spans="2:29" ht="24" x14ac:dyDescent="0.3">
      <c r="B10" s="83" t="s">
        <v>16</v>
      </c>
      <c r="C10" s="83" t="s">
        <v>19</v>
      </c>
      <c r="D10" s="83" t="s">
        <v>29</v>
      </c>
      <c r="E10" s="83" t="s">
        <v>23</v>
      </c>
      <c r="F10" s="83" t="s">
        <v>30</v>
      </c>
      <c r="G10" s="83" t="s">
        <v>31</v>
      </c>
      <c r="H10" s="83" t="s">
        <v>37</v>
      </c>
      <c r="I10" s="83" t="s">
        <v>202</v>
      </c>
      <c r="J10" s="83" t="s">
        <v>20</v>
      </c>
      <c r="K10" s="83" t="s">
        <v>32</v>
      </c>
      <c r="L10" s="83" t="s">
        <v>33</v>
      </c>
      <c r="M10" s="83" t="s">
        <v>6</v>
      </c>
      <c r="N10" s="83" t="s">
        <v>34</v>
      </c>
      <c r="O10" s="83" t="s">
        <v>35</v>
      </c>
      <c r="P10" s="83" t="s">
        <v>36</v>
      </c>
      <c r="R10" s="911" t="s">
        <v>28</v>
      </c>
      <c r="S10" s="911"/>
      <c r="T10" s="911"/>
      <c r="U10" s="911" t="s">
        <v>309</v>
      </c>
      <c r="V10" s="911"/>
      <c r="W10" s="911"/>
      <c r="X10" s="911" t="s">
        <v>308</v>
      </c>
      <c r="Y10" s="911"/>
      <c r="Z10" s="911"/>
      <c r="AA10" s="32" t="s">
        <v>135</v>
      </c>
      <c r="AB10" s="34">
        <f>$C$3</f>
        <v>1000000</v>
      </c>
      <c r="AC10" s="35" t="s">
        <v>140</v>
      </c>
    </row>
    <row r="11" spans="2:29" x14ac:dyDescent="0.3">
      <c r="B11" s="84">
        <v>0</v>
      </c>
      <c r="C11" s="85"/>
      <c r="D11" s="86"/>
      <c r="E11" s="87"/>
      <c r="F11" s="86"/>
      <c r="G11" s="86"/>
      <c r="H11" s="86"/>
      <c r="I11" s="86"/>
      <c r="J11" s="86"/>
      <c r="K11" s="86"/>
      <c r="L11" s="86"/>
      <c r="M11" s="86"/>
      <c r="N11" s="86"/>
      <c r="O11" s="86"/>
      <c r="P11" s="86">
        <f>C3</f>
        <v>1000000</v>
      </c>
      <c r="Q11" s="102" t="s">
        <v>453</v>
      </c>
      <c r="R11" s="101" t="s">
        <v>31</v>
      </c>
      <c r="S11" s="101" t="s">
        <v>37</v>
      </c>
      <c r="T11" s="101" t="s">
        <v>202</v>
      </c>
      <c r="U11" s="101" t="s">
        <v>31</v>
      </c>
      <c r="V11" s="101" t="s">
        <v>37</v>
      </c>
      <c r="W11" s="101" t="s">
        <v>202</v>
      </c>
      <c r="X11" s="101" t="s">
        <v>31</v>
      </c>
      <c r="Y11" s="101" t="s">
        <v>37</v>
      </c>
      <c r="Z11" s="101" t="s">
        <v>202</v>
      </c>
      <c r="AA11" s="32" t="s">
        <v>136</v>
      </c>
      <c r="AB11" s="14">
        <f>$F$2</f>
        <v>0.11</v>
      </c>
      <c r="AC11" s="149">
        <f>-C3+'CAT Flujo Cero'!$E$9</f>
        <v>-1000000</v>
      </c>
    </row>
    <row r="12" spans="2:29" x14ac:dyDescent="0.3">
      <c r="B12" s="84">
        <v>1</v>
      </c>
      <c r="C12" s="85">
        <f ca="1">IF($B12="","",'Fecha Pago'!K4)</f>
        <v>46176</v>
      </c>
      <c r="D12" s="86">
        <v>30.4</v>
      </c>
      <c r="E12" s="87">
        <f>IF(B12="","",$F$2)</f>
        <v>0.11</v>
      </c>
      <c r="F12" s="86">
        <f>P11</f>
        <v>1000000</v>
      </c>
      <c r="G12" s="86">
        <f>IF(B12="","",IF(F12&lt;=G11,F12,IF($P$7=$X$10,X12,IF($P$7=$U$10,U12,IF($P$7=$R$10,R12,)))))+N12</f>
        <v>1132.9953218287653</v>
      </c>
      <c r="H12" s="86">
        <f ca="1">IF(C12="","",IF($P$7=$X$10,Y12,IF($P$7=$U$10,V12,IF($P$7=$R$10,S12,))))</f>
        <v>9288.8888888888887</v>
      </c>
      <c r="I12" s="86">
        <f t="shared" ref="I12:I76" si="0">IF(D12="","",IF(F12=G12,G12+H12,IF($P$7=$X$10,Z12,IF($P$7=$U$10,W12,IF($P$7=$R$10,T12,)))))</f>
        <v>10421.884210717653</v>
      </c>
      <c r="J12" s="86">
        <f>IF(B12="","",IF($F$3="",0,$F$4*F12))</f>
        <v>0</v>
      </c>
      <c r="K12" s="86">
        <f>IF(B12="","",IF(F12=0,0,IF(Sheet1!$I$10=6,'Tabla Fijos CAT'!$C$3*'Tabla Fijos CAT'!$F$5,$C$5*$F$5)))</f>
        <v>0</v>
      </c>
      <c r="L12" s="86">
        <f>IF(B12="","",IF(F12=0,0,$I$4))</f>
        <v>0</v>
      </c>
      <c r="M12" s="86"/>
      <c r="N12" s="86"/>
      <c r="O12" s="86">
        <f ca="1">IF(B12="","",G12+H12+J12+K12+L12)</f>
        <v>10421.884210717653</v>
      </c>
      <c r="P12" s="86">
        <f>IF(B12="","",F12-G12)</f>
        <v>998867.00467817124</v>
      </c>
      <c r="Q12" s="355">
        <f>IF(B12="","",F12*($F$4/12/1000))</f>
        <v>0</v>
      </c>
      <c r="R12" s="201">
        <f>PPMT(E12/360*30.4,B12,$C$4,-$P$11)</f>
        <v>1132.9953218287653</v>
      </c>
      <c r="S12" s="201">
        <f>(E12/360*D12)*F12</f>
        <v>9288.8888888888887</v>
      </c>
      <c r="T12" s="202">
        <f>R12+S12</f>
        <v>10421.884210717653</v>
      </c>
      <c r="U12" s="201">
        <f>PPMT(E12/360*30.4,B12,$C$4,-$P$11)</f>
        <v>1132.9953218287653</v>
      </c>
      <c r="V12" s="201">
        <f>(E12/360*D12)*F12</f>
        <v>9288.8888888888887</v>
      </c>
      <c r="W12" s="201">
        <f>U12+V12</f>
        <v>10421.884210717653</v>
      </c>
      <c r="X12" s="201">
        <f>PPMT(E12/360*30.4,B12,$C$4,-$P$11)</f>
        <v>1132.9953218287653</v>
      </c>
      <c r="Y12" s="201">
        <f>(E12/360*D12)*F12</f>
        <v>9288.8888888888887</v>
      </c>
      <c r="Z12" s="201">
        <f>X12+Y12</f>
        <v>10421.884210717653</v>
      </c>
      <c r="AA12" s="32" t="s">
        <v>137</v>
      </c>
      <c r="AB12" s="14">
        <f>IRR(AC11:AC311,0)</f>
        <v>9.2888888888889021E-3</v>
      </c>
      <c r="AC12" s="257">
        <f>IF(B12="","",I12+J12+(K12/1.16)+L12+N12)</f>
        <v>10421.884210717653</v>
      </c>
    </row>
    <row r="13" spans="2:29" x14ac:dyDescent="0.3">
      <c r="B13" s="84">
        <f>IF(B12="","",IF(B12=$C$4,"",B12+1))</f>
        <v>2</v>
      </c>
      <c r="C13" s="85">
        <f ca="1">IF($B13="","",'Fecha Pago'!K5)</f>
        <v>46206</v>
      </c>
      <c r="D13" s="86">
        <f>IF($B$12="","",'Fecha Pago'!L5)</f>
        <v>30.4</v>
      </c>
      <c r="E13" s="87">
        <f t="shared" ref="E13:E76" si="1">IF(B13="","",$F$2)</f>
        <v>0.11</v>
      </c>
      <c r="F13" s="86">
        <f t="shared" ref="F13:F76" si="2">IF(B13="","",IF(P12&lt;0,0,F12-G12))</f>
        <v>998867.00467817124</v>
      </c>
      <c r="G13" s="86">
        <f>IF(B13="","",IF(F13&lt;=G12,F13,IF($P$7=$X$10,X13,IF($P$7=$U$10,U13,IF($P$7=$R$10,R13,)))))+N13</f>
        <v>1143.5195894848639</v>
      </c>
      <c r="H13" s="86">
        <f ca="1">IF(C13="","",IF($P$7=$X$10,Y13,IF($P$7=$U$10,V13,IF($P$7=$R$10,S13,))))</f>
        <v>9278.3646212327894</v>
      </c>
      <c r="I13" s="86">
        <f t="shared" si="0"/>
        <v>10421.884210717653</v>
      </c>
      <c r="J13" s="86">
        <f t="shared" ref="J13:J76" si="3">IF(B13="","",IF($F$3="",0,$F$4*F13))</f>
        <v>0</v>
      </c>
      <c r="K13" s="86">
        <f>IF(B13="","",IF(F13=0,0,IF(Sheet1!$I$10=6,'Tabla Fijos CAT'!$C$3*'Tabla Fijos CAT'!$F$5,$C$5*$F$5)))</f>
        <v>0</v>
      </c>
      <c r="L13" s="86">
        <f t="shared" ref="L13:L76" si="4">IF(B13="","",IF(F13=0,0,$I$4))</f>
        <v>0</v>
      </c>
      <c r="M13" s="86"/>
      <c r="N13" s="86"/>
      <c r="O13" s="86">
        <f ca="1">IF(B13="","",G13+H13+J13+K13+L13)</f>
        <v>10421.884210717653</v>
      </c>
      <c r="P13" s="86">
        <f t="shared" ref="P13:P76" si="5">IF(B13="","",F13-G13)</f>
        <v>997723.48508868634</v>
      </c>
      <c r="Q13" s="355">
        <f t="shared" ref="Q13:Q76" si="6">IF(B13="","",F13*($F$4/12/1000))</f>
        <v>0</v>
      </c>
      <c r="R13" s="201">
        <f t="shared" ref="R13:R76" si="7">PPMT(E13/360*30.4,B13,$C$4,-$P$11)</f>
        <v>1143.5195894848641</v>
      </c>
      <c r="S13" s="201">
        <f t="shared" ref="S13:S76" si="8">(E13/360*D13)*F13</f>
        <v>9278.3646212327894</v>
      </c>
      <c r="T13" s="202">
        <f t="shared" ref="T13:T76" si="9">R13+S13</f>
        <v>10421.884210717653</v>
      </c>
      <c r="U13" s="201">
        <f t="shared" ref="U13:U76" si="10">W13-V13</f>
        <v>1143.5195894848639</v>
      </c>
      <c r="V13" s="201">
        <f t="shared" ref="V13:V76" si="11">(E13/360*D13)*F13</f>
        <v>9278.3646212327894</v>
      </c>
      <c r="W13" s="201">
        <f>PMT($F$2/360*30.4,$C$4,-$C$3)</f>
        <v>10421.884210717653</v>
      </c>
      <c r="X13" s="201">
        <f t="shared" ref="X13:X76" si="12">Z13-Y13</f>
        <v>1143.5195894848639</v>
      </c>
      <c r="Y13" s="201">
        <f t="shared" ref="Y13:Y76" si="13">(E13/360*D13)*F13</f>
        <v>9278.3646212327894</v>
      </c>
      <c r="Z13" s="201">
        <f>PMT($F$2/360*30.4,$C$4-B12,-P12)</f>
        <v>10421.884210717653</v>
      </c>
      <c r="AA13" s="32" t="s">
        <v>138</v>
      </c>
      <c r="AB13" s="36">
        <f>AB12*12</f>
        <v>0.11146666666666682</v>
      </c>
      <c r="AC13" s="257">
        <f t="shared" ref="AC13:AC76" si="14">IF(B13="","",I13+J13+(K13/1.16)+L13+N13)</f>
        <v>10421.884210717653</v>
      </c>
    </row>
    <row r="14" spans="2:29" x14ac:dyDescent="0.3">
      <c r="B14" s="84">
        <f t="shared" ref="B14:B77" si="15">IF(B13="","",IF(B13=$C$4,"",B13+1))</f>
        <v>3</v>
      </c>
      <c r="C14" s="85">
        <f ca="1">IF($B14="","",'Fecha Pago'!K6)</f>
        <v>46237</v>
      </c>
      <c r="D14" s="86">
        <f>IF($B$12="","",'Fecha Pago'!L6)</f>
        <v>30.4</v>
      </c>
      <c r="E14" s="87">
        <f t="shared" si="1"/>
        <v>0.11</v>
      </c>
      <c r="F14" s="86">
        <f t="shared" si="2"/>
        <v>997723.48508868634</v>
      </c>
      <c r="G14" s="86">
        <f t="shared" ref="G14:G77" si="16">IF(B14="","",IF(F14&lt;=G13,F14,IF($P$7=$X$10,X14,IF($P$7=$U$10,U14,IF($P$7=$R$10,R14,)))))+N14</f>
        <v>1154.1416158938573</v>
      </c>
      <c r="H14" s="86">
        <f t="shared" ref="H14:H77" ca="1" si="17">IF(C14="","",IF($P$7=$X$10,Y14,IF($P$7=$U$10,V14,IF($P$7=$R$10,S14,))))</f>
        <v>9267.742594823796</v>
      </c>
      <c r="I14" s="86">
        <f t="shared" si="0"/>
        <v>10421.884210717653</v>
      </c>
      <c r="J14" s="86">
        <f t="shared" si="3"/>
        <v>0</v>
      </c>
      <c r="K14" s="86">
        <f>IF(B14="","",IF(F14=0,0,IF(Sheet1!$I$10=6,'Tabla Fijos CAT'!$C$3*'Tabla Fijos CAT'!$F$5,$C$5*$F$5)))</f>
        <v>0</v>
      </c>
      <c r="L14" s="86">
        <f t="shared" si="4"/>
        <v>0</v>
      </c>
      <c r="M14" s="86"/>
      <c r="N14" s="86"/>
      <c r="O14" s="86">
        <f t="shared" ref="O14:O77" ca="1" si="18">IF(B14="","",G14+H14+J14+K14+L14)</f>
        <v>10421.884210717653</v>
      </c>
      <c r="P14" s="86">
        <f t="shared" si="5"/>
        <v>996569.34347279253</v>
      </c>
      <c r="Q14" s="355">
        <f t="shared" si="6"/>
        <v>0</v>
      </c>
      <c r="R14" s="201">
        <f t="shared" si="7"/>
        <v>1154.1416158938564</v>
      </c>
      <c r="S14" s="201">
        <f t="shared" si="8"/>
        <v>9267.742594823796</v>
      </c>
      <c r="T14" s="202">
        <f t="shared" si="9"/>
        <v>10421.884210717653</v>
      </c>
      <c r="U14" s="201">
        <f t="shared" si="10"/>
        <v>1154.1416158938573</v>
      </c>
      <c r="V14" s="201">
        <f t="shared" si="11"/>
        <v>9267.742594823796</v>
      </c>
      <c r="W14" s="201">
        <f t="shared" ref="W14:W77" si="19">PMT($F$2/360*30.4,$C$4,-$C$3)</f>
        <v>10421.884210717653</v>
      </c>
      <c r="X14" s="201">
        <f t="shared" si="12"/>
        <v>1154.1416158938555</v>
      </c>
      <c r="Y14" s="201">
        <f t="shared" si="13"/>
        <v>9267.742594823796</v>
      </c>
      <c r="Z14" s="201">
        <f t="shared" ref="Z14:Z77" si="20">PMT($F$2/360*30.4,$C$4-B13,-P13)</f>
        <v>10421.884210717652</v>
      </c>
      <c r="AA14" s="33" t="s">
        <v>139</v>
      </c>
      <c r="AB14" s="110">
        <f>EFFECT(AB13,12)</f>
        <v>0.11734144041403516</v>
      </c>
      <c r="AC14" s="257">
        <f t="shared" si="14"/>
        <v>10421.884210717653</v>
      </c>
    </row>
    <row r="15" spans="2:29" x14ac:dyDescent="0.3">
      <c r="B15" s="84">
        <f t="shared" si="15"/>
        <v>4</v>
      </c>
      <c r="C15" s="85">
        <f ca="1">IF($B15="","",'Fecha Pago'!K7)</f>
        <v>46268</v>
      </c>
      <c r="D15" s="86">
        <f>IF($B$12="","",'Fecha Pago'!L7)</f>
        <v>30.4</v>
      </c>
      <c r="E15" s="87">
        <f t="shared" si="1"/>
        <v>0.11</v>
      </c>
      <c r="F15" s="86">
        <f t="shared" si="2"/>
        <v>996569.34347279253</v>
      </c>
      <c r="G15" s="86">
        <f t="shared" si="16"/>
        <v>1164.862309125936</v>
      </c>
      <c r="H15" s="86">
        <f t="shared" ca="1" si="17"/>
        <v>9257.0219015917173</v>
      </c>
      <c r="I15" s="86">
        <f t="shared" si="0"/>
        <v>10421.884210717653</v>
      </c>
      <c r="J15" s="86">
        <f t="shared" si="3"/>
        <v>0</v>
      </c>
      <c r="K15" s="86">
        <f>IF(B15="","",IF(F15=0,0,IF(Sheet1!$I$10=6,'Tabla Fijos CAT'!$C$3*'Tabla Fijos CAT'!$F$5,$C$5*$F$5)))</f>
        <v>0</v>
      </c>
      <c r="L15" s="86">
        <f t="shared" si="4"/>
        <v>0</v>
      </c>
      <c r="M15" s="86"/>
      <c r="N15" s="86"/>
      <c r="O15" s="86">
        <f t="shared" ca="1" si="18"/>
        <v>10421.884210717653</v>
      </c>
      <c r="P15" s="86">
        <f t="shared" si="5"/>
        <v>995404.48116366658</v>
      </c>
      <c r="Q15" s="355">
        <f t="shared" si="6"/>
        <v>0</v>
      </c>
      <c r="R15" s="201">
        <f t="shared" si="7"/>
        <v>1164.8623091259374</v>
      </c>
      <c r="S15" s="201">
        <f t="shared" si="8"/>
        <v>9257.0219015917173</v>
      </c>
      <c r="T15" s="202">
        <f t="shared" si="9"/>
        <v>10421.884210717655</v>
      </c>
      <c r="U15" s="201">
        <f t="shared" si="10"/>
        <v>1164.862309125936</v>
      </c>
      <c r="V15" s="201">
        <f t="shared" si="11"/>
        <v>9257.0219015917173</v>
      </c>
      <c r="W15" s="201">
        <f t="shared" si="19"/>
        <v>10421.884210717653</v>
      </c>
      <c r="X15" s="201">
        <f t="shared" si="12"/>
        <v>1164.862309125936</v>
      </c>
      <c r="Y15" s="201">
        <f t="shared" si="13"/>
        <v>9257.0219015917173</v>
      </c>
      <c r="Z15" s="201">
        <f t="shared" si="20"/>
        <v>10421.884210717653</v>
      </c>
      <c r="AA15" s="201"/>
      <c r="AC15" s="257">
        <f t="shared" si="14"/>
        <v>10421.884210717653</v>
      </c>
    </row>
    <row r="16" spans="2:29" x14ac:dyDescent="0.3">
      <c r="B16" s="84">
        <f t="shared" si="15"/>
        <v>5</v>
      </c>
      <c r="C16" s="85">
        <f ca="1">IF($B16="","",'Fecha Pago'!K8)</f>
        <v>46298</v>
      </c>
      <c r="D16" s="86">
        <f>IF($B$12="","",'Fecha Pago'!L8)</f>
        <v>30.4</v>
      </c>
      <c r="E16" s="87">
        <f t="shared" si="1"/>
        <v>0.11</v>
      </c>
      <c r="F16" s="86">
        <f t="shared" si="2"/>
        <v>995404.48116366658</v>
      </c>
      <c r="G16" s="86">
        <f t="shared" si="16"/>
        <v>1175.6825856862615</v>
      </c>
      <c r="H16" s="86">
        <f t="shared" ca="1" si="17"/>
        <v>9246.2016250313918</v>
      </c>
      <c r="I16" s="86">
        <f t="shared" si="0"/>
        <v>10421.884210717653</v>
      </c>
      <c r="J16" s="86">
        <f t="shared" si="3"/>
        <v>0</v>
      </c>
      <c r="K16" s="86">
        <f>IF(B16="","",IF(F16=0,0,IF(Sheet1!$I$10=6,'Tabla Fijos CAT'!$C$3*'Tabla Fijos CAT'!$F$5,$C$5*$F$5)))</f>
        <v>0</v>
      </c>
      <c r="L16" s="86">
        <f t="shared" si="4"/>
        <v>0</v>
      </c>
      <c r="M16" s="86"/>
      <c r="N16" s="86"/>
      <c r="O16" s="86">
        <f t="shared" ca="1" si="18"/>
        <v>10421.884210717653</v>
      </c>
      <c r="P16" s="86">
        <f t="shared" si="5"/>
        <v>994228.79857798037</v>
      </c>
      <c r="Q16" s="355">
        <f t="shared" si="6"/>
        <v>0</v>
      </c>
      <c r="R16" s="201">
        <f t="shared" si="7"/>
        <v>1175.6825856862624</v>
      </c>
      <c r="S16" s="201">
        <f t="shared" si="8"/>
        <v>9246.2016250313918</v>
      </c>
      <c r="T16" s="202">
        <f t="shared" si="9"/>
        <v>10421.884210717653</v>
      </c>
      <c r="U16" s="201">
        <f t="shared" si="10"/>
        <v>1175.6825856862615</v>
      </c>
      <c r="V16" s="201">
        <f t="shared" si="11"/>
        <v>9246.2016250313918</v>
      </c>
      <c r="W16" s="201">
        <f t="shared" si="19"/>
        <v>10421.884210717653</v>
      </c>
      <c r="X16" s="201">
        <f t="shared" si="12"/>
        <v>1175.6825856862615</v>
      </c>
      <c r="Y16" s="201">
        <f t="shared" si="13"/>
        <v>9246.2016250313918</v>
      </c>
      <c r="Z16" s="201">
        <f t="shared" si="20"/>
        <v>10421.884210717653</v>
      </c>
      <c r="AA16" s="201"/>
      <c r="AC16" s="257">
        <f t="shared" si="14"/>
        <v>10421.884210717653</v>
      </c>
    </row>
    <row r="17" spans="2:29" x14ac:dyDescent="0.3">
      <c r="B17" s="84">
        <f t="shared" si="15"/>
        <v>6</v>
      </c>
      <c r="C17" s="85">
        <f ca="1">IF($B17="","",'Fecha Pago'!K9)</f>
        <v>46329</v>
      </c>
      <c r="D17" s="86">
        <f>IF($B$12="","",'Fecha Pago'!L9)</f>
        <v>30.4</v>
      </c>
      <c r="E17" s="87">
        <f t="shared" si="1"/>
        <v>0.11</v>
      </c>
      <c r="F17" s="86">
        <f t="shared" si="2"/>
        <v>994228.79857798037</v>
      </c>
      <c r="G17" s="86">
        <f t="shared" si="16"/>
        <v>1186.6033705933023</v>
      </c>
      <c r="H17" s="86">
        <f t="shared" ca="1" si="17"/>
        <v>9235.280840124351</v>
      </c>
      <c r="I17" s="86">
        <f t="shared" si="0"/>
        <v>10421.884210717653</v>
      </c>
      <c r="J17" s="86">
        <f t="shared" si="3"/>
        <v>0</v>
      </c>
      <c r="K17" s="86">
        <f>IF(B17="","",IF(F17=0,0,IF(Sheet1!$I$10=6,'Tabla Fijos CAT'!$C$3*'Tabla Fijos CAT'!$F$5,$C$5*$F$5)))</f>
        <v>0</v>
      </c>
      <c r="L17" s="86">
        <f t="shared" si="4"/>
        <v>0</v>
      </c>
      <c r="M17" s="86"/>
      <c r="N17" s="86"/>
      <c r="O17" s="86">
        <f t="shared" ca="1" si="18"/>
        <v>10421.884210717653</v>
      </c>
      <c r="P17" s="86">
        <f t="shared" si="5"/>
        <v>993042.19520738709</v>
      </c>
      <c r="Q17" s="355">
        <f t="shared" si="6"/>
        <v>0</v>
      </c>
      <c r="R17" s="201">
        <f t="shared" si="7"/>
        <v>1186.6033705933039</v>
      </c>
      <c r="S17" s="201">
        <f t="shared" si="8"/>
        <v>9235.280840124351</v>
      </c>
      <c r="T17" s="202">
        <f t="shared" si="9"/>
        <v>10421.884210717655</v>
      </c>
      <c r="U17" s="201">
        <f t="shared" si="10"/>
        <v>1186.6033705933023</v>
      </c>
      <c r="V17" s="201">
        <f t="shared" si="11"/>
        <v>9235.280840124351</v>
      </c>
      <c r="W17" s="201">
        <f t="shared" si="19"/>
        <v>10421.884210717653</v>
      </c>
      <c r="X17" s="201">
        <f t="shared" si="12"/>
        <v>1186.6033705933023</v>
      </c>
      <c r="Y17" s="201">
        <f t="shared" si="13"/>
        <v>9235.280840124351</v>
      </c>
      <c r="Z17" s="201">
        <f t="shared" si="20"/>
        <v>10421.884210717653</v>
      </c>
      <c r="AA17" s="201"/>
      <c r="AC17" s="257">
        <f t="shared" si="14"/>
        <v>10421.884210717653</v>
      </c>
    </row>
    <row r="18" spans="2:29" x14ac:dyDescent="0.3">
      <c r="B18" s="84">
        <f t="shared" si="15"/>
        <v>7</v>
      </c>
      <c r="C18" s="85">
        <f ca="1">IF($B18="","",'Fecha Pago'!K10)</f>
        <v>46359</v>
      </c>
      <c r="D18" s="86">
        <f>IF($B$12="","",'Fecha Pago'!L10)</f>
        <v>30.4</v>
      </c>
      <c r="E18" s="87">
        <f t="shared" si="1"/>
        <v>0.11</v>
      </c>
      <c r="F18" s="86">
        <f t="shared" si="2"/>
        <v>993042.19520738709</v>
      </c>
      <c r="G18" s="86">
        <f t="shared" si="16"/>
        <v>1197.6255974579253</v>
      </c>
      <c r="H18" s="86">
        <f t="shared" ca="1" si="17"/>
        <v>9224.258613259728</v>
      </c>
      <c r="I18" s="86">
        <f t="shared" si="0"/>
        <v>10421.884210717653</v>
      </c>
      <c r="J18" s="86">
        <f t="shared" si="3"/>
        <v>0</v>
      </c>
      <c r="K18" s="86">
        <f>IF(B18="","",IF(F18=0,0,IF(Sheet1!$I$10=6,'Tabla Fijos CAT'!$C$3*'Tabla Fijos CAT'!$F$5,$C$5*$F$5)))</f>
        <v>0</v>
      </c>
      <c r="L18" s="86">
        <f t="shared" si="4"/>
        <v>0</v>
      </c>
      <c r="M18" s="86"/>
      <c r="N18" s="86"/>
      <c r="O18" s="86">
        <f t="shared" ca="1" si="18"/>
        <v>10421.884210717653</v>
      </c>
      <c r="P18" s="86">
        <f t="shared" si="5"/>
        <v>991844.56960992911</v>
      </c>
      <c r="Q18" s="355">
        <f t="shared" si="6"/>
        <v>0</v>
      </c>
      <c r="R18" s="201">
        <f t="shared" si="7"/>
        <v>1197.625597457926</v>
      </c>
      <c r="S18" s="201">
        <f t="shared" si="8"/>
        <v>9224.258613259728</v>
      </c>
      <c r="T18" s="202">
        <f t="shared" si="9"/>
        <v>10421.884210717653</v>
      </c>
      <c r="U18" s="201">
        <f t="shared" si="10"/>
        <v>1197.6255974579253</v>
      </c>
      <c r="V18" s="201">
        <f t="shared" si="11"/>
        <v>9224.258613259728</v>
      </c>
      <c r="W18" s="201">
        <f t="shared" si="19"/>
        <v>10421.884210717653</v>
      </c>
      <c r="X18" s="201">
        <f t="shared" si="12"/>
        <v>1197.6255974579253</v>
      </c>
      <c r="Y18" s="201">
        <f t="shared" si="13"/>
        <v>9224.258613259728</v>
      </c>
      <c r="Z18" s="201">
        <f t="shared" si="20"/>
        <v>10421.884210717653</v>
      </c>
      <c r="AA18" s="201"/>
      <c r="AC18" s="257">
        <f t="shared" si="14"/>
        <v>10421.884210717653</v>
      </c>
    </row>
    <row r="19" spans="2:29" x14ac:dyDescent="0.3">
      <c r="B19" s="84">
        <f t="shared" si="15"/>
        <v>8</v>
      </c>
      <c r="C19" s="85">
        <f ca="1">IF($B19="","",'Fecha Pago'!K11)</f>
        <v>46390</v>
      </c>
      <c r="D19" s="86">
        <f>IF($B$12="","",'Fecha Pago'!L11)</f>
        <v>30.4</v>
      </c>
      <c r="E19" s="87">
        <f t="shared" si="1"/>
        <v>0.11</v>
      </c>
      <c r="F19" s="86">
        <f t="shared" si="2"/>
        <v>991844.56960992911</v>
      </c>
      <c r="G19" s="86">
        <f t="shared" si="16"/>
        <v>1208.7502085632022</v>
      </c>
      <c r="H19" s="86">
        <f t="shared" ca="1" si="17"/>
        <v>9213.1340021544511</v>
      </c>
      <c r="I19" s="86">
        <f t="shared" si="0"/>
        <v>10421.884210717653</v>
      </c>
      <c r="J19" s="86">
        <f t="shared" si="3"/>
        <v>0</v>
      </c>
      <c r="K19" s="86">
        <f>IF(B19="","",IF(F19=0,0,IF(Sheet1!$I$10=6,'Tabla Fijos CAT'!$C$3*'Tabla Fijos CAT'!$F$5,$C$5*$F$5)))</f>
        <v>0</v>
      </c>
      <c r="L19" s="86">
        <f t="shared" si="4"/>
        <v>0</v>
      </c>
      <c r="M19" s="86"/>
      <c r="N19" s="86"/>
      <c r="O19" s="86">
        <f t="shared" ca="1" si="18"/>
        <v>10421.884210717653</v>
      </c>
      <c r="P19" s="86">
        <f t="shared" si="5"/>
        <v>990635.81940136594</v>
      </c>
      <c r="Q19" s="355">
        <f t="shared" si="6"/>
        <v>0</v>
      </c>
      <c r="R19" s="201">
        <f t="shared" si="7"/>
        <v>1208.750208563202</v>
      </c>
      <c r="S19" s="201">
        <f t="shared" si="8"/>
        <v>9213.1340021544511</v>
      </c>
      <c r="T19" s="202">
        <f t="shared" si="9"/>
        <v>10421.884210717653</v>
      </c>
      <c r="U19" s="201">
        <f t="shared" si="10"/>
        <v>1208.7502085632022</v>
      </c>
      <c r="V19" s="201">
        <f t="shared" si="11"/>
        <v>9213.1340021544511</v>
      </c>
      <c r="W19" s="201">
        <f t="shared" si="19"/>
        <v>10421.884210717653</v>
      </c>
      <c r="X19" s="201">
        <f t="shared" si="12"/>
        <v>1208.7502085632022</v>
      </c>
      <c r="Y19" s="201">
        <f t="shared" si="13"/>
        <v>9213.1340021544511</v>
      </c>
      <c r="Z19" s="201">
        <f t="shared" si="20"/>
        <v>10421.884210717653</v>
      </c>
      <c r="AA19" s="201"/>
      <c r="AC19" s="257">
        <f t="shared" si="14"/>
        <v>10421.884210717653</v>
      </c>
    </row>
    <row r="20" spans="2:29" x14ac:dyDescent="0.3">
      <c r="B20" s="84">
        <f t="shared" si="15"/>
        <v>9</v>
      </c>
      <c r="C20" s="85">
        <f ca="1">IF($B20="","",'Fecha Pago'!K12)</f>
        <v>46421</v>
      </c>
      <c r="D20" s="86">
        <f>IF($B$12="","",'Fecha Pago'!L12)</f>
        <v>30.4</v>
      </c>
      <c r="E20" s="87">
        <f t="shared" si="1"/>
        <v>0.11</v>
      </c>
      <c r="F20" s="86">
        <f t="shared" si="2"/>
        <v>990635.81940136594</v>
      </c>
      <c r="G20" s="86">
        <f t="shared" si="16"/>
        <v>1219.9781549449654</v>
      </c>
      <c r="H20" s="86">
        <f t="shared" ca="1" si="17"/>
        <v>9201.906055772688</v>
      </c>
      <c r="I20" s="86">
        <f t="shared" si="0"/>
        <v>10421.884210717653</v>
      </c>
      <c r="J20" s="86">
        <f t="shared" si="3"/>
        <v>0</v>
      </c>
      <c r="K20" s="86">
        <f>IF(B20="","",IF(F20=0,0,IF(Sheet1!$I$10=6,'Tabla Fijos CAT'!$C$3*'Tabla Fijos CAT'!$F$5,$C$5*$F$5)))</f>
        <v>0</v>
      </c>
      <c r="L20" s="86">
        <f t="shared" si="4"/>
        <v>0</v>
      </c>
      <c r="M20" s="86"/>
      <c r="N20" s="86"/>
      <c r="O20" s="86">
        <f t="shared" ca="1" si="18"/>
        <v>10421.884210717653</v>
      </c>
      <c r="P20" s="86">
        <f t="shared" si="5"/>
        <v>989415.84124642098</v>
      </c>
      <c r="Q20" s="355">
        <f t="shared" si="6"/>
        <v>0</v>
      </c>
      <c r="R20" s="201">
        <f t="shared" si="7"/>
        <v>1219.9781549449669</v>
      </c>
      <c r="S20" s="201">
        <f t="shared" si="8"/>
        <v>9201.906055772688</v>
      </c>
      <c r="T20" s="202">
        <f t="shared" si="9"/>
        <v>10421.884210717655</v>
      </c>
      <c r="U20" s="201">
        <f t="shared" si="10"/>
        <v>1219.9781549449654</v>
      </c>
      <c r="V20" s="201">
        <f t="shared" si="11"/>
        <v>9201.906055772688</v>
      </c>
      <c r="W20" s="201">
        <f t="shared" si="19"/>
        <v>10421.884210717653</v>
      </c>
      <c r="X20" s="201">
        <f t="shared" si="12"/>
        <v>1219.9781549449654</v>
      </c>
      <c r="Y20" s="201">
        <f t="shared" si="13"/>
        <v>9201.906055772688</v>
      </c>
      <c r="Z20" s="201">
        <f t="shared" si="20"/>
        <v>10421.884210717653</v>
      </c>
      <c r="AA20" s="201"/>
      <c r="AC20" s="257">
        <f t="shared" si="14"/>
        <v>10421.884210717653</v>
      </c>
    </row>
    <row r="21" spans="2:29" x14ac:dyDescent="0.3">
      <c r="B21" s="84">
        <f t="shared" si="15"/>
        <v>10</v>
      </c>
      <c r="C21" s="85">
        <f ca="1">IF($B21="","",'Fecha Pago'!K13)</f>
        <v>46449</v>
      </c>
      <c r="D21" s="86">
        <f>IF($B$12="","",'Fecha Pago'!L13)</f>
        <v>30.4</v>
      </c>
      <c r="E21" s="87">
        <f t="shared" si="1"/>
        <v>0.11</v>
      </c>
      <c r="F21" s="86">
        <f t="shared" si="2"/>
        <v>989415.84124642098</v>
      </c>
      <c r="G21" s="86">
        <f t="shared" si="16"/>
        <v>1231.3103964731217</v>
      </c>
      <c r="H21" s="86">
        <f t="shared" ca="1" si="17"/>
        <v>9190.5738142445316</v>
      </c>
      <c r="I21" s="86">
        <f t="shared" si="0"/>
        <v>10421.884210717653</v>
      </c>
      <c r="J21" s="86">
        <f t="shared" si="3"/>
        <v>0</v>
      </c>
      <c r="K21" s="86">
        <f>IF(B21="","",IF(F21=0,0,IF(Sheet1!$I$10=6,'Tabla Fijos CAT'!$C$3*'Tabla Fijos CAT'!$F$5,$C$5*$F$5)))</f>
        <v>0</v>
      </c>
      <c r="L21" s="86">
        <f t="shared" si="4"/>
        <v>0</v>
      </c>
      <c r="M21" s="86"/>
      <c r="N21" s="86"/>
      <c r="O21" s="86">
        <f t="shared" ca="1" si="18"/>
        <v>10421.884210717653</v>
      </c>
      <c r="P21" s="86">
        <f t="shared" si="5"/>
        <v>988184.53084994783</v>
      </c>
      <c r="Q21" s="355">
        <f t="shared" si="6"/>
        <v>0</v>
      </c>
      <c r="R21" s="201">
        <f t="shared" si="7"/>
        <v>1231.3103964731222</v>
      </c>
      <c r="S21" s="201">
        <f t="shared" si="8"/>
        <v>9190.5738142445316</v>
      </c>
      <c r="T21" s="202">
        <f t="shared" si="9"/>
        <v>10421.884210717653</v>
      </c>
      <c r="U21" s="201">
        <f t="shared" si="10"/>
        <v>1231.3103964731217</v>
      </c>
      <c r="V21" s="201">
        <f t="shared" si="11"/>
        <v>9190.5738142445316</v>
      </c>
      <c r="W21" s="201">
        <f t="shared" si="19"/>
        <v>10421.884210717653</v>
      </c>
      <c r="X21" s="201">
        <f t="shared" si="12"/>
        <v>1231.3103964731217</v>
      </c>
      <c r="Y21" s="201">
        <f t="shared" si="13"/>
        <v>9190.5738142445316</v>
      </c>
      <c r="Z21" s="201">
        <f t="shared" si="20"/>
        <v>10421.884210717653</v>
      </c>
      <c r="AA21" s="201"/>
      <c r="AC21" s="257">
        <f t="shared" si="14"/>
        <v>10421.884210717653</v>
      </c>
    </row>
    <row r="22" spans="2:29" x14ac:dyDescent="0.3">
      <c r="B22" s="84">
        <f t="shared" si="15"/>
        <v>11</v>
      </c>
      <c r="C22" s="85">
        <f ca="1">IF($B22="","",'Fecha Pago'!K14)</f>
        <v>46480</v>
      </c>
      <c r="D22" s="86">
        <f>IF($B$12="","",'Fecha Pago'!L14)</f>
        <v>30.4</v>
      </c>
      <c r="E22" s="87">
        <f t="shared" si="1"/>
        <v>0.11</v>
      </c>
      <c r="F22" s="86">
        <f t="shared" si="2"/>
        <v>988184.53084994783</v>
      </c>
      <c r="G22" s="86">
        <f t="shared" si="16"/>
        <v>1242.7479019336934</v>
      </c>
      <c r="H22" s="86">
        <f t="shared" ca="1" si="17"/>
        <v>9179.13630878396</v>
      </c>
      <c r="I22" s="86">
        <f t="shared" si="0"/>
        <v>10421.884210717653</v>
      </c>
      <c r="J22" s="86">
        <f t="shared" si="3"/>
        <v>0</v>
      </c>
      <c r="K22" s="86">
        <f>IF(B22="","",IF(F22=0,0,IF(Sheet1!$I$10=6,'Tabla Fijos CAT'!$C$3*'Tabla Fijos CAT'!$F$5,$C$5*$F$5)))</f>
        <v>0</v>
      </c>
      <c r="L22" s="86">
        <f t="shared" si="4"/>
        <v>0</v>
      </c>
      <c r="M22" s="86"/>
      <c r="N22" s="86"/>
      <c r="O22" s="86">
        <f t="shared" ca="1" si="18"/>
        <v>10421.884210717653</v>
      </c>
      <c r="P22" s="86">
        <f t="shared" si="5"/>
        <v>986941.78294801409</v>
      </c>
      <c r="Q22" s="355">
        <f t="shared" si="6"/>
        <v>0</v>
      </c>
      <c r="R22" s="201">
        <f t="shared" si="7"/>
        <v>1242.7479019336949</v>
      </c>
      <c r="S22" s="201">
        <f t="shared" si="8"/>
        <v>9179.13630878396</v>
      </c>
      <c r="T22" s="202">
        <f t="shared" si="9"/>
        <v>10421.884210717655</v>
      </c>
      <c r="U22" s="201">
        <f t="shared" si="10"/>
        <v>1242.7479019336934</v>
      </c>
      <c r="V22" s="201">
        <f t="shared" si="11"/>
        <v>9179.13630878396</v>
      </c>
      <c r="W22" s="201">
        <f t="shared" si="19"/>
        <v>10421.884210717653</v>
      </c>
      <c r="X22" s="201">
        <f t="shared" si="12"/>
        <v>1242.7479019336934</v>
      </c>
      <c r="Y22" s="201">
        <f t="shared" si="13"/>
        <v>9179.13630878396</v>
      </c>
      <c r="Z22" s="201">
        <f t="shared" si="20"/>
        <v>10421.884210717653</v>
      </c>
      <c r="AA22" s="201"/>
      <c r="AC22" s="257">
        <f t="shared" si="14"/>
        <v>10421.884210717653</v>
      </c>
    </row>
    <row r="23" spans="2:29" x14ac:dyDescent="0.3">
      <c r="B23" s="84">
        <f t="shared" si="15"/>
        <v>12</v>
      </c>
      <c r="C23" s="85">
        <f ca="1">IF($B23="","",'Fecha Pago'!K15)</f>
        <v>46510</v>
      </c>
      <c r="D23" s="86">
        <f>IF($B$12="","",'Fecha Pago'!L15)</f>
        <v>30.4</v>
      </c>
      <c r="E23" s="87">
        <f t="shared" si="1"/>
        <v>0.11</v>
      </c>
      <c r="F23" s="86">
        <f t="shared" si="2"/>
        <v>986941.78294801409</v>
      </c>
      <c r="G23" s="86">
        <f t="shared" si="16"/>
        <v>1254.2916491116557</v>
      </c>
      <c r="H23" s="86">
        <f t="shared" ca="1" si="17"/>
        <v>9167.5925616059976</v>
      </c>
      <c r="I23" s="86">
        <f t="shared" si="0"/>
        <v>10421.884210717653</v>
      </c>
      <c r="J23" s="86">
        <f t="shared" si="3"/>
        <v>0</v>
      </c>
      <c r="K23" s="86">
        <f>IF(B23="","",IF(F23=0,0,IF(Sheet1!$I$10=6,'Tabla Fijos CAT'!$C$3*'Tabla Fijos CAT'!$F$5,$C$5*$F$5)))</f>
        <v>0</v>
      </c>
      <c r="L23" s="86">
        <f t="shared" si="4"/>
        <v>0</v>
      </c>
      <c r="M23" s="86"/>
      <c r="N23" s="86"/>
      <c r="O23" s="86">
        <f t="shared" ca="1" si="18"/>
        <v>10421.884210717653</v>
      </c>
      <c r="P23" s="86">
        <f t="shared" si="5"/>
        <v>985687.49129890243</v>
      </c>
      <c r="Q23" s="355">
        <f t="shared" si="6"/>
        <v>0</v>
      </c>
      <c r="R23" s="201">
        <f t="shared" si="7"/>
        <v>1254.2916491116566</v>
      </c>
      <c r="S23" s="201">
        <f t="shared" si="8"/>
        <v>9167.5925616059976</v>
      </c>
      <c r="T23" s="202">
        <f t="shared" si="9"/>
        <v>10421.884210717653</v>
      </c>
      <c r="U23" s="201">
        <f t="shared" si="10"/>
        <v>1254.2916491116557</v>
      </c>
      <c r="V23" s="201">
        <f t="shared" si="11"/>
        <v>9167.5925616059976</v>
      </c>
      <c r="W23" s="201">
        <f t="shared" si="19"/>
        <v>10421.884210717653</v>
      </c>
      <c r="X23" s="201">
        <f t="shared" si="12"/>
        <v>1254.2916491116539</v>
      </c>
      <c r="Y23" s="201">
        <f t="shared" si="13"/>
        <v>9167.5925616059976</v>
      </c>
      <c r="Z23" s="201">
        <f t="shared" si="20"/>
        <v>10421.884210717652</v>
      </c>
      <c r="AA23" s="201"/>
      <c r="AC23" s="257">
        <f t="shared" si="14"/>
        <v>10421.884210717653</v>
      </c>
    </row>
    <row r="24" spans="2:29" x14ac:dyDescent="0.3">
      <c r="B24" s="84">
        <f t="shared" si="15"/>
        <v>13</v>
      </c>
      <c r="C24" s="85">
        <f ca="1">IF($B24="","",'Fecha Pago'!K16)</f>
        <v>46541</v>
      </c>
      <c r="D24" s="86">
        <f>IF($B$12="","",'Fecha Pago'!L16)</f>
        <v>30.4</v>
      </c>
      <c r="E24" s="87">
        <f t="shared" si="1"/>
        <v>0.11</v>
      </c>
      <c r="F24" s="86">
        <f t="shared" si="2"/>
        <v>985687.49129890243</v>
      </c>
      <c r="G24" s="86">
        <f t="shared" si="16"/>
        <v>1265.9426248745167</v>
      </c>
      <c r="H24" s="86">
        <f t="shared" ca="1" si="17"/>
        <v>9155.9415858431366</v>
      </c>
      <c r="I24" s="86">
        <f t="shared" si="0"/>
        <v>10421.884210717653</v>
      </c>
      <c r="J24" s="86">
        <f t="shared" si="3"/>
        <v>0</v>
      </c>
      <c r="K24" s="86">
        <f>IF(B24="","",IF(F24=0,0,IF(Sheet1!$I$10=6,'Tabla Fijos CAT'!$C$3*'Tabla Fijos CAT'!$F$5,$C$5*$F$5)))</f>
        <v>0</v>
      </c>
      <c r="L24" s="86">
        <f t="shared" si="4"/>
        <v>0</v>
      </c>
      <c r="M24" s="86"/>
      <c r="N24" s="86"/>
      <c r="O24" s="86">
        <f t="shared" ca="1" si="18"/>
        <v>10421.884210717653</v>
      </c>
      <c r="P24" s="86">
        <f t="shared" si="5"/>
        <v>984421.5486740279</v>
      </c>
      <c r="Q24" s="355">
        <f t="shared" si="6"/>
        <v>0</v>
      </c>
      <c r="R24" s="201">
        <f t="shared" si="7"/>
        <v>1265.9426248745165</v>
      </c>
      <c r="S24" s="201">
        <f t="shared" si="8"/>
        <v>9155.9415858431366</v>
      </c>
      <c r="T24" s="202">
        <f t="shared" si="9"/>
        <v>10421.884210717653</v>
      </c>
      <c r="U24" s="201">
        <f t="shared" si="10"/>
        <v>1265.9426248745167</v>
      </c>
      <c r="V24" s="201">
        <f t="shared" si="11"/>
        <v>9155.9415858431366</v>
      </c>
      <c r="W24" s="201">
        <f t="shared" si="19"/>
        <v>10421.884210717653</v>
      </c>
      <c r="X24" s="201">
        <f t="shared" si="12"/>
        <v>1265.9426248745167</v>
      </c>
      <c r="Y24" s="201">
        <f t="shared" si="13"/>
        <v>9155.9415858431366</v>
      </c>
      <c r="Z24" s="201">
        <f t="shared" si="20"/>
        <v>10421.884210717653</v>
      </c>
      <c r="AA24" s="201"/>
      <c r="AC24" s="257">
        <f t="shared" si="14"/>
        <v>10421.884210717653</v>
      </c>
    </row>
    <row r="25" spans="2:29" x14ac:dyDescent="0.3">
      <c r="B25" s="84">
        <f t="shared" si="15"/>
        <v>14</v>
      </c>
      <c r="C25" s="85">
        <f ca="1">IF($B25="","",'Fecha Pago'!K17)</f>
        <v>46571</v>
      </c>
      <c r="D25" s="86">
        <f>IF($B$12="","",'Fecha Pago'!L17)</f>
        <v>30.4</v>
      </c>
      <c r="E25" s="87">
        <f t="shared" si="1"/>
        <v>0.11</v>
      </c>
      <c r="F25" s="86">
        <f t="shared" si="2"/>
        <v>984421.5486740279</v>
      </c>
      <c r="G25" s="86">
        <f t="shared" si="16"/>
        <v>1277.7018252566832</v>
      </c>
      <c r="H25" s="86">
        <f t="shared" ca="1" si="17"/>
        <v>9144.1823854609702</v>
      </c>
      <c r="I25" s="86">
        <f t="shared" si="0"/>
        <v>10421.884210717653</v>
      </c>
      <c r="J25" s="86">
        <f t="shared" si="3"/>
        <v>0</v>
      </c>
      <c r="K25" s="86">
        <f>IF(B25="","",IF(F25=0,0,IF(Sheet1!$I$10=6,'Tabla Fijos CAT'!$C$3*'Tabla Fijos CAT'!$F$5,$C$5*$F$5)))</f>
        <v>0</v>
      </c>
      <c r="L25" s="86">
        <f t="shared" si="4"/>
        <v>0</v>
      </c>
      <c r="M25" s="86"/>
      <c r="N25" s="86"/>
      <c r="O25" s="86">
        <f t="shared" ca="1" si="18"/>
        <v>10421.884210717653</v>
      </c>
      <c r="P25" s="86">
        <f t="shared" si="5"/>
        <v>983143.84684877121</v>
      </c>
      <c r="Q25" s="355">
        <f t="shared" si="6"/>
        <v>0</v>
      </c>
      <c r="R25" s="201">
        <f t="shared" si="7"/>
        <v>1277.7018252566838</v>
      </c>
      <c r="S25" s="201">
        <f t="shared" si="8"/>
        <v>9144.1823854609702</v>
      </c>
      <c r="T25" s="202">
        <f t="shared" si="9"/>
        <v>10421.884210717653</v>
      </c>
      <c r="U25" s="201">
        <f t="shared" si="10"/>
        <v>1277.7018252566832</v>
      </c>
      <c r="V25" s="201">
        <f t="shared" si="11"/>
        <v>9144.1823854609702</v>
      </c>
      <c r="W25" s="201">
        <f t="shared" si="19"/>
        <v>10421.884210717653</v>
      </c>
      <c r="X25" s="201">
        <f t="shared" si="12"/>
        <v>1277.7018252566832</v>
      </c>
      <c r="Y25" s="201">
        <f t="shared" si="13"/>
        <v>9144.1823854609702</v>
      </c>
      <c r="Z25" s="201">
        <f t="shared" si="20"/>
        <v>10421.884210717653</v>
      </c>
      <c r="AA25" s="201"/>
      <c r="AC25" s="257">
        <f t="shared" si="14"/>
        <v>10421.884210717653</v>
      </c>
    </row>
    <row r="26" spans="2:29" x14ac:dyDescent="0.3">
      <c r="B26" s="84">
        <f t="shared" si="15"/>
        <v>15</v>
      </c>
      <c r="C26" s="85">
        <f ca="1">IF($B26="","",'Fecha Pago'!K18)</f>
        <v>46602</v>
      </c>
      <c r="D26" s="86">
        <f>IF($B$12="","",'Fecha Pago'!L18)</f>
        <v>30.4</v>
      </c>
      <c r="E26" s="87">
        <f t="shared" si="1"/>
        <v>0.11</v>
      </c>
      <c r="F26" s="86">
        <f t="shared" si="2"/>
        <v>983143.84684877121</v>
      </c>
      <c r="G26" s="86">
        <f t="shared" si="16"/>
        <v>1289.5702555446242</v>
      </c>
      <c r="H26" s="86">
        <f t="shared" ca="1" si="17"/>
        <v>9132.3139551730292</v>
      </c>
      <c r="I26" s="86">
        <f t="shared" si="0"/>
        <v>10421.884210717653</v>
      </c>
      <c r="J26" s="86">
        <f t="shared" si="3"/>
        <v>0</v>
      </c>
      <c r="K26" s="86">
        <f>IF(B26="","",IF(F26=0,0,IF(Sheet1!$I$10=6,'Tabla Fijos CAT'!$C$3*'Tabla Fijos CAT'!$F$5,$C$5*$F$5)))</f>
        <v>0</v>
      </c>
      <c r="L26" s="86">
        <f t="shared" si="4"/>
        <v>0</v>
      </c>
      <c r="M26" s="86"/>
      <c r="N26" s="86"/>
      <c r="O26" s="86">
        <f t="shared" ca="1" si="18"/>
        <v>10421.884210717653</v>
      </c>
      <c r="P26" s="86">
        <f t="shared" si="5"/>
        <v>981854.27659322659</v>
      </c>
      <c r="Q26" s="355">
        <f t="shared" si="6"/>
        <v>0</v>
      </c>
      <c r="R26" s="201">
        <f t="shared" si="7"/>
        <v>1289.5702555446237</v>
      </c>
      <c r="S26" s="201">
        <f t="shared" si="8"/>
        <v>9132.3139551730292</v>
      </c>
      <c r="T26" s="202">
        <f t="shared" si="9"/>
        <v>10421.884210717653</v>
      </c>
      <c r="U26" s="201">
        <f t="shared" si="10"/>
        <v>1289.5702555446242</v>
      </c>
      <c r="V26" s="201">
        <f t="shared" si="11"/>
        <v>9132.3139551730292</v>
      </c>
      <c r="W26" s="201">
        <f t="shared" si="19"/>
        <v>10421.884210717653</v>
      </c>
      <c r="X26" s="201">
        <f t="shared" si="12"/>
        <v>1289.5702555446242</v>
      </c>
      <c r="Y26" s="201">
        <f t="shared" si="13"/>
        <v>9132.3139551730292</v>
      </c>
      <c r="Z26" s="201">
        <f t="shared" si="20"/>
        <v>10421.884210717653</v>
      </c>
      <c r="AA26" s="201"/>
      <c r="AC26" s="257">
        <f t="shared" si="14"/>
        <v>10421.884210717653</v>
      </c>
    </row>
    <row r="27" spans="2:29" x14ac:dyDescent="0.3">
      <c r="B27" s="84">
        <f t="shared" si="15"/>
        <v>16</v>
      </c>
      <c r="C27" s="85">
        <f ca="1">IF($B27="","",'Fecha Pago'!K19)</f>
        <v>46633</v>
      </c>
      <c r="D27" s="86">
        <f>IF($B$12="","",'Fecha Pago'!L19)</f>
        <v>30.4</v>
      </c>
      <c r="E27" s="87">
        <f t="shared" si="1"/>
        <v>0.11</v>
      </c>
      <c r="F27" s="86">
        <f t="shared" si="2"/>
        <v>981854.27659322659</v>
      </c>
      <c r="G27" s="86">
        <f t="shared" si="16"/>
        <v>1301.5489303627928</v>
      </c>
      <c r="H27" s="86">
        <f t="shared" ca="1" si="17"/>
        <v>9120.3352803548605</v>
      </c>
      <c r="I27" s="86">
        <f t="shared" si="0"/>
        <v>10421.884210717653</v>
      </c>
      <c r="J27" s="86">
        <f t="shared" si="3"/>
        <v>0</v>
      </c>
      <c r="K27" s="86">
        <f>IF(B27="","",IF(F27=0,0,IF(Sheet1!$I$10=6,'Tabla Fijos CAT'!$C$3*'Tabla Fijos CAT'!$F$5,$C$5*$F$5)))</f>
        <v>0</v>
      </c>
      <c r="L27" s="86">
        <f t="shared" si="4"/>
        <v>0</v>
      </c>
      <c r="M27" s="86"/>
      <c r="N27" s="86"/>
      <c r="O27" s="86">
        <f t="shared" ca="1" si="18"/>
        <v>10421.884210717653</v>
      </c>
      <c r="P27" s="86">
        <f t="shared" si="5"/>
        <v>980552.72766286379</v>
      </c>
      <c r="Q27" s="355">
        <f t="shared" si="6"/>
        <v>0</v>
      </c>
      <c r="R27" s="201">
        <f t="shared" si="7"/>
        <v>1301.5489303627935</v>
      </c>
      <c r="S27" s="201">
        <f t="shared" si="8"/>
        <v>9120.3352803548605</v>
      </c>
      <c r="T27" s="202">
        <f t="shared" si="9"/>
        <v>10421.884210717653</v>
      </c>
      <c r="U27" s="201">
        <f t="shared" si="10"/>
        <v>1301.5489303627928</v>
      </c>
      <c r="V27" s="201">
        <f t="shared" si="11"/>
        <v>9120.3352803548605</v>
      </c>
      <c r="W27" s="201">
        <f t="shared" si="19"/>
        <v>10421.884210717653</v>
      </c>
      <c r="X27" s="201">
        <f t="shared" si="12"/>
        <v>1301.548930362791</v>
      </c>
      <c r="Y27" s="201">
        <f t="shared" si="13"/>
        <v>9120.3352803548605</v>
      </c>
      <c r="Z27" s="201">
        <f t="shared" si="20"/>
        <v>10421.884210717652</v>
      </c>
      <c r="AA27" s="201"/>
      <c r="AC27" s="257">
        <f t="shared" si="14"/>
        <v>10421.884210717653</v>
      </c>
    </row>
    <row r="28" spans="2:29" x14ac:dyDescent="0.3">
      <c r="B28" s="84">
        <f t="shared" si="15"/>
        <v>17</v>
      </c>
      <c r="C28" s="85">
        <f ca="1">IF($B28="","",'Fecha Pago'!K20)</f>
        <v>46663</v>
      </c>
      <c r="D28" s="86">
        <f>IF($B$12="","",'Fecha Pago'!L20)</f>
        <v>30.4</v>
      </c>
      <c r="E28" s="87">
        <f t="shared" si="1"/>
        <v>0.11</v>
      </c>
      <c r="F28" s="86">
        <f t="shared" si="2"/>
        <v>980552.72766286379</v>
      </c>
      <c r="G28" s="86">
        <f t="shared" si="16"/>
        <v>1313.6388737603866</v>
      </c>
      <c r="H28" s="86">
        <f t="shared" ca="1" si="17"/>
        <v>9108.2453369572668</v>
      </c>
      <c r="I28" s="86">
        <f t="shared" si="0"/>
        <v>10421.884210717653</v>
      </c>
      <c r="J28" s="86">
        <f t="shared" si="3"/>
        <v>0</v>
      </c>
      <c r="K28" s="86">
        <f>IF(B28="","",IF(F28=0,0,IF(Sheet1!$I$10=6,'Tabla Fijos CAT'!$C$3*'Tabla Fijos CAT'!$F$5,$C$5*$F$5)))</f>
        <v>0</v>
      </c>
      <c r="L28" s="86">
        <f t="shared" si="4"/>
        <v>0</v>
      </c>
      <c r="M28" s="86"/>
      <c r="N28" s="86"/>
      <c r="O28" s="86">
        <f t="shared" ca="1" si="18"/>
        <v>10421.884210717653</v>
      </c>
      <c r="P28" s="86">
        <f t="shared" si="5"/>
        <v>979239.08878910344</v>
      </c>
      <c r="Q28" s="355">
        <f t="shared" si="6"/>
        <v>0</v>
      </c>
      <c r="R28" s="201">
        <f t="shared" si="7"/>
        <v>1313.6388737603859</v>
      </c>
      <c r="S28" s="201">
        <f t="shared" si="8"/>
        <v>9108.2453369572668</v>
      </c>
      <c r="T28" s="202">
        <f t="shared" si="9"/>
        <v>10421.884210717653</v>
      </c>
      <c r="U28" s="201">
        <f t="shared" si="10"/>
        <v>1313.6388737603866</v>
      </c>
      <c r="V28" s="201">
        <f t="shared" si="11"/>
        <v>9108.2453369572668</v>
      </c>
      <c r="W28" s="201">
        <f t="shared" si="19"/>
        <v>10421.884210717653</v>
      </c>
      <c r="X28" s="201">
        <f t="shared" si="12"/>
        <v>1313.6388737603866</v>
      </c>
      <c r="Y28" s="201">
        <f t="shared" si="13"/>
        <v>9108.2453369572668</v>
      </c>
      <c r="Z28" s="201">
        <f t="shared" si="20"/>
        <v>10421.884210717653</v>
      </c>
      <c r="AA28" s="201"/>
      <c r="AC28" s="257">
        <f t="shared" si="14"/>
        <v>10421.884210717653</v>
      </c>
    </row>
    <row r="29" spans="2:29" x14ac:dyDescent="0.3">
      <c r="B29" s="84">
        <f t="shared" si="15"/>
        <v>18</v>
      </c>
      <c r="C29" s="85">
        <f ca="1">IF($B29="","",'Fecha Pago'!K21)</f>
        <v>46694</v>
      </c>
      <c r="D29" s="86">
        <f>IF($B$12="","",'Fecha Pago'!L21)</f>
        <v>30.4</v>
      </c>
      <c r="E29" s="87">
        <f t="shared" si="1"/>
        <v>0.11</v>
      </c>
      <c r="F29" s="86">
        <f t="shared" si="2"/>
        <v>979239.08878910344</v>
      </c>
      <c r="G29" s="86">
        <f t="shared" si="16"/>
        <v>1325.8411192988715</v>
      </c>
      <c r="H29" s="86">
        <f t="shared" ca="1" si="17"/>
        <v>9096.0430914187818</v>
      </c>
      <c r="I29" s="86">
        <f t="shared" si="0"/>
        <v>10421.884210717653</v>
      </c>
      <c r="J29" s="86">
        <f t="shared" si="3"/>
        <v>0</v>
      </c>
      <c r="K29" s="86">
        <f>IF(B29="","",IF(F29=0,0,IF(Sheet1!$I$10=6,'Tabla Fijos CAT'!$C$3*'Tabla Fijos CAT'!$F$5,$C$5*$F$5)))</f>
        <v>0</v>
      </c>
      <c r="L29" s="86">
        <f t="shared" si="4"/>
        <v>0</v>
      </c>
      <c r="M29" s="86"/>
      <c r="N29" s="86"/>
      <c r="O29" s="86">
        <f t="shared" ca="1" si="18"/>
        <v>10421.884210717653</v>
      </c>
      <c r="P29" s="86">
        <f t="shared" si="5"/>
        <v>977913.24766980461</v>
      </c>
      <c r="Q29" s="355">
        <f t="shared" si="6"/>
        <v>0</v>
      </c>
      <c r="R29" s="201">
        <f t="shared" si="7"/>
        <v>1325.8411192988717</v>
      </c>
      <c r="S29" s="201">
        <f t="shared" si="8"/>
        <v>9096.0430914187818</v>
      </c>
      <c r="T29" s="202">
        <f t="shared" si="9"/>
        <v>10421.884210717653</v>
      </c>
      <c r="U29" s="201">
        <f t="shared" si="10"/>
        <v>1325.8411192988715</v>
      </c>
      <c r="V29" s="201">
        <f t="shared" si="11"/>
        <v>9096.0430914187818</v>
      </c>
      <c r="W29" s="201">
        <f t="shared" si="19"/>
        <v>10421.884210717653</v>
      </c>
      <c r="X29" s="201">
        <f t="shared" si="12"/>
        <v>1325.8411192988715</v>
      </c>
      <c r="Y29" s="201">
        <f t="shared" si="13"/>
        <v>9096.0430914187818</v>
      </c>
      <c r="Z29" s="201">
        <f t="shared" si="20"/>
        <v>10421.884210717653</v>
      </c>
      <c r="AA29" s="201"/>
      <c r="AC29" s="257">
        <f t="shared" si="14"/>
        <v>10421.884210717653</v>
      </c>
    </row>
    <row r="30" spans="2:29" x14ac:dyDescent="0.3">
      <c r="B30" s="84">
        <f t="shared" si="15"/>
        <v>19</v>
      </c>
      <c r="C30" s="85">
        <f ca="1">IF($B30="","",'Fecha Pago'!K22)</f>
        <v>46724</v>
      </c>
      <c r="D30" s="86">
        <f>IF($B$12="","",'Fecha Pago'!L22)</f>
        <v>30.4</v>
      </c>
      <c r="E30" s="87">
        <f t="shared" si="1"/>
        <v>0.11</v>
      </c>
      <c r="F30" s="86">
        <f t="shared" si="2"/>
        <v>977913.24766980461</v>
      </c>
      <c r="G30" s="86">
        <f t="shared" si="16"/>
        <v>1338.156710140358</v>
      </c>
      <c r="H30" s="86">
        <f t="shared" ca="1" si="17"/>
        <v>9083.7275005772954</v>
      </c>
      <c r="I30" s="86">
        <f t="shared" si="0"/>
        <v>10421.884210717653</v>
      </c>
      <c r="J30" s="86">
        <f t="shared" si="3"/>
        <v>0</v>
      </c>
      <c r="K30" s="86">
        <f>IF(B30="","",IF(F30=0,0,IF(Sheet1!$I$10=6,'Tabla Fijos CAT'!$C$3*'Tabla Fijos CAT'!$F$5,$C$5*$F$5)))</f>
        <v>0</v>
      </c>
      <c r="L30" s="86">
        <f t="shared" si="4"/>
        <v>0</v>
      </c>
      <c r="M30" s="86"/>
      <c r="N30" s="86"/>
      <c r="O30" s="86">
        <f t="shared" ca="1" si="18"/>
        <v>10421.884210717653</v>
      </c>
      <c r="P30" s="86">
        <f t="shared" si="5"/>
        <v>976575.0909596642</v>
      </c>
      <c r="Q30" s="355">
        <f t="shared" si="6"/>
        <v>0</v>
      </c>
      <c r="R30" s="201">
        <f t="shared" si="7"/>
        <v>1338.1567101403587</v>
      </c>
      <c r="S30" s="201">
        <f t="shared" si="8"/>
        <v>9083.7275005772954</v>
      </c>
      <c r="T30" s="202">
        <f t="shared" si="9"/>
        <v>10421.884210717653</v>
      </c>
      <c r="U30" s="201">
        <f t="shared" si="10"/>
        <v>1338.156710140358</v>
      </c>
      <c r="V30" s="201">
        <f t="shared" si="11"/>
        <v>9083.7275005772954</v>
      </c>
      <c r="W30" s="201">
        <f t="shared" si="19"/>
        <v>10421.884210717653</v>
      </c>
      <c r="X30" s="201">
        <f t="shared" si="12"/>
        <v>1338.156710140358</v>
      </c>
      <c r="Y30" s="201">
        <f t="shared" si="13"/>
        <v>9083.7275005772954</v>
      </c>
      <c r="Z30" s="201">
        <f t="shared" si="20"/>
        <v>10421.884210717653</v>
      </c>
      <c r="AA30" s="201"/>
      <c r="AC30" s="257">
        <f t="shared" si="14"/>
        <v>10421.884210717653</v>
      </c>
    </row>
    <row r="31" spans="2:29" x14ac:dyDescent="0.3">
      <c r="B31" s="84">
        <f t="shared" si="15"/>
        <v>20</v>
      </c>
      <c r="C31" s="85">
        <f ca="1">IF($B31="","",'Fecha Pago'!K23)</f>
        <v>46755</v>
      </c>
      <c r="D31" s="86">
        <f>IF($B$12="","",'Fecha Pago'!L23)</f>
        <v>30.4</v>
      </c>
      <c r="E31" s="87">
        <f t="shared" si="1"/>
        <v>0.11</v>
      </c>
      <c r="F31" s="86">
        <f t="shared" si="2"/>
        <v>976575.0909596642</v>
      </c>
      <c r="G31" s="86">
        <f t="shared" si="16"/>
        <v>1350.5866991367729</v>
      </c>
      <c r="H31" s="86">
        <f t="shared" ca="1" si="17"/>
        <v>9071.2975115808804</v>
      </c>
      <c r="I31" s="86">
        <f t="shared" si="0"/>
        <v>10421.884210717653</v>
      </c>
      <c r="J31" s="86">
        <f t="shared" si="3"/>
        <v>0</v>
      </c>
      <c r="K31" s="86">
        <f>IF(B31="","",IF(F31=0,0,IF(Sheet1!$I$10=6,'Tabla Fijos CAT'!$C$3*'Tabla Fijos CAT'!$F$5,$C$5*$F$5)))</f>
        <v>0</v>
      </c>
      <c r="L31" s="86">
        <f t="shared" si="4"/>
        <v>0</v>
      </c>
      <c r="M31" s="86"/>
      <c r="N31" s="86"/>
      <c r="O31" s="86">
        <f t="shared" ca="1" si="18"/>
        <v>10421.884210717653</v>
      </c>
      <c r="P31" s="86">
        <f t="shared" si="5"/>
        <v>975224.50426052744</v>
      </c>
      <c r="Q31" s="355">
        <f t="shared" si="6"/>
        <v>0</v>
      </c>
      <c r="R31" s="201">
        <f t="shared" si="7"/>
        <v>1350.5866991367739</v>
      </c>
      <c r="S31" s="201">
        <f t="shared" si="8"/>
        <v>9071.2975115808804</v>
      </c>
      <c r="T31" s="202">
        <f t="shared" si="9"/>
        <v>10421.884210717653</v>
      </c>
      <c r="U31" s="201">
        <f t="shared" si="10"/>
        <v>1350.5866991367729</v>
      </c>
      <c r="V31" s="201">
        <f t="shared" si="11"/>
        <v>9071.2975115808804</v>
      </c>
      <c r="W31" s="201">
        <f t="shared" si="19"/>
        <v>10421.884210717653</v>
      </c>
      <c r="X31" s="201">
        <f t="shared" si="12"/>
        <v>1350.5866991367729</v>
      </c>
      <c r="Y31" s="201">
        <f t="shared" si="13"/>
        <v>9071.2975115808804</v>
      </c>
      <c r="Z31" s="201">
        <f t="shared" si="20"/>
        <v>10421.884210717653</v>
      </c>
      <c r="AA31" s="201"/>
      <c r="AC31" s="257">
        <f t="shared" si="14"/>
        <v>10421.884210717653</v>
      </c>
    </row>
    <row r="32" spans="2:29" x14ac:dyDescent="0.3">
      <c r="B32" s="84">
        <f t="shared" si="15"/>
        <v>21</v>
      </c>
      <c r="C32" s="85">
        <f ca="1">IF($B32="","",'Fecha Pago'!K24)</f>
        <v>46786</v>
      </c>
      <c r="D32" s="86">
        <f>IF($B$12="","",'Fecha Pago'!L24)</f>
        <v>30.4</v>
      </c>
      <c r="E32" s="87">
        <f t="shared" si="1"/>
        <v>0.11</v>
      </c>
      <c r="F32" s="86">
        <f t="shared" si="2"/>
        <v>975224.50426052744</v>
      </c>
      <c r="G32" s="86">
        <f t="shared" si="16"/>
        <v>1363.1321489198654</v>
      </c>
      <c r="H32" s="86">
        <f t="shared" ca="1" si="17"/>
        <v>9058.752061797788</v>
      </c>
      <c r="I32" s="86">
        <f t="shared" si="0"/>
        <v>10421.884210717653</v>
      </c>
      <c r="J32" s="86">
        <f t="shared" si="3"/>
        <v>0</v>
      </c>
      <c r="K32" s="86">
        <f>IF(B32="","",IF(F32=0,0,IF(Sheet1!$I$10=6,'Tabla Fijos CAT'!$C$3*'Tabla Fijos CAT'!$F$5,$C$5*$F$5)))</f>
        <v>0</v>
      </c>
      <c r="L32" s="86">
        <f t="shared" si="4"/>
        <v>0</v>
      </c>
      <c r="M32" s="86"/>
      <c r="N32" s="86"/>
      <c r="O32" s="86">
        <f t="shared" ca="1" si="18"/>
        <v>10421.884210717653</v>
      </c>
      <c r="P32" s="86">
        <f t="shared" si="5"/>
        <v>973861.37211160758</v>
      </c>
      <c r="Q32" s="355">
        <f t="shared" si="6"/>
        <v>0</v>
      </c>
      <c r="R32" s="201">
        <f t="shared" si="7"/>
        <v>1363.132148919866</v>
      </c>
      <c r="S32" s="201">
        <f t="shared" si="8"/>
        <v>9058.752061797788</v>
      </c>
      <c r="T32" s="202">
        <f t="shared" si="9"/>
        <v>10421.884210717653</v>
      </c>
      <c r="U32" s="201">
        <f t="shared" si="10"/>
        <v>1363.1321489198654</v>
      </c>
      <c r="V32" s="201">
        <f t="shared" si="11"/>
        <v>9058.752061797788</v>
      </c>
      <c r="W32" s="201">
        <f t="shared" si="19"/>
        <v>10421.884210717653</v>
      </c>
      <c r="X32" s="201">
        <f t="shared" si="12"/>
        <v>1363.1321489198654</v>
      </c>
      <c r="Y32" s="201">
        <f t="shared" si="13"/>
        <v>9058.752061797788</v>
      </c>
      <c r="Z32" s="201">
        <f t="shared" si="20"/>
        <v>10421.884210717653</v>
      </c>
      <c r="AA32" s="201"/>
      <c r="AC32" s="257">
        <f t="shared" si="14"/>
        <v>10421.884210717653</v>
      </c>
    </row>
    <row r="33" spans="2:29" x14ac:dyDescent="0.3">
      <c r="B33" s="84">
        <f t="shared" si="15"/>
        <v>22</v>
      </c>
      <c r="C33" s="85">
        <f ca="1">IF($B33="","",'Fecha Pago'!K25)</f>
        <v>46815</v>
      </c>
      <c r="D33" s="86">
        <f>IF($B$12="","",'Fecha Pago'!L25)</f>
        <v>30.4</v>
      </c>
      <c r="E33" s="87">
        <f t="shared" si="1"/>
        <v>0.11</v>
      </c>
      <c r="F33" s="86">
        <f t="shared" si="2"/>
        <v>973861.37211160758</v>
      </c>
      <c r="G33" s="86">
        <f t="shared" si="16"/>
        <v>1375.7941319920556</v>
      </c>
      <c r="H33" s="86">
        <f t="shared" ca="1" si="17"/>
        <v>9046.0900787255978</v>
      </c>
      <c r="I33" s="86">
        <f t="shared" si="0"/>
        <v>10421.884210717653</v>
      </c>
      <c r="J33" s="86">
        <f t="shared" si="3"/>
        <v>0</v>
      </c>
      <c r="K33" s="86">
        <f>IF(B33="","",IF(F33=0,0,IF(Sheet1!$I$10=6,'Tabla Fijos CAT'!$C$3*'Tabla Fijos CAT'!$F$5,$C$5*$F$5)))</f>
        <v>0</v>
      </c>
      <c r="L33" s="86">
        <f t="shared" si="4"/>
        <v>0</v>
      </c>
      <c r="M33" s="86"/>
      <c r="N33" s="86"/>
      <c r="O33" s="86">
        <f t="shared" ca="1" si="18"/>
        <v>10421.884210717653</v>
      </c>
      <c r="P33" s="86">
        <f t="shared" si="5"/>
        <v>972485.57797961554</v>
      </c>
      <c r="Q33" s="355">
        <f t="shared" si="6"/>
        <v>0</v>
      </c>
      <c r="R33" s="201">
        <f t="shared" si="7"/>
        <v>1375.7941319920553</v>
      </c>
      <c r="S33" s="201">
        <f t="shared" si="8"/>
        <v>9046.0900787255978</v>
      </c>
      <c r="T33" s="202">
        <f t="shared" si="9"/>
        <v>10421.884210717653</v>
      </c>
      <c r="U33" s="201">
        <f t="shared" si="10"/>
        <v>1375.7941319920556</v>
      </c>
      <c r="V33" s="201">
        <f t="shared" si="11"/>
        <v>9046.0900787255978</v>
      </c>
      <c r="W33" s="201">
        <f t="shared" si="19"/>
        <v>10421.884210717653</v>
      </c>
      <c r="X33" s="201">
        <f t="shared" si="12"/>
        <v>1375.7941319920556</v>
      </c>
      <c r="Y33" s="201">
        <f t="shared" si="13"/>
        <v>9046.0900787255978</v>
      </c>
      <c r="Z33" s="201">
        <f t="shared" si="20"/>
        <v>10421.884210717653</v>
      </c>
      <c r="AA33" s="201"/>
      <c r="AC33" s="257">
        <f t="shared" si="14"/>
        <v>10421.884210717653</v>
      </c>
    </row>
    <row r="34" spans="2:29" x14ac:dyDescent="0.3">
      <c r="B34" s="84">
        <f t="shared" si="15"/>
        <v>23</v>
      </c>
      <c r="C34" s="85">
        <f ca="1">IF($B34="","",'Fecha Pago'!K26)</f>
        <v>46846</v>
      </c>
      <c r="D34" s="86">
        <f>IF($B$12="","",'Fecha Pago'!L26)</f>
        <v>30.4</v>
      </c>
      <c r="E34" s="87">
        <f t="shared" si="1"/>
        <v>0.11</v>
      </c>
      <c r="F34" s="86">
        <f t="shared" si="2"/>
        <v>972485.57797961554</v>
      </c>
      <c r="G34" s="86">
        <f t="shared" si="16"/>
        <v>1388.5737308181142</v>
      </c>
      <c r="H34" s="86">
        <f t="shared" ca="1" si="17"/>
        <v>9033.3104798995391</v>
      </c>
      <c r="I34" s="86">
        <f t="shared" si="0"/>
        <v>10421.884210717653</v>
      </c>
      <c r="J34" s="86">
        <f t="shared" si="3"/>
        <v>0</v>
      </c>
      <c r="K34" s="86">
        <f>IF(B34="","",IF(F34=0,0,IF(Sheet1!$I$10=6,'Tabla Fijos CAT'!$C$3*'Tabla Fijos CAT'!$F$5,$C$5*$F$5)))</f>
        <v>0</v>
      </c>
      <c r="L34" s="86">
        <f t="shared" si="4"/>
        <v>0</v>
      </c>
      <c r="M34" s="86"/>
      <c r="N34" s="86"/>
      <c r="O34" s="86">
        <f t="shared" ca="1" si="18"/>
        <v>10421.884210717653</v>
      </c>
      <c r="P34" s="86">
        <f t="shared" si="5"/>
        <v>971097.00424879743</v>
      </c>
      <c r="Q34" s="355">
        <f t="shared" si="6"/>
        <v>0</v>
      </c>
      <c r="R34" s="201">
        <f t="shared" si="7"/>
        <v>1388.5737308181147</v>
      </c>
      <c r="S34" s="201">
        <f t="shared" si="8"/>
        <v>9033.3104798995391</v>
      </c>
      <c r="T34" s="202">
        <f t="shared" si="9"/>
        <v>10421.884210717653</v>
      </c>
      <c r="U34" s="201">
        <f t="shared" si="10"/>
        <v>1388.5737308181142</v>
      </c>
      <c r="V34" s="201">
        <f t="shared" si="11"/>
        <v>9033.3104798995391</v>
      </c>
      <c r="W34" s="201">
        <f t="shared" si="19"/>
        <v>10421.884210717653</v>
      </c>
      <c r="X34" s="201">
        <f t="shared" si="12"/>
        <v>1388.5737308181142</v>
      </c>
      <c r="Y34" s="201">
        <f t="shared" si="13"/>
        <v>9033.3104798995391</v>
      </c>
      <c r="Z34" s="201">
        <f t="shared" si="20"/>
        <v>10421.884210717653</v>
      </c>
      <c r="AA34" s="201"/>
      <c r="AC34" s="257">
        <f t="shared" si="14"/>
        <v>10421.884210717653</v>
      </c>
    </row>
    <row r="35" spans="2:29" x14ac:dyDescent="0.3">
      <c r="B35" s="84">
        <f t="shared" si="15"/>
        <v>24</v>
      </c>
      <c r="C35" s="85">
        <f ca="1">IF($B35="","",'Fecha Pago'!K27)</f>
        <v>46876</v>
      </c>
      <c r="D35" s="86">
        <f>IF($B$12="","",'Fecha Pago'!L27)</f>
        <v>30.4</v>
      </c>
      <c r="E35" s="87">
        <f t="shared" si="1"/>
        <v>0.11</v>
      </c>
      <c r="F35" s="86">
        <f t="shared" si="2"/>
        <v>971097.00424879743</v>
      </c>
      <c r="G35" s="86">
        <f t="shared" si="16"/>
        <v>1401.4720379177143</v>
      </c>
      <c r="H35" s="86">
        <f t="shared" ca="1" si="17"/>
        <v>9020.4121727999391</v>
      </c>
      <c r="I35" s="86">
        <f t="shared" si="0"/>
        <v>10421.884210717653</v>
      </c>
      <c r="J35" s="86">
        <f t="shared" si="3"/>
        <v>0</v>
      </c>
      <c r="K35" s="86">
        <f>IF(B35="","",IF(F35=0,0,IF(Sheet1!$I$10=6,'Tabla Fijos CAT'!$C$3*'Tabla Fijos CAT'!$F$5,$C$5*$F$5)))</f>
        <v>0</v>
      </c>
      <c r="L35" s="86">
        <f t="shared" si="4"/>
        <v>0</v>
      </c>
      <c r="M35" s="86"/>
      <c r="N35" s="86"/>
      <c r="O35" s="86">
        <f t="shared" ca="1" si="18"/>
        <v>10421.884210717653</v>
      </c>
      <c r="P35" s="86">
        <f t="shared" si="5"/>
        <v>969695.53221087973</v>
      </c>
      <c r="Q35" s="355">
        <f t="shared" si="6"/>
        <v>0</v>
      </c>
      <c r="R35" s="201">
        <f t="shared" si="7"/>
        <v>1401.4720379177143</v>
      </c>
      <c r="S35" s="201">
        <f t="shared" si="8"/>
        <v>9020.4121727999391</v>
      </c>
      <c r="T35" s="202">
        <f t="shared" si="9"/>
        <v>10421.884210717653</v>
      </c>
      <c r="U35" s="201">
        <f t="shared" si="10"/>
        <v>1401.4720379177143</v>
      </c>
      <c r="V35" s="201">
        <f t="shared" si="11"/>
        <v>9020.4121727999391</v>
      </c>
      <c r="W35" s="201">
        <f t="shared" si="19"/>
        <v>10421.884210717653</v>
      </c>
      <c r="X35" s="201">
        <f t="shared" si="12"/>
        <v>1401.4720379177143</v>
      </c>
      <c r="Y35" s="201">
        <f t="shared" si="13"/>
        <v>9020.4121727999391</v>
      </c>
      <c r="Z35" s="201">
        <f t="shared" si="20"/>
        <v>10421.884210717653</v>
      </c>
      <c r="AA35" s="201"/>
      <c r="AC35" s="257">
        <f t="shared" si="14"/>
        <v>10421.884210717653</v>
      </c>
    </row>
    <row r="36" spans="2:29" x14ac:dyDescent="0.3">
      <c r="B36" s="84">
        <f t="shared" si="15"/>
        <v>25</v>
      </c>
      <c r="C36" s="85">
        <f ca="1">IF($B36="","",'Fecha Pago'!K28)</f>
        <v>46907</v>
      </c>
      <c r="D36" s="86">
        <f>IF($B$12="","",'Fecha Pago'!L28)</f>
        <v>30.4</v>
      </c>
      <c r="E36" s="87">
        <f t="shared" si="1"/>
        <v>0.11</v>
      </c>
      <c r="F36" s="86">
        <f t="shared" si="2"/>
        <v>969695.53221087973</v>
      </c>
      <c r="G36" s="86">
        <f t="shared" si="16"/>
        <v>1414.4901559588161</v>
      </c>
      <c r="H36" s="86">
        <f t="shared" ca="1" si="17"/>
        <v>9007.3940547588372</v>
      </c>
      <c r="I36" s="86">
        <f t="shared" si="0"/>
        <v>10421.884210717653</v>
      </c>
      <c r="J36" s="86">
        <f t="shared" si="3"/>
        <v>0</v>
      </c>
      <c r="K36" s="86">
        <f>IF(B36="","",IF(F36=0,0,IF(Sheet1!$I$10=6,'Tabla Fijos CAT'!$C$3*'Tabla Fijos CAT'!$F$5,$C$5*$F$5)))</f>
        <v>0</v>
      </c>
      <c r="L36" s="86">
        <f t="shared" si="4"/>
        <v>0</v>
      </c>
      <c r="M36" s="86"/>
      <c r="N36" s="86"/>
      <c r="O36" s="86">
        <f t="shared" ca="1" si="18"/>
        <v>10421.884210717653</v>
      </c>
      <c r="P36" s="86">
        <f t="shared" si="5"/>
        <v>968281.04205492092</v>
      </c>
      <c r="Q36" s="355">
        <f t="shared" si="6"/>
        <v>0</v>
      </c>
      <c r="R36" s="201">
        <f t="shared" si="7"/>
        <v>1414.4901559588161</v>
      </c>
      <c r="S36" s="201">
        <f t="shared" si="8"/>
        <v>9007.3940547588372</v>
      </c>
      <c r="T36" s="202">
        <f t="shared" si="9"/>
        <v>10421.884210717653</v>
      </c>
      <c r="U36" s="201">
        <f t="shared" si="10"/>
        <v>1414.4901559588161</v>
      </c>
      <c r="V36" s="201">
        <f t="shared" si="11"/>
        <v>9007.3940547588372</v>
      </c>
      <c r="W36" s="201">
        <f t="shared" si="19"/>
        <v>10421.884210717653</v>
      </c>
      <c r="X36" s="201">
        <f t="shared" si="12"/>
        <v>1414.4901559588161</v>
      </c>
      <c r="Y36" s="201">
        <f t="shared" si="13"/>
        <v>9007.3940547588372</v>
      </c>
      <c r="Z36" s="201">
        <f t="shared" si="20"/>
        <v>10421.884210717653</v>
      </c>
      <c r="AA36" s="201"/>
      <c r="AC36" s="257">
        <f t="shared" si="14"/>
        <v>10421.884210717653</v>
      </c>
    </row>
    <row r="37" spans="2:29" x14ac:dyDescent="0.3">
      <c r="B37" s="84">
        <f t="shared" si="15"/>
        <v>26</v>
      </c>
      <c r="C37" s="85">
        <f ca="1">IF($B37="","",'Fecha Pago'!K29)</f>
        <v>46937</v>
      </c>
      <c r="D37" s="86">
        <f>IF($B$12="","",'Fecha Pago'!L29)</f>
        <v>30.4</v>
      </c>
      <c r="E37" s="87">
        <f t="shared" si="1"/>
        <v>0.11</v>
      </c>
      <c r="F37" s="86">
        <f t="shared" si="2"/>
        <v>968281.04205492092</v>
      </c>
      <c r="G37" s="86">
        <f t="shared" si="16"/>
        <v>1427.6291978519439</v>
      </c>
      <c r="H37" s="86">
        <f t="shared" ca="1" si="17"/>
        <v>8994.2550128657094</v>
      </c>
      <c r="I37" s="86">
        <f t="shared" si="0"/>
        <v>10421.884210717653</v>
      </c>
      <c r="J37" s="86">
        <f t="shared" si="3"/>
        <v>0</v>
      </c>
      <c r="K37" s="86">
        <f>IF(B37="","",IF(F37=0,0,IF(Sheet1!$I$10=6,'Tabla Fijos CAT'!$C$3*'Tabla Fijos CAT'!$F$5,$C$5*$F$5)))</f>
        <v>0</v>
      </c>
      <c r="L37" s="86">
        <f t="shared" si="4"/>
        <v>0</v>
      </c>
      <c r="M37" s="86"/>
      <c r="N37" s="86"/>
      <c r="O37" s="86">
        <f t="shared" ca="1" si="18"/>
        <v>10421.884210717653</v>
      </c>
      <c r="P37" s="86">
        <f t="shared" si="5"/>
        <v>966853.41285706894</v>
      </c>
      <c r="Q37" s="355">
        <f t="shared" si="6"/>
        <v>0</v>
      </c>
      <c r="R37" s="201">
        <f t="shared" si="7"/>
        <v>1427.6291978519448</v>
      </c>
      <c r="S37" s="201">
        <f t="shared" si="8"/>
        <v>8994.2550128657094</v>
      </c>
      <c r="T37" s="202">
        <f t="shared" si="9"/>
        <v>10421.884210717653</v>
      </c>
      <c r="U37" s="201">
        <f t="shared" si="10"/>
        <v>1427.6291978519439</v>
      </c>
      <c r="V37" s="201">
        <f t="shared" si="11"/>
        <v>8994.2550128657094</v>
      </c>
      <c r="W37" s="201">
        <f t="shared" si="19"/>
        <v>10421.884210717653</v>
      </c>
      <c r="X37" s="201">
        <f t="shared" si="12"/>
        <v>1427.6291978519439</v>
      </c>
      <c r="Y37" s="201">
        <f t="shared" si="13"/>
        <v>8994.2550128657094</v>
      </c>
      <c r="Z37" s="201">
        <f t="shared" si="20"/>
        <v>10421.884210717653</v>
      </c>
      <c r="AA37" s="201"/>
      <c r="AC37" s="257">
        <f t="shared" si="14"/>
        <v>10421.884210717653</v>
      </c>
    </row>
    <row r="38" spans="2:29" x14ac:dyDescent="0.3">
      <c r="B38" s="84">
        <f t="shared" si="15"/>
        <v>27</v>
      </c>
      <c r="C38" s="85">
        <f ca="1">IF($B38="","",'Fecha Pago'!K30)</f>
        <v>46968</v>
      </c>
      <c r="D38" s="86">
        <f>IF($B$12="","",'Fecha Pago'!L30)</f>
        <v>30.4</v>
      </c>
      <c r="E38" s="87">
        <f t="shared" si="1"/>
        <v>0.11</v>
      </c>
      <c r="F38" s="86">
        <f t="shared" si="2"/>
        <v>966853.41285706894</v>
      </c>
      <c r="G38" s="86">
        <f t="shared" si="16"/>
        <v>1440.8902868453242</v>
      </c>
      <c r="H38" s="86">
        <f t="shared" ca="1" si="17"/>
        <v>8980.9939238723291</v>
      </c>
      <c r="I38" s="86">
        <f t="shared" si="0"/>
        <v>10421.884210717653</v>
      </c>
      <c r="J38" s="86">
        <f t="shared" si="3"/>
        <v>0</v>
      </c>
      <c r="K38" s="86">
        <f>IF(B38="","",IF(F38=0,0,IF(Sheet1!$I$10=6,'Tabla Fijos CAT'!$C$3*'Tabla Fijos CAT'!$F$5,$C$5*$F$5)))</f>
        <v>0</v>
      </c>
      <c r="L38" s="86">
        <f t="shared" si="4"/>
        <v>0</v>
      </c>
      <c r="M38" s="86"/>
      <c r="N38" s="86"/>
      <c r="O38" s="86">
        <f t="shared" ca="1" si="18"/>
        <v>10421.884210717653</v>
      </c>
      <c r="P38" s="86">
        <f t="shared" si="5"/>
        <v>965412.52257022366</v>
      </c>
      <c r="Q38" s="355">
        <f t="shared" si="6"/>
        <v>0</v>
      </c>
      <c r="R38" s="201">
        <f t="shared" si="7"/>
        <v>1440.8902868453254</v>
      </c>
      <c r="S38" s="201">
        <f t="shared" si="8"/>
        <v>8980.9939238723291</v>
      </c>
      <c r="T38" s="202">
        <f t="shared" si="9"/>
        <v>10421.884210717655</v>
      </c>
      <c r="U38" s="201">
        <f t="shared" si="10"/>
        <v>1440.8902868453242</v>
      </c>
      <c r="V38" s="201">
        <f t="shared" si="11"/>
        <v>8980.9939238723291</v>
      </c>
      <c r="W38" s="201">
        <f t="shared" si="19"/>
        <v>10421.884210717653</v>
      </c>
      <c r="X38" s="201">
        <f t="shared" si="12"/>
        <v>1440.8902868453242</v>
      </c>
      <c r="Y38" s="201">
        <f t="shared" si="13"/>
        <v>8980.9939238723291</v>
      </c>
      <c r="Z38" s="201">
        <f t="shared" si="20"/>
        <v>10421.884210717653</v>
      </c>
      <c r="AA38" s="201"/>
      <c r="AC38" s="257">
        <f t="shared" si="14"/>
        <v>10421.884210717653</v>
      </c>
    </row>
    <row r="39" spans="2:29" x14ac:dyDescent="0.3">
      <c r="B39" s="84">
        <f t="shared" si="15"/>
        <v>28</v>
      </c>
      <c r="C39" s="85">
        <f ca="1">IF($B39="","",'Fecha Pago'!K31)</f>
        <v>46999</v>
      </c>
      <c r="D39" s="86">
        <f>IF($B$12="","",'Fecha Pago'!L31)</f>
        <v>30.4</v>
      </c>
      <c r="E39" s="87">
        <f t="shared" si="1"/>
        <v>0.11</v>
      </c>
      <c r="F39" s="86">
        <f t="shared" si="2"/>
        <v>965412.52257022366</v>
      </c>
      <c r="G39" s="86">
        <f t="shared" si="16"/>
        <v>1454.2745566209105</v>
      </c>
      <c r="H39" s="86">
        <f t="shared" ca="1" si="17"/>
        <v>8967.6096540967428</v>
      </c>
      <c r="I39" s="86">
        <f t="shared" si="0"/>
        <v>10421.884210717653</v>
      </c>
      <c r="J39" s="86">
        <f t="shared" si="3"/>
        <v>0</v>
      </c>
      <c r="K39" s="86">
        <f>IF(B39="","",IF(F39=0,0,IF(Sheet1!$I$10=6,'Tabla Fijos CAT'!$C$3*'Tabla Fijos CAT'!$F$5,$C$5*$F$5)))</f>
        <v>0</v>
      </c>
      <c r="L39" s="86">
        <f t="shared" si="4"/>
        <v>0</v>
      </c>
      <c r="M39" s="86"/>
      <c r="N39" s="86"/>
      <c r="O39" s="86">
        <f t="shared" ca="1" si="18"/>
        <v>10421.884210717653</v>
      </c>
      <c r="P39" s="86">
        <f t="shared" si="5"/>
        <v>963958.2480136028</v>
      </c>
      <c r="Q39" s="355">
        <f t="shared" si="6"/>
        <v>0</v>
      </c>
      <c r="R39" s="201">
        <f t="shared" si="7"/>
        <v>1454.2745566209105</v>
      </c>
      <c r="S39" s="201">
        <f t="shared" si="8"/>
        <v>8967.6096540967428</v>
      </c>
      <c r="T39" s="202">
        <f t="shared" si="9"/>
        <v>10421.884210717653</v>
      </c>
      <c r="U39" s="201">
        <f t="shared" si="10"/>
        <v>1454.2745566209105</v>
      </c>
      <c r="V39" s="201">
        <f t="shared" si="11"/>
        <v>8967.6096540967428</v>
      </c>
      <c r="W39" s="201">
        <f t="shared" si="19"/>
        <v>10421.884210717653</v>
      </c>
      <c r="X39" s="201">
        <f t="shared" si="12"/>
        <v>1454.2745566209105</v>
      </c>
      <c r="Y39" s="201">
        <f t="shared" si="13"/>
        <v>8967.6096540967428</v>
      </c>
      <c r="Z39" s="201">
        <f t="shared" si="20"/>
        <v>10421.884210717653</v>
      </c>
      <c r="AA39" s="201"/>
      <c r="AC39" s="257">
        <f t="shared" si="14"/>
        <v>10421.884210717653</v>
      </c>
    </row>
    <row r="40" spans="2:29" x14ac:dyDescent="0.3">
      <c r="B40" s="84">
        <f t="shared" si="15"/>
        <v>29</v>
      </c>
      <c r="C40" s="85">
        <f ca="1">IF($B40="","",'Fecha Pago'!K32)</f>
        <v>47029</v>
      </c>
      <c r="D40" s="86">
        <f>IF($B$12="","",'Fecha Pago'!L32)</f>
        <v>30.4</v>
      </c>
      <c r="E40" s="87">
        <f t="shared" si="1"/>
        <v>0.11</v>
      </c>
      <c r="F40" s="86">
        <f t="shared" si="2"/>
        <v>963958.2480136028</v>
      </c>
      <c r="G40" s="86">
        <f t="shared" si="16"/>
        <v>1467.7831513912988</v>
      </c>
      <c r="H40" s="86">
        <f t="shared" ca="1" si="17"/>
        <v>8954.1010593263545</v>
      </c>
      <c r="I40" s="86">
        <f t="shared" si="0"/>
        <v>10421.884210717653</v>
      </c>
      <c r="J40" s="86">
        <f t="shared" si="3"/>
        <v>0</v>
      </c>
      <c r="K40" s="86">
        <f>IF(B40="","",IF(F40=0,0,IF(Sheet1!$I$10=6,'Tabla Fijos CAT'!$C$3*'Tabla Fijos CAT'!$F$5,$C$5*$F$5)))</f>
        <v>0</v>
      </c>
      <c r="L40" s="86">
        <f t="shared" si="4"/>
        <v>0</v>
      </c>
      <c r="M40" s="86"/>
      <c r="N40" s="86"/>
      <c r="O40" s="86">
        <f t="shared" ca="1" si="18"/>
        <v>10421.884210717653</v>
      </c>
      <c r="P40" s="86">
        <f t="shared" si="5"/>
        <v>962490.46486221149</v>
      </c>
      <c r="Q40" s="355">
        <f t="shared" si="6"/>
        <v>0</v>
      </c>
      <c r="R40" s="201">
        <f t="shared" si="7"/>
        <v>1467.7831513913006</v>
      </c>
      <c r="S40" s="201">
        <f t="shared" si="8"/>
        <v>8954.1010593263545</v>
      </c>
      <c r="T40" s="202">
        <f t="shared" si="9"/>
        <v>10421.884210717655</v>
      </c>
      <c r="U40" s="201">
        <f t="shared" si="10"/>
        <v>1467.7831513912988</v>
      </c>
      <c r="V40" s="201">
        <f t="shared" si="11"/>
        <v>8954.1010593263545</v>
      </c>
      <c r="W40" s="201">
        <f t="shared" si="19"/>
        <v>10421.884210717653</v>
      </c>
      <c r="X40" s="201">
        <f t="shared" si="12"/>
        <v>1467.7831513912988</v>
      </c>
      <c r="Y40" s="201">
        <f t="shared" si="13"/>
        <v>8954.1010593263545</v>
      </c>
      <c r="Z40" s="201">
        <f t="shared" si="20"/>
        <v>10421.884210717653</v>
      </c>
      <c r="AA40" s="201"/>
      <c r="AC40" s="257">
        <f t="shared" si="14"/>
        <v>10421.884210717653</v>
      </c>
    </row>
    <row r="41" spans="2:29" x14ac:dyDescent="0.3">
      <c r="B41" s="84">
        <f t="shared" si="15"/>
        <v>30</v>
      </c>
      <c r="C41" s="85">
        <f ca="1">IF($B41="","",'Fecha Pago'!K33)</f>
        <v>47060</v>
      </c>
      <c r="D41" s="86">
        <f>IF($B$12="","",'Fecha Pago'!L33)</f>
        <v>30.4</v>
      </c>
      <c r="E41" s="87">
        <f t="shared" si="1"/>
        <v>0.11</v>
      </c>
      <c r="F41" s="86">
        <f t="shared" si="2"/>
        <v>962490.46486221149</v>
      </c>
      <c r="G41" s="86">
        <f t="shared" si="16"/>
        <v>1481.4172259975567</v>
      </c>
      <c r="H41" s="86">
        <f t="shared" ca="1" si="17"/>
        <v>8940.4669847200967</v>
      </c>
      <c r="I41" s="86">
        <f t="shared" si="0"/>
        <v>10421.884210717653</v>
      </c>
      <c r="J41" s="86">
        <f t="shared" si="3"/>
        <v>0</v>
      </c>
      <c r="K41" s="86">
        <f>IF(B41="","",IF(F41=0,0,IF(Sheet1!$I$10=6,'Tabla Fijos CAT'!$C$3*'Tabla Fijos CAT'!$F$5,$C$5*$F$5)))</f>
        <v>0</v>
      </c>
      <c r="L41" s="86">
        <f t="shared" si="4"/>
        <v>0</v>
      </c>
      <c r="M41" s="86"/>
      <c r="N41" s="86"/>
      <c r="O41" s="86">
        <f t="shared" ca="1" si="18"/>
        <v>10421.884210717653</v>
      </c>
      <c r="P41" s="86">
        <f t="shared" si="5"/>
        <v>961009.04763621395</v>
      </c>
      <c r="Q41" s="355">
        <f t="shared" si="6"/>
        <v>0</v>
      </c>
      <c r="R41" s="201">
        <f t="shared" si="7"/>
        <v>1481.4172259975576</v>
      </c>
      <c r="S41" s="201">
        <f t="shared" si="8"/>
        <v>8940.4669847200967</v>
      </c>
      <c r="T41" s="202">
        <f t="shared" si="9"/>
        <v>10421.884210717653</v>
      </c>
      <c r="U41" s="201">
        <f t="shared" si="10"/>
        <v>1481.4172259975567</v>
      </c>
      <c r="V41" s="201">
        <f t="shared" si="11"/>
        <v>8940.4669847200967</v>
      </c>
      <c r="W41" s="201">
        <f t="shared" si="19"/>
        <v>10421.884210717653</v>
      </c>
      <c r="X41" s="201">
        <f t="shared" si="12"/>
        <v>1481.4172259975567</v>
      </c>
      <c r="Y41" s="201">
        <f t="shared" si="13"/>
        <v>8940.4669847200967</v>
      </c>
      <c r="Z41" s="201">
        <f t="shared" si="20"/>
        <v>10421.884210717653</v>
      </c>
      <c r="AA41" s="201"/>
      <c r="AC41" s="257">
        <f t="shared" si="14"/>
        <v>10421.884210717653</v>
      </c>
    </row>
    <row r="42" spans="2:29" x14ac:dyDescent="0.3">
      <c r="B42" s="84">
        <f t="shared" si="15"/>
        <v>31</v>
      </c>
      <c r="C42" s="85">
        <f ca="1">IF($B42="","",'Fecha Pago'!K34)</f>
        <v>47090</v>
      </c>
      <c r="D42" s="86">
        <f>IF($B$12="","",'Fecha Pago'!L34)</f>
        <v>30.4</v>
      </c>
      <c r="E42" s="87">
        <f t="shared" si="1"/>
        <v>0.11</v>
      </c>
      <c r="F42" s="86">
        <f t="shared" si="2"/>
        <v>961009.04763621395</v>
      </c>
      <c r="G42" s="86">
        <f t="shared" si="16"/>
        <v>1495.1779460079342</v>
      </c>
      <c r="H42" s="86">
        <f t="shared" ca="1" si="17"/>
        <v>8926.7062647097191</v>
      </c>
      <c r="I42" s="86">
        <f t="shared" si="0"/>
        <v>10421.884210717653</v>
      </c>
      <c r="J42" s="86">
        <f t="shared" si="3"/>
        <v>0</v>
      </c>
      <c r="K42" s="86">
        <f>IF(B42="","",IF(F42=0,0,IF(Sheet1!$I$10=6,'Tabla Fijos CAT'!$C$3*'Tabla Fijos CAT'!$F$5,$C$5*$F$5)))</f>
        <v>0</v>
      </c>
      <c r="L42" s="86">
        <f t="shared" si="4"/>
        <v>0</v>
      </c>
      <c r="M42" s="86"/>
      <c r="N42" s="86"/>
      <c r="O42" s="86">
        <f t="shared" ca="1" si="18"/>
        <v>10421.884210717653</v>
      </c>
      <c r="P42" s="86">
        <f t="shared" si="5"/>
        <v>959513.86969020602</v>
      </c>
      <c r="Q42" s="355">
        <f t="shared" si="6"/>
        <v>0</v>
      </c>
      <c r="R42" s="201">
        <f t="shared" si="7"/>
        <v>1495.1779460079349</v>
      </c>
      <c r="S42" s="201">
        <f t="shared" si="8"/>
        <v>8926.7062647097191</v>
      </c>
      <c r="T42" s="202">
        <f t="shared" si="9"/>
        <v>10421.884210717653</v>
      </c>
      <c r="U42" s="201">
        <f t="shared" si="10"/>
        <v>1495.1779460079342</v>
      </c>
      <c r="V42" s="201">
        <f t="shared" si="11"/>
        <v>8926.7062647097191</v>
      </c>
      <c r="W42" s="201">
        <f t="shared" si="19"/>
        <v>10421.884210717653</v>
      </c>
      <c r="X42" s="201">
        <f t="shared" si="12"/>
        <v>1495.1779460079342</v>
      </c>
      <c r="Y42" s="201">
        <f t="shared" si="13"/>
        <v>8926.7062647097191</v>
      </c>
      <c r="Z42" s="201">
        <f t="shared" si="20"/>
        <v>10421.884210717653</v>
      </c>
      <c r="AA42" s="201"/>
      <c r="AC42" s="257">
        <f t="shared" si="14"/>
        <v>10421.884210717653</v>
      </c>
    </row>
    <row r="43" spans="2:29" x14ac:dyDescent="0.3">
      <c r="B43" s="84">
        <f t="shared" si="15"/>
        <v>32</v>
      </c>
      <c r="C43" s="85">
        <f ca="1">IF($B43="","",'Fecha Pago'!K35)</f>
        <v>47121</v>
      </c>
      <c r="D43" s="86">
        <f>IF($B$12="","",'Fecha Pago'!L35)</f>
        <v>30.4</v>
      </c>
      <c r="E43" s="87">
        <f t="shared" si="1"/>
        <v>0.11</v>
      </c>
      <c r="F43" s="86">
        <f t="shared" si="2"/>
        <v>959513.86969020602</v>
      </c>
      <c r="G43" s="86">
        <f t="shared" si="16"/>
        <v>1509.0664878175176</v>
      </c>
      <c r="H43" s="86">
        <f t="shared" ca="1" si="17"/>
        <v>8912.8177229001358</v>
      </c>
      <c r="I43" s="86">
        <f t="shared" si="0"/>
        <v>10421.884210717653</v>
      </c>
      <c r="J43" s="86">
        <f t="shared" si="3"/>
        <v>0</v>
      </c>
      <c r="K43" s="86">
        <f>IF(B43="","",IF(F43=0,0,IF(Sheet1!$I$10=6,'Tabla Fijos CAT'!$C$3*'Tabla Fijos CAT'!$F$5,$C$5*$F$5)))</f>
        <v>0</v>
      </c>
      <c r="L43" s="86">
        <f t="shared" si="4"/>
        <v>0</v>
      </c>
      <c r="M43" s="86"/>
      <c r="N43" s="86"/>
      <c r="O43" s="86">
        <f t="shared" ca="1" si="18"/>
        <v>10421.884210717653</v>
      </c>
      <c r="P43" s="86">
        <f t="shared" si="5"/>
        <v>958004.80320238846</v>
      </c>
      <c r="Q43" s="355">
        <f t="shared" si="6"/>
        <v>0</v>
      </c>
      <c r="R43" s="201">
        <f t="shared" si="7"/>
        <v>1509.0664878175194</v>
      </c>
      <c r="S43" s="201">
        <f t="shared" si="8"/>
        <v>8912.8177229001358</v>
      </c>
      <c r="T43" s="202">
        <f t="shared" si="9"/>
        <v>10421.884210717655</v>
      </c>
      <c r="U43" s="201">
        <f t="shared" si="10"/>
        <v>1509.0664878175176</v>
      </c>
      <c r="V43" s="201">
        <f t="shared" si="11"/>
        <v>8912.8177229001358</v>
      </c>
      <c r="W43" s="201">
        <f t="shared" si="19"/>
        <v>10421.884210717653</v>
      </c>
      <c r="X43" s="201">
        <f t="shared" si="12"/>
        <v>1509.0664878175176</v>
      </c>
      <c r="Y43" s="201">
        <f t="shared" si="13"/>
        <v>8912.8177229001358</v>
      </c>
      <c r="Z43" s="201">
        <f t="shared" si="20"/>
        <v>10421.884210717653</v>
      </c>
      <c r="AA43" s="201"/>
      <c r="AC43" s="257">
        <f t="shared" si="14"/>
        <v>10421.884210717653</v>
      </c>
    </row>
    <row r="44" spans="2:29" x14ac:dyDescent="0.3">
      <c r="B44" s="84">
        <f t="shared" si="15"/>
        <v>33</v>
      </c>
      <c r="C44" s="85">
        <f ca="1">IF($B44="","",'Fecha Pago'!K36)</f>
        <v>47152</v>
      </c>
      <c r="D44" s="86">
        <f>IF($B$12="","",'Fecha Pago'!L36)</f>
        <v>30.4</v>
      </c>
      <c r="E44" s="87">
        <f t="shared" si="1"/>
        <v>0.11</v>
      </c>
      <c r="F44" s="86">
        <f t="shared" si="2"/>
        <v>958004.80320238846</v>
      </c>
      <c r="G44" s="86">
        <f t="shared" si="16"/>
        <v>1523.0840387488006</v>
      </c>
      <c r="H44" s="86">
        <f t="shared" ca="1" si="17"/>
        <v>8898.8001719688527</v>
      </c>
      <c r="I44" s="86">
        <f t="shared" si="0"/>
        <v>10421.884210717653</v>
      </c>
      <c r="J44" s="86">
        <f t="shared" si="3"/>
        <v>0</v>
      </c>
      <c r="K44" s="86">
        <f>IF(B44="","",IF(F44=0,0,IF(Sheet1!$I$10=6,'Tabla Fijos CAT'!$C$3*'Tabla Fijos CAT'!$F$5,$C$5*$F$5)))</f>
        <v>0</v>
      </c>
      <c r="L44" s="86">
        <f t="shared" si="4"/>
        <v>0</v>
      </c>
      <c r="M44" s="86"/>
      <c r="N44" s="86"/>
      <c r="O44" s="86">
        <f t="shared" ca="1" si="18"/>
        <v>10421.884210717653</v>
      </c>
      <c r="P44" s="86">
        <f t="shared" si="5"/>
        <v>956481.7191636397</v>
      </c>
      <c r="Q44" s="355">
        <f t="shared" si="6"/>
        <v>0</v>
      </c>
      <c r="R44" s="201">
        <f t="shared" si="7"/>
        <v>1523.0840387488022</v>
      </c>
      <c r="S44" s="201">
        <f t="shared" si="8"/>
        <v>8898.8001719688527</v>
      </c>
      <c r="T44" s="202">
        <f t="shared" si="9"/>
        <v>10421.884210717655</v>
      </c>
      <c r="U44" s="201">
        <f t="shared" si="10"/>
        <v>1523.0840387488006</v>
      </c>
      <c r="V44" s="201">
        <f t="shared" si="11"/>
        <v>8898.8001719688527</v>
      </c>
      <c r="W44" s="201">
        <f t="shared" si="19"/>
        <v>10421.884210717653</v>
      </c>
      <c r="X44" s="201">
        <f t="shared" si="12"/>
        <v>1523.0840387488006</v>
      </c>
      <c r="Y44" s="201">
        <f t="shared" si="13"/>
        <v>8898.8001719688527</v>
      </c>
      <c r="Z44" s="201">
        <f t="shared" si="20"/>
        <v>10421.884210717653</v>
      </c>
      <c r="AA44" s="201"/>
      <c r="AC44" s="257">
        <f t="shared" si="14"/>
        <v>10421.884210717653</v>
      </c>
    </row>
    <row r="45" spans="2:29" x14ac:dyDescent="0.3">
      <c r="B45" s="84">
        <f t="shared" si="15"/>
        <v>34</v>
      </c>
      <c r="C45" s="85">
        <f ca="1">IF($B45="","",'Fecha Pago'!K37)</f>
        <v>47180</v>
      </c>
      <c r="D45" s="86">
        <f>IF($B$12="","",'Fecha Pago'!L37)</f>
        <v>30.4</v>
      </c>
      <c r="E45" s="87">
        <f t="shared" si="1"/>
        <v>0.11</v>
      </c>
      <c r="F45" s="86">
        <f t="shared" si="2"/>
        <v>956481.7191636397</v>
      </c>
      <c r="G45" s="86">
        <f t="shared" si="16"/>
        <v>1537.2317971531793</v>
      </c>
      <c r="H45" s="86">
        <f t="shared" ca="1" si="17"/>
        <v>8884.652413564474</v>
      </c>
      <c r="I45" s="86">
        <f t="shared" si="0"/>
        <v>10421.884210717653</v>
      </c>
      <c r="J45" s="86">
        <f t="shared" si="3"/>
        <v>0</v>
      </c>
      <c r="K45" s="86">
        <f>IF(B45="","",IF(F45=0,0,IF(Sheet1!$I$10=6,'Tabla Fijos CAT'!$C$3*'Tabla Fijos CAT'!$F$5,$C$5*$F$5)))</f>
        <v>0</v>
      </c>
      <c r="L45" s="86">
        <f t="shared" si="4"/>
        <v>0</v>
      </c>
      <c r="M45" s="86"/>
      <c r="N45" s="86"/>
      <c r="O45" s="86">
        <f t="shared" ca="1" si="18"/>
        <v>10421.884210717653</v>
      </c>
      <c r="P45" s="86">
        <f t="shared" si="5"/>
        <v>954944.48736648657</v>
      </c>
      <c r="Q45" s="355">
        <f t="shared" si="6"/>
        <v>0</v>
      </c>
      <c r="R45" s="201">
        <f t="shared" si="7"/>
        <v>1537.23179715318</v>
      </c>
      <c r="S45" s="201">
        <f t="shared" si="8"/>
        <v>8884.652413564474</v>
      </c>
      <c r="T45" s="202">
        <f t="shared" si="9"/>
        <v>10421.884210717653</v>
      </c>
      <c r="U45" s="201">
        <f t="shared" si="10"/>
        <v>1537.2317971531793</v>
      </c>
      <c r="V45" s="201">
        <f t="shared" si="11"/>
        <v>8884.652413564474</v>
      </c>
      <c r="W45" s="201">
        <f t="shared" si="19"/>
        <v>10421.884210717653</v>
      </c>
      <c r="X45" s="201">
        <f t="shared" si="12"/>
        <v>1537.2317971531793</v>
      </c>
      <c r="Y45" s="201">
        <f t="shared" si="13"/>
        <v>8884.652413564474</v>
      </c>
      <c r="Z45" s="201">
        <f t="shared" si="20"/>
        <v>10421.884210717653</v>
      </c>
      <c r="AA45" s="201"/>
      <c r="AC45" s="257">
        <f t="shared" si="14"/>
        <v>10421.884210717653</v>
      </c>
    </row>
    <row r="46" spans="2:29" x14ac:dyDescent="0.3">
      <c r="B46" s="84">
        <f t="shared" si="15"/>
        <v>35</v>
      </c>
      <c r="C46" s="85">
        <f ca="1">IF($B46="","",'Fecha Pago'!K38)</f>
        <v>47211</v>
      </c>
      <c r="D46" s="86">
        <f>IF($B$12="","",'Fecha Pago'!L38)</f>
        <v>30.4</v>
      </c>
      <c r="E46" s="87">
        <f t="shared" si="1"/>
        <v>0.11</v>
      </c>
      <c r="F46" s="86">
        <f t="shared" si="2"/>
        <v>954944.48736648657</v>
      </c>
      <c r="G46" s="86">
        <f t="shared" si="16"/>
        <v>1551.5109725134007</v>
      </c>
      <c r="H46" s="86">
        <f t="shared" ca="1" si="17"/>
        <v>8870.3732382042526</v>
      </c>
      <c r="I46" s="86">
        <f t="shared" si="0"/>
        <v>10421.884210717653</v>
      </c>
      <c r="J46" s="86">
        <f t="shared" si="3"/>
        <v>0</v>
      </c>
      <c r="K46" s="86">
        <f>IF(B46="","",IF(F46=0,0,IF(Sheet1!$I$10=6,'Tabla Fijos CAT'!$C$3*'Tabla Fijos CAT'!$F$5,$C$5*$F$5)))</f>
        <v>0</v>
      </c>
      <c r="L46" s="86">
        <f t="shared" si="4"/>
        <v>0</v>
      </c>
      <c r="M46" s="86"/>
      <c r="N46" s="86"/>
      <c r="O46" s="86">
        <f t="shared" ca="1" si="18"/>
        <v>10421.884210717653</v>
      </c>
      <c r="P46" s="86">
        <f t="shared" si="5"/>
        <v>953392.97639397322</v>
      </c>
      <c r="Q46" s="355">
        <f t="shared" si="6"/>
        <v>0</v>
      </c>
      <c r="R46" s="201">
        <f t="shared" si="7"/>
        <v>1551.5109725134027</v>
      </c>
      <c r="S46" s="201">
        <f t="shared" si="8"/>
        <v>8870.3732382042526</v>
      </c>
      <c r="T46" s="202">
        <f t="shared" si="9"/>
        <v>10421.884210717655</v>
      </c>
      <c r="U46" s="201">
        <f t="shared" si="10"/>
        <v>1551.5109725134007</v>
      </c>
      <c r="V46" s="201">
        <f t="shared" si="11"/>
        <v>8870.3732382042526</v>
      </c>
      <c r="W46" s="201">
        <f t="shared" si="19"/>
        <v>10421.884210717653</v>
      </c>
      <c r="X46" s="201">
        <f t="shared" si="12"/>
        <v>1551.5109725134043</v>
      </c>
      <c r="Y46" s="201">
        <f t="shared" si="13"/>
        <v>8870.3732382042526</v>
      </c>
      <c r="Z46" s="201">
        <f t="shared" si="20"/>
        <v>10421.884210717657</v>
      </c>
      <c r="AA46" s="201"/>
      <c r="AC46" s="257">
        <f t="shared" si="14"/>
        <v>10421.884210717653</v>
      </c>
    </row>
    <row r="47" spans="2:29" x14ac:dyDescent="0.3">
      <c r="B47" s="84">
        <f t="shared" si="15"/>
        <v>36</v>
      </c>
      <c r="C47" s="85">
        <f ca="1">IF($B47="","",'Fecha Pago'!K39)</f>
        <v>47241</v>
      </c>
      <c r="D47" s="86">
        <f>IF($B$12="","",'Fecha Pago'!L39)</f>
        <v>30.4</v>
      </c>
      <c r="E47" s="87">
        <f t="shared" si="1"/>
        <v>0.11</v>
      </c>
      <c r="F47" s="86">
        <f t="shared" si="2"/>
        <v>953392.97639397322</v>
      </c>
      <c r="G47" s="86">
        <f t="shared" si="16"/>
        <v>1565.922785546969</v>
      </c>
      <c r="H47" s="86">
        <f t="shared" ca="1" si="17"/>
        <v>8855.9614251706844</v>
      </c>
      <c r="I47" s="86">
        <f t="shared" si="0"/>
        <v>10421.884210717653</v>
      </c>
      <c r="J47" s="86">
        <f t="shared" si="3"/>
        <v>0</v>
      </c>
      <c r="K47" s="86">
        <f>IF(B47="","",IF(F47=0,0,IF(Sheet1!$I$10=6,'Tabla Fijos CAT'!$C$3*'Tabla Fijos CAT'!$F$5,$C$5*$F$5)))</f>
        <v>0</v>
      </c>
      <c r="L47" s="86">
        <f t="shared" si="4"/>
        <v>0</v>
      </c>
      <c r="M47" s="86"/>
      <c r="N47" s="86"/>
      <c r="O47" s="86">
        <f t="shared" ca="1" si="18"/>
        <v>10421.884210717653</v>
      </c>
      <c r="P47" s="86">
        <f t="shared" si="5"/>
        <v>951827.05360842624</v>
      </c>
      <c r="Q47" s="355">
        <f t="shared" si="6"/>
        <v>0</v>
      </c>
      <c r="R47" s="201">
        <f t="shared" si="7"/>
        <v>1565.9227855469715</v>
      </c>
      <c r="S47" s="201">
        <f t="shared" si="8"/>
        <v>8855.9614251706844</v>
      </c>
      <c r="T47" s="202">
        <f t="shared" si="9"/>
        <v>10421.884210717655</v>
      </c>
      <c r="U47" s="201">
        <f t="shared" si="10"/>
        <v>1565.922785546969</v>
      </c>
      <c r="V47" s="201">
        <f t="shared" si="11"/>
        <v>8855.9614251706844</v>
      </c>
      <c r="W47" s="201">
        <f t="shared" si="19"/>
        <v>10421.884210717653</v>
      </c>
      <c r="X47" s="201">
        <f t="shared" si="12"/>
        <v>1565.922785546969</v>
      </c>
      <c r="Y47" s="201">
        <f t="shared" si="13"/>
        <v>8855.9614251706844</v>
      </c>
      <c r="Z47" s="201">
        <f t="shared" si="20"/>
        <v>10421.884210717653</v>
      </c>
      <c r="AA47" s="201"/>
      <c r="AC47" s="257">
        <f t="shared" si="14"/>
        <v>10421.884210717653</v>
      </c>
    </row>
    <row r="48" spans="2:29" x14ac:dyDescent="0.3">
      <c r="B48" s="84">
        <f t="shared" si="15"/>
        <v>37</v>
      </c>
      <c r="C48" s="85">
        <f ca="1">IF($B48="","",'Fecha Pago'!K40)</f>
        <v>47272</v>
      </c>
      <c r="D48" s="86">
        <f>IF($B$12="","",'Fecha Pago'!L40)</f>
        <v>30.4</v>
      </c>
      <c r="E48" s="87">
        <f t="shared" si="1"/>
        <v>0.11</v>
      </c>
      <c r="F48" s="86">
        <f t="shared" si="2"/>
        <v>951827.05360842624</v>
      </c>
      <c r="G48" s="86">
        <f t="shared" si="16"/>
        <v>1580.4684683104952</v>
      </c>
      <c r="H48" s="86">
        <f t="shared" ca="1" si="17"/>
        <v>8841.4157424071582</v>
      </c>
      <c r="I48" s="86">
        <f t="shared" si="0"/>
        <v>10421.884210717653</v>
      </c>
      <c r="J48" s="86">
        <f t="shared" si="3"/>
        <v>0</v>
      </c>
      <c r="K48" s="86">
        <f>IF(B48="","",IF(F48=0,0,IF(Sheet1!$I$10=6,'Tabla Fijos CAT'!$C$3*'Tabla Fijos CAT'!$F$5,$C$5*$F$5)))</f>
        <v>0</v>
      </c>
      <c r="L48" s="86">
        <f t="shared" si="4"/>
        <v>0</v>
      </c>
      <c r="M48" s="86"/>
      <c r="N48" s="86"/>
      <c r="O48" s="86">
        <f t="shared" ca="1" si="18"/>
        <v>10421.884210717653</v>
      </c>
      <c r="P48" s="86">
        <f t="shared" si="5"/>
        <v>950246.5851401157</v>
      </c>
      <c r="Q48" s="355">
        <f t="shared" si="6"/>
        <v>0</v>
      </c>
      <c r="R48" s="201">
        <f t="shared" si="7"/>
        <v>1580.4684683104972</v>
      </c>
      <c r="S48" s="201">
        <f t="shared" si="8"/>
        <v>8841.4157424071582</v>
      </c>
      <c r="T48" s="202">
        <f t="shared" si="9"/>
        <v>10421.884210717655</v>
      </c>
      <c r="U48" s="201">
        <f t="shared" si="10"/>
        <v>1580.4684683104952</v>
      </c>
      <c r="V48" s="201">
        <f t="shared" si="11"/>
        <v>8841.4157424071582</v>
      </c>
      <c r="W48" s="201">
        <f t="shared" si="19"/>
        <v>10421.884210717653</v>
      </c>
      <c r="X48" s="201">
        <f t="shared" si="12"/>
        <v>1580.4684683104988</v>
      </c>
      <c r="Y48" s="201">
        <f t="shared" si="13"/>
        <v>8841.4157424071582</v>
      </c>
      <c r="Z48" s="201">
        <f t="shared" si="20"/>
        <v>10421.884210717657</v>
      </c>
      <c r="AA48" s="201"/>
      <c r="AC48" s="257">
        <f t="shared" si="14"/>
        <v>10421.884210717653</v>
      </c>
    </row>
    <row r="49" spans="2:29" x14ac:dyDescent="0.3">
      <c r="B49" s="84">
        <f t="shared" si="15"/>
        <v>38</v>
      </c>
      <c r="C49" s="85">
        <f ca="1">IF($B49="","",'Fecha Pago'!K41)</f>
        <v>47302</v>
      </c>
      <c r="D49" s="86">
        <f>IF($B$12="","",'Fecha Pago'!L41)</f>
        <v>30.4</v>
      </c>
      <c r="E49" s="87">
        <f t="shared" si="1"/>
        <v>0.11</v>
      </c>
      <c r="F49" s="86">
        <f t="shared" si="2"/>
        <v>950246.5851401157</v>
      </c>
      <c r="G49" s="86">
        <f t="shared" si="16"/>
        <v>1595.1492643050242</v>
      </c>
      <c r="H49" s="86">
        <f t="shared" ca="1" si="17"/>
        <v>8826.7349464126291</v>
      </c>
      <c r="I49" s="86">
        <f t="shared" si="0"/>
        <v>10421.884210717653</v>
      </c>
      <c r="J49" s="86">
        <f t="shared" si="3"/>
        <v>0</v>
      </c>
      <c r="K49" s="86">
        <f>IF(B49="","",IF(F49=0,0,IF(Sheet1!$I$10=6,'Tabla Fijos CAT'!$C$3*'Tabla Fijos CAT'!$F$5,$C$5*$F$5)))</f>
        <v>0</v>
      </c>
      <c r="L49" s="86">
        <f t="shared" si="4"/>
        <v>0</v>
      </c>
      <c r="M49" s="86"/>
      <c r="N49" s="86"/>
      <c r="O49" s="86">
        <f t="shared" ca="1" si="18"/>
        <v>10421.884210717653</v>
      </c>
      <c r="P49" s="86">
        <f t="shared" si="5"/>
        <v>948651.43587581068</v>
      </c>
      <c r="Q49" s="355">
        <f t="shared" si="6"/>
        <v>0</v>
      </c>
      <c r="R49" s="201">
        <f t="shared" si="7"/>
        <v>1595.1492643050258</v>
      </c>
      <c r="S49" s="201">
        <f t="shared" si="8"/>
        <v>8826.7349464126291</v>
      </c>
      <c r="T49" s="202">
        <f t="shared" si="9"/>
        <v>10421.884210717655</v>
      </c>
      <c r="U49" s="201">
        <f t="shared" si="10"/>
        <v>1595.1492643050242</v>
      </c>
      <c r="V49" s="201">
        <f t="shared" si="11"/>
        <v>8826.7349464126291</v>
      </c>
      <c r="W49" s="201">
        <f t="shared" si="19"/>
        <v>10421.884210717653</v>
      </c>
      <c r="X49" s="201">
        <f t="shared" si="12"/>
        <v>1595.1492643050242</v>
      </c>
      <c r="Y49" s="201">
        <f t="shared" si="13"/>
        <v>8826.7349464126291</v>
      </c>
      <c r="Z49" s="201">
        <f t="shared" si="20"/>
        <v>10421.884210717653</v>
      </c>
      <c r="AA49" s="201"/>
      <c r="AC49" s="257">
        <f t="shared" si="14"/>
        <v>10421.884210717653</v>
      </c>
    </row>
    <row r="50" spans="2:29" x14ac:dyDescent="0.3">
      <c r="B50" s="84">
        <f t="shared" si="15"/>
        <v>39</v>
      </c>
      <c r="C50" s="85">
        <f ca="1">IF($B50="","",'Fecha Pago'!K42)</f>
        <v>47333</v>
      </c>
      <c r="D50" s="86">
        <f>IF($B$12="","",'Fecha Pago'!L42)</f>
        <v>30.4</v>
      </c>
      <c r="E50" s="87">
        <f t="shared" si="1"/>
        <v>0.11</v>
      </c>
      <c r="F50" s="86">
        <f t="shared" si="2"/>
        <v>948651.43587581068</v>
      </c>
      <c r="G50" s="86">
        <f t="shared" si="16"/>
        <v>1609.9664285823455</v>
      </c>
      <c r="H50" s="86">
        <f t="shared" ca="1" si="17"/>
        <v>8811.9177821353078</v>
      </c>
      <c r="I50" s="86">
        <f t="shared" si="0"/>
        <v>10421.884210717653</v>
      </c>
      <c r="J50" s="86">
        <f t="shared" si="3"/>
        <v>0</v>
      </c>
      <c r="K50" s="86">
        <f>IF(B50="","",IF(F50=0,0,IF(Sheet1!$I$10=6,'Tabla Fijos CAT'!$C$3*'Tabla Fijos CAT'!$F$5,$C$5*$F$5)))</f>
        <v>0</v>
      </c>
      <c r="L50" s="86">
        <f t="shared" si="4"/>
        <v>0</v>
      </c>
      <c r="M50" s="86"/>
      <c r="N50" s="86"/>
      <c r="O50" s="86">
        <f t="shared" ca="1" si="18"/>
        <v>10421.884210717653</v>
      </c>
      <c r="P50" s="86">
        <f t="shared" si="5"/>
        <v>947041.46944722836</v>
      </c>
      <c r="Q50" s="355">
        <f t="shared" si="6"/>
        <v>0</v>
      </c>
      <c r="R50" s="201">
        <f t="shared" si="7"/>
        <v>1609.966428582348</v>
      </c>
      <c r="S50" s="201">
        <f t="shared" si="8"/>
        <v>8811.9177821353078</v>
      </c>
      <c r="T50" s="202">
        <f t="shared" si="9"/>
        <v>10421.884210717655</v>
      </c>
      <c r="U50" s="201">
        <f t="shared" si="10"/>
        <v>1609.9664285823455</v>
      </c>
      <c r="V50" s="201">
        <f t="shared" si="11"/>
        <v>8811.9177821353078</v>
      </c>
      <c r="W50" s="201">
        <f t="shared" si="19"/>
        <v>10421.884210717653</v>
      </c>
      <c r="X50" s="201">
        <f t="shared" si="12"/>
        <v>1609.9664285823492</v>
      </c>
      <c r="Y50" s="201">
        <f t="shared" si="13"/>
        <v>8811.9177821353078</v>
      </c>
      <c r="Z50" s="201">
        <f t="shared" si="20"/>
        <v>10421.884210717657</v>
      </c>
      <c r="AA50" s="201"/>
      <c r="AC50" s="257">
        <f t="shared" si="14"/>
        <v>10421.884210717653</v>
      </c>
    </row>
    <row r="51" spans="2:29" x14ac:dyDescent="0.3">
      <c r="B51" s="84">
        <f t="shared" si="15"/>
        <v>40</v>
      </c>
      <c r="C51" s="85">
        <f ca="1">IF($B51="","",'Fecha Pago'!K43)</f>
        <v>47364</v>
      </c>
      <c r="D51" s="86">
        <f>IF($B$12="","",'Fecha Pago'!L43)</f>
        <v>30.4</v>
      </c>
      <c r="E51" s="87">
        <f t="shared" si="1"/>
        <v>0.11</v>
      </c>
      <c r="F51" s="86">
        <f t="shared" si="2"/>
        <v>947041.46944722836</v>
      </c>
      <c r="G51" s="86">
        <f t="shared" si="16"/>
        <v>1624.9212278522882</v>
      </c>
      <c r="H51" s="86">
        <f t="shared" ca="1" si="17"/>
        <v>8796.9629828653651</v>
      </c>
      <c r="I51" s="86">
        <f t="shared" si="0"/>
        <v>10421.884210717653</v>
      </c>
      <c r="J51" s="86">
        <f t="shared" si="3"/>
        <v>0</v>
      </c>
      <c r="K51" s="86">
        <f>IF(B51="","",IF(F51=0,0,IF(Sheet1!$I$10=6,'Tabla Fijos CAT'!$C$3*'Tabla Fijos CAT'!$F$5,$C$5*$F$5)))</f>
        <v>0</v>
      </c>
      <c r="L51" s="86">
        <f t="shared" si="4"/>
        <v>0</v>
      </c>
      <c r="M51" s="86"/>
      <c r="N51" s="86"/>
      <c r="O51" s="86">
        <f t="shared" ca="1" si="18"/>
        <v>10421.884210717653</v>
      </c>
      <c r="P51" s="86">
        <f t="shared" si="5"/>
        <v>945416.54821937613</v>
      </c>
      <c r="Q51" s="355">
        <f t="shared" si="6"/>
        <v>0</v>
      </c>
      <c r="R51" s="201">
        <f t="shared" si="7"/>
        <v>1624.9212278522907</v>
      </c>
      <c r="S51" s="201">
        <f t="shared" si="8"/>
        <v>8796.9629828653651</v>
      </c>
      <c r="T51" s="202">
        <f t="shared" si="9"/>
        <v>10421.884210717655</v>
      </c>
      <c r="U51" s="201">
        <f t="shared" si="10"/>
        <v>1624.9212278522882</v>
      </c>
      <c r="V51" s="201">
        <f t="shared" si="11"/>
        <v>8796.9629828653651</v>
      </c>
      <c r="W51" s="201">
        <f t="shared" si="19"/>
        <v>10421.884210717653</v>
      </c>
      <c r="X51" s="201">
        <f t="shared" si="12"/>
        <v>1624.9212278522918</v>
      </c>
      <c r="Y51" s="201">
        <f t="shared" si="13"/>
        <v>8796.9629828653651</v>
      </c>
      <c r="Z51" s="201">
        <f t="shared" si="20"/>
        <v>10421.884210717657</v>
      </c>
      <c r="AA51" s="201"/>
      <c r="AC51" s="257">
        <f t="shared" si="14"/>
        <v>10421.884210717653</v>
      </c>
    </row>
    <row r="52" spans="2:29" x14ac:dyDescent="0.3">
      <c r="B52" s="84">
        <f t="shared" si="15"/>
        <v>41</v>
      </c>
      <c r="C52" s="85">
        <f ca="1">IF($B52="","",'Fecha Pago'!K44)</f>
        <v>47394</v>
      </c>
      <c r="D52" s="86">
        <f>IF($B$12="","",'Fecha Pago'!L44)</f>
        <v>30.4</v>
      </c>
      <c r="E52" s="87">
        <f t="shared" si="1"/>
        <v>0.11</v>
      </c>
      <c r="F52" s="86">
        <f t="shared" si="2"/>
        <v>945416.54821937613</v>
      </c>
      <c r="G52" s="86">
        <f t="shared" si="16"/>
        <v>1640.0149405910051</v>
      </c>
      <c r="H52" s="86">
        <f t="shared" ca="1" si="17"/>
        <v>8781.8692701266482</v>
      </c>
      <c r="I52" s="86">
        <f t="shared" si="0"/>
        <v>10421.884210717653</v>
      </c>
      <c r="J52" s="86">
        <f t="shared" si="3"/>
        <v>0</v>
      </c>
      <c r="K52" s="86">
        <f>IF(B52="","",IF(F52=0,0,IF(Sheet1!$I$10=6,'Tabla Fijos CAT'!$C$3*'Tabla Fijos CAT'!$F$5,$C$5*$F$5)))</f>
        <v>0</v>
      </c>
      <c r="L52" s="86">
        <f t="shared" si="4"/>
        <v>0</v>
      </c>
      <c r="M52" s="86"/>
      <c r="N52" s="86"/>
      <c r="O52" s="86">
        <f t="shared" ca="1" si="18"/>
        <v>10421.884210717653</v>
      </c>
      <c r="P52" s="86">
        <f t="shared" si="5"/>
        <v>943776.53327878518</v>
      </c>
      <c r="Q52" s="355">
        <f t="shared" si="6"/>
        <v>0</v>
      </c>
      <c r="R52" s="201">
        <f t="shared" si="7"/>
        <v>1640.0149405910074</v>
      </c>
      <c r="S52" s="201">
        <f t="shared" si="8"/>
        <v>8781.8692701266482</v>
      </c>
      <c r="T52" s="202">
        <f t="shared" si="9"/>
        <v>10421.884210717655</v>
      </c>
      <c r="U52" s="201">
        <f t="shared" si="10"/>
        <v>1640.0149405910051</v>
      </c>
      <c r="V52" s="201">
        <f t="shared" si="11"/>
        <v>8781.8692701266482</v>
      </c>
      <c r="W52" s="201">
        <f t="shared" si="19"/>
        <v>10421.884210717653</v>
      </c>
      <c r="X52" s="201">
        <f t="shared" si="12"/>
        <v>1640.0149405910088</v>
      </c>
      <c r="Y52" s="201">
        <f t="shared" si="13"/>
        <v>8781.8692701266482</v>
      </c>
      <c r="Z52" s="201">
        <f t="shared" si="20"/>
        <v>10421.884210717657</v>
      </c>
      <c r="AA52" s="201"/>
      <c r="AC52" s="257">
        <f t="shared" si="14"/>
        <v>10421.884210717653</v>
      </c>
    </row>
    <row r="53" spans="2:29" x14ac:dyDescent="0.3">
      <c r="B53" s="84">
        <f t="shared" si="15"/>
        <v>42</v>
      </c>
      <c r="C53" s="85">
        <f ca="1">IF($B53="","",'Fecha Pago'!K45)</f>
        <v>47425</v>
      </c>
      <c r="D53" s="86">
        <f>IF($B$12="","",'Fecha Pago'!L45)</f>
        <v>30.4</v>
      </c>
      <c r="E53" s="87">
        <f t="shared" si="1"/>
        <v>0.11</v>
      </c>
      <c r="F53" s="86">
        <f t="shared" si="2"/>
        <v>943776.53327878518</v>
      </c>
      <c r="G53" s="86">
        <f t="shared" si="16"/>
        <v>1655.2488571502709</v>
      </c>
      <c r="H53" s="86">
        <f t="shared" ca="1" si="17"/>
        <v>8766.6353535673825</v>
      </c>
      <c r="I53" s="86">
        <f t="shared" si="0"/>
        <v>10421.884210717653</v>
      </c>
      <c r="J53" s="86">
        <f t="shared" si="3"/>
        <v>0</v>
      </c>
      <c r="K53" s="86">
        <f>IF(B53="","",IF(F53=0,0,IF(Sheet1!$I$10=6,'Tabla Fijos CAT'!$C$3*'Tabla Fijos CAT'!$F$5,$C$5*$F$5)))</f>
        <v>0</v>
      </c>
      <c r="L53" s="86">
        <f t="shared" si="4"/>
        <v>0</v>
      </c>
      <c r="M53" s="86"/>
      <c r="N53" s="86"/>
      <c r="O53" s="86">
        <f t="shared" ca="1" si="18"/>
        <v>10421.884210717653</v>
      </c>
      <c r="P53" s="86">
        <f t="shared" si="5"/>
        <v>942121.28442163486</v>
      </c>
      <c r="Q53" s="355">
        <f t="shared" si="6"/>
        <v>0</v>
      </c>
      <c r="R53" s="201">
        <f t="shared" si="7"/>
        <v>1655.2488571502749</v>
      </c>
      <c r="S53" s="201">
        <f t="shared" si="8"/>
        <v>8766.6353535673825</v>
      </c>
      <c r="T53" s="202">
        <f t="shared" si="9"/>
        <v>10421.884210717657</v>
      </c>
      <c r="U53" s="201">
        <f t="shared" si="10"/>
        <v>1655.2488571502709</v>
      </c>
      <c r="V53" s="201">
        <f t="shared" si="11"/>
        <v>8766.6353535673825</v>
      </c>
      <c r="W53" s="201">
        <f t="shared" si="19"/>
        <v>10421.884210717653</v>
      </c>
      <c r="X53" s="201">
        <f t="shared" si="12"/>
        <v>1655.2488571502763</v>
      </c>
      <c r="Y53" s="201">
        <f t="shared" si="13"/>
        <v>8766.6353535673825</v>
      </c>
      <c r="Z53" s="201">
        <f t="shared" si="20"/>
        <v>10421.884210717659</v>
      </c>
      <c r="AA53" s="201"/>
      <c r="AC53" s="257">
        <f t="shared" si="14"/>
        <v>10421.884210717653</v>
      </c>
    </row>
    <row r="54" spans="2:29" x14ac:dyDescent="0.3">
      <c r="B54" s="84">
        <f t="shared" si="15"/>
        <v>43</v>
      </c>
      <c r="C54" s="85">
        <f ca="1">IF($B54="","",'Fecha Pago'!K46)</f>
        <v>47455</v>
      </c>
      <c r="D54" s="86">
        <f>IF($B$12="","",'Fecha Pago'!L46)</f>
        <v>30.4</v>
      </c>
      <c r="E54" s="87">
        <f t="shared" si="1"/>
        <v>0.11</v>
      </c>
      <c r="F54" s="86">
        <f t="shared" si="2"/>
        <v>942121.28442163486</v>
      </c>
      <c r="G54" s="86">
        <f t="shared" si="16"/>
        <v>1670.6242798678013</v>
      </c>
      <c r="H54" s="86">
        <f t="shared" ca="1" si="17"/>
        <v>8751.259930849852</v>
      </c>
      <c r="I54" s="86">
        <f t="shared" si="0"/>
        <v>10421.884210717653</v>
      </c>
      <c r="J54" s="86">
        <f t="shared" si="3"/>
        <v>0</v>
      </c>
      <c r="K54" s="86">
        <f>IF(B54="","",IF(F54=0,0,IF(Sheet1!$I$10=6,'Tabla Fijos CAT'!$C$3*'Tabla Fijos CAT'!$F$5,$C$5*$F$5)))</f>
        <v>0</v>
      </c>
      <c r="L54" s="86">
        <f t="shared" si="4"/>
        <v>0</v>
      </c>
      <c r="M54" s="86"/>
      <c r="N54" s="86"/>
      <c r="O54" s="86">
        <f t="shared" ca="1" si="18"/>
        <v>10421.884210717653</v>
      </c>
      <c r="P54" s="86">
        <f t="shared" si="5"/>
        <v>940450.660141767</v>
      </c>
      <c r="Q54" s="355">
        <f t="shared" si="6"/>
        <v>0</v>
      </c>
      <c r="R54" s="201">
        <f t="shared" si="7"/>
        <v>1670.6242798678043</v>
      </c>
      <c r="S54" s="201">
        <f t="shared" si="8"/>
        <v>8751.259930849852</v>
      </c>
      <c r="T54" s="202">
        <f t="shared" si="9"/>
        <v>10421.884210717657</v>
      </c>
      <c r="U54" s="201">
        <f t="shared" si="10"/>
        <v>1670.6242798678013</v>
      </c>
      <c r="V54" s="201">
        <f t="shared" si="11"/>
        <v>8751.259930849852</v>
      </c>
      <c r="W54" s="201">
        <f t="shared" si="19"/>
        <v>10421.884210717653</v>
      </c>
      <c r="X54" s="201">
        <f t="shared" si="12"/>
        <v>1670.6242798678049</v>
      </c>
      <c r="Y54" s="201">
        <f t="shared" si="13"/>
        <v>8751.259930849852</v>
      </c>
      <c r="Z54" s="201">
        <f t="shared" si="20"/>
        <v>10421.884210717657</v>
      </c>
      <c r="AA54" s="201"/>
      <c r="AC54" s="257">
        <f t="shared" si="14"/>
        <v>10421.884210717653</v>
      </c>
    </row>
    <row r="55" spans="2:29" x14ac:dyDescent="0.3">
      <c r="B55" s="84">
        <f t="shared" si="15"/>
        <v>44</v>
      </c>
      <c r="C55" s="85">
        <f ca="1">IF($B55="","",'Fecha Pago'!K47)</f>
        <v>47486</v>
      </c>
      <c r="D55" s="86">
        <f>IF($B$12="","",'Fecha Pago'!L47)</f>
        <v>30.4</v>
      </c>
      <c r="E55" s="87">
        <f t="shared" si="1"/>
        <v>0.11</v>
      </c>
      <c r="F55" s="86">
        <f t="shared" si="2"/>
        <v>940450.660141767</v>
      </c>
      <c r="G55" s="86">
        <f t="shared" si="16"/>
        <v>1686.1425231785743</v>
      </c>
      <c r="H55" s="86">
        <f t="shared" ca="1" si="17"/>
        <v>8735.7416875390791</v>
      </c>
      <c r="I55" s="86">
        <f t="shared" si="0"/>
        <v>10421.884210717653</v>
      </c>
      <c r="J55" s="86">
        <f t="shared" si="3"/>
        <v>0</v>
      </c>
      <c r="K55" s="86">
        <f>IF(B55="","",IF(F55=0,0,IF(Sheet1!$I$10=6,'Tabla Fijos CAT'!$C$3*'Tabla Fijos CAT'!$F$5,$C$5*$F$5)))</f>
        <v>0</v>
      </c>
      <c r="L55" s="86">
        <f t="shared" si="4"/>
        <v>0</v>
      </c>
      <c r="M55" s="86"/>
      <c r="N55" s="86"/>
      <c r="O55" s="86">
        <f t="shared" ca="1" si="18"/>
        <v>10421.884210717653</v>
      </c>
      <c r="P55" s="86">
        <f t="shared" si="5"/>
        <v>938764.5176185884</v>
      </c>
      <c r="Q55" s="355">
        <f t="shared" si="6"/>
        <v>0</v>
      </c>
      <c r="R55" s="201">
        <f t="shared" si="7"/>
        <v>1686.1425231785763</v>
      </c>
      <c r="S55" s="201">
        <f t="shared" si="8"/>
        <v>8735.7416875390791</v>
      </c>
      <c r="T55" s="202">
        <f t="shared" si="9"/>
        <v>10421.884210717655</v>
      </c>
      <c r="U55" s="201">
        <f t="shared" si="10"/>
        <v>1686.1425231785743</v>
      </c>
      <c r="V55" s="201">
        <f t="shared" si="11"/>
        <v>8735.7416875390791</v>
      </c>
      <c r="W55" s="201">
        <f t="shared" si="19"/>
        <v>10421.884210717653</v>
      </c>
      <c r="X55" s="201">
        <f t="shared" si="12"/>
        <v>1686.1425231785779</v>
      </c>
      <c r="Y55" s="201">
        <f t="shared" si="13"/>
        <v>8735.7416875390791</v>
      </c>
      <c r="Z55" s="201">
        <f t="shared" si="20"/>
        <v>10421.884210717657</v>
      </c>
      <c r="AA55" s="201"/>
      <c r="AC55" s="257">
        <f t="shared" si="14"/>
        <v>10421.884210717653</v>
      </c>
    </row>
    <row r="56" spans="2:29" x14ac:dyDescent="0.3">
      <c r="B56" s="84">
        <f t="shared" si="15"/>
        <v>45</v>
      </c>
      <c r="C56" s="85">
        <f ca="1">IF($B56="","",'Fecha Pago'!K48)</f>
        <v>47517</v>
      </c>
      <c r="D56" s="86">
        <f>IF($B$12="","",'Fecha Pago'!L48)</f>
        <v>30.4</v>
      </c>
      <c r="E56" s="87">
        <f t="shared" si="1"/>
        <v>0.11</v>
      </c>
      <c r="F56" s="86">
        <f t="shared" si="2"/>
        <v>938764.5176185884</v>
      </c>
      <c r="G56" s="86">
        <f t="shared" si="16"/>
        <v>1701.8049137272101</v>
      </c>
      <c r="H56" s="86">
        <f t="shared" ca="1" si="17"/>
        <v>8720.0792969904433</v>
      </c>
      <c r="I56" s="86">
        <f t="shared" si="0"/>
        <v>10421.884210717653</v>
      </c>
      <c r="J56" s="86">
        <f t="shared" si="3"/>
        <v>0</v>
      </c>
      <c r="K56" s="86">
        <f>IF(B56="","",IF(F56=0,0,IF(Sheet1!$I$10=6,'Tabla Fijos CAT'!$C$3*'Tabla Fijos CAT'!$F$5,$C$5*$F$5)))</f>
        <v>0</v>
      </c>
      <c r="L56" s="86">
        <f t="shared" si="4"/>
        <v>0</v>
      </c>
      <c r="M56" s="86"/>
      <c r="N56" s="86"/>
      <c r="O56" s="86">
        <f t="shared" ca="1" si="18"/>
        <v>10421.884210717653</v>
      </c>
      <c r="P56" s="86">
        <f t="shared" si="5"/>
        <v>937062.71270486119</v>
      </c>
      <c r="Q56" s="355">
        <f t="shared" si="6"/>
        <v>0</v>
      </c>
      <c r="R56" s="201">
        <f t="shared" si="7"/>
        <v>1701.804913727213</v>
      </c>
      <c r="S56" s="201">
        <f t="shared" si="8"/>
        <v>8720.0792969904433</v>
      </c>
      <c r="T56" s="202">
        <f t="shared" si="9"/>
        <v>10421.884210717657</v>
      </c>
      <c r="U56" s="201">
        <f t="shared" si="10"/>
        <v>1701.8049137272101</v>
      </c>
      <c r="V56" s="201">
        <f t="shared" si="11"/>
        <v>8720.0792969904433</v>
      </c>
      <c r="W56" s="201">
        <f t="shared" si="19"/>
        <v>10421.884210717653</v>
      </c>
      <c r="X56" s="201">
        <f t="shared" si="12"/>
        <v>1701.8049137272137</v>
      </c>
      <c r="Y56" s="201">
        <f t="shared" si="13"/>
        <v>8720.0792969904433</v>
      </c>
      <c r="Z56" s="201">
        <f t="shared" si="20"/>
        <v>10421.884210717657</v>
      </c>
      <c r="AA56" s="201"/>
      <c r="AC56" s="257">
        <f t="shared" si="14"/>
        <v>10421.884210717653</v>
      </c>
    </row>
    <row r="57" spans="2:29" x14ac:dyDescent="0.3">
      <c r="B57" s="84">
        <f t="shared" si="15"/>
        <v>46</v>
      </c>
      <c r="C57" s="85">
        <f ca="1">IF($B57="","",'Fecha Pago'!K49)</f>
        <v>47545</v>
      </c>
      <c r="D57" s="86">
        <f>IF($B$12="","",'Fecha Pago'!L49)</f>
        <v>30.4</v>
      </c>
      <c r="E57" s="87">
        <f t="shared" si="1"/>
        <v>0.11</v>
      </c>
      <c r="F57" s="86">
        <f t="shared" si="2"/>
        <v>937062.71270486119</v>
      </c>
      <c r="G57" s="86">
        <f t="shared" si="16"/>
        <v>1717.6127904813875</v>
      </c>
      <c r="H57" s="86">
        <f t="shared" ca="1" si="17"/>
        <v>8704.2714202362658</v>
      </c>
      <c r="I57" s="86">
        <f t="shared" si="0"/>
        <v>10421.884210717653</v>
      </c>
      <c r="J57" s="86">
        <f t="shared" si="3"/>
        <v>0</v>
      </c>
      <c r="K57" s="86">
        <f>IF(B57="","",IF(F57=0,0,IF(Sheet1!$I$10=6,'Tabla Fijos CAT'!$C$3*'Tabla Fijos CAT'!$F$5,$C$5*$F$5)))</f>
        <v>0</v>
      </c>
      <c r="L57" s="86">
        <f t="shared" si="4"/>
        <v>0</v>
      </c>
      <c r="M57" s="86"/>
      <c r="N57" s="86"/>
      <c r="O57" s="86">
        <f t="shared" ca="1" si="18"/>
        <v>10421.884210717653</v>
      </c>
      <c r="P57" s="86">
        <f t="shared" si="5"/>
        <v>935345.09991437977</v>
      </c>
      <c r="Q57" s="355">
        <f t="shared" si="6"/>
        <v>0</v>
      </c>
      <c r="R57" s="201">
        <f t="shared" si="7"/>
        <v>1717.61279048139</v>
      </c>
      <c r="S57" s="201">
        <f t="shared" si="8"/>
        <v>8704.2714202362658</v>
      </c>
      <c r="T57" s="202">
        <f t="shared" si="9"/>
        <v>10421.884210717655</v>
      </c>
      <c r="U57" s="201">
        <f t="shared" si="10"/>
        <v>1717.6127904813875</v>
      </c>
      <c r="V57" s="201">
        <f t="shared" si="11"/>
        <v>8704.2714202362658</v>
      </c>
      <c r="W57" s="201">
        <f t="shared" si="19"/>
        <v>10421.884210717653</v>
      </c>
      <c r="X57" s="201">
        <f t="shared" si="12"/>
        <v>1717.6127904813911</v>
      </c>
      <c r="Y57" s="201">
        <f t="shared" si="13"/>
        <v>8704.2714202362658</v>
      </c>
      <c r="Z57" s="201">
        <f t="shared" si="20"/>
        <v>10421.884210717657</v>
      </c>
      <c r="AA57" s="201"/>
      <c r="AC57" s="257">
        <f t="shared" si="14"/>
        <v>10421.884210717653</v>
      </c>
    </row>
    <row r="58" spans="2:29" x14ac:dyDescent="0.3">
      <c r="B58" s="84">
        <f t="shared" si="15"/>
        <v>47</v>
      </c>
      <c r="C58" s="85">
        <f ca="1">IF($B58="","",'Fecha Pago'!K50)</f>
        <v>47576</v>
      </c>
      <c r="D58" s="86">
        <f>IF($B$12="","",'Fecha Pago'!L50)</f>
        <v>30.4</v>
      </c>
      <c r="E58" s="87">
        <f t="shared" si="1"/>
        <v>0.11</v>
      </c>
      <c r="F58" s="86">
        <f t="shared" si="2"/>
        <v>935345.09991437977</v>
      </c>
      <c r="G58" s="86">
        <f t="shared" si="16"/>
        <v>1733.5675048463036</v>
      </c>
      <c r="H58" s="86">
        <f t="shared" ca="1" si="17"/>
        <v>8688.3167058713498</v>
      </c>
      <c r="I58" s="86">
        <f t="shared" si="0"/>
        <v>10421.884210717653</v>
      </c>
      <c r="J58" s="86">
        <f t="shared" si="3"/>
        <v>0</v>
      </c>
      <c r="K58" s="86">
        <f>IF(B58="","",IF(F58=0,0,IF(Sheet1!$I$10=6,'Tabla Fijos CAT'!$C$3*'Tabla Fijos CAT'!$F$5,$C$5*$F$5)))</f>
        <v>0</v>
      </c>
      <c r="L58" s="86">
        <f t="shared" si="4"/>
        <v>0</v>
      </c>
      <c r="M58" s="86"/>
      <c r="N58" s="86"/>
      <c r="O58" s="86">
        <f t="shared" ca="1" si="18"/>
        <v>10421.884210717653</v>
      </c>
      <c r="P58" s="86">
        <f t="shared" si="5"/>
        <v>933611.53240953351</v>
      </c>
      <c r="Q58" s="355">
        <f t="shared" si="6"/>
        <v>0</v>
      </c>
      <c r="R58" s="201">
        <f t="shared" si="7"/>
        <v>1733.5675048463061</v>
      </c>
      <c r="S58" s="201">
        <f t="shared" si="8"/>
        <v>8688.3167058713498</v>
      </c>
      <c r="T58" s="202">
        <f t="shared" si="9"/>
        <v>10421.884210717655</v>
      </c>
      <c r="U58" s="201">
        <f t="shared" si="10"/>
        <v>1733.5675048463036</v>
      </c>
      <c r="V58" s="201">
        <f t="shared" si="11"/>
        <v>8688.3167058713498</v>
      </c>
      <c r="W58" s="201">
        <f t="shared" si="19"/>
        <v>10421.884210717653</v>
      </c>
      <c r="X58" s="201">
        <f t="shared" si="12"/>
        <v>1733.5675048463072</v>
      </c>
      <c r="Y58" s="201">
        <f t="shared" si="13"/>
        <v>8688.3167058713498</v>
      </c>
      <c r="Z58" s="201">
        <f t="shared" si="20"/>
        <v>10421.884210717657</v>
      </c>
      <c r="AA58" s="201"/>
      <c r="AC58" s="257">
        <f t="shared" si="14"/>
        <v>10421.884210717653</v>
      </c>
    </row>
    <row r="59" spans="2:29" x14ac:dyDescent="0.3">
      <c r="B59" s="84">
        <f t="shared" si="15"/>
        <v>48</v>
      </c>
      <c r="C59" s="85">
        <f ca="1">IF($B59="","",'Fecha Pago'!K51)</f>
        <v>47606</v>
      </c>
      <c r="D59" s="86">
        <f>IF($B$12="","",'Fecha Pago'!L51)</f>
        <v>30.4</v>
      </c>
      <c r="E59" s="87">
        <f t="shared" si="1"/>
        <v>0.11</v>
      </c>
      <c r="F59" s="86">
        <f t="shared" si="2"/>
        <v>933611.53240953351</v>
      </c>
      <c r="G59" s="86">
        <f t="shared" si="16"/>
        <v>1749.6704207802086</v>
      </c>
      <c r="H59" s="86">
        <f t="shared" ca="1" si="17"/>
        <v>8672.2137899374447</v>
      </c>
      <c r="I59" s="86">
        <f t="shared" si="0"/>
        <v>10421.884210717653</v>
      </c>
      <c r="J59" s="86">
        <f t="shared" si="3"/>
        <v>0</v>
      </c>
      <c r="K59" s="86">
        <f>IF(B59="","",IF(F59=0,0,IF(Sheet1!$I$10=6,'Tabla Fijos CAT'!$C$3*'Tabla Fijos CAT'!$F$5,$C$5*$F$5)))</f>
        <v>0</v>
      </c>
      <c r="L59" s="86">
        <f t="shared" si="4"/>
        <v>0</v>
      </c>
      <c r="M59" s="86"/>
      <c r="N59" s="86"/>
      <c r="O59" s="86">
        <f t="shared" ca="1" si="18"/>
        <v>10421.884210717653</v>
      </c>
      <c r="P59" s="86">
        <f t="shared" si="5"/>
        <v>931861.86198875331</v>
      </c>
      <c r="Q59" s="355">
        <f t="shared" si="6"/>
        <v>0</v>
      </c>
      <c r="R59" s="201">
        <f t="shared" si="7"/>
        <v>1749.6704207802118</v>
      </c>
      <c r="S59" s="201">
        <f t="shared" si="8"/>
        <v>8672.2137899374447</v>
      </c>
      <c r="T59" s="202">
        <f t="shared" si="9"/>
        <v>10421.884210717657</v>
      </c>
      <c r="U59" s="201">
        <f t="shared" si="10"/>
        <v>1749.6704207802086</v>
      </c>
      <c r="V59" s="201">
        <f t="shared" si="11"/>
        <v>8672.2137899374447</v>
      </c>
      <c r="W59" s="201">
        <f t="shared" si="19"/>
        <v>10421.884210717653</v>
      </c>
      <c r="X59" s="201">
        <f t="shared" si="12"/>
        <v>1749.6704207802122</v>
      </c>
      <c r="Y59" s="201">
        <f t="shared" si="13"/>
        <v>8672.2137899374447</v>
      </c>
      <c r="Z59" s="201">
        <f t="shared" si="20"/>
        <v>10421.884210717657</v>
      </c>
      <c r="AA59" s="201"/>
      <c r="AC59" s="257">
        <f t="shared" si="14"/>
        <v>10421.884210717653</v>
      </c>
    </row>
    <row r="60" spans="2:29" x14ac:dyDescent="0.3">
      <c r="B60" s="84">
        <f t="shared" si="15"/>
        <v>49</v>
      </c>
      <c r="C60" s="85">
        <f ca="1">IF($B60="","",'Fecha Pago'!K52)</f>
        <v>47637</v>
      </c>
      <c r="D60" s="86">
        <f>IF($B$12="","",'Fecha Pago'!L52)</f>
        <v>30.4</v>
      </c>
      <c r="E60" s="87">
        <f t="shared" si="1"/>
        <v>0.11</v>
      </c>
      <c r="F60" s="86">
        <f t="shared" si="2"/>
        <v>931861.86198875331</v>
      </c>
      <c r="G60" s="86">
        <f t="shared" si="16"/>
        <v>1765.9229149110124</v>
      </c>
      <c r="H60" s="86">
        <f t="shared" ca="1" si="17"/>
        <v>8655.9612958066409</v>
      </c>
      <c r="I60" s="86">
        <f t="shared" si="0"/>
        <v>10421.884210717653</v>
      </c>
      <c r="J60" s="86">
        <f t="shared" si="3"/>
        <v>0</v>
      </c>
      <c r="K60" s="86">
        <f>IF(B60="","",IF(F60=0,0,IF(Sheet1!$I$10=6,'Tabla Fijos CAT'!$C$3*'Tabla Fijos CAT'!$F$5,$C$5*$F$5)))</f>
        <v>0</v>
      </c>
      <c r="L60" s="86">
        <f t="shared" si="4"/>
        <v>0</v>
      </c>
      <c r="M60" s="86"/>
      <c r="N60" s="86"/>
      <c r="O60" s="86">
        <f t="shared" ca="1" si="18"/>
        <v>10421.884210717653</v>
      </c>
      <c r="P60" s="86">
        <f t="shared" si="5"/>
        <v>930095.93907384225</v>
      </c>
      <c r="Q60" s="355">
        <f t="shared" si="6"/>
        <v>0</v>
      </c>
      <c r="R60" s="201">
        <f t="shared" si="7"/>
        <v>1765.9229149110147</v>
      </c>
      <c r="S60" s="201">
        <f t="shared" si="8"/>
        <v>8655.9612958066409</v>
      </c>
      <c r="T60" s="202">
        <f t="shared" si="9"/>
        <v>10421.884210717655</v>
      </c>
      <c r="U60" s="201">
        <f t="shared" si="10"/>
        <v>1765.9229149110124</v>
      </c>
      <c r="V60" s="201">
        <f t="shared" si="11"/>
        <v>8655.9612958066409</v>
      </c>
      <c r="W60" s="201">
        <f t="shared" si="19"/>
        <v>10421.884210717653</v>
      </c>
      <c r="X60" s="201">
        <f t="shared" si="12"/>
        <v>1765.9229149110161</v>
      </c>
      <c r="Y60" s="201">
        <f t="shared" si="13"/>
        <v>8655.9612958066409</v>
      </c>
      <c r="Z60" s="201">
        <f t="shared" si="20"/>
        <v>10421.884210717657</v>
      </c>
      <c r="AA60" s="201"/>
      <c r="AC60" s="257">
        <f t="shared" si="14"/>
        <v>10421.884210717653</v>
      </c>
    </row>
    <row r="61" spans="2:29" x14ac:dyDescent="0.3">
      <c r="B61" s="84">
        <f t="shared" si="15"/>
        <v>50</v>
      </c>
      <c r="C61" s="85">
        <f ca="1">IF($B61="","",'Fecha Pago'!K53)</f>
        <v>47667</v>
      </c>
      <c r="D61" s="86">
        <f>IF($B$12="","",'Fecha Pago'!L53)</f>
        <v>30.4</v>
      </c>
      <c r="E61" s="87">
        <f t="shared" si="1"/>
        <v>0.11</v>
      </c>
      <c r="F61" s="86">
        <f t="shared" si="2"/>
        <v>930095.93907384225</v>
      </c>
      <c r="G61" s="86">
        <f t="shared" si="16"/>
        <v>1782.326376653964</v>
      </c>
      <c r="H61" s="86">
        <f t="shared" ca="1" si="17"/>
        <v>8639.5578340636894</v>
      </c>
      <c r="I61" s="86">
        <f t="shared" si="0"/>
        <v>10421.884210717653</v>
      </c>
      <c r="J61" s="86">
        <f t="shared" si="3"/>
        <v>0</v>
      </c>
      <c r="K61" s="86">
        <f>IF(B61="","",IF(F61=0,0,IF(Sheet1!$I$10=6,'Tabla Fijos CAT'!$C$3*'Tabla Fijos CAT'!$F$5,$C$5*$F$5)))</f>
        <v>0</v>
      </c>
      <c r="L61" s="86">
        <f t="shared" si="4"/>
        <v>0</v>
      </c>
      <c r="M61" s="86"/>
      <c r="N61" s="86"/>
      <c r="O61" s="86">
        <f t="shared" ca="1" si="18"/>
        <v>10421.884210717653</v>
      </c>
      <c r="P61" s="86">
        <f t="shared" si="5"/>
        <v>928313.61269718828</v>
      </c>
      <c r="Q61" s="355">
        <f t="shared" si="6"/>
        <v>0</v>
      </c>
      <c r="R61" s="201">
        <f t="shared" si="7"/>
        <v>1782.3263766539658</v>
      </c>
      <c r="S61" s="201">
        <f t="shared" si="8"/>
        <v>8639.5578340636894</v>
      </c>
      <c r="T61" s="202">
        <f t="shared" si="9"/>
        <v>10421.884210717655</v>
      </c>
      <c r="U61" s="201">
        <f t="shared" si="10"/>
        <v>1782.326376653964</v>
      </c>
      <c r="V61" s="201">
        <f t="shared" si="11"/>
        <v>8639.5578340636894</v>
      </c>
      <c r="W61" s="201">
        <f t="shared" si="19"/>
        <v>10421.884210717653</v>
      </c>
      <c r="X61" s="201">
        <f t="shared" si="12"/>
        <v>1782.3263766539676</v>
      </c>
      <c r="Y61" s="201">
        <f t="shared" si="13"/>
        <v>8639.5578340636894</v>
      </c>
      <c r="Z61" s="201">
        <f t="shared" si="20"/>
        <v>10421.884210717657</v>
      </c>
      <c r="AA61" s="201"/>
      <c r="AC61" s="257">
        <f t="shared" si="14"/>
        <v>10421.884210717653</v>
      </c>
    </row>
    <row r="62" spans="2:29" x14ac:dyDescent="0.3">
      <c r="B62" s="84">
        <f t="shared" si="15"/>
        <v>51</v>
      </c>
      <c r="C62" s="85">
        <f ca="1">IF($B62="","",'Fecha Pago'!K54)</f>
        <v>47698</v>
      </c>
      <c r="D62" s="86">
        <f>IF($B$12="","",'Fecha Pago'!L54)</f>
        <v>30.4</v>
      </c>
      <c r="E62" s="87">
        <f t="shared" si="1"/>
        <v>0.11</v>
      </c>
      <c r="F62" s="86">
        <f t="shared" si="2"/>
        <v>928313.61269718828</v>
      </c>
      <c r="G62" s="86">
        <f t="shared" si="16"/>
        <v>1798.8822083304385</v>
      </c>
      <c r="H62" s="86">
        <f t="shared" ca="1" si="17"/>
        <v>8623.0020023872148</v>
      </c>
      <c r="I62" s="86">
        <f t="shared" si="0"/>
        <v>10421.884210717653</v>
      </c>
      <c r="J62" s="86">
        <f t="shared" si="3"/>
        <v>0</v>
      </c>
      <c r="K62" s="86">
        <f>IF(B62="","",IF(F62=0,0,IF(Sheet1!$I$10=6,'Tabla Fijos CAT'!$C$3*'Tabla Fijos CAT'!$F$5,$C$5*$F$5)))</f>
        <v>0</v>
      </c>
      <c r="L62" s="86">
        <f t="shared" si="4"/>
        <v>0</v>
      </c>
      <c r="M62" s="86"/>
      <c r="N62" s="86"/>
      <c r="O62" s="86">
        <f t="shared" ca="1" si="18"/>
        <v>10421.884210717653</v>
      </c>
      <c r="P62" s="86">
        <f t="shared" si="5"/>
        <v>926514.73048885784</v>
      </c>
      <c r="Q62" s="355">
        <f t="shared" si="6"/>
        <v>0</v>
      </c>
      <c r="R62" s="201">
        <f t="shared" si="7"/>
        <v>1798.8822083304403</v>
      </c>
      <c r="S62" s="201">
        <f t="shared" si="8"/>
        <v>8623.0020023872148</v>
      </c>
      <c r="T62" s="202">
        <f t="shared" si="9"/>
        <v>10421.884210717655</v>
      </c>
      <c r="U62" s="201">
        <f t="shared" si="10"/>
        <v>1798.8822083304385</v>
      </c>
      <c r="V62" s="201">
        <f t="shared" si="11"/>
        <v>8623.0020023872148</v>
      </c>
      <c r="W62" s="201">
        <f t="shared" si="19"/>
        <v>10421.884210717653</v>
      </c>
      <c r="X62" s="201">
        <f t="shared" si="12"/>
        <v>1798.8822083304422</v>
      </c>
      <c r="Y62" s="201">
        <f t="shared" si="13"/>
        <v>8623.0020023872148</v>
      </c>
      <c r="Z62" s="201">
        <f t="shared" si="20"/>
        <v>10421.884210717657</v>
      </c>
      <c r="AA62" s="201"/>
      <c r="AC62" s="257">
        <f t="shared" si="14"/>
        <v>10421.884210717653</v>
      </c>
    </row>
    <row r="63" spans="2:29" x14ac:dyDescent="0.3">
      <c r="B63" s="84">
        <f t="shared" si="15"/>
        <v>52</v>
      </c>
      <c r="C63" s="85">
        <f ca="1">IF($B63="","",'Fecha Pago'!K55)</f>
        <v>47729</v>
      </c>
      <c r="D63" s="86">
        <f>IF($B$12="","",'Fecha Pago'!L55)</f>
        <v>30.4</v>
      </c>
      <c r="E63" s="87">
        <f t="shared" si="1"/>
        <v>0.11</v>
      </c>
      <c r="F63" s="86">
        <f t="shared" si="2"/>
        <v>926514.73048885784</v>
      </c>
      <c r="G63" s="86">
        <f t="shared" si="16"/>
        <v>1815.5918252878182</v>
      </c>
      <c r="H63" s="86">
        <f t="shared" ca="1" si="17"/>
        <v>8606.2923854298351</v>
      </c>
      <c r="I63" s="86">
        <f t="shared" si="0"/>
        <v>10421.884210717653</v>
      </c>
      <c r="J63" s="86">
        <f t="shared" si="3"/>
        <v>0</v>
      </c>
      <c r="K63" s="86">
        <f>IF(B63="","",IF(F63=0,0,IF(Sheet1!$I$10=6,'Tabla Fijos CAT'!$C$3*'Tabla Fijos CAT'!$F$5,$C$5*$F$5)))</f>
        <v>0</v>
      </c>
      <c r="L63" s="86">
        <f t="shared" si="4"/>
        <v>0</v>
      </c>
      <c r="M63" s="86"/>
      <c r="N63" s="86"/>
      <c r="O63" s="86">
        <f t="shared" ca="1" si="18"/>
        <v>10421.884210717653</v>
      </c>
      <c r="P63" s="86">
        <f t="shared" si="5"/>
        <v>924699.13866357005</v>
      </c>
      <c r="Q63" s="355">
        <f t="shared" si="6"/>
        <v>0</v>
      </c>
      <c r="R63" s="201">
        <f t="shared" si="7"/>
        <v>1815.5918252878209</v>
      </c>
      <c r="S63" s="201">
        <f t="shared" si="8"/>
        <v>8606.2923854298351</v>
      </c>
      <c r="T63" s="202">
        <f t="shared" si="9"/>
        <v>10421.884210717657</v>
      </c>
      <c r="U63" s="201">
        <f t="shared" si="10"/>
        <v>1815.5918252878182</v>
      </c>
      <c r="V63" s="201">
        <f t="shared" si="11"/>
        <v>8606.2923854298351</v>
      </c>
      <c r="W63" s="201">
        <f t="shared" si="19"/>
        <v>10421.884210717653</v>
      </c>
      <c r="X63" s="201">
        <f t="shared" si="12"/>
        <v>1815.5918252878218</v>
      </c>
      <c r="Y63" s="201">
        <f t="shared" si="13"/>
        <v>8606.2923854298351</v>
      </c>
      <c r="Z63" s="201">
        <f t="shared" si="20"/>
        <v>10421.884210717657</v>
      </c>
      <c r="AA63" s="201"/>
      <c r="AC63" s="257">
        <f t="shared" si="14"/>
        <v>10421.884210717653</v>
      </c>
    </row>
    <row r="64" spans="2:29" x14ac:dyDescent="0.3">
      <c r="B64" s="84">
        <f t="shared" si="15"/>
        <v>53</v>
      </c>
      <c r="C64" s="85">
        <f ca="1">IF($B64="","",'Fecha Pago'!K56)</f>
        <v>47759</v>
      </c>
      <c r="D64" s="86">
        <f>IF($B$12="","",'Fecha Pago'!L56)</f>
        <v>30.4</v>
      </c>
      <c r="E64" s="87">
        <f t="shared" si="1"/>
        <v>0.11</v>
      </c>
      <c r="F64" s="86">
        <f t="shared" si="2"/>
        <v>924699.13866357005</v>
      </c>
      <c r="G64" s="86">
        <f t="shared" si="16"/>
        <v>1832.456656020493</v>
      </c>
      <c r="H64" s="86">
        <f t="shared" ca="1" si="17"/>
        <v>8589.4275546971603</v>
      </c>
      <c r="I64" s="86">
        <f t="shared" si="0"/>
        <v>10421.884210717653</v>
      </c>
      <c r="J64" s="86">
        <f t="shared" si="3"/>
        <v>0</v>
      </c>
      <c r="K64" s="86">
        <f>IF(B64="","",IF(F64=0,0,IF(Sheet1!$I$10=6,'Tabla Fijos CAT'!$C$3*'Tabla Fijos CAT'!$F$5,$C$5*$F$5)))</f>
        <v>0</v>
      </c>
      <c r="L64" s="86">
        <f t="shared" si="4"/>
        <v>0</v>
      </c>
      <c r="M64" s="86"/>
      <c r="N64" s="86"/>
      <c r="O64" s="86">
        <f t="shared" ca="1" si="18"/>
        <v>10421.884210717653</v>
      </c>
      <c r="P64" s="86">
        <f t="shared" si="5"/>
        <v>922866.68200754956</v>
      </c>
      <c r="Q64" s="355">
        <f t="shared" si="6"/>
        <v>0</v>
      </c>
      <c r="R64" s="201">
        <f t="shared" si="7"/>
        <v>1832.4566560204944</v>
      </c>
      <c r="S64" s="201">
        <f t="shared" si="8"/>
        <v>8589.4275546971603</v>
      </c>
      <c r="T64" s="202">
        <f t="shared" si="9"/>
        <v>10421.884210717655</v>
      </c>
      <c r="U64" s="201">
        <f t="shared" si="10"/>
        <v>1832.456656020493</v>
      </c>
      <c r="V64" s="201">
        <f t="shared" si="11"/>
        <v>8589.4275546971603</v>
      </c>
      <c r="W64" s="201">
        <f t="shared" si="19"/>
        <v>10421.884210717653</v>
      </c>
      <c r="X64" s="201">
        <f t="shared" si="12"/>
        <v>1832.4566560204967</v>
      </c>
      <c r="Y64" s="201">
        <f t="shared" si="13"/>
        <v>8589.4275546971603</v>
      </c>
      <c r="Z64" s="201">
        <f t="shared" si="20"/>
        <v>10421.884210717657</v>
      </c>
      <c r="AA64" s="201"/>
      <c r="AC64" s="257">
        <f t="shared" si="14"/>
        <v>10421.884210717653</v>
      </c>
    </row>
    <row r="65" spans="2:29" x14ac:dyDescent="0.3">
      <c r="B65" s="84">
        <f t="shared" si="15"/>
        <v>54</v>
      </c>
      <c r="C65" s="85">
        <f ca="1">IF($B65="","",'Fecha Pago'!K57)</f>
        <v>47790</v>
      </c>
      <c r="D65" s="86">
        <f>IF($B$12="","",'Fecha Pago'!L57)</f>
        <v>30.4</v>
      </c>
      <c r="E65" s="87">
        <f t="shared" si="1"/>
        <v>0.11</v>
      </c>
      <c r="F65" s="86">
        <f t="shared" si="2"/>
        <v>922866.68200754956</v>
      </c>
      <c r="G65" s="86">
        <f t="shared" si="16"/>
        <v>1849.4781422919714</v>
      </c>
      <c r="H65" s="86">
        <f t="shared" ca="1" si="17"/>
        <v>8572.406068425682</v>
      </c>
      <c r="I65" s="86">
        <f t="shared" si="0"/>
        <v>10421.884210717653</v>
      </c>
      <c r="J65" s="86">
        <f t="shared" si="3"/>
        <v>0</v>
      </c>
      <c r="K65" s="86">
        <f>IF(B65="","",IF(F65=0,0,IF(Sheet1!$I$10=6,'Tabla Fijos CAT'!$C$3*'Tabla Fijos CAT'!$F$5,$C$5*$F$5)))</f>
        <v>0</v>
      </c>
      <c r="L65" s="86">
        <f t="shared" si="4"/>
        <v>0</v>
      </c>
      <c r="M65" s="86"/>
      <c r="N65" s="86"/>
      <c r="O65" s="86">
        <f t="shared" ca="1" si="18"/>
        <v>10421.884210717653</v>
      </c>
      <c r="P65" s="86">
        <f t="shared" si="5"/>
        <v>921017.20386525756</v>
      </c>
      <c r="Q65" s="355">
        <f t="shared" si="6"/>
        <v>0</v>
      </c>
      <c r="R65" s="201">
        <f t="shared" si="7"/>
        <v>1849.4781422919741</v>
      </c>
      <c r="S65" s="201">
        <f t="shared" si="8"/>
        <v>8572.406068425682</v>
      </c>
      <c r="T65" s="202">
        <f t="shared" si="9"/>
        <v>10421.884210717657</v>
      </c>
      <c r="U65" s="201">
        <f t="shared" si="10"/>
        <v>1849.4781422919714</v>
      </c>
      <c r="V65" s="201">
        <f t="shared" si="11"/>
        <v>8572.406068425682</v>
      </c>
      <c r="W65" s="201">
        <f t="shared" si="19"/>
        <v>10421.884210717653</v>
      </c>
      <c r="X65" s="201">
        <f t="shared" si="12"/>
        <v>1849.478142291975</v>
      </c>
      <c r="Y65" s="201">
        <f t="shared" si="13"/>
        <v>8572.406068425682</v>
      </c>
      <c r="Z65" s="201">
        <f t="shared" si="20"/>
        <v>10421.884210717657</v>
      </c>
      <c r="AA65" s="201"/>
      <c r="AC65" s="257">
        <f t="shared" si="14"/>
        <v>10421.884210717653</v>
      </c>
    </row>
    <row r="66" spans="2:29" x14ac:dyDescent="0.3">
      <c r="B66" s="84">
        <f t="shared" si="15"/>
        <v>55</v>
      </c>
      <c r="C66" s="85">
        <f ca="1">IF($B66="","",'Fecha Pago'!K58)</f>
        <v>47820</v>
      </c>
      <c r="D66" s="86">
        <f>IF($B$12="","",'Fecha Pago'!L58)</f>
        <v>30.4</v>
      </c>
      <c r="E66" s="87">
        <f t="shared" si="1"/>
        <v>0.11</v>
      </c>
      <c r="F66" s="86">
        <f t="shared" si="2"/>
        <v>921017.20386525756</v>
      </c>
      <c r="G66" s="86">
        <f t="shared" si="16"/>
        <v>1866.6577392581512</v>
      </c>
      <c r="H66" s="86">
        <f t="shared" ca="1" si="17"/>
        <v>8555.2264714595021</v>
      </c>
      <c r="I66" s="86">
        <f t="shared" si="0"/>
        <v>10421.884210717653</v>
      </c>
      <c r="J66" s="86">
        <f t="shared" si="3"/>
        <v>0</v>
      </c>
      <c r="K66" s="86">
        <f>IF(B66="","",IF(F66=0,0,IF(Sheet1!$I$10=6,'Tabla Fijos CAT'!$C$3*'Tabla Fijos CAT'!$F$5,$C$5*$F$5)))</f>
        <v>0</v>
      </c>
      <c r="L66" s="86">
        <f t="shared" si="4"/>
        <v>0</v>
      </c>
      <c r="M66" s="86"/>
      <c r="N66" s="86"/>
      <c r="O66" s="86">
        <f t="shared" ca="1" si="18"/>
        <v>10421.884210717653</v>
      </c>
      <c r="P66" s="86">
        <f t="shared" si="5"/>
        <v>919150.54612599942</v>
      </c>
      <c r="Q66" s="355">
        <f t="shared" si="6"/>
        <v>0</v>
      </c>
      <c r="R66" s="201">
        <f t="shared" si="7"/>
        <v>1866.6577392581528</v>
      </c>
      <c r="S66" s="201">
        <f t="shared" si="8"/>
        <v>8555.2264714595021</v>
      </c>
      <c r="T66" s="202">
        <f t="shared" si="9"/>
        <v>10421.884210717655</v>
      </c>
      <c r="U66" s="201">
        <f t="shared" si="10"/>
        <v>1866.6577392581512</v>
      </c>
      <c r="V66" s="201">
        <f t="shared" si="11"/>
        <v>8555.2264714595021</v>
      </c>
      <c r="W66" s="201">
        <f t="shared" si="19"/>
        <v>10421.884210717653</v>
      </c>
      <c r="X66" s="201">
        <f t="shared" si="12"/>
        <v>1866.6577392581548</v>
      </c>
      <c r="Y66" s="201">
        <f t="shared" si="13"/>
        <v>8555.2264714595021</v>
      </c>
      <c r="Z66" s="201">
        <f t="shared" si="20"/>
        <v>10421.884210717657</v>
      </c>
      <c r="AA66" s="201"/>
      <c r="AC66" s="257">
        <f t="shared" si="14"/>
        <v>10421.884210717653</v>
      </c>
    </row>
    <row r="67" spans="2:29" x14ac:dyDescent="0.3">
      <c r="B67" s="84">
        <f t="shared" si="15"/>
        <v>56</v>
      </c>
      <c r="C67" s="85">
        <f ca="1">IF($B67="","",'Fecha Pago'!K59)</f>
        <v>47851</v>
      </c>
      <c r="D67" s="86">
        <f>IF($B$12="","",'Fecha Pago'!L59)</f>
        <v>30.4</v>
      </c>
      <c r="E67" s="87">
        <f t="shared" si="1"/>
        <v>0.11</v>
      </c>
      <c r="F67" s="86">
        <f t="shared" si="2"/>
        <v>919150.54612599942</v>
      </c>
      <c r="G67" s="86">
        <f t="shared" si="16"/>
        <v>1883.9969155917042</v>
      </c>
      <c r="H67" s="86">
        <f t="shared" ca="1" si="17"/>
        <v>8537.8872951259491</v>
      </c>
      <c r="I67" s="86">
        <f t="shared" si="0"/>
        <v>10421.884210717653</v>
      </c>
      <c r="J67" s="86">
        <f t="shared" si="3"/>
        <v>0</v>
      </c>
      <c r="K67" s="86">
        <f>IF(B67="","",IF(F67=0,0,IF(Sheet1!$I$10=6,'Tabla Fijos CAT'!$C$3*'Tabla Fijos CAT'!$F$5,$C$5*$F$5)))</f>
        <v>0</v>
      </c>
      <c r="L67" s="86">
        <f t="shared" si="4"/>
        <v>0</v>
      </c>
      <c r="M67" s="86"/>
      <c r="N67" s="86"/>
      <c r="O67" s="86">
        <f t="shared" ca="1" si="18"/>
        <v>10421.884210717653</v>
      </c>
      <c r="P67" s="86">
        <f t="shared" si="5"/>
        <v>917266.54921040777</v>
      </c>
      <c r="Q67" s="355">
        <f t="shared" si="6"/>
        <v>0</v>
      </c>
      <c r="R67" s="201">
        <f t="shared" si="7"/>
        <v>1883.9969155917063</v>
      </c>
      <c r="S67" s="201">
        <f t="shared" si="8"/>
        <v>8537.8872951259491</v>
      </c>
      <c r="T67" s="202">
        <f t="shared" si="9"/>
        <v>10421.884210717655</v>
      </c>
      <c r="U67" s="201">
        <f t="shared" si="10"/>
        <v>1883.9969155917042</v>
      </c>
      <c r="V67" s="201">
        <f t="shared" si="11"/>
        <v>8537.8872951259491</v>
      </c>
      <c r="W67" s="201">
        <f t="shared" si="19"/>
        <v>10421.884210717653</v>
      </c>
      <c r="X67" s="201">
        <f t="shared" si="12"/>
        <v>1883.9969155917079</v>
      </c>
      <c r="Y67" s="201">
        <f t="shared" si="13"/>
        <v>8537.8872951259491</v>
      </c>
      <c r="Z67" s="201">
        <f t="shared" si="20"/>
        <v>10421.884210717657</v>
      </c>
      <c r="AA67" s="201"/>
      <c r="AC67" s="257">
        <f t="shared" si="14"/>
        <v>10421.884210717653</v>
      </c>
    </row>
    <row r="68" spans="2:29" x14ac:dyDescent="0.3">
      <c r="B68" s="84">
        <f t="shared" si="15"/>
        <v>57</v>
      </c>
      <c r="C68" s="85">
        <f ca="1">IF($B68="","",'Fecha Pago'!K60)</f>
        <v>47882</v>
      </c>
      <c r="D68" s="86">
        <f>IF($B$12="","",'Fecha Pago'!L60)</f>
        <v>30.4</v>
      </c>
      <c r="E68" s="87">
        <f t="shared" si="1"/>
        <v>0.11</v>
      </c>
      <c r="F68" s="86">
        <f t="shared" si="2"/>
        <v>917266.54921040777</v>
      </c>
      <c r="G68" s="86">
        <f t="shared" si="16"/>
        <v>1901.4971536076446</v>
      </c>
      <c r="H68" s="86">
        <f t="shared" ca="1" si="17"/>
        <v>8520.3870571100088</v>
      </c>
      <c r="I68" s="86">
        <f t="shared" si="0"/>
        <v>10421.884210717653</v>
      </c>
      <c r="J68" s="86">
        <f t="shared" si="3"/>
        <v>0</v>
      </c>
      <c r="K68" s="86">
        <f>IF(B68="","",IF(F68=0,0,IF(Sheet1!$I$10=6,'Tabla Fijos CAT'!$C$3*'Tabla Fijos CAT'!$F$5,$C$5*$F$5)))</f>
        <v>0</v>
      </c>
      <c r="L68" s="86">
        <f t="shared" si="4"/>
        <v>0</v>
      </c>
      <c r="M68" s="86"/>
      <c r="N68" s="86"/>
      <c r="O68" s="86">
        <f t="shared" ca="1" si="18"/>
        <v>10421.884210717653</v>
      </c>
      <c r="P68" s="86">
        <f t="shared" si="5"/>
        <v>915365.05205680011</v>
      </c>
      <c r="Q68" s="355">
        <f t="shared" si="6"/>
        <v>0</v>
      </c>
      <c r="R68" s="201">
        <f t="shared" si="7"/>
        <v>1901.4971536076466</v>
      </c>
      <c r="S68" s="201">
        <f t="shared" si="8"/>
        <v>8520.3870571100088</v>
      </c>
      <c r="T68" s="202">
        <f t="shared" si="9"/>
        <v>10421.884210717655</v>
      </c>
      <c r="U68" s="201">
        <f t="shared" si="10"/>
        <v>1901.4971536076446</v>
      </c>
      <c r="V68" s="201">
        <f t="shared" si="11"/>
        <v>8520.3870571100088</v>
      </c>
      <c r="W68" s="201">
        <f t="shared" si="19"/>
        <v>10421.884210717653</v>
      </c>
      <c r="X68" s="201">
        <f t="shared" si="12"/>
        <v>1901.4971536076482</v>
      </c>
      <c r="Y68" s="201">
        <f t="shared" si="13"/>
        <v>8520.3870571100088</v>
      </c>
      <c r="Z68" s="201">
        <f t="shared" si="20"/>
        <v>10421.884210717657</v>
      </c>
      <c r="AA68" s="201"/>
      <c r="AC68" s="257">
        <f t="shared" si="14"/>
        <v>10421.884210717653</v>
      </c>
    </row>
    <row r="69" spans="2:29" x14ac:dyDescent="0.3">
      <c r="B69" s="84">
        <f t="shared" si="15"/>
        <v>58</v>
      </c>
      <c r="C69" s="85">
        <f ca="1">IF($B69="","",'Fecha Pago'!K61)</f>
        <v>47910</v>
      </c>
      <c r="D69" s="86">
        <f>IF($B$12="","",'Fecha Pago'!L61)</f>
        <v>30.4</v>
      </c>
      <c r="E69" s="87">
        <f t="shared" si="1"/>
        <v>0.11</v>
      </c>
      <c r="F69" s="86">
        <f t="shared" si="2"/>
        <v>915365.05205680011</v>
      </c>
      <c r="G69" s="86">
        <f t="shared" si="16"/>
        <v>1919.1599493900449</v>
      </c>
      <c r="H69" s="86">
        <f t="shared" ca="1" si="17"/>
        <v>8502.7242613276085</v>
      </c>
      <c r="I69" s="86">
        <f t="shared" si="0"/>
        <v>10421.884210717653</v>
      </c>
      <c r="J69" s="86">
        <f t="shared" si="3"/>
        <v>0</v>
      </c>
      <c r="K69" s="86">
        <f>IF(B69="","",IF(F69=0,0,IF(Sheet1!$I$10=6,'Tabla Fijos CAT'!$C$3*'Tabla Fijos CAT'!$F$5,$C$5*$F$5)))</f>
        <v>0</v>
      </c>
      <c r="L69" s="86">
        <f t="shared" si="4"/>
        <v>0</v>
      </c>
      <c r="M69" s="86"/>
      <c r="N69" s="86"/>
      <c r="O69" s="86">
        <f t="shared" ca="1" si="18"/>
        <v>10421.884210717653</v>
      </c>
      <c r="P69" s="86">
        <f t="shared" si="5"/>
        <v>913445.89210741001</v>
      </c>
      <c r="Q69" s="355">
        <f t="shared" si="6"/>
        <v>0</v>
      </c>
      <c r="R69" s="201">
        <f t="shared" si="7"/>
        <v>1919.1599493900464</v>
      </c>
      <c r="S69" s="201">
        <f t="shared" si="8"/>
        <v>8502.7242613276085</v>
      </c>
      <c r="T69" s="202">
        <f t="shared" si="9"/>
        <v>10421.884210717655</v>
      </c>
      <c r="U69" s="201">
        <f t="shared" si="10"/>
        <v>1919.1599493900449</v>
      </c>
      <c r="V69" s="201">
        <f t="shared" si="11"/>
        <v>8502.7242613276085</v>
      </c>
      <c r="W69" s="201">
        <f t="shared" si="19"/>
        <v>10421.884210717653</v>
      </c>
      <c r="X69" s="201">
        <f t="shared" si="12"/>
        <v>1919.1599493900485</v>
      </c>
      <c r="Y69" s="201">
        <f t="shared" si="13"/>
        <v>8502.7242613276085</v>
      </c>
      <c r="Z69" s="201">
        <f t="shared" si="20"/>
        <v>10421.884210717657</v>
      </c>
      <c r="AA69" s="201"/>
      <c r="AC69" s="257">
        <f t="shared" si="14"/>
        <v>10421.884210717653</v>
      </c>
    </row>
    <row r="70" spans="2:29" x14ac:dyDescent="0.3">
      <c r="B70" s="84">
        <f t="shared" si="15"/>
        <v>59</v>
      </c>
      <c r="C70" s="85">
        <f ca="1">IF($B70="","",'Fecha Pago'!K62)</f>
        <v>47941</v>
      </c>
      <c r="D70" s="86">
        <f>IF($B$12="","",'Fecha Pago'!L62)</f>
        <v>30.4</v>
      </c>
      <c r="E70" s="87">
        <f t="shared" si="1"/>
        <v>0.11</v>
      </c>
      <c r="F70" s="86">
        <f t="shared" si="2"/>
        <v>913445.89210741001</v>
      </c>
      <c r="G70" s="86">
        <f t="shared" si="16"/>
        <v>1936.9868129199349</v>
      </c>
      <c r="H70" s="86">
        <f t="shared" ca="1" si="17"/>
        <v>8484.8973977977184</v>
      </c>
      <c r="I70" s="86">
        <f t="shared" si="0"/>
        <v>10421.884210717653</v>
      </c>
      <c r="J70" s="86">
        <f t="shared" si="3"/>
        <v>0</v>
      </c>
      <c r="K70" s="86">
        <f>IF(B70="","",IF(F70=0,0,IF(Sheet1!$I$10=6,'Tabla Fijos CAT'!$C$3*'Tabla Fijos CAT'!$F$5,$C$5*$F$5)))</f>
        <v>0</v>
      </c>
      <c r="L70" s="86">
        <f t="shared" si="4"/>
        <v>0</v>
      </c>
      <c r="M70" s="86"/>
      <c r="N70" s="86"/>
      <c r="O70" s="86">
        <f t="shared" ca="1" si="18"/>
        <v>10421.884210717653</v>
      </c>
      <c r="P70" s="86">
        <f t="shared" si="5"/>
        <v>911508.90529449005</v>
      </c>
      <c r="Q70" s="355">
        <f t="shared" si="6"/>
        <v>0</v>
      </c>
      <c r="R70" s="201">
        <f t="shared" si="7"/>
        <v>1936.9868129199363</v>
      </c>
      <c r="S70" s="201">
        <f t="shared" si="8"/>
        <v>8484.8973977977184</v>
      </c>
      <c r="T70" s="202">
        <f t="shared" si="9"/>
        <v>10421.884210717655</v>
      </c>
      <c r="U70" s="201">
        <f t="shared" si="10"/>
        <v>1936.9868129199349</v>
      </c>
      <c r="V70" s="201">
        <f t="shared" si="11"/>
        <v>8484.8973977977184</v>
      </c>
      <c r="W70" s="201">
        <f t="shared" si="19"/>
        <v>10421.884210717653</v>
      </c>
      <c r="X70" s="201">
        <f t="shared" si="12"/>
        <v>1936.9868129199385</v>
      </c>
      <c r="Y70" s="201">
        <f t="shared" si="13"/>
        <v>8484.8973977977184</v>
      </c>
      <c r="Z70" s="201">
        <f t="shared" si="20"/>
        <v>10421.884210717657</v>
      </c>
      <c r="AA70" s="201"/>
      <c r="AC70" s="257">
        <f t="shared" si="14"/>
        <v>10421.884210717653</v>
      </c>
    </row>
    <row r="71" spans="2:29" x14ac:dyDescent="0.3">
      <c r="B71" s="84">
        <f t="shared" si="15"/>
        <v>60</v>
      </c>
      <c r="C71" s="85">
        <f ca="1">IF($B71="","",'Fecha Pago'!K63)</f>
        <v>47971</v>
      </c>
      <c r="D71" s="86">
        <f>IF($B$12="","",'Fecha Pago'!L63)</f>
        <v>30.4</v>
      </c>
      <c r="E71" s="87">
        <f t="shared" si="1"/>
        <v>0.11</v>
      </c>
      <c r="F71" s="86">
        <f t="shared" si="2"/>
        <v>911508.90529449005</v>
      </c>
      <c r="G71" s="86">
        <f t="shared" si="16"/>
        <v>1954.9792682043917</v>
      </c>
      <c r="H71" s="86">
        <f t="shared" ca="1" si="17"/>
        <v>8466.9049425132616</v>
      </c>
      <c r="I71" s="86">
        <f t="shared" si="0"/>
        <v>10421.884210717653</v>
      </c>
      <c r="J71" s="86">
        <f t="shared" si="3"/>
        <v>0</v>
      </c>
      <c r="K71" s="86">
        <f>IF(B71="","",IF(F71=0,0,IF(Sheet1!$I$10=6,'Tabla Fijos CAT'!$C$3*'Tabla Fijos CAT'!$F$5,$C$5*$F$5)))</f>
        <v>0</v>
      </c>
      <c r="L71" s="86">
        <f t="shared" si="4"/>
        <v>0</v>
      </c>
      <c r="M71" s="86"/>
      <c r="N71" s="86"/>
      <c r="O71" s="86">
        <f t="shared" ca="1" si="18"/>
        <v>10421.884210717653</v>
      </c>
      <c r="P71" s="86">
        <f t="shared" si="5"/>
        <v>909553.92602628563</v>
      </c>
      <c r="Q71" s="355">
        <f t="shared" si="6"/>
        <v>0</v>
      </c>
      <c r="R71" s="201">
        <f t="shared" si="7"/>
        <v>1954.9792682043928</v>
      </c>
      <c r="S71" s="201">
        <f t="shared" si="8"/>
        <v>8466.9049425132616</v>
      </c>
      <c r="T71" s="202">
        <f t="shared" si="9"/>
        <v>10421.884210717655</v>
      </c>
      <c r="U71" s="201">
        <f t="shared" si="10"/>
        <v>1954.9792682043917</v>
      </c>
      <c r="V71" s="201">
        <f t="shared" si="11"/>
        <v>8466.9049425132616</v>
      </c>
      <c r="W71" s="201">
        <f t="shared" si="19"/>
        <v>10421.884210717653</v>
      </c>
      <c r="X71" s="201">
        <f t="shared" si="12"/>
        <v>1954.9792682043917</v>
      </c>
      <c r="Y71" s="201">
        <f t="shared" si="13"/>
        <v>8466.9049425132616</v>
      </c>
      <c r="Z71" s="201">
        <f t="shared" si="20"/>
        <v>10421.884210717653</v>
      </c>
      <c r="AA71" s="201"/>
      <c r="AC71" s="257">
        <f t="shared" si="14"/>
        <v>10421.884210717653</v>
      </c>
    </row>
    <row r="72" spans="2:29" x14ac:dyDescent="0.3">
      <c r="B72" s="84">
        <f t="shared" si="15"/>
        <v>61</v>
      </c>
      <c r="C72" s="85">
        <f ca="1">IF($B72="","",'Fecha Pago'!K64)</f>
        <v>48002</v>
      </c>
      <c r="D72" s="86">
        <f>IF($B$12="","",'Fecha Pago'!L64)</f>
        <v>30.4</v>
      </c>
      <c r="E72" s="87">
        <f t="shared" si="1"/>
        <v>0.11</v>
      </c>
      <c r="F72" s="86">
        <f t="shared" si="2"/>
        <v>909553.92602628563</v>
      </c>
      <c r="G72" s="86">
        <f t="shared" si="16"/>
        <v>1973.1388534068228</v>
      </c>
      <c r="H72" s="86">
        <f t="shared" ca="1" si="17"/>
        <v>8448.7453573108305</v>
      </c>
      <c r="I72" s="86">
        <f t="shared" si="0"/>
        <v>10421.884210717653</v>
      </c>
      <c r="J72" s="86">
        <f t="shared" si="3"/>
        <v>0</v>
      </c>
      <c r="K72" s="86">
        <f>IF(B72="","",IF(F72=0,0,IF(Sheet1!$I$10=6,'Tabla Fijos CAT'!$C$3*'Tabla Fijos CAT'!$F$5,$C$5*$F$5)))</f>
        <v>0</v>
      </c>
      <c r="L72" s="86">
        <f t="shared" si="4"/>
        <v>0</v>
      </c>
      <c r="M72" s="86"/>
      <c r="N72" s="86"/>
      <c r="O72" s="86">
        <f t="shared" ca="1" si="18"/>
        <v>10421.884210717653</v>
      </c>
      <c r="P72" s="86">
        <f t="shared" si="5"/>
        <v>907580.78717287886</v>
      </c>
      <c r="Q72" s="355">
        <f t="shared" si="6"/>
        <v>0</v>
      </c>
      <c r="R72" s="201">
        <f t="shared" si="7"/>
        <v>1973.1388534068249</v>
      </c>
      <c r="S72" s="201">
        <f t="shared" si="8"/>
        <v>8448.7453573108305</v>
      </c>
      <c r="T72" s="202">
        <f t="shared" si="9"/>
        <v>10421.884210717655</v>
      </c>
      <c r="U72" s="201">
        <f t="shared" si="10"/>
        <v>1973.1388534068228</v>
      </c>
      <c r="V72" s="201">
        <f t="shared" si="11"/>
        <v>8448.7453573108305</v>
      </c>
      <c r="W72" s="201">
        <f t="shared" si="19"/>
        <v>10421.884210717653</v>
      </c>
      <c r="X72" s="201">
        <f t="shared" si="12"/>
        <v>1973.1388534068228</v>
      </c>
      <c r="Y72" s="201">
        <f t="shared" si="13"/>
        <v>8448.7453573108305</v>
      </c>
      <c r="Z72" s="201">
        <f t="shared" si="20"/>
        <v>10421.884210717653</v>
      </c>
      <c r="AA72" s="201"/>
      <c r="AC72" s="257">
        <f t="shared" si="14"/>
        <v>10421.884210717653</v>
      </c>
    </row>
    <row r="73" spans="2:29" x14ac:dyDescent="0.3">
      <c r="B73" s="84">
        <f t="shared" si="15"/>
        <v>62</v>
      </c>
      <c r="C73" s="85">
        <f ca="1">IF($B73="","",'Fecha Pago'!K65)</f>
        <v>48032</v>
      </c>
      <c r="D73" s="86">
        <f>IF($B$12="","",'Fecha Pago'!L65)</f>
        <v>30.4</v>
      </c>
      <c r="E73" s="87">
        <f t="shared" si="1"/>
        <v>0.11</v>
      </c>
      <c r="F73" s="86">
        <f t="shared" si="2"/>
        <v>907580.78717287886</v>
      </c>
      <c r="G73" s="86">
        <f t="shared" si="16"/>
        <v>1991.4671209784683</v>
      </c>
      <c r="H73" s="86">
        <f t="shared" ca="1" si="17"/>
        <v>8430.417089739185</v>
      </c>
      <c r="I73" s="86">
        <f t="shared" si="0"/>
        <v>10421.884210717653</v>
      </c>
      <c r="J73" s="86">
        <f t="shared" si="3"/>
        <v>0</v>
      </c>
      <c r="K73" s="86">
        <f>IF(B73="","",IF(F73=0,0,IF(Sheet1!$I$10=6,'Tabla Fijos CAT'!$C$3*'Tabla Fijos CAT'!$F$5,$C$5*$F$5)))</f>
        <v>0</v>
      </c>
      <c r="L73" s="86">
        <f t="shared" si="4"/>
        <v>0</v>
      </c>
      <c r="M73" s="86"/>
      <c r="N73" s="86"/>
      <c r="O73" s="86">
        <f t="shared" ca="1" si="18"/>
        <v>10421.884210717653</v>
      </c>
      <c r="P73" s="86">
        <f t="shared" si="5"/>
        <v>905589.32005190034</v>
      </c>
      <c r="Q73" s="355">
        <f t="shared" si="6"/>
        <v>0</v>
      </c>
      <c r="R73" s="201">
        <f t="shared" si="7"/>
        <v>1991.4671209784706</v>
      </c>
      <c r="S73" s="201">
        <f t="shared" si="8"/>
        <v>8430.417089739185</v>
      </c>
      <c r="T73" s="202">
        <f t="shared" si="9"/>
        <v>10421.884210717655</v>
      </c>
      <c r="U73" s="201">
        <f t="shared" si="10"/>
        <v>1991.4671209784683</v>
      </c>
      <c r="V73" s="201">
        <f t="shared" si="11"/>
        <v>8430.417089739185</v>
      </c>
      <c r="W73" s="201">
        <f t="shared" si="19"/>
        <v>10421.884210717653</v>
      </c>
      <c r="X73" s="201">
        <f t="shared" si="12"/>
        <v>1991.4671209784719</v>
      </c>
      <c r="Y73" s="201">
        <f t="shared" si="13"/>
        <v>8430.417089739185</v>
      </c>
      <c r="Z73" s="201">
        <f t="shared" si="20"/>
        <v>10421.884210717657</v>
      </c>
      <c r="AA73" s="201"/>
      <c r="AC73" s="257">
        <f t="shared" si="14"/>
        <v>10421.884210717653</v>
      </c>
    </row>
    <row r="74" spans="2:29" x14ac:dyDescent="0.3">
      <c r="B74" s="84">
        <f t="shared" si="15"/>
        <v>63</v>
      </c>
      <c r="C74" s="85">
        <f ca="1">IF($B74="","",'Fecha Pago'!K66)</f>
        <v>48063</v>
      </c>
      <c r="D74" s="86">
        <f>IF($B$12="","",'Fecha Pago'!L66)</f>
        <v>30.4</v>
      </c>
      <c r="E74" s="87">
        <f t="shared" si="1"/>
        <v>0.11</v>
      </c>
      <c r="F74" s="86">
        <f t="shared" si="2"/>
        <v>905589.32005190034</v>
      </c>
      <c r="G74" s="86">
        <f t="shared" si="16"/>
        <v>2009.9656377911124</v>
      </c>
      <c r="H74" s="86">
        <f t="shared" ca="1" si="17"/>
        <v>8411.9185729265409</v>
      </c>
      <c r="I74" s="86">
        <f t="shared" si="0"/>
        <v>10421.884210717653</v>
      </c>
      <c r="J74" s="86">
        <f t="shared" si="3"/>
        <v>0</v>
      </c>
      <c r="K74" s="86">
        <f>IF(B74="","",IF(F74=0,0,IF(Sheet1!$I$10=6,'Tabla Fijos CAT'!$C$3*'Tabla Fijos CAT'!$F$5,$C$5*$F$5)))</f>
        <v>0</v>
      </c>
      <c r="L74" s="86">
        <f t="shared" si="4"/>
        <v>0</v>
      </c>
      <c r="M74" s="86"/>
      <c r="N74" s="86"/>
      <c r="O74" s="86">
        <f t="shared" ca="1" si="18"/>
        <v>10421.884210717653</v>
      </c>
      <c r="P74" s="86">
        <f t="shared" si="5"/>
        <v>903579.35441410926</v>
      </c>
      <c r="Q74" s="355">
        <f t="shared" si="6"/>
        <v>0</v>
      </c>
      <c r="R74" s="201">
        <f t="shared" si="7"/>
        <v>2009.9656377911151</v>
      </c>
      <c r="S74" s="201">
        <f t="shared" si="8"/>
        <v>8411.9185729265409</v>
      </c>
      <c r="T74" s="202">
        <f t="shared" si="9"/>
        <v>10421.884210717657</v>
      </c>
      <c r="U74" s="201">
        <f t="shared" si="10"/>
        <v>2009.9656377911124</v>
      </c>
      <c r="V74" s="201">
        <f t="shared" si="11"/>
        <v>8411.9185729265409</v>
      </c>
      <c r="W74" s="201">
        <f t="shared" si="19"/>
        <v>10421.884210717653</v>
      </c>
      <c r="X74" s="201">
        <f t="shared" si="12"/>
        <v>2009.965637791116</v>
      </c>
      <c r="Y74" s="201">
        <f t="shared" si="13"/>
        <v>8411.9185729265409</v>
      </c>
      <c r="Z74" s="201">
        <f t="shared" si="20"/>
        <v>10421.884210717657</v>
      </c>
      <c r="AA74" s="201"/>
      <c r="AC74" s="257">
        <f t="shared" si="14"/>
        <v>10421.884210717653</v>
      </c>
    </row>
    <row r="75" spans="2:29" x14ac:dyDescent="0.3">
      <c r="B75" s="84">
        <f t="shared" si="15"/>
        <v>64</v>
      </c>
      <c r="C75" s="85">
        <f ca="1">IF($B75="","",'Fecha Pago'!K67)</f>
        <v>48094</v>
      </c>
      <c r="D75" s="86">
        <f>IF($B$12="","",'Fecha Pago'!L67)</f>
        <v>30.4</v>
      </c>
      <c r="E75" s="87">
        <f t="shared" si="1"/>
        <v>0.11</v>
      </c>
      <c r="F75" s="86">
        <f t="shared" si="2"/>
        <v>903579.35441410926</v>
      </c>
      <c r="G75" s="86">
        <f t="shared" si="16"/>
        <v>2028.6359852710393</v>
      </c>
      <c r="H75" s="86">
        <f t="shared" ca="1" si="17"/>
        <v>8393.248225446614</v>
      </c>
      <c r="I75" s="86">
        <f t="shared" si="0"/>
        <v>10421.884210717653</v>
      </c>
      <c r="J75" s="86">
        <f t="shared" si="3"/>
        <v>0</v>
      </c>
      <c r="K75" s="86">
        <f>IF(B75="","",IF(F75=0,0,IF(Sheet1!$I$10=6,'Tabla Fijos CAT'!$C$3*'Tabla Fijos CAT'!$F$5,$C$5*$F$5)))</f>
        <v>0</v>
      </c>
      <c r="L75" s="86">
        <f t="shared" si="4"/>
        <v>0</v>
      </c>
      <c r="M75" s="86"/>
      <c r="N75" s="86"/>
      <c r="O75" s="86">
        <f t="shared" ca="1" si="18"/>
        <v>10421.884210717653</v>
      </c>
      <c r="P75" s="86">
        <f t="shared" si="5"/>
        <v>901550.71842883818</v>
      </c>
      <c r="Q75" s="355">
        <f t="shared" si="6"/>
        <v>0</v>
      </c>
      <c r="R75" s="201">
        <f t="shared" si="7"/>
        <v>2028.6359852710411</v>
      </c>
      <c r="S75" s="201">
        <f t="shared" si="8"/>
        <v>8393.248225446614</v>
      </c>
      <c r="T75" s="202">
        <f t="shared" si="9"/>
        <v>10421.884210717655</v>
      </c>
      <c r="U75" s="201">
        <f t="shared" si="10"/>
        <v>2028.6359852710393</v>
      </c>
      <c r="V75" s="201">
        <f t="shared" si="11"/>
        <v>8393.248225446614</v>
      </c>
      <c r="W75" s="201">
        <f t="shared" si="19"/>
        <v>10421.884210717653</v>
      </c>
      <c r="X75" s="201">
        <f t="shared" si="12"/>
        <v>2028.635985271043</v>
      </c>
      <c r="Y75" s="201">
        <f t="shared" si="13"/>
        <v>8393.248225446614</v>
      </c>
      <c r="Z75" s="201">
        <f t="shared" si="20"/>
        <v>10421.884210717657</v>
      </c>
      <c r="AA75" s="201"/>
      <c r="AC75" s="257">
        <f t="shared" si="14"/>
        <v>10421.884210717653</v>
      </c>
    </row>
    <row r="76" spans="2:29" x14ac:dyDescent="0.3">
      <c r="B76" s="84">
        <f t="shared" si="15"/>
        <v>65</v>
      </c>
      <c r="C76" s="85">
        <f ca="1">IF($B76="","",'Fecha Pago'!K68)</f>
        <v>48124</v>
      </c>
      <c r="D76" s="86">
        <f>IF($B$12="","",'Fecha Pago'!L68)</f>
        <v>30.4</v>
      </c>
      <c r="E76" s="87">
        <f t="shared" si="1"/>
        <v>0.11</v>
      </c>
      <c r="F76" s="86">
        <f t="shared" si="2"/>
        <v>901550.71842883818</v>
      </c>
      <c r="G76" s="86">
        <f t="shared" si="16"/>
        <v>2047.4797595342243</v>
      </c>
      <c r="H76" s="86">
        <f t="shared" ca="1" si="17"/>
        <v>8374.404451183429</v>
      </c>
      <c r="I76" s="86">
        <f t="shared" si="0"/>
        <v>10421.884210717653</v>
      </c>
      <c r="J76" s="86">
        <f t="shared" si="3"/>
        <v>0</v>
      </c>
      <c r="K76" s="86">
        <f>IF(B76="","",IF(F76=0,0,IF(Sheet1!$I$10=6,'Tabla Fijos CAT'!$C$3*'Tabla Fijos CAT'!$F$5,$C$5*$F$5)))</f>
        <v>0</v>
      </c>
      <c r="L76" s="86">
        <f t="shared" si="4"/>
        <v>0</v>
      </c>
      <c r="M76" s="86"/>
      <c r="N76" s="86"/>
      <c r="O76" s="86">
        <f t="shared" ca="1" si="18"/>
        <v>10421.884210717653</v>
      </c>
      <c r="P76" s="86">
        <f t="shared" si="5"/>
        <v>899503.23866930394</v>
      </c>
      <c r="Q76" s="355">
        <f t="shared" si="6"/>
        <v>0</v>
      </c>
      <c r="R76" s="201">
        <f t="shared" si="7"/>
        <v>2047.4797595342254</v>
      </c>
      <c r="S76" s="201">
        <f t="shared" si="8"/>
        <v>8374.404451183429</v>
      </c>
      <c r="T76" s="202">
        <f t="shared" si="9"/>
        <v>10421.884210717655</v>
      </c>
      <c r="U76" s="201">
        <f t="shared" si="10"/>
        <v>2047.4797595342243</v>
      </c>
      <c r="V76" s="201">
        <f t="shared" si="11"/>
        <v>8374.404451183429</v>
      </c>
      <c r="W76" s="201">
        <f t="shared" si="19"/>
        <v>10421.884210717653</v>
      </c>
      <c r="X76" s="201">
        <f t="shared" si="12"/>
        <v>2047.4797595342279</v>
      </c>
      <c r="Y76" s="201">
        <f t="shared" si="13"/>
        <v>8374.404451183429</v>
      </c>
      <c r="Z76" s="201">
        <f t="shared" si="20"/>
        <v>10421.884210717657</v>
      </c>
      <c r="AA76" s="201"/>
      <c r="AC76" s="257">
        <f t="shared" si="14"/>
        <v>10421.884210717653</v>
      </c>
    </row>
    <row r="77" spans="2:29" x14ac:dyDescent="0.3">
      <c r="B77" s="84">
        <f t="shared" si="15"/>
        <v>66</v>
      </c>
      <c r="C77" s="85">
        <f ca="1">IF($B77="","",'Fecha Pago'!K69)</f>
        <v>48155</v>
      </c>
      <c r="D77" s="86">
        <f>IF($B$12="","",'Fecha Pago'!L69)</f>
        <v>30.4</v>
      </c>
      <c r="E77" s="87">
        <f t="shared" ref="E77:E140" si="21">IF(B77="","",$F$2)</f>
        <v>0.11</v>
      </c>
      <c r="F77" s="86">
        <f t="shared" ref="F77:F140" si="22">IF(B77="","",IF(P76&lt;0,0,F76-G76))</f>
        <v>899503.23866930394</v>
      </c>
      <c r="G77" s="86">
        <f t="shared" si="16"/>
        <v>2066.4985715227867</v>
      </c>
      <c r="H77" s="86">
        <f t="shared" ca="1" si="17"/>
        <v>8355.3856391948666</v>
      </c>
      <c r="I77" s="86">
        <f t="shared" ref="I77:I140" si="23">IF(D77="","",IF(F77=G77,G77+H77,IF($P$7=$X$10,Z77,IF($P$7=$U$10,W77,IF($P$7=$R$10,T77,)))))</f>
        <v>10421.884210717653</v>
      </c>
      <c r="J77" s="86">
        <f t="shared" ref="J77:J140" si="24">IF(B77="","",IF($F$3="",0,$F$4*F77))</f>
        <v>0</v>
      </c>
      <c r="K77" s="86">
        <f>IF(B77="","",IF(F77=0,0,IF(Sheet1!$I$10=6,'Tabla Fijos CAT'!$C$3*'Tabla Fijos CAT'!$F$5,$C$5*$F$5)))</f>
        <v>0</v>
      </c>
      <c r="L77" s="86">
        <f t="shared" ref="L77:L140" si="25">IF(B77="","",IF(F77=0,0,$I$4))</f>
        <v>0</v>
      </c>
      <c r="M77" s="86"/>
      <c r="N77" s="86"/>
      <c r="O77" s="86">
        <f t="shared" ca="1" si="18"/>
        <v>10421.884210717653</v>
      </c>
      <c r="P77" s="86">
        <f t="shared" ref="P77:P140" si="26">IF(B77="","",F77-G77)</f>
        <v>897436.74009778118</v>
      </c>
      <c r="Q77" s="355">
        <f t="shared" ref="Q77:Q140" si="27">IF(B77="","",F77*($F$4/12/1000))</f>
        <v>0</v>
      </c>
      <c r="R77" s="201">
        <f t="shared" ref="R77:R140" si="28">PPMT(E77/360*30.4,B77,$C$4,-$P$11)</f>
        <v>2066.4985715227876</v>
      </c>
      <c r="S77" s="201">
        <f t="shared" ref="S77:S140" si="29">(E77/360*D77)*F77</f>
        <v>8355.3856391948666</v>
      </c>
      <c r="T77" s="202">
        <f t="shared" ref="T77:T140" si="30">R77+S77</f>
        <v>10421.884210717653</v>
      </c>
      <c r="U77" s="201">
        <f t="shared" ref="U77:U140" si="31">W77-V77</f>
        <v>2066.4985715227867</v>
      </c>
      <c r="V77" s="201">
        <f t="shared" ref="V77:V140" si="32">(E77/360*D77)*F77</f>
        <v>8355.3856391948666</v>
      </c>
      <c r="W77" s="201">
        <f t="shared" si="19"/>
        <v>10421.884210717653</v>
      </c>
      <c r="X77" s="201">
        <f t="shared" ref="X77:X140" si="33">Z77-Y77</f>
        <v>2066.4985715227904</v>
      </c>
      <c r="Y77" s="201">
        <f t="shared" ref="Y77:Y140" si="34">(E77/360*D77)*F77</f>
        <v>8355.3856391948666</v>
      </c>
      <c r="Z77" s="201">
        <f t="shared" si="20"/>
        <v>10421.884210717657</v>
      </c>
      <c r="AA77" s="201"/>
      <c r="AC77" s="257">
        <f t="shared" ref="AC77:AC140" si="35">IF(B77="","",I77+J77+(K77/1.16)+L77+N77)</f>
        <v>10421.884210717653</v>
      </c>
    </row>
    <row r="78" spans="2:29" x14ac:dyDescent="0.3">
      <c r="B78" s="84">
        <f t="shared" ref="B78:B141" si="36">IF(B77="","",IF(B77=$C$4,"",B77+1))</f>
        <v>67</v>
      </c>
      <c r="C78" s="85">
        <f ca="1">IF($B78="","",'Fecha Pago'!K70)</f>
        <v>48185</v>
      </c>
      <c r="D78" s="86">
        <f>IF($B$12="","",'Fecha Pago'!L70)</f>
        <v>30.4</v>
      </c>
      <c r="E78" s="87">
        <f t="shared" si="21"/>
        <v>0.11</v>
      </c>
      <c r="F78" s="86">
        <f t="shared" si="22"/>
        <v>897436.74009778118</v>
      </c>
      <c r="G78" s="86">
        <f t="shared" ref="G78:G141" si="37">IF(B78="","",IF(F78&lt;=G77,F78,IF($P$7=$X$10,X78,IF($P$7=$U$10,U78,IF($P$7=$R$10,R78,)))))+N78</f>
        <v>2085.6940471427097</v>
      </c>
      <c r="H78" s="86">
        <f t="shared" ref="H78:H141" ca="1" si="38">IF(C78="","",IF($P$7=$X$10,Y78,IF($P$7=$U$10,V78,IF($P$7=$R$10,S78,))))</f>
        <v>8336.1901635749437</v>
      </c>
      <c r="I78" s="86">
        <f t="shared" si="23"/>
        <v>10421.884210717653</v>
      </c>
      <c r="J78" s="86">
        <f t="shared" si="24"/>
        <v>0</v>
      </c>
      <c r="K78" s="86">
        <f>IF(B78="","",IF(F78=0,0,IF(Sheet1!$I$10=6,'Tabla Fijos CAT'!$C$3*'Tabla Fijos CAT'!$F$5,$C$5*$F$5)))</f>
        <v>0</v>
      </c>
      <c r="L78" s="86">
        <f t="shared" si="25"/>
        <v>0</v>
      </c>
      <c r="M78" s="86"/>
      <c r="N78" s="86"/>
      <c r="O78" s="86">
        <f t="shared" ref="O78:O141" ca="1" si="39">IF(B78="","",G78+H78+J78+K78+L78)</f>
        <v>10421.884210717653</v>
      </c>
      <c r="P78" s="86">
        <f t="shared" si="26"/>
        <v>895351.04605063843</v>
      </c>
      <c r="Q78" s="355">
        <f t="shared" si="27"/>
        <v>0</v>
      </c>
      <c r="R78" s="201">
        <f t="shared" si="28"/>
        <v>2085.6940471427106</v>
      </c>
      <c r="S78" s="201">
        <f t="shared" si="29"/>
        <v>8336.1901635749437</v>
      </c>
      <c r="T78" s="202">
        <f t="shared" si="30"/>
        <v>10421.884210717653</v>
      </c>
      <c r="U78" s="201">
        <f t="shared" si="31"/>
        <v>2085.6940471427097</v>
      </c>
      <c r="V78" s="201">
        <f t="shared" si="32"/>
        <v>8336.1901635749437</v>
      </c>
      <c r="W78" s="201">
        <f t="shared" ref="W78:W141" si="40">PMT($F$2/360*30.4,$C$4,-$C$3)</f>
        <v>10421.884210717653</v>
      </c>
      <c r="X78" s="201">
        <f t="shared" si="33"/>
        <v>2085.6940471427097</v>
      </c>
      <c r="Y78" s="201">
        <f t="shared" si="34"/>
        <v>8336.1901635749437</v>
      </c>
      <c r="Z78" s="201">
        <f t="shared" ref="Z78:Z141" si="41">PMT($F$2/360*30.4,$C$4-B77,-P77)</f>
        <v>10421.884210717653</v>
      </c>
      <c r="AA78" s="201"/>
      <c r="AC78" s="257">
        <f t="shared" si="35"/>
        <v>10421.884210717653</v>
      </c>
    </row>
    <row r="79" spans="2:29" x14ac:dyDescent="0.3">
      <c r="B79" s="84">
        <f t="shared" si="36"/>
        <v>68</v>
      </c>
      <c r="C79" s="85">
        <f ca="1">IF($B79="","",'Fecha Pago'!K71)</f>
        <v>48216</v>
      </c>
      <c r="D79" s="86">
        <f>IF($B$12="","",'Fecha Pago'!L71)</f>
        <v>30.4</v>
      </c>
      <c r="E79" s="87">
        <f t="shared" si="21"/>
        <v>0.11</v>
      </c>
      <c r="F79" s="86">
        <f t="shared" si="22"/>
        <v>895351.04605063843</v>
      </c>
      <c r="G79" s="86">
        <f t="shared" si="37"/>
        <v>2105.0678274028342</v>
      </c>
      <c r="H79" s="86">
        <f t="shared" ca="1" si="38"/>
        <v>8316.8163833148192</v>
      </c>
      <c r="I79" s="86">
        <f t="shared" si="23"/>
        <v>10421.884210717653</v>
      </c>
      <c r="J79" s="86">
        <f t="shared" si="24"/>
        <v>0</v>
      </c>
      <c r="K79" s="86">
        <f>IF(B79="","",IF(F79=0,0,IF(Sheet1!$I$10=6,'Tabla Fijos CAT'!$C$3*'Tabla Fijos CAT'!$F$5,$C$5*$F$5)))</f>
        <v>0</v>
      </c>
      <c r="L79" s="86">
        <f t="shared" si="25"/>
        <v>0</v>
      </c>
      <c r="M79" s="86"/>
      <c r="N79" s="86"/>
      <c r="O79" s="86">
        <f t="shared" ca="1" si="39"/>
        <v>10421.884210717653</v>
      </c>
      <c r="P79" s="86">
        <f t="shared" si="26"/>
        <v>893245.97822323558</v>
      </c>
      <c r="Q79" s="355">
        <f t="shared" si="27"/>
        <v>0</v>
      </c>
      <c r="R79" s="201">
        <f t="shared" si="28"/>
        <v>2105.067827402836</v>
      </c>
      <c r="S79" s="201">
        <f t="shared" si="29"/>
        <v>8316.8163833148192</v>
      </c>
      <c r="T79" s="202">
        <f t="shared" si="30"/>
        <v>10421.884210717655</v>
      </c>
      <c r="U79" s="201">
        <f t="shared" si="31"/>
        <v>2105.0678274028342</v>
      </c>
      <c r="V79" s="201">
        <f t="shared" si="32"/>
        <v>8316.8163833148192</v>
      </c>
      <c r="W79" s="201">
        <f t="shared" si="40"/>
        <v>10421.884210717653</v>
      </c>
      <c r="X79" s="201">
        <f t="shared" si="33"/>
        <v>2105.0678274028378</v>
      </c>
      <c r="Y79" s="201">
        <f t="shared" si="34"/>
        <v>8316.8163833148192</v>
      </c>
      <c r="Z79" s="201">
        <f t="shared" si="41"/>
        <v>10421.884210717657</v>
      </c>
      <c r="AA79" s="201"/>
      <c r="AC79" s="257">
        <f t="shared" si="35"/>
        <v>10421.884210717653</v>
      </c>
    </row>
    <row r="80" spans="2:29" x14ac:dyDescent="0.3">
      <c r="B80" s="84">
        <f t="shared" si="36"/>
        <v>69</v>
      </c>
      <c r="C80" s="85">
        <f ca="1">IF($B80="","",'Fecha Pago'!K72)</f>
        <v>48247</v>
      </c>
      <c r="D80" s="86">
        <f>IF($B$12="","",'Fecha Pago'!L72)</f>
        <v>30.4</v>
      </c>
      <c r="E80" s="87">
        <f t="shared" si="21"/>
        <v>0.11</v>
      </c>
      <c r="F80" s="86">
        <f t="shared" si="22"/>
        <v>893245.97822323558</v>
      </c>
      <c r="G80" s="86">
        <f t="shared" si="37"/>
        <v>2124.6215685551542</v>
      </c>
      <c r="H80" s="86">
        <f t="shared" ca="1" si="38"/>
        <v>8297.2626421624991</v>
      </c>
      <c r="I80" s="86">
        <f t="shared" si="23"/>
        <v>10421.884210717653</v>
      </c>
      <c r="J80" s="86">
        <f t="shared" si="24"/>
        <v>0</v>
      </c>
      <c r="K80" s="86">
        <f>IF(B80="","",IF(F80=0,0,IF(Sheet1!$I$10=6,'Tabla Fijos CAT'!$C$3*'Tabla Fijos CAT'!$F$5,$C$5*$F$5)))</f>
        <v>0</v>
      </c>
      <c r="L80" s="86">
        <f t="shared" si="25"/>
        <v>0</v>
      </c>
      <c r="M80" s="86"/>
      <c r="N80" s="86"/>
      <c r="O80" s="86">
        <f t="shared" ca="1" si="39"/>
        <v>10421.884210717653</v>
      </c>
      <c r="P80" s="86">
        <f t="shared" si="26"/>
        <v>891121.35665468045</v>
      </c>
      <c r="Q80" s="355">
        <f t="shared" si="27"/>
        <v>0</v>
      </c>
      <c r="R80" s="201">
        <f t="shared" si="28"/>
        <v>2124.621568555156</v>
      </c>
      <c r="S80" s="201">
        <f t="shared" si="29"/>
        <v>8297.2626421624991</v>
      </c>
      <c r="T80" s="202">
        <f t="shared" si="30"/>
        <v>10421.884210717655</v>
      </c>
      <c r="U80" s="201">
        <f t="shared" si="31"/>
        <v>2124.6215685551542</v>
      </c>
      <c r="V80" s="201">
        <f t="shared" si="32"/>
        <v>8297.2626421624991</v>
      </c>
      <c r="W80" s="201">
        <f t="shared" si="40"/>
        <v>10421.884210717653</v>
      </c>
      <c r="X80" s="201">
        <f t="shared" si="33"/>
        <v>2124.6215685551542</v>
      </c>
      <c r="Y80" s="201">
        <f t="shared" si="34"/>
        <v>8297.2626421624991</v>
      </c>
      <c r="Z80" s="201">
        <f t="shared" si="41"/>
        <v>10421.884210717653</v>
      </c>
      <c r="AA80" s="201"/>
      <c r="AC80" s="257">
        <f t="shared" si="35"/>
        <v>10421.884210717653</v>
      </c>
    </row>
    <row r="81" spans="2:29" x14ac:dyDescent="0.3">
      <c r="B81" s="84">
        <f t="shared" si="36"/>
        <v>70</v>
      </c>
      <c r="C81" s="85">
        <f ca="1">IF($B81="","",'Fecha Pago'!K73)</f>
        <v>48276</v>
      </c>
      <c r="D81" s="86">
        <f>IF($B$12="","",'Fecha Pago'!L73)</f>
        <v>30.4</v>
      </c>
      <c r="E81" s="87">
        <f t="shared" si="21"/>
        <v>0.11</v>
      </c>
      <c r="F81" s="86">
        <f t="shared" si="22"/>
        <v>891121.35665468045</v>
      </c>
      <c r="G81" s="86">
        <f t="shared" si="37"/>
        <v>2144.3569422363998</v>
      </c>
      <c r="H81" s="86">
        <f t="shared" ca="1" si="38"/>
        <v>8277.5272684812535</v>
      </c>
      <c r="I81" s="86">
        <f t="shared" si="23"/>
        <v>10421.884210717653</v>
      </c>
      <c r="J81" s="86">
        <f t="shared" si="24"/>
        <v>0</v>
      </c>
      <c r="K81" s="86">
        <f>IF(B81="","",IF(F81=0,0,IF(Sheet1!$I$10=6,'Tabla Fijos CAT'!$C$3*'Tabla Fijos CAT'!$F$5,$C$5*$F$5)))</f>
        <v>0</v>
      </c>
      <c r="L81" s="86">
        <f t="shared" si="25"/>
        <v>0</v>
      </c>
      <c r="M81" s="86"/>
      <c r="N81" s="86"/>
      <c r="O81" s="86">
        <f t="shared" ca="1" si="39"/>
        <v>10421.884210717653</v>
      </c>
      <c r="P81" s="86">
        <f t="shared" si="26"/>
        <v>888976.99971244403</v>
      </c>
      <c r="Q81" s="355">
        <f t="shared" si="27"/>
        <v>0</v>
      </c>
      <c r="R81" s="201">
        <f t="shared" si="28"/>
        <v>2144.3569422364017</v>
      </c>
      <c r="S81" s="201">
        <f t="shared" si="29"/>
        <v>8277.5272684812535</v>
      </c>
      <c r="T81" s="202">
        <f t="shared" si="30"/>
        <v>10421.884210717655</v>
      </c>
      <c r="U81" s="201">
        <f t="shared" si="31"/>
        <v>2144.3569422363998</v>
      </c>
      <c r="V81" s="201">
        <f t="shared" si="32"/>
        <v>8277.5272684812535</v>
      </c>
      <c r="W81" s="201">
        <f t="shared" si="40"/>
        <v>10421.884210717653</v>
      </c>
      <c r="X81" s="201">
        <f t="shared" si="33"/>
        <v>2144.3569422364035</v>
      </c>
      <c r="Y81" s="201">
        <f t="shared" si="34"/>
        <v>8277.5272684812535</v>
      </c>
      <c r="Z81" s="201">
        <f t="shared" si="41"/>
        <v>10421.884210717657</v>
      </c>
      <c r="AA81" s="201"/>
      <c r="AC81" s="257">
        <f t="shared" si="35"/>
        <v>10421.884210717653</v>
      </c>
    </row>
    <row r="82" spans="2:29" x14ac:dyDescent="0.3">
      <c r="B82" s="84">
        <f t="shared" si="36"/>
        <v>71</v>
      </c>
      <c r="C82" s="85">
        <f ca="1">IF($B82="","",'Fecha Pago'!K74)</f>
        <v>48307</v>
      </c>
      <c r="D82" s="86">
        <f>IF($B$12="","",'Fecha Pago'!L74)</f>
        <v>30.4</v>
      </c>
      <c r="E82" s="87">
        <f t="shared" si="21"/>
        <v>0.11</v>
      </c>
      <c r="F82" s="86">
        <f t="shared" si="22"/>
        <v>888976.99971244403</v>
      </c>
      <c r="G82" s="86">
        <f t="shared" si="37"/>
        <v>2164.2756356109512</v>
      </c>
      <c r="H82" s="86">
        <f t="shared" ca="1" si="38"/>
        <v>8257.6085751067021</v>
      </c>
      <c r="I82" s="86">
        <f t="shared" si="23"/>
        <v>10421.884210717653</v>
      </c>
      <c r="J82" s="86">
        <f t="shared" si="24"/>
        <v>0</v>
      </c>
      <c r="K82" s="86">
        <f>IF(B82="","",IF(F82=0,0,IF(Sheet1!$I$10=6,'Tabla Fijos CAT'!$C$3*'Tabla Fijos CAT'!$F$5,$C$5*$F$5)))</f>
        <v>0</v>
      </c>
      <c r="L82" s="86">
        <f t="shared" si="25"/>
        <v>0</v>
      </c>
      <c r="M82" s="86"/>
      <c r="N82" s="86"/>
      <c r="O82" s="86">
        <f t="shared" ca="1" si="39"/>
        <v>10421.884210717653</v>
      </c>
      <c r="P82" s="86">
        <f t="shared" si="26"/>
        <v>886812.72407683311</v>
      </c>
      <c r="Q82" s="355">
        <f t="shared" si="27"/>
        <v>0</v>
      </c>
      <c r="R82" s="201">
        <f t="shared" si="28"/>
        <v>2164.2756356109535</v>
      </c>
      <c r="S82" s="201">
        <f t="shared" si="29"/>
        <v>8257.6085751067021</v>
      </c>
      <c r="T82" s="202">
        <f t="shared" si="30"/>
        <v>10421.884210717655</v>
      </c>
      <c r="U82" s="201">
        <f t="shared" si="31"/>
        <v>2164.2756356109512</v>
      </c>
      <c r="V82" s="201">
        <f t="shared" si="32"/>
        <v>8257.6085751067021</v>
      </c>
      <c r="W82" s="201">
        <f t="shared" si="40"/>
        <v>10421.884210717653</v>
      </c>
      <c r="X82" s="201">
        <f t="shared" si="33"/>
        <v>2164.2756356109549</v>
      </c>
      <c r="Y82" s="201">
        <f t="shared" si="34"/>
        <v>8257.6085751067021</v>
      </c>
      <c r="Z82" s="201">
        <f t="shared" si="41"/>
        <v>10421.884210717657</v>
      </c>
      <c r="AA82" s="201"/>
      <c r="AC82" s="257">
        <f t="shared" si="35"/>
        <v>10421.884210717653</v>
      </c>
    </row>
    <row r="83" spans="2:29" x14ac:dyDescent="0.3">
      <c r="B83" s="84">
        <f t="shared" si="36"/>
        <v>72</v>
      </c>
      <c r="C83" s="85">
        <f ca="1">IF($B83="","",'Fecha Pago'!K75)</f>
        <v>48337</v>
      </c>
      <c r="D83" s="86">
        <f>IF($B$12="","",'Fecha Pago'!L75)</f>
        <v>30.4</v>
      </c>
      <c r="E83" s="87">
        <f t="shared" si="21"/>
        <v>0.11</v>
      </c>
      <c r="F83" s="86">
        <f t="shared" si="22"/>
        <v>886812.72407683311</v>
      </c>
      <c r="G83" s="86">
        <f t="shared" si="37"/>
        <v>2184.3793515150701</v>
      </c>
      <c r="H83" s="86">
        <f t="shared" ca="1" si="38"/>
        <v>8237.5048592025832</v>
      </c>
      <c r="I83" s="86">
        <f t="shared" si="23"/>
        <v>10421.884210717653</v>
      </c>
      <c r="J83" s="86">
        <f t="shared" si="24"/>
        <v>0</v>
      </c>
      <c r="K83" s="86">
        <f>IF(B83="","",IF(F83=0,0,IF(Sheet1!$I$10=6,'Tabla Fijos CAT'!$C$3*'Tabla Fijos CAT'!$F$5,$C$5*$F$5)))</f>
        <v>0</v>
      </c>
      <c r="L83" s="86">
        <f t="shared" si="25"/>
        <v>0</v>
      </c>
      <c r="M83" s="86"/>
      <c r="N83" s="86"/>
      <c r="O83" s="86">
        <f t="shared" ca="1" si="39"/>
        <v>10421.884210717653</v>
      </c>
      <c r="P83" s="86">
        <f t="shared" si="26"/>
        <v>884628.34472531802</v>
      </c>
      <c r="Q83" s="355">
        <f t="shared" si="27"/>
        <v>0</v>
      </c>
      <c r="R83" s="201">
        <f t="shared" si="28"/>
        <v>2184.3793515150728</v>
      </c>
      <c r="S83" s="201">
        <f t="shared" si="29"/>
        <v>8237.5048592025832</v>
      </c>
      <c r="T83" s="202">
        <f t="shared" si="30"/>
        <v>10421.884210717657</v>
      </c>
      <c r="U83" s="201">
        <f t="shared" si="31"/>
        <v>2184.3793515150701</v>
      </c>
      <c r="V83" s="201">
        <f t="shared" si="32"/>
        <v>8237.5048592025832</v>
      </c>
      <c r="W83" s="201">
        <f t="shared" si="40"/>
        <v>10421.884210717653</v>
      </c>
      <c r="X83" s="201">
        <f t="shared" si="33"/>
        <v>2184.3793515150737</v>
      </c>
      <c r="Y83" s="201">
        <f t="shared" si="34"/>
        <v>8237.5048592025832</v>
      </c>
      <c r="Z83" s="201">
        <f t="shared" si="41"/>
        <v>10421.884210717657</v>
      </c>
      <c r="AA83" s="201"/>
      <c r="AC83" s="257">
        <f t="shared" si="35"/>
        <v>10421.884210717653</v>
      </c>
    </row>
    <row r="84" spans="2:29" x14ac:dyDescent="0.3">
      <c r="B84" s="84">
        <f t="shared" si="36"/>
        <v>73</v>
      </c>
      <c r="C84" s="85">
        <f ca="1">IF($B84="","",'Fecha Pago'!K76)</f>
        <v>48368</v>
      </c>
      <c r="D84" s="86">
        <f>IF($B$12="","",'Fecha Pago'!L76)</f>
        <v>30.4</v>
      </c>
      <c r="E84" s="87">
        <f t="shared" si="21"/>
        <v>0.11</v>
      </c>
      <c r="F84" s="86">
        <f t="shared" si="22"/>
        <v>884628.34472531802</v>
      </c>
      <c r="G84" s="86">
        <f t="shared" si="37"/>
        <v>2204.6698086024771</v>
      </c>
      <c r="H84" s="86">
        <f t="shared" ca="1" si="38"/>
        <v>8217.2144021151762</v>
      </c>
      <c r="I84" s="86">
        <f t="shared" si="23"/>
        <v>10421.884210717653</v>
      </c>
      <c r="J84" s="86">
        <f t="shared" si="24"/>
        <v>0</v>
      </c>
      <c r="K84" s="86">
        <f>IF(B84="","",IF(F84=0,0,IF(Sheet1!$I$10=6,'Tabla Fijos CAT'!$C$3*'Tabla Fijos CAT'!$F$5,$C$5*$F$5)))</f>
        <v>0</v>
      </c>
      <c r="L84" s="86">
        <f t="shared" si="25"/>
        <v>0</v>
      </c>
      <c r="M84" s="86"/>
      <c r="N84" s="86"/>
      <c r="O84" s="86">
        <f t="shared" ca="1" si="39"/>
        <v>10421.884210717653</v>
      </c>
      <c r="P84" s="86">
        <f t="shared" si="26"/>
        <v>882423.67491671559</v>
      </c>
      <c r="Q84" s="355">
        <f t="shared" si="27"/>
        <v>0</v>
      </c>
      <c r="R84" s="201">
        <f t="shared" si="28"/>
        <v>2204.6698086024794</v>
      </c>
      <c r="S84" s="201">
        <f t="shared" si="29"/>
        <v>8217.2144021151762</v>
      </c>
      <c r="T84" s="202">
        <f t="shared" si="30"/>
        <v>10421.884210717655</v>
      </c>
      <c r="U84" s="201">
        <f t="shared" si="31"/>
        <v>2204.6698086024771</v>
      </c>
      <c r="V84" s="201">
        <f t="shared" si="32"/>
        <v>8217.2144021151762</v>
      </c>
      <c r="W84" s="201">
        <f t="shared" si="40"/>
        <v>10421.884210717653</v>
      </c>
      <c r="X84" s="201">
        <f t="shared" si="33"/>
        <v>2204.6698086024808</v>
      </c>
      <c r="Y84" s="201">
        <f t="shared" si="34"/>
        <v>8217.2144021151762</v>
      </c>
      <c r="Z84" s="201">
        <f t="shared" si="41"/>
        <v>10421.884210717657</v>
      </c>
      <c r="AA84" s="201"/>
      <c r="AC84" s="257">
        <f t="shared" si="35"/>
        <v>10421.884210717653</v>
      </c>
    </row>
    <row r="85" spans="2:29" x14ac:dyDescent="0.3">
      <c r="B85" s="84">
        <f t="shared" si="36"/>
        <v>74</v>
      </c>
      <c r="C85" s="85">
        <f ca="1">IF($B85="","",'Fecha Pago'!K77)</f>
        <v>48398</v>
      </c>
      <c r="D85" s="86">
        <f>IF($B$12="","",'Fecha Pago'!L77)</f>
        <v>30.4</v>
      </c>
      <c r="E85" s="87">
        <f t="shared" si="21"/>
        <v>0.11</v>
      </c>
      <c r="F85" s="86">
        <f t="shared" si="22"/>
        <v>882423.67491671559</v>
      </c>
      <c r="G85" s="86">
        <f t="shared" si="37"/>
        <v>2225.1487414912735</v>
      </c>
      <c r="H85" s="86">
        <f t="shared" ca="1" si="38"/>
        <v>8196.7354692263798</v>
      </c>
      <c r="I85" s="86">
        <f t="shared" si="23"/>
        <v>10421.884210717653</v>
      </c>
      <c r="J85" s="86">
        <f t="shared" si="24"/>
        <v>0</v>
      </c>
      <c r="K85" s="86">
        <f>IF(B85="","",IF(F85=0,0,IF(Sheet1!$I$10=6,'Tabla Fijos CAT'!$C$3*'Tabla Fijos CAT'!$F$5,$C$5*$F$5)))</f>
        <v>0</v>
      </c>
      <c r="L85" s="86">
        <f t="shared" si="25"/>
        <v>0</v>
      </c>
      <c r="M85" s="86"/>
      <c r="N85" s="86"/>
      <c r="O85" s="86">
        <f t="shared" ca="1" si="39"/>
        <v>10421.884210717653</v>
      </c>
      <c r="P85" s="86">
        <f t="shared" si="26"/>
        <v>880198.52617522434</v>
      </c>
      <c r="Q85" s="355">
        <f t="shared" si="27"/>
        <v>0</v>
      </c>
      <c r="R85" s="201">
        <f t="shared" si="28"/>
        <v>2225.1487414912758</v>
      </c>
      <c r="S85" s="201">
        <f t="shared" si="29"/>
        <v>8196.7354692263798</v>
      </c>
      <c r="T85" s="202">
        <f t="shared" si="30"/>
        <v>10421.884210717655</v>
      </c>
      <c r="U85" s="201">
        <f t="shared" si="31"/>
        <v>2225.1487414912735</v>
      </c>
      <c r="V85" s="201">
        <f t="shared" si="32"/>
        <v>8196.7354692263798</v>
      </c>
      <c r="W85" s="201">
        <f t="shared" si="40"/>
        <v>10421.884210717653</v>
      </c>
      <c r="X85" s="201">
        <f t="shared" si="33"/>
        <v>2225.1487414912772</v>
      </c>
      <c r="Y85" s="201">
        <f t="shared" si="34"/>
        <v>8196.7354692263798</v>
      </c>
      <c r="Z85" s="201">
        <f t="shared" si="41"/>
        <v>10421.884210717657</v>
      </c>
      <c r="AA85" s="201"/>
      <c r="AC85" s="257">
        <f t="shared" si="35"/>
        <v>10421.884210717653</v>
      </c>
    </row>
    <row r="86" spans="2:29" x14ac:dyDescent="0.3">
      <c r="B86" s="84">
        <f t="shared" si="36"/>
        <v>75</v>
      </c>
      <c r="C86" s="85">
        <f ca="1">IF($B86="","",'Fecha Pago'!K78)</f>
        <v>48429</v>
      </c>
      <c r="D86" s="86">
        <f>IF($B$12="","",'Fecha Pago'!L78)</f>
        <v>30.4</v>
      </c>
      <c r="E86" s="87">
        <f t="shared" si="21"/>
        <v>0.11</v>
      </c>
      <c r="F86" s="86">
        <f t="shared" si="22"/>
        <v>880198.52617522434</v>
      </c>
      <c r="G86" s="86">
        <f t="shared" si="37"/>
        <v>2245.8179009122368</v>
      </c>
      <c r="H86" s="86">
        <f t="shared" ca="1" si="38"/>
        <v>8176.0663098054165</v>
      </c>
      <c r="I86" s="86">
        <f t="shared" si="23"/>
        <v>10421.884210717653</v>
      </c>
      <c r="J86" s="86">
        <f t="shared" si="24"/>
        <v>0</v>
      </c>
      <c r="K86" s="86">
        <f>IF(B86="","",IF(F86=0,0,IF(Sheet1!$I$10=6,'Tabla Fijos CAT'!$C$3*'Tabla Fijos CAT'!$F$5,$C$5*$F$5)))</f>
        <v>0</v>
      </c>
      <c r="L86" s="86">
        <f t="shared" si="25"/>
        <v>0</v>
      </c>
      <c r="M86" s="86"/>
      <c r="N86" s="86"/>
      <c r="O86" s="86">
        <f t="shared" ca="1" si="39"/>
        <v>10421.884210717653</v>
      </c>
      <c r="P86" s="86">
        <f t="shared" si="26"/>
        <v>877952.70827431208</v>
      </c>
      <c r="Q86" s="355">
        <f t="shared" si="27"/>
        <v>0</v>
      </c>
      <c r="R86" s="201">
        <f t="shared" si="28"/>
        <v>2245.8179009122391</v>
      </c>
      <c r="S86" s="201">
        <f t="shared" si="29"/>
        <v>8176.0663098054165</v>
      </c>
      <c r="T86" s="202">
        <f t="shared" si="30"/>
        <v>10421.884210717655</v>
      </c>
      <c r="U86" s="201">
        <f t="shared" si="31"/>
        <v>2245.8179009122368</v>
      </c>
      <c r="V86" s="201">
        <f t="shared" si="32"/>
        <v>8176.0663098054165</v>
      </c>
      <c r="W86" s="201">
        <f t="shared" si="40"/>
        <v>10421.884210717653</v>
      </c>
      <c r="X86" s="201">
        <f t="shared" si="33"/>
        <v>2245.8179009122405</v>
      </c>
      <c r="Y86" s="201">
        <f t="shared" si="34"/>
        <v>8176.0663098054165</v>
      </c>
      <c r="Z86" s="201">
        <f t="shared" si="41"/>
        <v>10421.884210717657</v>
      </c>
      <c r="AA86" s="201"/>
      <c r="AC86" s="257">
        <f t="shared" si="35"/>
        <v>10421.884210717653</v>
      </c>
    </row>
    <row r="87" spans="2:29" x14ac:dyDescent="0.3">
      <c r="B87" s="84">
        <f t="shared" si="36"/>
        <v>76</v>
      </c>
      <c r="C87" s="85">
        <f ca="1">IF($B87="","",'Fecha Pago'!K79)</f>
        <v>48460</v>
      </c>
      <c r="D87" s="86">
        <f>IF($B$12="","",'Fecha Pago'!L79)</f>
        <v>30.4</v>
      </c>
      <c r="E87" s="87">
        <f t="shared" si="21"/>
        <v>0.11</v>
      </c>
      <c r="F87" s="86">
        <f t="shared" si="22"/>
        <v>877952.70827431208</v>
      </c>
      <c r="G87" s="86">
        <f t="shared" si="37"/>
        <v>2266.6790538584883</v>
      </c>
      <c r="H87" s="86">
        <f t="shared" ca="1" si="38"/>
        <v>8155.2051568591651</v>
      </c>
      <c r="I87" s="86">
        <f t="shared" si="23"/>
        <v>10421.884210717653</v>
      </c>
      <c r="J87" s="86">
        <f t="shared" si="24"/>
        <v>0</v>
      </c>
      <c r="K87" s="86">
        <f>IF(B87="","",IF(F87=0,0,IF(Sheet1!$I$10=6,'Tabla Fijos CAT'!$C$3*'Tabla Fijos CAT'!$F$5,$C$5*$F$5)))</f>
        <v>0</v>
      </c>
      <c r="L87" s="86">
        <f t="shared" si="25"/>
        <v>0</v>
      </c>
      <c r="M87" s="86"/>
      <c r="N87" s="86"/>
      <c r="O87" s="86">
        <f t="shared" ca="1" si="39"/>
        <v>10421.884210717653</v>
      </c>
      <c r="P87" s="86">
        <f t="shared" si="26"/>
        <v>875686.02922045358</v>
      </c>
      <c r="Q87" s="355">
        <f t="shared" si="27"/>
        <v>0</v>
      </c>
      <c r="R87" s="201">
        <f t="shared" si="28"/>
        <v>2266.6790538584905</v>
      </c>
      <c r="S87" s="201">
        <f t="shared" si="29"/>
        <v>8155.2051568591651</v>
      </c>
      <c r="T87" s="202">
        <f t="shared" si="30"/>
        <v>10421.884210717655</v>
      </c>
      <c r="U87" s="201">
        <f t="shared" si="31"/>
        <v>2266.6790538584883</v>
      </c>
      <c r="V87" s="201">
        <f t="shared" si="32"/>
        <v>8155.2051568591651</v>
      </c>
      <c r="W87" s="201">
        <f t="shared" si="40"/>
        <v>10421.884210717653</v>
      </c>
      <c r="X87" s="201">
        <f t="shared" si="33"/>
        <v>2266.6790538584919</v>
      </c>
      <c r="Y87" s="201">
        <f t="shared" si="34"/>
        <v>8155.2051568591651</v>
      </c>
      <c r="Z87" s="201">
        <f t="shared" si="41"/>
        <v>10421.884210717657</v>
      </c>
      <c r="AA87" s="201"/>
      <c r="AC87" s="257">
        <f t="shared" si="35"/>
        <v>10421.884210717653</v>
      </c>
    </row>
    <row r="88" spans="2:29" x14ac:dyDescent="0.3">
      <c r="B88" s="84">
        <f t="shared" si="36"/>
        <v>77</v>
      </c>
      <c r="C88" s="85">
        <f ca="1">IF($B88="","",'Fecha Pago'!K80)</f>
        <v>48490</v>
      </c>
      <c r="D88" s="86">
        <f>IF($B$12="","",'Fecha Pago'!L80)</f>
        <v>30.4</v>
      </c>
      <c r="E88" s="87">
        <f t="shared" si="21"/>
        <v>0.11</v>
      </c>
      <c r="F88" s="86">
        <f t="shared" si="22"/>
        <v>875686.02922045358</v>
      </c>
      <c r="G88" s="86">
        <f t="shared" si="37"/>
        <v>2287.7339837365516</v>
      </c>
      <c r="H88" s="86">
        <f t="shared" ca="1" si="38"/>
        <v>8134.1502269811017</v>
      </c>
      <c r="I88" s="86">
        <f t="shared" si="23"/>
        <v>10421.884210717653</v>
      </c>
      <c r="J88" s="86">
        <f t="shared" si="24"/>
        <v>0</v>
      </c>
      <c r="K88" s="86">
        <f>IF(B88="","",IF(F88=0,0,IF(Sheet1!$I$10=6,'Tabla Fijos CAT'!$C$3*'Tabla Fijos CAT'!$F$5,$C$5*$F$5)))</f>
        <v>0</v>
      </c>
      <c r="L88" s="86">
        <f t="shared" si="25"/>
        <v>0</v>
      </c>
      <c r="M88" s="86"/>
      <c r="N88" s="86"/>
      <c r="O88" s="86">
        <f t="shared" ca="1" si="39"/>
        <v>10421.884210717653</v>
      </c>
      <c r="P88" s="86">
        <f t="shared" si="26"/>
        <v>873398.29523671698</v>
      </c>
      <c r="Q88" s="355">
        <f t="shared" si="27"/>
        <v>0</v>
      </c>
      <c r="R88" s="201">
        <f t="shared" si="28"/>
        <v>2287.7339837365544</v>
      </c>
      <c r="S88" s="201">
        <f t="shared" si="29"/>
        <v>8134.1502269811017</v>
      </c>
      <c r="T88" s="202">
        <f t="shared" si="30"/>
        <v>10421.884210717657</v>
      </c>
      <c r="U88" s="201">
        <f t="shared" si="31"/>
        <v>2287.7339837365516</v>
      </c>
      <c r="V88" s="201">
        <f t="shared" si="32"/>
        <v>8134.1502269811017</v>
      </c>
      <c r="W88" s="201">
        <f t="shared" si="40"/>
        <v>10421.884210717653</v>
      </c>
      <c r="X88" s="201">
        <f t="shared" si="33"/>
        <v>2287.7339837365553</v>
      </c>
      <c r="Y88" s="201">
        <f t="shared" si="34"/>
        <v>8134.1502269811017</v>
      </c>
      <c r="Z88" s="201">
        <f t="shared" si="41"/>
        <v>10421.884210717657</v>
      </c>
      <c r="AA88" s="201"/>
      <c r="AC88" s="257">
        <f t="shared" si="35"/>
        <v>10421.884210717653</v>
      </c>
    </row>
    <row r="89" spans="2:29" x14ac:dyDescent="0.3">
      <c r="B89" s="84">
        <f t="shared" si="36"/>
        <v>78</v>
      </c>
      <c r="C89" s="85">
        <f ca="1">IF($B89="","",'Fecha Pago'!K81)</f>
        <v>48521</v>
      </c>
      <c r="D89" s="86">
        <f>IF($B$12="","",'Fecha Pago'!L81)</f>
        <v>30.4</v>
      </c>
      <c r="E89" s="87">
        <f t="shared" si="21"/>
        <v>0.11</v>
      </c>
      <c r="F89" s="86">
        <f t="shared" si="22"/>
        <v>873398.29523671698</v>
      </c>
      <c r="G89" s="86">
        <f t="shared" si="37"/>
        <v>2308.9844905188165</v>
      </c>
      <c r="H89" s="86">
        <f t="shared" ca="1" si="38"/>
        <v>8112.8997201988368</v>
      </c>
      <c r="I89" s="86">
        <f t="shared" si="23"/>
        <v>10421.884210717653</v>
      </c>
      <c r="J89" s="86">
        <f t="shared" si="24"/>
        <v>0</v>
      </c>
      <c r="K89" s="86">
        <f>IF(B89="","",IF(F89=0,0,IF(Sheet1!$I$10=6,'Tabla Fijos CAT'!$C$3*'Tabla Fijos CAT'!$F$5,$C$5*$F$5)))</f>
        <v>0</v>
      </c>
      <c r="L89" s="86">
        <f t="shared" si="25"/>
        <v>0</v>
      </c>
      <c r="M89" s="86"/>
      <c r="N89" s="86"/>
      <c r="O89" s="86">
        <f t="shared" ca="1" si="39"/>
        <v>10421.884210717653</v>
      </c>
      <c r="P89" s="86">
        <f t="shared" si="26"/>
        <v>871089.31074619817</v>
      </c>
      <c r="Q89" s="355">
        <f t="shared" si="27"/>
        <v>0</v>
      </c>
      <c r="R89" s="201">
        <f t="shared" si="28"/>
        <v>2308.9844905188179</v>
      </c>
      <c r="S89" s="201">
        <f t="shared" si="29"/>
        <v>8112.8997201988368</v>
      </c>
      <c r="T89" s="202">
        <f t="shared" si="30"/>
        <v>10421.884210717655</v>
      </c>
      <c r="U89" s="201">
        <f t="shared" si="31"/>
        <v>2308.9844905188165</v>
      </c>
      <c r="V89" s="201">
        <f t="shared" si="32"/>
        <v>8112.8997201988368</v>
      </c>
      <c r="W89" s="201">
        <f t="shared" si="40"/>
        <v>10421.884210717653</v>
      </c>
      <c r="X89" s="201">
        <f t="shared" si="33"/>
        <v>2308.9844905188202</v>
      </c>
      <c r="Y89" s="201">
        <f t="shared" si="34"/>
        <v>8112.8997201988368</v>
      </c>
      <c r="Z89" s="201">
        <f t="shared" si="41"/>
        <v>10421.884210717657</v>
      </c>
      <c r="AA89" s="201"/>
      <c r="AC89" s="257">
        <f t="shared" si="35"/>
        <v>10421.884210717653</v>
      </c>
    </row>
    <row r="90" spans="2:29" x14ac:dyDescent="0.3">
      <c r="B90" s="84">
        <f t="shared" si="36"/>
        <v>79</v>
      </c>
      <c r="C90" s="85">
        <f ca="1">IF($B90="","",'Fecha Pago'!K82)</f>
        <v>48551</v>
      </c>
      <c r="D90" s="86">
        <f>IF($B$12="","",'Fecha Pago'!L82)</f>
        <v>30.4</v>
      </c>
      <c r="E90" s="87">
        <f t="shared" si="21"/>
        <v>0.11</v>
      </c>
      <c r="F90" s="86">
        <f t="shared" si="22"/>
        <v>871089.31074619817</v>
      </c>
      <c r="G90" s="86">
        <f t="shared" si="37"/>
        <v>2330.4323908974129</v>
      </c>
      <c r="H90" s="86">
        <f t="shared" ca="1" si="38"/>
        <v>8091.4518198202404</v>
      </c>
      <c r="I90" s="86">
        <f t="shared" si="23"/>
        <v>10421.884210717653</v>
      </c>
      <c r="J90" s="86">
        <f t="shared" si="24"/>
        <v>0</v>
      </c>
      <c r="K90" s="86">
        <f>IF(B90="","",IF(F90=0,0,IF(Sheet1!$I$10=6,'Tabla Fijos CAT'!$C$3*'Tabla Fijos CAT'!$F$5,$C$5*$F$5)))</f>
        <v>0</v>
      </c>
      <c r="L90" s="86">
        <f t="shared" si="25"/>
        <v>0</v>
      </c>
      <c r="M90" s="86"/>
      <c r="N90" s="86"/>
      <c r="O90" s="86">
        <f t="shared" ca="1" si="39"/>
        <v>10421.884210717653</v>
      </c>
      <c r="P90" s="86">
        <f t="shared" si="26"/>
        <v>868758.87835530075</v>
      </c>
      <c r="Q90" s="355">
        <f t="shared" si="27"/>
        <v>0</v>
      </c>
      <c r="R90" s="201">
        <f t="shared" si="28"/>
        <v>2330.4323908974152</v>
      </c>
      <c r="S90" s="201">
        <f t="shared" si="29"/>
        <v>8091.4518198202404</v>
      </c>
      <c r="T90" s="202">
        <f t="shared" si="30"/>
        <v>10421.884210717655</v>
      </c>
      <c r="U90" s="201">
        <f t="shared" si="31"/>
        <v>2330.4323908974129</v>
      </c>
      <c r="V90" s="201">
        <f t="shared" si="32"/>
        <v>8091.4518198202404</v>
      </c>
      <c r="W90" s="201">
        <f t="shared" si="40"/>
        <v>10421.884210717653</v>
      </c>
      <c r="X90" s="201">
        <f t="shared" si="33"/>
        <v>2330.4323908974129</v>
      </c>
      <c r="Y90" s="201">
        <f t="shared" si="34"/>
        <v>8091.4518198202404</v>
      </c>
      <c r="Z90" s="201">
        <f t="shared" si="41"/>
        <v>10421.884210717653</v>
      </c>
      <c r="AA90" s="201"/>
      <c r="AC90" s="257">
        <f t="shared" si="35"/>
        <v>10421.884210717653</v>
      </c>
    </row>
    <row r="91" spans="2:29" x14ac:dyDescent="0.3">
      <c r="B91" s="84">
        <f t="shared" si="36"/>
        <v>80</v>
      </c>
      <c r="C91" s="85">
        <f ca="1">IF($B91="","",'Fecha Pago'!K83)</f>
        <v>48582</v>
      </c>
      <c r="D91" s="86">
        <f>IF($B$12="","",'Fecha Pago'!L83)</f>
        <v>30.4</v>
      </c>
      <c r="E91" s="87">
        <f t="shared" si="21"/>
        <v>0.11</v>
      </c>
      <c r="F91" s="86">
        <f t="shared" si="22"/>
        <v>868758.87835530075</v>
      </c>
      <c r="G91" s="86">
        <f t="shared" si="37"/>
        <v>2352.0795184395265</v>
      </c>
      <c r="H91" s="86">
        <f t="shared" ca="1" si="38"/>
        <v>8069.8046922781268</v>
      </c>
      <c r="I91" s="86">
        <f t="shared" si="23"/>
        <v>10421.884210717653</v>
      </c>
      <c r="J91" s="86">
        <f t="shared" si="24"/>
        <v>0</v>
      </c>
      <c r="K91" s="86">
        <f>IF(B91="","",IF(F91=0,0,IF(Sheet1!$I$10=6,'Tabla Fijos CAT'!$C$3*'Tabla Fijos CAT'!$F$5,$C$5*$F$5)))</f>
        <v>0</v>
      </c>
      <c r="L91" s="86">
        <f t="shared" si="25"/>
        <v>0</v>
      </c>
      <c r="M91" s="86"/>
      <c r="N91" s="86"/>
      <c r="O91" s="86">
        <f t="shared" ca="1" si="39"/>
        <v>10421.884210717653</v>
      </c>
      <c r="P91" s="86">
        <f t="shared" si="26"/>
        <v>866406.79883686127</v>
      </c>
      <c r="Q91" s="355">
        <f t="shared" si="27"/>
        <v>0</v>
      </c>
      <c r="R91" s="201">
        <f t="shared" si="28"/>
        <v>2352.0795184395288</v>
      </c>
      <c r="S91" s="201">
        <f t="shared" si="29"/>
        <v>8069.8046922781268</v>
      </c>
      <c r="T91" s="202">
        <f t="shared" si="30"/>
        <v>10421.884210717655</v>
      </c>
      <c r="U91" s="201">
        <f t="shared" si="31"/>
        <v>2352.0795184395265</v>
      </c>
      <c r="V91" s="201">
        <f t="shared" si="32"/>
        <v>8069.8046922781268</v>
      </c>
      <c r="W91" s="201">
        <f t="shared" si="40"/>
        <v>10421.884210717653</v>
      </c>
      <c r="X91" s="201">
        <f t="shared" si="33"/>
        <v>2352.0795184395301</v>
      </c>
      <c r="Y91" s="201">
        <f t="shared" si="34"/>
        <v>8069.8046922781268</v>
      </c>
      <c r="Z91" s="201">
        <f t="shared" si="41"/>
        <v>10421.884210717657</v>
      </c>
      <c r="AA91" s="201"/>
      <c r="AC91" s="257">
        <f t="shared" si="35"/>
        <v>10421.884210717653</v>
      </c>
    </row>
    <row r="92" spans="2:29" x14ac:dyDescent="0.3">
      <c r="B92" s="84">
        <f t="shared" si="36"/>
        <v>81</v>
      </c>
      <c r="C92" s="85">
        <f ca="1">IF($B92="","",'Fecha Pago'!K84)</f>
        <v>48613</v>
      </c>
      <c r="D92" s="86">
        <f>IF($B$12="","",'Fecha Pago'!L84)</f>
        <v>30.4</v>
      </c>
      <c r="E92" s="87">
        <f t="shared" si="21"/>
        <v>0.11</v>
      </c>
      <c r="F92" s="86">
        <f t="shared" si="22"/>
        <v>866406.79883686127</v>
      </c>
      <c r="G92" s="86">
        <f t="shared" si="37"/>
        <v>2373.9277237441429</v>
      </c>
      <c r="H92" s="86">
        <f t="shared" ca="1" si="38"/>
        <v>8047.9564869735104</v>
      </c>
      <c r="I92" s="86">
        <f t="shared" si="23"/>
        <v>10421.884210717653</v>
      </c>
      <c r="J92" s="86">
        <f t="shared" si="24"/>
        <v>0</v>
      </c>
      <c r="K92" s="86">
        <f>IF(B92="","",IF(F92=0,0,IF(Sheet1!$I$10=6,'Tabla Fijos CAT'!$C$3*'Tabla Fijos CAT'!$F$5,$C$5*$F$5)))</f>
        <v>0</v>
      </c>
      <c r="L92" s="86">
        <f t="shared" si="25"/>
        <v>0</v>
      </c>
      <c r="M92" s="86"/>
      <c r="N92" s="86"/>
      <c r="O92" s="86">
        <f t="shared" ca="1" si="39"/>
        <v>10421.884210717653</v>
      </c>
      <c r="P92" s="86">
        <f t="shared" si="26"/>
        <v>864032.87111311709</v>
      </c>
      <c r="Q92" s="355">
        <f t="shared" si="27"/>
        <v>0</v>
      </c>
      <c r="R92" s="201">
        <f t="shared" si="28"/>
        <v>2373.9277237441447</v>
      </c>
      <c r="S92" s="201">
        <f t="shared" si="29"/>
        <v>8047.9564869735104</v>
      </c>
      <c r="T92" s="202">
        <f t="shared" si="30"/>
        <v>10421.884210717655</v>
      </c>
      <c r="U92" s="201">
        <f t="shared" si="31"/>
        <v>2373.9277237441429</v>
      </c>
      <c r="V92" s="201">
        <f t="shared" si="32"/>
        <v>8047.9564869735104</v>
      </c>
      <c r="W92" s="201">
        <f t="shared" si="40"/>
        <v>10421.884210717653</v>
      </c>
      <c r="X92" s="201">
        <f t="shared" si="33"/>
        <v>2373.9277237441429</v>
      </c>
      <c r="Y92" s="201">
        <f t="shared" si="34"/>
        <v>8047.9564869735104</v>
      </c>
      <c r="Z92" s="201">
        <f t="shared" si="41"/>
        <v>10421.884210717653</v>
      </c>
      <c r="AA92" s="201"/>
      <c r="AC92" s="257">
        <f t="shared" si="35"/>
        <v>10421.884210717653</v>
      </c>
    </row>
    <row r="93" spans="2:29" x14ac:dyDescent="0.3">
      <c r="B93" s="84">
        <f t="shared" si="36"/>
        <v>82</v>
      </c>
      <c r="C93" s="85">
        <f ca="1">IF($B93="","",'Fecha Pago'!K85)</f>
        <v>48641</v>
      </c>
      <c r="D93" s="86">
        <f>IF($B$12="","",'Fecha Pago'!L85)</f>
        <v>30.4</v>
      </c>
      <c r="E93" s="87">
        <f t="shared" si="21"/>
        <v>0.11</v>
      </c>
      <c r="F93" s="86">
        <f t="shared" si="22"/>
        <v>864032.87111311709</v>
      </c>
      <c r="G93" s="86">
        <f t="shared" si="37"/>
        <v>2395.978874600255</v>
      </c>
      <c r="H93" s="86">
        <f t="shared" ca="1" si="38"/>
        <v>8025.9053361173983</v>
      </c>
      <c r="I93" s="86">
        <f t="shared" si="23"/>
        <v>10421.884210717653</v>
      </c>
      <c r="J93" s="86">
        <f t="shared" si="24"/>
        <v>0</v>
      </c>
      <c r="K93" s="86">
        <f>IF(B93="","",IF(F93=0,0,IF(Sheet1!$I$10=6,'Tabla Fijos CAT'!$C$3*'Tabla Fijos CAT'!$F$5,$C$5*$F$5)))</f>
        <v>0</v>
      </c>
      <c r="L93" s="86">
        <f t="shared" si="25"/>
        <v>0</v>
      </c>
      <c r="M93" s="86"/>
      <c r="N93" s="86"/>
      <c r="O93" s="86">
        <f t="shared" ca="1" si="39"/>
        <v>10421.884210717653</v>
      </c>
      <c r="P93" s="86">
        <f t="shared" si="26"/>
        <v>861636.89223851683</v>
      </c>
      <c r="Q93" s="355">
        <f t="shared" si="27"/>
        <v>0</v>
      </c>
      <c r="R93" s="201">
        <f t="shared" si="28"/>
        <v>2395.9788746002569</v>
      </c>
      <c r="S93" s="201">
        <f t="shared" si="29"/>
        <v>8025.9053361173983</v>
      </c>
      <c r="T93" s="202">
        <f t="shared" si="30"/>
        <v>10421.884210717655</v>
      </c>
      <c r="U93" s="201">
        <f t="shared" si="31"/>
        <v>2395.978874600255</v>
      </c>
      <c r="V93" s="201">
        <f t="shared" si="32"/>
        <v>8025.9053361173983</v>
      </c>
      <c r="W93" s="201">
        <f t="shared" si="40"/>
        <v>10421.884210717653</v>
      </c>
      <c r="X93" s="201">
        <f t="shared" si="33"/>
        <v>2395.9788746002587</v>
      </c>
      <c r="Y93" s="201">
        <f t="shared" si="34"/>
        <v>8025.9053361173983</v>
      </c>
      <c r="Z93" s="201">
        <f t="shared" si="41"/>
        <v>10421.884210717657</v>
      </c>
      <c r="AA93" s="201"/>
      <c r="AC93" s="257">
        <f t="shared" si="35"/>
        <v>10421.884210717653</v>
      </c>
    </row>
    <row r="94" spans="2:29" x14ac:dyDescent="0.3">
      <c r="B94" s="84">
        <f t="shared" si="36"/>
        <v>83</v>
      </c>
      <c r="C94" s="85">
        <f ca="1">IF($B94="","",'Fecha Pago'!K86)</f>
        <v>48672</v>
      </c>
      <c r="D94" s="86">
        <f>IF($B$12="","",'Fecha Pago'!L86)</f>
        <v>30.4</v>
      </c>
      <c r="E94" s="87">
        <f t="shared" si="21"/>
        <v>0.11</v>
      </c>
      <c r="F94" s="86">
        <f t="shared" si="22"/>
        <v>861636.89223851683</v>
      </c>
      <c r="G94" s="86">
        <f t="shared" si="37"/>
        <v>2418.2348561465424</v>
      </c>
      <c r="H94" s="86">
        <f t="shared" ca="1" si="38"/>
        <v>8003.649354571111</v>
      </c>
      <c r="I94" s="86">
        <f t="shared" si="23"/>
        <v>10421.884210717653</v>
      </c>
      <c r="J94" s="86">
        <f t="shared" si="24"/>
        <v>0</v>
      </c>
      <c r="K94" s="86">
        <f>IF(B94="","",IF(F94=0,0,IF(Sheet1!$I$10=6,'Tabla Fijos CAT'!$C$3*'Tabla Fijos CAT'!$F$5,$C$5*$F$5)))</f>
        <v>0</v>
      </c>
      <c r="L94" s="86">
        <f t="shared" si="25"/>
        <v>0</v>
      </c>
      <c r="M94" s="86"/>
      <c r="N94" s="86"/>
      <c r="O94" s="86">
        <f t="shared" ca="1" si="39"/>
        <v>10421.884210717653</v>
      </c>
      <c r="P94" s="86">
        <f t="shared" si="26"/>
        <v>859218.65738237032</v>
      </c>
      <c r="Q94" s="355">
        <f t="shared" si="27"/>
        <v>0</v>
      </c>
      <c r="R94" s="201">
        <f t="shared" si="28"/>
        <v>2418.2348561465433</v>
      </c>
      <c r="S94" s="201">
        <f t="shared" si="29"/>
        <v>8003.649354571111</v>
      </c>
      <c r="T94" s="202">
        <f t="shared" si="30"/>
        <v>10421.884210717653</v>
      </c>
      <c r="U94" s="201">
        <f t="shared" si="31"/>
        <v>2418.2348561465424</v>
      </c>
      <c r="V94" s="201">
        <f t="shared" si="32"/>
        <v>8003.649354571111</v>
      </c>
      <c r="W94" s="201">
        <f t="shared" si="40"/>
        <v>10421.884210717653</v>
      </c>
      <c r="X94" s="201">
        <f t="shared" si="33"/>
        <v>2418.2348561465424</v>
      </c>
      <c r="Y94" s="201">
        <f t="shared" si="34"/>
        <v>8003.649354571111</v>
      </c>
      <c r="Z94" s="201">
        <f t="shared" si="41"/>
        <v>10421.884210717653</v>
      </c>
      <c r="AA94" s="201"/>
      <c r="AC94" s="257">
        <f t="shared" si="35"/>
        <v>10421.884210717653</v>
      </c>
    </row>
    <row r="95" spans="2:29" x14ac:dyDescent="0.3">
      <c r="B95" s="84">
        <f t="shared" si="36"/>
        <v>84</v>
      </c>
      <c r="C95" s="85">
        <f ca="1">IF($B95="","",'Fecha Pago'!K87)</f>
        <v>48702</v>
      </c>
      <c r="D95" s="86">
        <f>IF($B$12="","",'Fecha Pago'!L87)</f>
        <v>30.4</v>
      </c>
      <c r="E95" s="87">
        <f t="shared" si="21"/>
        <v>0.11</v>
      </c>
      <c r="F95" s="86">
        <f t="shared" si="22"/>
        <v>859218.65738237032</v>
      </c>
      <c r="G95" s="86">
        <f t="shared" si="37"/>
        <v>2440.697571032525</v>
      </c>
      <c r="H95" s="86">
        <f t="shared" ca="1" si="38"/>
        <v>7981.1866396851283</v>
      </c>
      <c r="I95" s="86">
        <f t="shared" si="23"/>
        <v>10421.884210717653</v>
      </c>
      <c r="J95" s="86">
        <f t="shared" si="24"/>
        <v>0</v>
      </c>
      <c r="K95" s="86">
        <f>IF(B95="","",IF(F95=0,0,IF(Sheet1!$I$10=6,'Tabla Fijos CAT'!$C$3*'Tabla Fijos CAT'!$F$5,$C$5*$F$5)))</f>
        <v>0</v>
      </c>
      <c r="L95" s="86">
        <f t="shared" si="25"/>
        <v>0</v>
      </c>
      <c r="M95" s="86"/>
      <c r="N95" s="86"/>
      <c r="O95" s="86">
        <f t="shared" ca="1" si="39"/>
        <v>10421.884210717653</v>
      </c>
      <c r="P95" s="86">
        <f t="shared" si="26"/>
        <v>856777.95981133776</v>
      </c>
      <c r="Q95" s="355">
        <f t="shared" si="27"/>
        <v>0</v>
      </c>
      <c r="R95" s="201">
        <f t="shared" si="28"/>
        <v>2440.6975710325269</v>
      </c>
      <c r="S95" s="201">
        <f t="shared" si="29"/>
        <v>7981.1866396851283</v>
      </c>
      <c r="T95" s="202">
        <f t="shared" si="30"/>
        <v>10421.884210717655</v>
      </c>
      <c r="U95" s="201">
        <f t="shared" si="31"/>
        <v>2440.697571032525</v>
      </c>
      <c r="V95" s="201">
        <f t="shared" si="32"/>
        <v>7981.1866396851283</v>
      </c>
      <c r="W95" s="201">
        <f t="shared" si="40"/>
        <v>10421.884210717653</v>
      </c>
      <c r="X95" s="201">
        <f t="shared" si="33"/>
        <v>2440.6975710325287</v>
      </c>
      <c r="Y95" s="201">
        <f t="shared" si="34"/>
        <v>7981.1866396851283</v>
      </c>
      <c r="Z95" s="201">
        <f t="shared" si="41"/>
        <v>10421.884210717657</v>
      </c>
      <c r="AA95" s="201"/>
      <c r="AC95" s="257">
        <f t="shared" si="35"/>
        <v>10421.884210717653</v>
      </c>
    </row>
    <row r="96" spans="2:29" x14ac:dyDescent="0.3">
      <c r="B96" s="84">
        <f t="shared" si="36"/>
        <v>85</v>
      </c>
      <c r="C96" s="85">
        <f ca="1">IF($B96="","",'Fecha Pago'!K88)</f>
        <v>48733</v>
      </c>
      <c r="D96" s="86">
        <f>IF($B$12="","",'Fecha Pago'!L88)</f>
        <v>30.4</v>
      </c>
      <c r="E96" s="87">
        <f t="shared" si="21"/>
        <v>0.11</v>
      </c>
      <c r="F96" s="86">
        <f t="shared" si="22"/>
        <v>856777.95981133776</v>
      </c>
      <c r="G96" s="86">
        <f t="shared" si="37"/>
        <v>2463.368939581228</v>
      </c>
      <c r="H96" s="86">
        <f t="shared" ca="1" si="38"/>
        <v>7958.5152711364253</v>
      </c>
      <c r="I96" s="86">
        <f t="shared" si="23"/>
        <v>10421.884210717653</v>
      </c>
      <c r="J96" s="86">
        <f t="shared" si="24"/>
        <v>0</v>
      </c>
      <c r="K96" s="86">
        <f>IF(B96="","",IF(F96=0,0,IF(Sheet1!$I$10=6,'Tabla Fijos CAT'!$C$3*'Tabla Fijos CAT'!$F$5,$C$5*$F$5)))</f>
        <v>0</v>
      </c>
      <c r="L96" s="86">
        <f t="shared" si="25"/>
        <v>0</v>
      </c>
      <c r="M96" s="86"/>
      <c r="N96" s="86"/>
      <c r="O96" s="86">
        <f t="shared" ca="1" si="39"/>
        <v>10421.884210717653</v>
      </c>
      <c r="P96" s="86">
        <f t="shared" si="26"/>
        <v>854314.59087175655</v>
      </c>
      <c r="Q96" s="355">
        <f t="shared" si="27"/>
        <v>0</v>
      </c>
      <c r="R96" s="201">
        <f t="shared" si="28"/>
        <v>2463.3689395812289</v>
      </c>
      <c r="S96" s="201">
        <f t="shared" si="29"/>
        <v>7958.5152711364253</v>
      </c>
      <c r="T96" s="202">
        <f t="shared" si="30"/>
        <v>10421.884210717653</v>
      </c>
      <c r="U96" s="201">
        <f t="shared" si="31"/>
        <v>2463.368939581228</v>
      </c>
      <c r="V96" s="201">
        <f t="shared" si="32"/>
        <v>7958.5152711364253</v>
      </c>
      <c r="W96" s="201">
        <f t="shared" si="40"/>
        <v>10421.884210717653</v>
      </c>
      <c r="X96" s="201">
        <f t="shared" si="33"/>
        <v>2463.368939581228</v>
      </c>
      <c r="Y96" s="201">
        <f t="shared" si="34"/>
        <v>7958.5152711364253</v>
      </c>
      <c r="Z96" s="201">
        <f t="shared" si="41"/>
        <v>10421.884210717653</v>
      </c>
      <c r="AA96" s="201"/>
      <c r="AC96" s="257">
        <f t="shared" si="35"/>
        <v>10421.884210717653</v>
      </c>
    </row>
    <row r="97" spans="2:29" x14ac:dyDescent="0.3">
      <c r="B97" s="84">
        <f t="shared" si="36"/>
        <v>86</v>
      </c>
      <c r="C97" s="85">
        <f ca="1">IF($B97="","",'Fecha Pago'!K89)</f>
        <v>48763</v>
      </c>
      <c r="D97" s="86">
        <f>IF($B$12="","",'Fecha Pago'!L89)</f>
        <v>30.4</v>
      </c>
      <c r="E97" s="87">
        <f t="shared" si="21"/>
        <v>0.11</v>
      </c>
      <c r="F97" s="86">
        <f t="shared" si="22"/>
        <v>854314.59087175655</v>
      </c>
      <c r="G97" s="86">
        <f t="shared" si="37"/>
        <v>2486.2508999533375</v>
      </c>
      <c r="H97" s="86">
        <f t="shared" ca="1" si="38"/>
        <v>7935.6333107643159</v>
      </c>
      <c r="I97" s="86">
        <f t="shared" si="23"/>
        <v>10421.884210717653</v>
      </c>
      <c r="J97" s="86">
        <f t="shared" si="24"/>
        <v>0</v>
      </c>
      <c r="K97" s="86">
        <f>IF(B97="","",IF(F97=0,0,IF(Sheet1!$I$10=6,'Tabla Fijos CAT'!$C$3*'Tabla Fijos CAT'!$F$5,$C$5*$F$5)))</f>
        <v>0</v>
      </c>
      <c r="L97" s="86">
        <f t="shared" si="25"/>
        <v>0</v>
      </c>
      <c r="M97" s="86"/>
      <c r="N97" s="86"/>
      <c r="O97" s="86">
        <f t="shared" ca="1" si="39"/>
        <v>10421.884210717653</v>
      </c>
      <c r="P97" s="86">
        <f t="shared" si="26"/>
        <v>851828.33997180325</v>
      </c>
      <c r="Q97" s="355">
        <f t="shared" si="27"/>
        <v>0</v>
      </c>
      <c r="R97" s="201">
        <f t="shared" si="28"/>
        <v>2486.2508999533393</v>
      </c>
      <c r="S97" s="201">
        <f t="shared" si="29"/>
        <v>7935.6333107643159</v>
      </c>
      <c r="T97" s="202">
        <f t="shared" si="30"/>
        <v>10421.884210717655</v>
      </c>
      <c r="U97" s="201">
        <f t="shared" si="31"/>
        <v>2486.2508999533375</v>
      </c>
      <c r="V97" s="201">
        <f t="shared" si="32"/>
        <v>7935.6333107643159</v>
      </c>
      <c r="W97" s="201">
        <f t="shared" si="40"/>
        <v>10421.884210717653</v>
      </c>
      <c r="X97" s="201">
        <f t="shared" si="33"/>
        <v>2486.2508999533411</v>
      </c>
      <c r="Y97" s="201">
        <f t="shared" si="34"/>
        <v>7935.6333107643159</v>
      </c>
      <c r="Z97" s="201">
        <f t="shared" si="41"/>
        <v>10421.884210717657</v>
      </c>
      <c r="AA97" s="201"/>
      <c r="AC97" s="257">
        <f t="shared" si="35"/>
        <v>10421.884210717653</v>
      </c>
    </row>
    <row r="98" spans="2:29" x14ac:dyDescent="0.3">
      <c r="B98" s="84">
        <f t="shared" si="36"/>
        <v>87</v>
      </c>
      <c r="C98" s="85">
        <f ca="1">IF($B98="","",'Fecha Pago'!K90)</f>
        <v>48794</v>
      </c>
      <c r="D98" s="86">
        <f>IF($B$12="","",'Fecha Pago'!L90)</f>
        <v>30.4</v>
      </c>
      <c r="E98" s="87">
        <f t="shared" si="21"/>
        <v>0.11</v>
      </c>
      <c r="F98" s="86">
        <f t="shared" si="22"/>
        <v>851828.33997180325</v>
      </c>
      <c r="G98" s="86">
        <f t="shared" si="37"/>
        <v>2509.3454083129036</v>
      </c>
      <c r="H98" s="86">
        <f t="shared" ca="1" si="38"/>
        <v>7912.5388024047497</v>
      </c>
      <c r="I98" s="86">
        <f t="shared" si="23"/>
        <v>10421.884210717653</v>
      </c>
      <c r="J98" s="86">
        <f t="shared" si="24"/>
        <v>0</v>
      </c>
      <c r="K98" s="86">
        <f>IF(B98="","",IF(F98=0,0,IF(Sheet1!$I$10=6,'Tabla Fijos CAT'!$C$3*'Tabla Fijos CAT'!$F$5,$C$5*$F$5)))</f>
        <v>0</v>
      </c>
      <c r="L98" s="86">
        <f t="shared" si="25"/>
        <v>0</v>
      </c>
      <c r="M98" s="86"/>
      <c r="N98" s="86"/>
      <c r="O98" s="86">
        <f t="shared" ca="1" si="39"/>
        <v>10421.884210717653</v>
      </c>
      <c r="P98" s="86">
        <f t="shared" si="26"/>
        <v>849318.99456349039</v>
      </c>
      <c r="Q98" s="355">
        <f t="shared" si="27"/>
        <v>0</v>
      </c>
      <c r="R98" s="201">
        <f t="shared" si="28"/>
        <v>2509.3454083129063</v>
      </c>
      <c r="S98" s="201">
        <f t="shared" si="29"/>
        <v>7912.5388024047497</v>
      </c>
      <c r="T98" s="202">
        <f t="shared" si="30"/>
        <v>10421.884210717657</v>
      </c>
      <c r="U98" s="201">
        <f t="shared" si="31"/>
        <v>2509.3454083129036</v>
      </c>
      <c r="V98" s="201">
        <f t="shared" si="32"/>
        <v>7912.5388024047497</v>
      </c>
      <c r="W98" s="201">
        <f t="shared" si="40"/>
        <v>10421.884210717653</v>
      </c>
      <c r="X98" s="201">
        <f t="shared" si="33"/>
        <v>2509.3454083129072</v>
      </c>
      <c r="Y98" s="201">
        <f t="shared" si="34"/>
        <v>7912.5388024047497</v>
      </c>
      <c r="Z98" s="201">
        <f t="shared" si="41"/>
        <v>10421.884210717657</v>
      </c>
      <c r="AA98" s="201"/>
      <c r="AC98" s="257">
        <f t="shared" si="35"/>
        <v>10421.884210717653</v>
      </c>
    </row>
    <row r="99" spans="2:29" x14ac:dyDescent="0.3">
      <c r="B99" s="84">
        <f t="shared" si="36"/>
        <v>88</v>
      </c>
      <c r="C99" s="85">
        <f ca="1">IF($B99="","",'Fecha Pago'!K91)</f>
        <v>48825</v>
      </c>
      <c r="D99" s="86">
        <f>IF($B$12="","",'Fecha Pago'!L91)</f>
        <v>30.4</v>
      </c>
      <c r="E99" s="87">
        <f t="shared" si="21"/>
        <v>0.11</v>
      </c>
      <c r="F99" s="86">
        <f t="shared" si="22"/>
        <v>849318.99456349039</v>
      </c>
      <c r="G99" s="86">
        <f t="shared" si="37"/>
        <v>2532.6544389945657</v>
      </c>
      <c r="H99" s="86">
        <f t="shared" ca="1" si="38"/>
        <v>7889.2297717230877</v>
      </c>
      <c r="I99" s="86">
        <f t="shared" si="23"/>
        <v>10421.884210717653</v>
      </c>
      <c r="J99" s="86">
        <f t="shared" si="24"/>
        <v>0</v>
      </c>
      <c r="K99" s="86">
        <f>IF(B99="","",IF(F99=0,0,IF(Sheet1!$I$10=6,'Tabla Fijos CAT'!$C$3*'Tabla Fijos CAT'!$F$5,$C$5*$F$5)))</f>
        <v>0</v>
      </c>
      <c r="L99" s="86">
        <f t="shared" si="25"/>
        <v>0</v>
      </c>
      <c r="M99" s="86"/>
      <c r="N99" s="86"/>
      <c r="O99" s="86">
        <f t="shared" ca="1" si="39"/>
        <v>10421.884210717653</v>
      </c>
      <c r="P99" s="86">
        <f t="shared" si="26"/>
        <v>846786.34012449579</v>
      </c>
      <c r="Q99" s="355">
        <f t="shared" si="27"/>
        <v>0</v>
      </c>
      <c r="R99" s="201">
        <f t="shared" si="28"/>
        <v>2532.6544389945684</v>
      </c>
      <c r="S99" s="201">
        <f t="shared" si="29"/>
        <v>7889.2297717230877</v>
      </c>
      <c r="T99" s="202">
        <f t="shared" si="30"/>
        <v>10421.884210717657</v>
      </c>
      <c r="U99" s="201">
        <f t="shared" si="31"/>
        <v>2532.6544389945657</v>
      </c>
      <c r="V99" s="201">
        <f t="shared" si="32"/>
        <v>7889.2297717230877</v>
      </c>
      <c r="W99" s="201">
        <f t="shared" si="40"/>
        <v>10421.884210717653</v>
      </c>
      <c r="X99" s="201">
        <f t="shared" si="33"/>
        <v>2532.6544389945693</v>
      </c>
      <c r="Y99" s="201">
        <f t="shared" si="34"/>
        <v>7889.2297717230877</v>
      </c>
      <c r="Z99" s="201">
        <f t="shared" si="41"/>
        <v>10421.884210717657</v>
      </c>
      <c r="AA99" s="201"/>
      <c r="AC99" s="257">
        <f t="shared" si="35"/>
        <v>10421.884210717653</v>
      </c>
    </row>
    <row r="100" spans="2:29" x14ac:dyDescent="0.3">
      <c r="B100" s="84">
        <f t="shared" si="36"/>
        <v>89</v>
      </c>
      <c r="C100" s="85">
        <f ca="1">IF($B100="","",'Fecha Pago'!K92)</f>
        <v>48855</v>
      </c>
      <c r="D100" s="86">
        <f>IF($B$12="","",'Fecha Pago'!L92)</f>
        <v>30.4</v>
      </c>
      <c r="E100" s="87">
        <f t="shared" si="21"/>
        <v>0.11</v>
      </c>
      <c r="F100" s="86">
        <f t="shared" si="22"/>
        <v>846786.34012449579</v>
      </c>
      <c r="G100" s="86">
        <f t="shared" si="37"/>
        <v>2556.179984672337</v>
      </c>
      <c r="H100" s="86">
        <f t="shared" ca="1" si="38"/>
        <v>7865.7042260453163</v>
      </c>
      <c r="I100" s="86">
        <f t="shared" si="23"/>
        <v>10421.884210717653</v>
      </c>
      <c r="J100" s="86">
        <f t="shared" si="24"/>
        <v>0</v>
      </c>
      <c r="K100" s="86">
        <f>IF(B100="","",IF(F100=0,0,IF(Sheet1!$I$10=6,'Tabla Fijos CAT'!$C$3*'Tabla Fijos CAT'!$F$5,$C$5*$F$5)))</f>
        <v>0</v>
      </c>
      <c r="L100" s="86">
        <f t="shared" si="25"/>
        <v>0</v>
      </c>
      <c r="M100" s="86"/>
      <c r="N100" s="86"/>
      <c r="O100" s="86">
        <f t="shared" ca="1" si="39"/>
        <v>10421.884210717653</v>
      </c>
      <c r="P100" s="86">
        <f t="shared" si="26"/>
        <v>844230.16013982345</v>
      </c>
      <c r="Q100" s="355">
        <f t="shared" si="27"/>
        <v>0</v>
      </c>
      <c r="R100" s="201">
        <f t="shared" si="28"/>
        <v>2556.1799846723397</v>
      </c>
      <c r="S100" s="201">
        <f t="shared" si="29"/>
        <v>7865.7042260453163</v>
      </c>
      <c r="T100" s="202">
        <f t="shared" si="30"/>
        <v>10421.884210717657</v>
      </c>
      <c r="U100" s="201">
        <f t="shared" si="31"/>
        <v>2556.179984672337</v>
      </c>
      <c r="V100" s="201">
        <f t="shared" si="32"/>
        <v>7865.7042260453163</v>
      </c>
      <c r="W100" s="201">
        <f t="shared" si="40"/>
        <v>10421.884210717653</v>
      </c>
      <c r="X100" s="201">
        <f t="shared" si="33"/>
        <v>2556.1799846723407</v>
      </c>
      <c r="Y100" s="201">
        <f t="shared" si="34"/>
        <v>7865.7042260453163</v>
      </c>
      <c r="Z100" s="201">
        <f t="shared" si="41"/>
        <v>10421.884210717657</v>
      </c>
      <c r="AA100" s="201"/>
      <c r="AC100" s="257">
        <f t="shared" si="35"/>
        <v>10421.884210717653</v>
      </c>
    </row>
    <row r="101" spans="2:29" x14ac:dyDescent="0.3">
      <c r="B101" s="84">
        <f t="shared" si="36"/>
        <v>90</v>
      </c>
      <c r="C101" s="85">
        <f ca="1">IF($B101="","",'Fecha Pago'!K93)</f>
        <v>48886</v>
      </c>
      <c r="D101" s="86">
        <f>IF($B$12="","",'Fecha Pago'!L93)</f>
        <v>30.4</v>
      </c>
      <c r="E101" s="87">
        <f t="shared" si="21"/>
        <v>0.11</v>
      </c>
      <c r="F101" s="86">
        <f t="shared" si="22"/>
        <v>844230.16013982345</v>
      </c>
      <c r="G101" s="86">
        <f t="shared" si="37"/>
        <v>2579.9240565299606</v>
      </c>
      <c r="H101" s="86">
        <f t="shared" ca="1" si="38"/>
        <v>7841.9601541876928</v>
      </c>
      <c r="I101" s="86">
        <f t="shared" si="23"/>
        <v>10421.884210717653</v>
      </c>
      <c r="J101" s="86">
        <f t="shared" si="24"/>
        <v>0</v>
      </c>
      <c r="K101" s="86">
        <f>IF(B101="","",IF(F101=0,0,IF(Sheet1!$I$10=6,'Tabla Fijos CAT'!$C$3*'Tabla Fijos CAT'!$F$5,$C$5*$F$5)))</f>
        <v>0</v>
      </c>
      <c r="L101" s="86">
        <f t="shared" si="25"/>
        <v>0</v>
      </c>
      <c r="M101" s="86"/>
      <c r="N101" s="86"/>
      <c r="O101" s="86">
        <f t="shared" ca="1" si="39"/>
        <v>10421.884210717653</v>
      </c>
      <c r="P101" s="86">
        <f t="shared" si="26"/>
        <v>841650.23608329345</v>
      </c>
      <c r="Q101" s="355">
        <f t="shared" si="27"/>
        <v>0</v>
      </c>
      <c r="R101" s="201">
        <f t="shared" si="28"/>
        <v>2579.9240565299629</v>
      </c>
      <c r="S101" s="201">
        <f t="shared" si="29"/>
        <v>7841.9601541876928</v>
      </c>
      <c r="T101" s="202">
        <f t="shared" si="30"/>
        <v>10421.884210717655</v>
      </c>
      <c r="U101" s="201">
        <f t="shared" si="31"/>
        <v>2579.9240565299606</v>
      </c>
      <c r="V101" s="201">
        <f t="shared" si="32"/>
        <v>7841.9601541876928</v>
      </c>
      <c r="W101" s="201">
        <f t="shared" si="40"/>
        <v>10421.884210717653</v>
      </c>
      <c r="X101" s="201">
        <f t="shared" si="33"/>
        <v>2579.9240565299642</v>
      </c>
      <c r="Y101" s="201">
        <f t="shared" si="34"/>
        <v>7841.9601541876928</v>
      </c>
      <c r="Z101" s="201">
        <f t="shared" si="41"/>
        <v>10421.884210717657</v>
      </c>
      <c r="AA101" s="201"/>
      <c r="AC101" s="257">
        <f t="shared" si="35"/>
        <v>10421.884210717653</v>
      </c>
    </row>
    <row r="102" spans="2:29" x14ac:dyDescent="0.3">
      <c r="B102" s="84">
        <f t="shared" si="36"/>
        <v>91</v>
      </c>
      <c r="C102" s="85">
        <f ca="1">IF($B102="","",'Fecha Pago'!K94)</f>
        <v>48916</v>
      </c>
      <c r="D102" s="86">
        <f>IF($B$12="","",'Fecha Pago'!L94)</f>
        <v>30.4</v>
      </c>
      <c r="E102" s="87">
        <f t="shared" si="21"/>
        <v>0.11</v>
      </c>
      <c r="F102" s="86">
        <f t="shared" si="22"/>
        <v>841650.23608329345</v>
      </c>
      <c r="G102" s="86">
        <f t="shared" si="37"/>
        <v>2603.888684432839</v>
      </c>
      <c r="H102" s="86">
        <f t="shared" ca="1" si="38"/>
        <v>7817.9955262848143</v>
      </c>
      <c r="I102" s="86">
        <f t="shared" si="23"/>
        <v>10421.884210717653</v>
      </c>
      <c r="J102" s="86">
        <f t="shared" si="24"/>
        <v>0</v>
      </c>
      <c r="K102" s="86">
        <f>IF(B102="","",IF(F102=0,0,IF(Sheet1!$I$10=6,'Tabla Fijos CAT'!$C$3*'Tabla Fijos CAT'!$F$5,$C$5*$F$5)))</f>
        <v>0</v>
      </c>
      <c r="L102" s="86">
        <f t="shared" si="25"/>
        <v>0</v>
      </c>
      <c r="M102" s="86"/>
      <c r="N102" s="86"/>
      <c r="O102" s="86">
        <f t="shared" ca="1" si="39"/>
        <v>10421.884210717653</v>
      </c>
      <c r="P102" s="86">
        <f t="shared" si="26"/>
        <v>839046.34739886061</v>
      </c>
      <c r="Q102" s="355">
        <f t="shared" si="27"/>
        <v>0</v>
      </c>
      <c r="R102" s="201">
        <f t="shared" si="28"/>
        <v>2603.8886844328413</v>
      </c>
      <c r="S102" s="201">
        <f t="shared" si="29"/>
        <v>7817.9955262848143</v>
      </c>
      <c r="T102" s="202">
        <f t="shared" si="30"/>
        <v>10421.884210717655</v>
      </c>
      <c r="U102" s="201">
        <f t="shared" si="31"/>
        <v>2603.888684432839</v>
      </c>
      <c r="V102" s="201">
        <f t="shared" si="32"/>
        <v>7817.9955262848143</v>
      </c>
      <c r="W102" s="201">
        <f t="shared" si="40"/>
        <v>10421.884210717653</v>
      </c>
      <c r="X102" s="201">
        <f t="shared" si="33"/>
        <v>2603.8886844328426</v>
      </c>
      <c r="Y102" s="201">
        <f t="shared" si="34"/>
        <v>7817.9955262848143</v>
      </c>
      <c r="Z102" s="201">
        <f t="shared" si="41"/>
        <v>10421.884210717657</v>
      </c>
      <c r="AA102" s="201"/>
      <c r="AC102" s="257">
        <f t="shared" si="35"/>
        <v>10421.884210717653</v>
      </c>
    </row>
    <row r="103" spans="2:29" x14ac:dyDescent="0.3">
      <c r="B103" s="84">
        <f t="shared" si="36"/>
        <v>92</v>
      </c>
      <c r="C103" s="85">
        <f ca="1">IF($B103="","",'Fecha Pago'!K95)</f>
        <v>48947</v>
      </c>
      <c r="D103" s="86">
        <f>IF($B$12="","",'Fecha Pago'!L95)</f>
        <v>30.4</v>
      </c>
      <c r="E103" s="87">
        <f t="shared" si="21"/>
        <v>0.11</v>
      </c>
      <c r="F103" s="86">
        <f t="shared" si="22"/>
        <v>839046.34739886061</v>
      </c>
      <c r="G103" s="86">
        <f t="shared" si="37"/>
        <v>2628.0759171015707</v>
      </c>
      <c r="H103" s="86">
        <f t="shared" ca="1" si="38"/>
        <v>7793.8082936160827</v>
      </c>
      <c r="I103" s="86">
        <f t="shared" si="23"/>
        <v>10421.884210717653</v>
      </c>
      <c r="J103" s="86">
        <f t="shared" si="24"/>
        <v>0</v>
      </c>
      <c r="K103" s="86">
        <f>IF(B103="","",IF(F103=0,0,IF(Sheet1!$I$10=6,'Tabla Fijos CAT'!$C$3*'Tabla Fijos CAT'!$F$5,$C$5*$F$5)))</f>
        <v>0</v>
      </c>
      <c r="L103" s="86">
        <f t="shared" si="25"/>
        <v>0</v>
      </c>
      <c r="M103" s="86"/>
      <c r="N103" s="86"/>
      <c r="O103" s="86">
        <f t="shared" ca="1" si="39"/>
        <v>10421.884210717653</v>
      </c>
      <c r="P103" s="86">
        <f t="shared" si="26"/>
        <v>836418.27148175903</v>
      </c>
      <c r="Q103" s="355">
        <f t="shared" si="27"/>
        <v>0</v>
      </c>
      <c r="R103" s="201">
        <f t="shared" si="28"/>
        <v>2628.0759171015729</v>
      </c>
      <c r="S103" s="201">
        <f t="shared" si="29"/>
        <v>7793.8082936160827</v>
      </c>
      <c r="T103" s="202">
        <f t="shared" si="30"/>
        <v>10421.884210717655</v>
      </c>
      <c r="U103" s="201">
        <f t="shared" si="31"/>
        <v>2628.0759171015707</v>
      </c>
      <c r="V103" s="201">
        <f t="shared" si="32"/>
        <v>7793.8082936160827</v>
      </c>
      <c r="W103" s="201">
        <f t="shared" si="40"/>
        <v>10421.884210717653</v>
      </c>
      <c r="X103" s="201">
        <f t="shared" si="33"/>
        <v>2628.0759171015743</v>
      </c>
      <c r="Y103" s="201">
        <f t="shared" si="34"/>
        <v>7793.8082936160827</v>
      </c>
      <c r="Z103" s="201">
        <f t="shared" si="41"/>
        <v>10421.884210717657</v>
      </c>
      <c r="AA103" s="201"/>
      <c r="AC103" s="257">
        <f t="shared" si="35"/>
        <v>10421.884210717653</v>
      </c>
    </row>
    <row r="104" spans="2:29" x14ac:dyDescent="0.3">
      <c r="B104" s="84">
        <f t="shared" si="36"/>
        <v>93</v>
      </c>
      <c r="C104" s="85">
        <f ca="1">IF($B104="","",'Fecha Pago'!K96)</f>
        <v>48978</v>
      </c>
      <c r="D104" s="86">
        <f>IF($B$12="","",'Fecha Pago'!L96)</f>
        <v>30.4</v>
      </c>
      <c r="E104" s="87">
        <f t="shared" si="21"/>
        <v>0.11</v>
      </c>
      <c r="F104" s="86">
        <f t="shared" si="22"/>
        <v>836418.27148175903</v>
      </c>
      <c r="G104" s="86">
        <f t="shared" si="37"/>
        <v>2652.4878222870921</v>
      </c>
      <c r="H104" s="86">
        <f t="shared" ca="1" si="38"/>
        <v>7769.3963884305613</v>
      </c>
      <c r="I104" s="86">
        <f t="shared" si="23"/>
        <v>10421.884210717653</v>
      </c>
      <c r="J104" s="86">
        <f t="shared" si="24"/>
        <v>0</v>
      </c>
      <c r="K104" s="86">
        <f>IF(B104="","",IF(F104=0,0,IF(Sheet1!$I$10=6,'Tabla Fijos CAT'!$C$3*'Tabla Fijos CAT'!$F$5,$C$5*$F$5)))</f>
        <v>0</v>
      </c>
      <c r="L104" s="86">
        <f t="shared" si="25"/>
        <v>0</v>
      </c>
      <c r="M104" s="86"/>
      <c r="N104" s="86"/>
      <c r="O104" s="86">
        <f t="shared" ca="1" si="39"/>
        <v>10421.884210717653</v>
      </c>
      <c r="P104" s="86">
        <f t="shared" si="26"/>
        <v>833765.7836594719</v>
      </c>
      <c r="Q104" s="355">
        <f t="shared" si="27"/>
        <v>0</v>
      </c>
      <c r="R104" s="201">
        <f t="shared" si="28"/>
        <v>2652.4878222870948</v>
      </c>
      <c r="S104" s="201">
        <f t="shared" si="29"/>
        <v>7769.3963884305613</v>
      </c>
      <c r="T104" s="202">
        <f t="shared" si="30"/>
        <v>10421.884210717657</v>
      </c>
      <c r="U104" s="201">
        <f t="shared" si="31"/>
        <v>2652.4878222870921</v>
      </c>
      <c r="V104" s="201">
        <f t="shared" si="32"/>
        <v>7769.3963884305613</v>
      </c>
      <c r="W104" s="201">
        <f t="shared" si="40"/>
        <v>10421.884210717653</v>
      </c>
      <c r="X104" s="201">
        <f t="shared" si="33"/>
        <v>2652.4878222870957</v>
      </c>
      <c r="Y104" s="201">
        <f t="shared" si="34"/>
        <v>7769.3963884305613</v>
      </c>
      <c r="Z104" s="201">
        <f t="shared" si="41"/>
        <v>10421.884210717657</v>
      </c>
      <c r="AA104" s="201"/>
      <c r="AC104" s="257">
        <f t="shared" si="35"/>
        <v>10421.884210717653</v>
      </c>
    </row>
    <row r="105" spans="2:29" x14ac:dyDescent="0.3">
      <c r="B105" s="84">
        <f t="shared" si="36"/>
        <v>94</v>
      </c>
      <c r="C105" s="85">
        <f ca="1">IF($B105="","",'Fecha Pago'!K97)</f>
        <v>49006</v>
      </c>
      <c r="D105" s="86">
        <f>IF($B$12="","",'Fecha Pago'!L97)</f>
        <v>30.4</v>
      </c>
      <c r="E105" s="87">
        <f t="shared" si="21"/>
        <v>0.11</v>
      </c>
      <c r="F105" s="86">
        <f t="shared" si="22"/>
        <v>833765.7836594719</v>
      </c>
      <c r="G105" s="86">
        <f t="shared" si="37"/>
        <v>2677.126486947448</v>
      </c>
      <c r="H105" s="86">
        <f t="shared" ca="1" si="38"/>
        <v>7744.7577237702053</v>
      </c>
      <c r="I105" s="86">
        <f t="shared" si="23"/>
        <v>10421.884210717653</v>
      </c>
      <c r="J105" s="86">
        <f t="shared" si="24"/>
        <v>0</v>
      </c>
      <c r="K105" s="86">
        <f>IF(B105="","",IF(F105=0,0,IF(Sheet1!$I$10=6,'Tabla Fijos CAT'!$C$3*'Tabla Fijos CAT'!$F$5,$C$5*$F$5)))</f>
        <v>0</v>
      </c>
      <c r="L105" s="86">
        <f t="shared" si="25"/>
        <v>0</v>
      </c>
      <c r="M105" s="86"/>
      <c r="N105" s="86"/>
      <c r="O105" s="86">
        <f t="shared" ca="1" si="39"/>
        <v>10421.884210717653</v>
      </c>
      <c r="P105" s="86">
        <f t="shared" si="26"/>
        <v>831088.65717252449</v>
      </c>
      <c r="Q105" s="355">
        <f t="shared" si="27"/>
        <v>0</v>
      </c>
      <c r="R105" s="201">
        <f t="shared" si="28"/>
        <v>2677.1264869474503</v>
      </c>
      <c r="S105" s="201">
        <f t="shared" si="29"/>
        <v>7744.7577237702053</v>
      </c>
      <c r="T105" s="202">
        <f t="shared" si="30"/>
        <v>10421.884210717655</v>
      </c>
      <c r="U105" s="201">
        <f t="shared" si="31"/>
        <v>2677.126486947448</v>
      </c>
      <c r="V105" s="201">
        <f t="shared" si="32"/>
        <v>7744.7577237702053</v>
      </c>
      <c r="W105" s="201">
        <f t="shared" si="40"/>
        <v>10421.884210717653</v>
      </c>
      <c r="X105" s="201">
        <f t="shared" si="33"/>
        <v>2677.126486947448</v>
      </c>
      <c r="Y105" s="201">
        <f t="shared" si="34"/>
        <v>7744.7577237702053</v>
      </c>
      <c r="Z105" s="201">
        <f t="shared" si="41"/>
        <v>10421.884210717653</v>
      </c>
      <c r="AA105" s="201"/>
      <c r="AC105" s="257">
        <f t="shared" si="35"/>
        <v>10421.884210717653</v>
      </c>
    </row>
    <row r="106" spans="2:29" x14ac:dyDescent="0.3">
      <c r="B106" s="84">
        <f t="shared" si="36"/>
        <v>95</v>
      </c>
      <c r="C106" s="85">
        <f ca="1">IF($B106="","",'Fecha Pago'!K98)</f>
        <v>49037</v>
      </c>
      <c r="D106" s="86">
        <f>IF($B$12="","",'Fecha Pago'!L98)</f>
        <v>30.4</v>
      </c>
      <c r="E106" s="87">
        <f t="shared" si="21"/>
        <v>0.11</v>
      </c>
      <c r="F106" s="86">
        <f t="shared" si="22"/>
        <v>831088.65717252449</v>
      </c>
      <c r="G106" s="86">
        <f t="shared" si="37"/>
        <v>2701.9940174262047</v>
      </c>
      <c r="H106" s="86">
        <f t="shared" ca="1" si="38"/>
        <v>7719.8901932914487</v>
      </c>
      <c r="I106" s="86">
        <f t="shared" si="23"/>
        <v>10421.884210717653</v>
      </c>
      <c r="J106" s="86">
        <f t="shared" si="24"/>
        <v>0</v>
      </c>
      <c r="K106" s="86">
        <f>IF(B106="","",IF(F106=0,0,IF(Sheet1!$I$10=6,'Tabla Fijos CAT'!$C$3*'Tabla Fijos CAT'!$F$5,$C$5*$F$5)))</f>
        <v>0</v>
      </c>
      <c r="L106" s="86">
        <f t="shared" si="25"/>
        <v>0</v>
      </c>
      <c r="M106" s="86"/>
      <c r="N106" s="86"/>
      <c r="O106" s="86">
        <f t="shared" ca="1" si="39"/>
        <v>10421.884210717653</v>
      </c>
      <c r="P106" s="86">
        <f t="shared" si="26"/>
        <v>828386.66315509833</v>
      </c>
      <c r="Q106" s="355">
        <f t="shared" si="27"/>
        <v>0</v>
      </c>
      <c r="R106" s="201">
        <f t="shared" si="28"/>
        <v>2701.9940174262065</v>
      </c>
      <c r="S106" s="201">
        <f t="shared" si="29"/>
        <v>7719.8901932914487</v>
      </c>
      <c r="T106" s="202">
        <f t="shared" si="30"/>
        <v>10421.884210717655</v>
      </c>
      <c r="U106" s="201">
        <f t="shared" si="31"/>
        <v>2701.9940174262047</v>
      </c>
      <c r="V106" s="201">
        <f t="shared" si="32"/>
        <v>7719.8901932914487</v>
      </c>
      <c r="W106" s="201">
        <f t="shared" si="40"/>
        <v>10421.884210717653</v>
      </c>
      <c r="X106" s="201">
        <f t="shared" si="33"/>
        <v>2701.9940174262083</v>
      </c>
      <c r="Y106" s="201">
        <f t="shared" si="34"/>
        <v>7719.8901932914487</v>
      </c>
      <c r="Z106" s="201">
        <f t="shared" si="41"/>
        <v>10421.884210717657</v>
      </c>
      <c r="AA106" s="201"/>
      <c r="AC106" s="257">
        <f t="shared" si="35"/>
        <v>10421.884210717653</v>
      </c>
    </row>
    <row r="107" spans="2:29" x14ac:dyDescent="0.3">
      <c r="B107" s="84">
        <f t="shared" si="36"/>
        <v>96</v>
      </c>
      <c r="C107" s="85">
        <f ca="1">IF($B107="","",'Fecha Pago'!K99)</f>
        <v>49067</v>
      </c>
      <c r="D107" s="86">
        <f>IF($B$12="","",'Fecha Pago'!L99)</f>
        <v>30.4</v>
      </c>
      <c r="E107" s="87">
        <f t="shared" si="21"/>
        <v>0.11</v>
      </c>
      <c r="F107" s="86">
        <f t="shared" si="22"/>
        <v>828386.66315509833</v>
      </c>
      <c r="G107" s="86">
        <f t="shared" si="37"/>
        <v>2727.0925396325183</v>
      </c>
      <c r="H107" s="86">
        <f t="shared" ca="1" si="38"/>
        <v>7694.791671085135</v>
      </c>
      <c r="I107" s="86">
        <f t="shared" si="23"/>
        <v>10421.884210717653</v>
      </c>
      <c r="J107" s="86">
        <f t="shared" si="24"/>
        <v>0</v>
      </c>
      <c r="K107" s="86">
        <f>IF(B107="","",IF(F107=0,0,IF(Sheet1!$I$10=6,'Tabla Fijos CAT'!$C$3*'Tabla Fijos CAT'!$F$5,$C$5*$F$5)))</f>
        <v>0</v>
      </c>
      <c r="L107" s="86">
        <f t="shared" si="25"/>
        <v>0</v>
      </c>
      <c r="M107" s="86"/>
      <c r="N107" s="86"/>
      <c r="O107" s="86">
        <f t="shared" ca="1" si="39"/>
        <v>10421.884210717653</v>
      </c>
      <c r="P107" s="86">
        <f t="shared" si="26"/>
        <v>825659.57061546575</v>
      </c>
      <c r="Q107" s="355">
        <f t="shared" si="27"/>
        <v>0</v>
      </c>
      <c r="R107" s="201">
        <f t="shared" si="28"/>
        <v>2727.0925396325215</v>
      </c>
      <c r="S107" s="201">
        <f t="shared" si="29"/>
        <v>7694.791671085135</v>
      </c>
      <c r="T107" s="202">
        <f t="shared" si="30"/>
        <v>10421.884210717657</v>
      </c>
      <c r="U107" s="201">
        <f t="shared" si="31"/>
        <v>2727.0925396325183</v>
      </c>
      <c r="V107" s="201">
        <f t="shared" si="32"/>
        <v>7694.791671085135</v>
      </c>
      <c r="W107" s="201">
        <f t="shared" si="40"/>
        <v>10421.884210717653</v>
      </c>
      <c r="X107" s="201">
        <f t="shared" si="33"/>
        <v>2727.0925396325238</v>
      </c>
      <c r="Y107" s="201">
        <f t="shared" si="34"/>
        <v>7694.791671085135</v>
      </c>
      <c r="Z107" s="201">
        <f t="shared" si="41"/>
        <v>10421.884210717659</v>
      </c>
      <c r="AA107" s="201"/>
      <c r="AC107" s="257">
        <f t="shared" si="35"/>
        <v>10421.884210717653</v>
      </c>
    </row>
    <row r="108" spans="2:29" x14ac:dyDescent="0.3">
      <c r="B108" s="84">
        <f t="shared" si="36"/>
        <v>97</v>
      </c>
      <c r="C108" s="85">
        <f ca="1">IF($B108="","",'Fecha Pago'!K100)</f>
        <v>49098</v>
      </c>
      <c r="D108" s="86">
        <f>IF($B$12="","",'Fecha Pago'!L100)</f>
        <v>30.4</v>
      </c>
      <c r="E108" s="87">
        <f t="shared" si="21"/>
        <v>0.11</v>
      </c>
      <c r="F108" s="86">
        <f t="shared" si="22"/>
        <v>825659.57061546575</v>
      </c>
      <c r="G108" s="86">
        <f t="shared" si="37"/>
        <v>2752.4241992228835</v>
      </c>
      <c r="H108" s="86">
        <f t="shared" ca="1" si="38"/>
        <v>7669.4600114947698</v>
      </c>
      <c r="I108" s="86">
        <f t="shared" si="23"/>
        <v>10421.884210717653</v>
      </c>
      <c r="J108" s="86">
        <f t="shared" si="24"/>
        <v>0</v>
      </c>
      <c r="K108" s="86">
        <f>IF(B108="","",IF(F108=0,0,IF(Sheet1!$I$10=6,'Tabla Fijos CAT'!$C$3*'Tabla Fijos CAT'!$F$5,$C$5*$F$5)))</f>
        <v>0</v>
      </c>
      <c r="L108" s="86">
        <f t="shared" si="25"/>
        <v>0</v>
      </c>
      <c r="M108" s="86"/>
      <c r="N108" s="86"/>
      <c r="O108" s="86">
        <f t="shared" ca="1" si="39"/>
        <v>10421.884210717653</v>
      </c>
      <c r="P108" s="86">
        <f t="shared" si="26"/>
        <v>822907.14641624282</v>
      </c>
      <c r="Q108" s="355">
        <f t="shared" si="27"/>
        <v>0</v>
      </c>
      <c r="R108" s="201">
        <f t="shared" si="28"/>
        <v>2752.4241992228849</v>
      </c>
      <c r="S108" s="201">
        <f t="shared" si="29"/>
        <v>7669.4600114947698</v>
      </c>
      <c r="T108" s="202">
        <f t="shared" si="30"/>
        <v>10421.884210717655</v>
      </c>
      <c r="U108" s="201">
        <f t="shared" si="31"/>
        <v>2752.4241992228835</v>
      </c>
      <c r="V108" s="201">
        <f t="shared" si="32"/>
        <v>7669.4600114947698</v>
      </c>
      <c r="W108" s="201">
        <f t="shared" si="40"/>
        <v>10421.884210717653</v>
      </c>
      <c r="X108" s="201">
        <f t="shared" si="33"/>
        <v>2752.4241992228872</v>
      </c>
      <c r="Y108" s="201">
        <f t="shared" si="34"/>
        <v>7669.4600114947698</v>
      </c>
      <c r="Z108" s="201">
        <f t="shared" si="41"/>
        <v>10421.884210717657</v>
      </c>
      <c r="AA108" s="201"/>
      <c r="AC108" s="257">
        <f t="shared" si="35"/>
        <v>10421.884210717653</v>
      </c>
    </row>
    <row r="109" spans="2:29" x14ac:dyDescent="0.3">
      <c r="B109" s="84">
        <f t="shared" si="36"/>
        <v>98</v>
      </c>
      <c r="C109" s="85">
        <f ca="1">IF($B109="","",'Fecha Pago'!K101)</f>
        <v>49128</v>
      </c>
      <c r="D109" s="86">
        <f>IF($B$12="","",'Fecha Pago'!L101)</f>
        <v>30.4</v>
      </c>
      <c r="E109" s="87">
        <f t="shared" si="21"/>
        <v>0.11</v>
      </c>
      <c r="F109" s="86">
        <f t="shared" si="22"/>
        <v>822907.14641624282</v>
      </c>
      <c r="G109" s="86">
        <f t="shared" si="37"/>
        <v>2777.9911617845537</v>
      </c>
      <c r="H109" s="86">
        <f t="shared" ca="1" si="38"/>
        <v>7643.8930489330996</v>
      </c>
      <c r="I109" s="86">
        <f t="shared" si="23"/>
        <v>10421.884210717653</v>
      </c>
      <c r="J109" s="86">
        <f t="shared" si="24"/>
        <v>0</v>
      </c>
      <c r="K109" s="86">
        <f>IF(B109="","",IF(F109=0,0,IF(Sheet1!$I$10=6,'Tabla Fijos CAT'!$C$3*'Tabla Fijos CAT'!$F$5,$C$5*$F$5)))</f>
        <v>0</v>
      </c>
      <c r="L109" s="86">
        <f t="shared" si="25"/>
        <v>0</v>
      </c>
      <c r="M109" s="86"/>
      <c r="N109" s="86"/>
      <c r="O109" s="86">
        <f t="shared" ca="1" si="39"/>
        <v>10421.884210717653</v>
      </c>
      <c r="P109" s="86">
        <f t="shared" si="26"/>
        <v>820129.15525445831</v>
      </c>
      <c r="Q109" s="355">
        <f t="shared" si="27"/>
        <v>0</v>
      </c>
      <c r="R109" s="201">
        <f t="shared" si="28"/>
        <v>2777.9911617845555</v>
      </c>
      <c r="S109" s="201">
        <f t="shared" si="29"/>
        <v>7643.8930489330996</v>
      </c>
      <c r="T109" s="202">
        <f t="shared" si="30"/>
        <v>10421.884210717655</v>
      </c>
      <c r="U109" s="201">
        <f t="shared" si="31"/>
        <v>2777.9911617845537</v>
      </c>
      <c r="V109" s="201">
        <f t="shared" si="32"/>
        <v>7643.8930489330996</v>
      </c>
      <c r="W109" s="201">
        <f t="shared" si="40"/>
        <v>10421.884210717653</v>
      </c>
      <c r="X109" s="201">
        <f t="shared" si="33"/>
        <v>2777.9911617845573</v>
      </c>
      <c r="Y109" s="201">
        <f t="shared" si="34"/>
        <v>7643.8930489330996</v>
      </c>
      <c r="Z109" s="201">
        <f t="shared" si="41"/>
        <v>10421.884210717657</v>
      </c>
      <c r="AA109" s="201"/>
      <c r="AC109" s="257">
        <f t="shared" si="35"/>
        <v>10421.884210717653</v>
      </c>
    </row>
    <row r="110" spans="2:29" x14ac:dyDescent="0.3">
      <c r="B110" s="84">
        <f t="shared" si="36"/>
        <v>99</v>
      </c>
      <c r="C110" s="85">
        <f ca="1">IF($B110="","",'Fecha Pago'!K102)</f>
        <v>49159</v>
      </c>
      <c r="D110" s="86">
        <f>IF($B$12="","",'Fecha Pago'!L102)</f>
        <v>30.4</v>
      </c>
      <c r="E110" s="87">
        <f t="shared" si="21"/>
        <v>0.11</v>
      </c>
      <c r="F110" s="86">
        <f t="shared" si="22"/>
        <v>820129.15525445831</v>
      </c>
      <c r="G110" s="86">
        <f t="shared" si="37"/>
        <v>2803.7956130206858</v>
      </c>
      <c r="H110" s="86">
        <f t="shared" ca="1" si="38"/>
        <v>7618.0885976969676</v>
      </c>
      <c r="I110" s="86">
        <f t="shared" si="23"/>
        <v>10421.884210717653</v>
      </c>
      <c r="J110" s="86">
        <f t="shared" si="24"/>
        <v>0</v>
      </c>
      <c r="K110" s="86">
        <f>IF(B110="","",IF(F110=0,0,IF(Sheet1!$I$10=6,'Tabla Fijos CAT'!$C$3*'Tabla Fijos CAT'!$F$5,$C$5*$F$5)))</f>
        <v>0</v>
      </c>
      <c r="L110" s="86">
        <f t="shared" si="25"/>
        <v>0</v>
      </c>
      <c r="M110" s="86"/>
      <c r="N110" s="86"/>
      <c r="O110" s="86">
        <f t="shared" ca="1" si="39"/>
        <v>10421.884210717653</v>
      </c>
      <c r="P110" s="86">
        <f t="shared" si="26"/>
        <v>817325.35964143765</v>
      </c>
      <c r="Q110" s="355">
        <f t="shared" si="27"/>
        <v>0</v>
      </c>
      <c r="R110" s="201">
        <f t="shared" si="28"/>
        <v>2803.7956130206876</v>
      </c>
      <c r="S110" s="201">
        <f t="shared" si="29"/>
        <v>7618.0885976969676</v>
      </c>
      <c r="T110" s="202">
        <f t="shared" si="30"/>
        <v>10421.884210717655</v>
      </c>
      <c r="U110" s="201">
        <f t="shared" si="31"/>
        <v>2803.7956130206858</v>
      </c>
      <c r="V110" s="201">
        <f t="shared" si="32"/>
        <v>7618.0885976969676</v>
      </c>
      <c r="W110" s="201">
        <f t="shared" si="40"/>
        <v>10421.884210717653</v>
      </c>
      <c r="X110" s="201">
        <f t="shared" si="33"/>
        <v>2803.7956130206894</v>
      </c>
      <c r="Y110" s="201">
        <f t="shared" si="34"/>
        <v>7618.0885976969676</v>
      </c>
      <c r="Z110" s="201">
        <f t="shared" si="41"/>
        <v>10421.884210717657</v>
      </c>
      <c r="AA110" s="201"/>
      <c r="AC110" s="257">
        <f t="shared" si="35"/>
        <v>10421.884210717653</v>
      </c>
    </row>
    <row r="111" spans="2:29" x14ac:dyDescent="0.3">
      <c r="B111" s="84">
        <f t="shared" si="36"/>
        <v>100</v>
      </c>
      <c r="C111" s="85">
        <f ca="1">IF($B111="","",'Fecha Pago'!K103)</f>
        <v>49190</v>
      </c>
      <c r="D111" s="86">
        <f>IF($B$12="","",'Fecha Pago'!L103)</f>
        <v>30.4</v>
      </c>
      <c r="E111" s="87">
        <f t="shared" si="21"/>
        <v>0.11</v>
      </c>
      <c r="F111" s="86">
        <f t="shared" si="22"/>
        <v>817325.35964143765</v>
      </c>
      <c r="G111" s="86">
        <f t="shared" si="37"/>
        <v>2829.8397589371889</v>
      </c>
      <c r="H111" s="86">
        <f t="shared" ca="1" si="38"/>
        <v>7592.0444517804644</v>
      </c>
      <c r="I111" s="86">
        <f t="shared" si="23"/>
        <v>10421.884210717653</v>
      </c>
      <c r="J111" s="86">
        <f t="shared" si="24"/>
        <v>0</v>
      </c>
      <c r="K111" s="86">
        <f>IF(B111="","",IF(F111=0,0,IF(Sheet1!$I$10=6,'Tabla Fijos CAT'!$C$3*'Tabla Fijos CAT'!$F$5,$C$5*$F$5)))</f>
        <v>0</v>
      </c>
      <c r="L111" s="86">
        <f t="shared" si="25"/>
        <v>0</v>
      </c>
      <c r="M111" s="86"/>
      <c r="N111" s="86"/>
      <c r="O111" s="86">
        <f t="shared" ca="1" si="39"/>
        <v>10421.884210717653</v>
      </c>
      <c r="P111" s="86">
        <f t="shared" si="26"/>
        <v>814495.5198825004</v>
      </c>
      <c r="Q111" s="355">
        <f t="shared" si="27"/>
        <v>0</v>
      </c>
      <c r="R111" s="201">
        <f t="shared" si="28"/>
        <v>2829.8397589371907</v>
      </c>
      <c r="S111" s="201">
        <f t="shared" si="29"/>
        <v>7592.0444517804644</v>
      </c>
      <c r="T111" s="202">
        <f t="shared" si="30"/>
        <v>10421.884210717655</v>
      </c>
      <c r="U111" s="201">
        <f t="shared" si="31"/>
        <v>2829.8397589371889</v>
      </c>
      <c r="V111" s="201">
        <f t="shared" si="32"/>
        <v>7592.0444517804644</v>
      </c>
      <c r="W111" s="201">
        <f t="shared" si="40"/>
        <v>10421.884210717653</v>
      </c>
      <c r="X111" s="201">
        <f t="shared" si="33"/>
        <v>2829.8397589371925</v>
      </c>
      <c r="Y111" s="201">
        <f t="shared" si="34"/>
        <v>7592.0444517804644</v>
      </c>
      <c r="Z111" s="201">
        <f t="shared" si="41"/>
        <v>10421.884210717657</v>
      </c>
      <c r="AA111" s="201"/>
      <c r="AC111" s="257">
        <f t="shared" si="35"/>
        <v>10421.884210717653</v>
      </c>
    </row>
    <row r="112" spans="2:29" x14ac:dyDescent="0.3">
      <c r="B112" s="84">
        <f t="shared" si="36"/>
        <v>101</v>
      </c>
      <c r="C112" s="85">
        <f ca="1">IF($B112="","",'Fecha Pago'!K104)</f>
        <v>49220</v>
      </c>
      <c r="D112" s="86">
        <f>IF($B$12="","",'Fecha Pago'!L104)</f>
        <v>30.4</v>
      </c>
      <c r="E112" s="87">
        <f t="shared" si="21"/>
        <v>0.11</v>
      </c>
      <c r="F112" s="86">
        <f t="shared" si="22"/>
        <v>814495.5198825004</v>
      </c>
      <c r="G112" s="86">
        <f t="shared" si="37"/>
        <v>2856.125826031317</v>
      </c>
      <c r="H112" s="86">
        <f t="shared" ca="1" si="38"/>
        <v>7565.7583846863363</v>
      </c>
      <c r="I112" s="86">
        <f t="shared" si="23"/>
        <v>10421.884210717653</v>
      </c>
      <c r="J112" s="86">
        <f t="shared" si="24"/>
        <v>0</v>
      </c>
      <c r="K112" s="86">
        <f>IF(B112="","",IF(F112=0,0,IF(Sheet1!$I$10=6,'Tabla Fijos CAT'!$C$3*'Tabla Fijos CAT'!$F$5,$C$5*$F$5)))</f>
        <v>0</v>
      </c>
      <c r="L112" s="86">
        <f t="shared" si="25"/>
        <v>0</v>
      </c>
      <c r="M112" s="86"/>
      <c r="N112" s="86"/>
      <c r="O112" s="86">
        <f t="shared" ca="1" si="39"/>
        <v>10421.884210717653</v>
      </c>
      <c r="P112" s="86">
        <f t="shared" si="26"/>
        <v>811639.39405646909</v>
      </c>
      <c r="Q112" s="355">
        <f t="shared" si="27"/>
        <v>0</v>
      </c>
      <c r="R112" s="201">
        <f t="shared" si="28"/>
        <v>2856.125826031318</v>
      </c>
      <c r="S112" s="201">
        <f t="shared" si="29"/>
        <v>7565.7583846863363</v>
      </c>
      <c r="T112" s="202">
        <f t="shared" si="30"/>
        <v>10421.884210717653</v>
      </c>
      <c r="U112" s="201">
        <f t="shared" si="31"/>
        <v>2856.125826031317</v>
      </c>
      <c r="V112" s="201">
        <f t="shared" si="32"/>
        <v>7565.7583846863363</v>
      </c>
      <c r="W112" s="201">
        <f t="shared" si="40"/>
        <v>10421.884210717653</v>
      </c>
      <c r="X112" s="201">
        <f t="shared" si="33"/>
        <v>2856.125826031317</v>
      </c>
      <c r="Y112" s="201">
        <f t="shared" si="34"/>
        <v>7565.7583846863363</v>
      </c>
      <c r="Z112" s="201">
        <f t="shared" si="41"/>
        <v>10421.884210717653</v>
      </c>
      <c r="AA112" s="201"/>
      <c r="AC112" s="257">
        <f t="shared" si="35"/>
        <v>10421.884210717653</v>
      </c>
    </row>
    <row r="113" spans="2:29" x14ac:dyDescent="0.3">
      <c r="B113" s="84">
        <f t="shared" si="36"/>
        <v>102</v>
      </c>
      <c r="C113" s="85">
        <f ca="1">IF($B113="","",'Fecha Pago'!K105)</f>
        <v>49251</v>
      </c>
      <c r="D113" s="86">
        <f>IF($B$12="","",'Fecha Pago'!L105)</f>
        <v>30.4</v>
      </c>
      <c r="E113" s="87">
        <f t="shared" si="21"/>
        <v>0.11</v>
      </c>
      <c r="F113" s="86">
        <f t="shared" si="22"/>
        <v>811639.39405646909</v>
      </c>
      <c r="G113" s="86">
        <f t="shared" si="37"/>
        <v>2882.6560614820073</v>
      </c>
      <c r="H113" s="86">
        <f t="shared" ca="1" si="38"/>
        <v>7539.228149235646</v>
      </c>
      <c r="I113" s="86">
        <f t="shared" si="23"/>
        <v>10421.884210717653</v>
      </c>
      <c r="J113" s="86">
        <f t="shared" si="24"/>
        <v>0</v>
      </c>
      <c r="K113" s="86">
        <f>IF(B113="","",IF(F113=0,0,IF(Sheet1!$I$10=6,'Tabla Fijos CAT'!$C$3*'Tabla Fijos CAT'!$F$5,$C$5*$F$5)))</f>
        <v>0</v>
      </c>
      <c r="L113" s="86">
        <f t="shared" si="25"/>
        <v>0</v>
      </c>
      <c r="M113" s="86"/>
      <c r="N113" s="86"/>
      <c r="O113" s="86">
        <f t="shared" ca="1" si="39"/>
        <v>10421.884210717653</v>
      </c>
      <c r="P113" s="86">
        <f t="shared" si="26"/>
        <v>808756.73799498705</v>
      </c>
      <c r="Q113" s="355">
        <f t="shared" si="27"/>
        <v>0</v>
      </c>
      <c r="R113" s="201">
        <f t="shared" si="28"/>
        <v>2882.6560614820096</v>
      </c>
      <c r="S113" s="201">
        <f t="shared" si="29"/>
        <v>7539.228149235646</v>
      </c>
      <c r="T113" s="202">
        <f t="shared" si="30"/>
        <v>10421.884210717655</v>
      </c>
      <c r="U113" s="201">
        <f t="shared" si="31"/>
        <v>2882.6560614820073</v>
      </c>
      <c r="V113" s="201">
        <f t="shared" si="32"/>
        <v>7539.228149235646</v>
      </c>
      <c r="W113" s="201">
        <f t="shared" si="40"/>
        <v>10421.884210717653</v>
      </c>
      <c r="X113" s="201">
        <f t="shared" si="33"/>
        <v>2882.656061482011</v>
      </c>
      <c r="Y113" s="201">
        <f t="shared" si="34"/>
        <v>7539.228149235646</v>
      </c>
      <c r="Z113" s="201">
        <f t="shared" si="41"/>
        <v>10421.884210717657</v>
      </c>
      <c r="AA113" s="201"/>
      <c r="AC113" s="257">
        <f t="shared" si="35"/>
        <v>10421.884210717653</v>
      </c>
    </row>
    <row r="114" spans="2:29" x14ac:dyDescent="0.3">
      <c r="B114" s="84">
        <f t="shared" si="36"/>
        <v>103</v>
      </c>
      <c r="C114" s="85">
        <f ca="1">IF($B114="","",'Fecha Pago'!K106)</f>
        <v>49281</v>
      </c>
      <c r="D114" s="86">
        <f>IF($B$12="","",'Fecha Pago'!L106)</f>
        <v>30.4</v>
      </c>
      <c r="E114" s="87">
        <f t="shared" si="21"/>
        <v>0.11</v>
      </c>
      <c r="F114" s="86">
        <f t="shared" si="22"/>
        <v>808756.73799498705</v>
      </c>
      <c r="G114" s="86">
        <f t="shared" si="37"/>
        <v>2909.432733341996</v>
      </c>
      <c r="H114" s="86">
        <f t="shared" ca="1" si="38"/>
        <v>7512.4514773756573</v>
      </c>
      <c r="I114" s="86">
        <f t="shared" si="23"/>
        <v>10421.884210717653</v>
      </c>
      <c r="J114" s="86">
        <f t="shared" si="24"/>
        <v>0</v>
      </c>
      <c r="K114" s="86">
        <f>IF(B114="","",IF(F114=0,0,IF(Sheet1!$I$10=6,'Tabla Fijos CAT'!$C$3*'Tabla Fijos CAT'!$F$5,$C$5*$F$5)))</f>
        <v>0</v>
      </c>
      <c r="L114" s="86">
        <f t="shared" si="25"/>
        <v>0</v>
      </c>
      <c r="M114" s="86"/>
      <c r="N114" s="86"/>
      <c r="O114" s="86">
        <f t="shared" ca="1" si="39"/>
        <v>10421.884210717653</v>
      </c>
      <c r="P114" s="86">
        <f t="shared" si="26"/>
        <v>805847.305261645</v>
      </c>
      <c r="Q114" s="355">
        <f t="shared" si="27"/>
        <v>0</v>
      </c>
      <c r="R114" s="201">
        <f t="shared" si="28"/>
        <v>2909.4327333419978</v>
      </c>
      <c r="S114" s="201">
        <f t="shared" si="29"/>
        <v>7512.4514773756573</v>
      </c>
      <c r="T114" s="202">
        <f t="shared" si="30"/>
        <v>10421.884210717655</v>
      </c>
      <c r="U114" s="201">
        <f t="shared" si="31"/>
        <v>2909.432733341996</v>
      </c>
      <c r="V114" s="201">
        <f t="shared" si="32"/>
        <v>7512.4514773756573</v>
      </c>
      <c r="W114" s="201">
        <f t="shared" si="40"/>
        <v>10421.884210717653</v>
      </c>
      <c r="X114" s="201">
        <f t="shared" si="33"/>
        <v>2909.432733341996</v>
      </c>
      <c r="Y114" s="201">
        <f t="shared" si="34"/>
        <v>7512.4514773756573</v>
      </c>
      <c r="Z114" s="201">
        <f t="shared" si="41"/>
        <v>10421.884210717653</v>
      </c>
      <c r="AA114" s="201"/>
      <c r="AC114" s="257">
        <f t="shared" si="35"/>
        <v>10421.884210717653</v>
      </c>
    </row>
    <row r="115" spans="2:29" x14ac:dyDescent="0.3">
      <c r="B115" s="84">
        <f t="shared" si="36"/>
        <v>104</v>
      </c>
      <c r="C115" s="85">
        <f ca="1">IF($B115="","",'Fecha Pago'!K107)</f>
        <v>49312</v>
      </c>
      <c r="D115" s="86">
        <f>IF($B$12="","",'Fecha Pago'!L107)</f>
        <v>30.4</v>
      </c>
      <c r="E115" s="87">
        <f t="shared" si="21"/>
        <v>0.11</v>
      </c>
      <c r="F115" s="86">
        <f t="shared" si="22"/>
        <v>805847.305261645</v>
      </c>
      <c r="G115" s="86">
        <f t="shared" si="37"/>
        <v>2936.4581307317067</v>
      </c>
      <c r="H115" s="86">
        <f t="shared" ca="1" si="38"/>
        <v>7485.4260799859467</v>
      </c>
      <c r="I115" s="86">
        <f t="shared" si="23"/>
        <v>10421.884210717653</v>
      </c>
      <c r="J115" s="86">
        <f t="shared" si="24"/>
        <v>0</v>
      </c>
      <c r="K115" s="86">
        <f>IF(B115="","",IF(F115=0,0,IF(Sheet1!$I$10=6,'Tabla Fijos CAT'!$C$3*'Tabla Fijos CAT'!$F$5,$C$5*$F$5)))</f>
        <v>0</v>
      </c>
      <c r="L115" s="86">
        <f t="shared" si="25"/>
        <v>0</v>
      </c>
      <c r="M115" s="86"/>
      <c r="N115" s="86"/>
      <c r="O115" s="86">
        <f t="shared" ca="1" si="39"/>
        <v>10421.884210717653</v>
      </c>
      <c r="P115" s="86">
        <f t="shared" si="26"/>
        <v>802910.84713091329</v>
      </c>
      <c r="Q115" s="355">
        <f t="shared" si="27"/>
        <v>0</v>
      </c>
      <c r="R115" s="201">
        <f t="shared" si="28"/>
        <v>2936.4581307317085</v>
      </c>
      <c r="S115" s="201">
        <f t="shared" si="29"/>
        <v>7485.4260799859467</v>
      </c>
      <c r="T115" s="202">
        <f t="shared" si="30"/>
        <v>10421.884210717655</v>
      </c>
      <c r="U115" s="201">
        <f t="shared" si="31"/>
        <v>2936.4581307317067</v>
      </c>
      <c r="V115" s="201">
        <f t="shared" si="32"/>
        <v>7485.4260799859467</v>
      </c>
      <c r="W115" s="201">
        <f t="shared" si="40"/>
        <v>10421.884210717653</v>
      </c>
      <c r="X115" s="201">
        <f t="shared" si="33"/>
        <v>2936.4581307317067</v>
      </c>
      <c r="Y115" s="201">
        <f t="shared" si="34"/>
        <v>7485.4260799859467</v>
      </c>
      <c r="Z115" s="201">
        <f t="shared" si="41"/>
        <v>10421.884210717653</v>
      </c>
      <c r="AA115" s="201"/>
      <c r="AC115" s="257">
        <f t="shared" si="35"/>
        <v>10421.884210717653</v>
      </c>
    </row>
    <row r="116" spans="2:29" x14ac:dyDescent="0.3">
      <c r="B116" s="84">
        <f t="shared" si="36"/>
        <v>105</v>
      </c>
      <c r="C116" s="85">
        <f ca="1">IF($B116="","",'Fecha Pago'!K108)</f>
        <v>49343</v>
      </c>
      <c r="D116" s="86">
        <f>IF($B$12="","",'Fecha Pago'!L108)</f>
        <v>30.4</v>
      </c>
      <c r="E116" s="87">
        <f t="shared" si="21"/>
        <v>0.11</v>
      </c>
      <c r="F116" s="86">
        <f t="shared" si="22"/>
        <v>802910.84713091329</v>
      </c>
      <c r="G116" s="86">
        <f t="shared" si="37"/>
        <v>2963.7345640349486</v>
      </c>
      <c r="H116" s="86">
        <f t="shared" ca="1" si="38"/>
        <v>7458.1496466827048</v>
      </c>
      <c r="I116" s="86">
        <f t="shared" si="23"/>
        <v>10421.884210717653</v>
      </c>
      <c r="J116" s="86">
        <f t="shared" si="24"/>
        <v>0</v>
      </c>
      <c r="K116" s="86">
        <f>IF(B116="","",IF(F116=0,0,IF(Sheet1!$I$10=6,'Tabla Fijos CAT'!$C$3*'Tabla Fijos CAT'!$F$5,$C$5*$F$5)))</f>
        <v>0</v>
      </c>
      <c r="L116" s="86">
        <f t="shared" si="25"/>
        <v>0</v>
      </c>
      <c r="M116" s="86"/>
      <c r="N116" s="86"/>
      <c r="O116" s="86">
        <f t="shared" ca="1" si="39"/>
        <v>10421.884210717653</v>
      </c>
      <c r="P116" s="86">
        <f t="shared" si="26"/>
        <v>799947.11256687832</v>
      </c>
      <c r="Q116" s="355">
        <f t="shared" si="27"/>
        <v>0</v>
      </c>
      <c r="R116" s="201">
        <f t="shared" si="28"/>
        <v>2963.7345640349495</v>
      </c>
      <c r="S116" s="201">
        <f t="shared" si="29"/>
        <v>7458.1496466827048</v>
      </c>
      <c r="T116" s="202">
        <f t="shared" si="30"/>
        <v>10421.884210717653</v>
      </c>
      <c r="U116" s="201">
        <f t="shared" si="31"/>
        <v>2963.7345640349486</v>
      </c>
      <c r="V116" s="201">
        <f t="shared" si="32"/>
        <v>7458.1496466827048</v>
      </c>
      <c r="W116" s="201">
        <f t="shared" si="40"/>
        <v>10421.884210717653</v>
      </c>
      <c r="X116" s="201">
        <f t="shared" si="33"/>
        <v>2963.7345640349522</v>
      </c>
      <c r="Y116" s="201">
        <f t="shared" si="34"/>
        <v>7458.1496466827048</v>
      </c>
      <c r="Z116" s="201">
        <f t="shared" si="41"/>
        <v>10421.884210717657</v>
      </c>
      <c r="AA116" s="201"/>
      <c r="AC116" s="257">
        <f t="shared" si="35"/>
        <v>10421.884210717653</v>
      </c>
    </row>
    <row r="117" spans="2:29" x14ac:dyDescent="0.3">
      <c r="B117" s="84">
        <f t="shared" si="36"/>
        <v>106</v>
      </c>
      <c r="C117" s="85">
        <f ca="1">IF($B117="","",'Fecha Pago'!K109)</f>
        <v>49371</v>
      </c>
      <c r="D117" s="86">
        <f>IF($B$12="","",'Fecha Pago'!L109)</f>
        <v>30.4</v>
      </c>
      <c r="E117" s="87">
        <f t="shared" si="21"/>
        <v>0.11</v>
      </c>
      <c r="F117" s="86">
        <f t="shared" si="22"/>
        <v>799947.11256687832</v>
      </c>
      <c r="G117" s="86">
        <f t="shared" si="37"/>
        <v>2991.2643650964283</v>
      </c>
      <c r="H117" s="86">
        <f t="shared" ca="1" si="38"/>
        <v>7430.6198456212251</v>
      </c>
      <c r="I117" s="86">
        <f t="shared" si="23"/>
        <v>10421.884210717653</v>
      </c>
      <c r="J117" s="86">
        <f t="shared" si="24"/>
        <v>0</v>
      </c>
      <c r="K117" s="86">
        <f>IF(B117="","",IF(F117=0,0,IF(Sheet1!$I$10=6,'Tabla Fijos CAT'!$C$3*'Tabla Fijos CAT'!$F$5,$C$5*$F$5)))</f>
        <v>0</v>
      </c>
      <c r="L117" s="86">
        <f t="shared" si="25"/>
        <v>0</v>
      </c>
      <c r="M117" s="86"/>
      <c r="N117" s="86"/>
      <c r="O117" s="86">
        <f t="shared" ca="1" si="39"/>
        <v>10421.884210717653</v>
      </c>
      <c r="P117" s="86">
        <f t="shared" si="26"/>
        <v>796955.84820178186</v>
      </c>
      <c r="Q117" s="355">
        <f t="shared" si="27"/>
        <v>0</v>
      </c>
      <c r="R117" s="201">
        <f t="shared" si="28"/>
        <v>2991.2643650964296</v>
      </c>
      <c r="S117" s="201">
        <f t="shared" si="29"/>
        <v>7430.6198456212251</v>
      </c>
      <c r="T117" s="202">
        <f t="shared" si="30"/>
        <v>10421.884210717655</v>
      </c>
      <c r="U117" s="201">
        <f t="shared" si="31"/>
        <v>2991.2643650964283</v>
      </c>
      <c r="V117" s="201">
        <f t="shared" si="32"/>
        <v>7430.6198456212251</v>
      </c>
      <c r="W117" s="201">
        <f t="shared" si="40"/>
        <v>10421.884210717653</v>
      </c>
      <c r="X117" s="201">
        <f t="shared" si="33"/>
        <v>2991.2643650964283</v>
      </c>
      <c r="Y117" s="201">
        <f t="shared" si="34"/>
        <v>7430.6198456212251</v>
      </c>
      <c r="Z117" s="201">
        <f t="shared" si="41"/>
        <v>10421.884210717653</v>
      </c>
      <c r="AA117" s="201"/>
      <c r="AC117" s="257">
        <f t="shared" si="35"/>
        <v>10421.884210717653</v>
      </c>
    </row>
    <row r="118" spans="2:29" x14ac:dyDescent="0.3">
      <c r="B118" s="84">
        <f t="shared" si="36"/>
        <v>107</v>
      </c>
      <c r="C118" s="85">
        <f ca="1">IF($B118="","",'Fecha Pago'!K110)</f>
        <v>49402</v>
      </c>
      <c r="D118" s="86">
        <f>IF($B$12="","",'Fecha Pago'!L110)</f>
        <v>30.4</v>
      </c>
      <c r="E118" s="87">
        <f t="shared" si="21"/>
        <v>0.11</v>
      </c>
      <c r="F118" s="86">
        <f t="shared" si="22"/>
        <v>796955.84820178186</v>
      </c>
      <c r="G118" s="86">
        <f t="shared" si="37"/>
        <v>3019.0498874211025</v>
      </c>
      <c r="H118" s="86">
        <f t="shared" ca="1" si="38"/>
        <v>7402.8343232965508</v>
      </c>
      <c r="I118" s="86">
        <f t="shared" si="23"/>
        <v>10421.884210717653</v>
      </c>
      <c r="J118" s="86">
        <f t="shared" si="24"/>
        <v>0</v>
      </c>
      <c r="K118" s="86">
        <f>IF(B118="","",IF(F118=0,0,IF(Sheet1!$I$10=6,'Tabla Fijos CAT'!$C$3*'Tabla Fijos CAT'!$F$5,$C$5*$F$5)))</f>
        <v>0</v>
      </c>
      <c r="L118" s="86">
        <f t="shared" si="25"/>
        <v>0</v>
      </c>
      <c r="M118" s="86"/>
      <c r="N118" s="86"/>
      <c r="O118" s="86">
        <f t="shared" ca="1" si="39"/>
        <v>10421.884210717653</v>
      </c>
      <c r="P118" s="86">
        <f t="shared" si="26"/>
        <v>793936.79831436079</v>
      </c>
      <c r="Q118" s="355">
        <f t="shared" si="27"/>
        <v>0</v>
      </c>
      <c r="R118" s="201">
        <f t="shared" si="28"/>
        <v>3019.049887421103</v>
      </c>
      <c r="S118" s="201">
        <f t="shared" si="29"/>
        <v>7402.8343232965508</v>
      </c>
      <c r="T118" s="202">
        <f t="shared" si="30"/>
        <v>10421.884210717653</v>
      </c>
      <c r="U118" s="201">
        <f t="shared" si="31"/>
        <v>3019.0498874211025</v>
      </c>
      <c r="V118" s="201">
        <f t="shared" si="32"/>
        <v>7402.8343232965508</v>
      </c>
      <c r="W118" s="201">
        <f t="shared" si="40"/>
        <v>10421.884210717653</v>
      </c>
      <c r="X118" s="201">
        <f t="shared" si="33"/>
        <v>3019.0498874211025</v>
      </c>
      <c r="Y118" s="201">
        <f t="shared" si="34"/>
        <v>7402.8343232965508</v>
      </c>
      <c r="Z118" s="201">
        <f t="shared" si="41"/>
        <v>10421.884210717653</v>
      </c>
      <c r="AA118" s="201"/>
      <c r="AC118" s="257">
        <f t="shared" si="35"/>
        <v>10421.884210717653</v>
      </c>
    </row>
    <row r="119" spans="2:29" x14ac:dyDescent="0.3">
      <c r="B119" s="84">
        <f t="shared" si="36"/>
        <v>108</v>
      </c>
      <c r="C119" s="85">
        <f ca="1">IF($B119="","",'Fecha Pago'!K111)</f>
        <v>49432</v>
      </c>
      <c r="D119" s="86">
        <f>IF($B$12="","",'Fecha Pago'!L111)</f>
        <v>30.4</v>
      </c>
      <c r="E119" s="87">
        <f t="shared" si="21"/>
        <v>0.11</v>
      </c>
      <c r="F119" s="86">
        <f t="shared" si="22"/>
        <v>793936.79831436079</v>
      </c>
      <c r="G119" s="86">
        <f t="shared" si="37"/>
        <v>3047.0935063753695</v>
      </c>
      <c r="H119" s="86">
        <f t="shared" ca="1" si="38"/>
        <v>7374.7907043422838</v>
      </c>
      <c r="I119" s="86">
        <f t="shared" si="23"/>
        <v>10421.884210717653</v>
      </c>
      <c r="J119" s="86">
        <f t="shared" si="24"/>
        <v>0</v>
      </c>
      <c r="K119" s="86">
        <f>IF(B119="","",IF(F119=0,0,IF(Sheet1!$I$10=6,'Tabla Fijos CAT'!$C$3*'Tabla Fijos CAT'!$F$5,$C$5*$F$5)))</f>
        <v>0</v>
      </c>
      <c r="L119" s="86">
        <f t="shared" si="25"/>
        <v>0</v>
      </c>
      <c r="M119" s="86"/>
      <c r="N119" s="86"/>
      <c r="O119" s="86">
        <f t="shared" ca="1" si="39"/>
        <v>10421.884210717653</v>
      </c>
      <c r="P119" s="86">
        <f t="shared" si="26"/>
        <v>790889.70480798546</v>
      </c>
      <c r="Q119" s="355">
        <f t="shared" si="27"/>
        <v>0</v>
      </c>
      <c r="R119" s="201">
        <f t="shared" si="28"/>
        <v>3047.0935063753695</v>
      </c>
      <c r="S119" s="201">
        <f t="shared" si="29"/>
        <v>7374.7907043422838</v>
      </c>
      <c r="T119" s="202">
        <f t="shared" si="30"/>
        <v>10421.884210717653</v>
      </c>
      <c r="U119" s="201">
        <f t="shared" si="31"/>
        <v>3047.0935063753695</v>
      </c>
      <c r="V119" s="201">
        <f t="shared" si="32"/>
        <v>7374.7907043422838</v>
      </c>
      <c r="W119" s="201">
        <f t="shared" si="40"/>
        <v>10421.884210717653</v>
      </c>
      <c r="X119" s="201">
        <f t="shared" si="33"/>
        <v>3047.0935063753695</v>
      </c>
      <c r="Y119" s="201">
        <f t="shared" si="34"/>
        <v>7374.7907043422838</v>
      </c>
      <c r="Z119" s="201">
        <f t="shared" si="41"/>
        <v>10421.884210717653</v>
      </c>
      <c r="AA119" s="201"/>
      <c r="AC119" s="257">
        <f t="shared" si="35"/>
        <v>10421.884210717653</v>
      </c>
    </row>
    <row r="120" spans="2:29" x14ac:dyDescent="0.3">
      <c r="B120" s="84">
        <f t="shared" si="36"/>
        <v>109</v>
      </c>
      <c r="C120" s="85">
        <f ca="1">IF($B120="","",'Fecha Pago'!K112)</f>
        <v>49463</v>
      </c>
      <c r="D120" s="86">
        <f>IF($B$12="","",'Fecha Pago'!L112)</f>
        <v>30.4</v>
      </c>
      <c r="E120" s="87">
        <f t="shared" si="21"/>
        <v>0.11</v>
      </c>
      <c r="F120" s="86">
        <f t="shared" si="22"/>
        <v>790889.70480798546</v>
      </c>
      <c r="G120" s="86">
        <f t="shared" si="37"/>
        <v>3075.3976193901444</v>
      </c>
      <c r="H120" s="86">
        <f t="shared" ca="1" si="38"/>
        <v>7346.4865913275089</v>
      </c>
      <c r="I120" s="86">
        <f t="shared" si="23"/>
        <v>10421.884210717653</v>
      </c>
      <c r="J120" s="86">
        <f t="shared" si="24"/>
        <v>0</v>
      </c>
      <c r="K120" s="86">
        <f>IF(B120="","",IF(F120=0,0,IF(Sheet1!$I$10=6,'Tabla Fijos CAT'!$C$3*'Tabla Fijos CAT'!$F$5,$C$5*$F$5)))</f>
        <v>0</v>
      </c>
      <c r="L120" s="86">
        <f t="shared" si="25"/>
        <v>0</v>
      </c>
      <c r="M120" s="86"/>
      <c r="N120" s="86"/>
      <c r="O120" s="86">
        <f t="shared" ca="1" si="39"/>
        <v>10421.884210717653</v>
      </c>
      <c r="P120" s="86">
        <f t="shared" si="26"/>
        <v>787814.3071885953</v>
      </c>
      <c r="Q120" s="355">
        <f t="shared" si="27"/>
        <v>0</v>
      </c>
      <c r="R120" s="201">
        <f t="shared" si="28"/>
        <v>3075.3976193901462</v>
      </c>
      <c r="S120" s="201">
        <f t="shared" si="29"/>
        <v>7346.4865913275089</v>
      </c>
      <c r="T120" s="202">
        <f t="shared" si="30"/>
        <v>10421.884210717655</v>
      </c>
      <c r="U120" s="201">
        <f t="shared" si="31"/>
        <v>3075.3976193901444</v>
      </c>
      <c r="V120" s="201">
        <f t="shared" si="32"/>
        <v>7346.4865913275089</v>
      </c>
      <c r="W120" s="201">
        <f t="shared" si="40"/>
        <v>10421.884210717653</v>
      </c>
      <c r="X120" s="201">
        <f t="shared" si="33"/>
        <v>3075.3976193901481</v>
      </c>
      <c r="Y120" s="201">
        <f t="shared" si="34"/>
        <v>7346.4865913275089</v>
      </c>
      <c r="Z120" s="201">
        <f t="shared" si="41"/>
        <v>10421.884210717657</v>
      </c>
      <c r="AA120" s="201"/>
      <c r="AC120" s="257">
        <f t="shared" si="35"/>
        <v>10421.884210717653</v>
      </c>
    </row>
    <row r="121" spans="2:29" x14ac:dyDescent="0.3">
      <c r="B121" s="84">
        <f t="shared" si="36"/>
        <v>110</v>
      </c>
      <c r="C121" s="85">
        <f ca="1">IF($B121="","",'Fecha Pago'!K113)</f>
        <v>49493</v>
      </c>
      <c r="D121" s="86">
        <f>IF($B$12="","",'Fecha Pago'!L113)</f>
        <v>30.4</v>
      </c>
      <c r="E121" s="87">
        <f t="shared" si="21"/>
        <v>0.11</v>
      </c>
      <c r="F121" s="86">
        <f t="shared" si="22"/>
        <v>787814.3071885953</v>
      </c>
      <c r="G121" s="86">
        <f t="shared" si="37"/>
        <v>3103.9646461658131</v>
      </c>
      <c r="H121" s="86">
        <f t="shared" ca="1" si="38"/>
        <v>7317.9195645518403</v>
      </c>
      <c r="I121" s="86">
        <f t="shared" si="23"/>
        <v>10421.884210717653</v>
      </c>
      <c r="J121" s="86">
        <f t="shared" si="24"/>
        <v>0</v>
      </c>
      <c r="K121" s="86">
        <f>IF(B121="","",IF(F121=0,0,IF(Sheet1!$I$10=6,'Tabla Fijos CAT'!$C$3*'Tabla Fijos CAT'!$F$5,$C$5*$F$5)))</f>
        <v>0</v>
      </c>
      <c r="L121" s="86">
        <f t="shared" si="25"/>
        <v>0</v>
      </c>
      <c r="M121" s="86"/>
      <c r="N121" s="86"/>
      <c r="O121" s="86">
        <f t="shared" ca="1" si="39"/>
        <v>10421.884210717653</v>
      </c>
      <c r="P121" s="86">
        <f t="shared" si="26"/>
        <v>784710.34254242945</v>
      </c>
      <c r="Q121" s="355">
        <f t="shared" si="27"/>
        <v>0</v>
      </c>
      <c r="R121" s="201">
        <f t="shared" si="28"/>
        <v>3103.9646461658144</v>
      </c>
      <c r="S121" s="201">
        <f t="shared" si="29"/>
        <v>7317.9195645518403</v>
      </c>
      <c r="T121" s="202">
        <f t="shared" si="30"/>
        <v>10421.884210717655</v>
      </c>
      <c r="U121" s="201">
        <f t="shared" si="31"/>
        <v>3103.9646461658131</v>
      </c>
      <c r="V121" s="201">
        <f t="shared" si="32"/>
        <v>7317.9195645518403</v>
      </c>
      <c r="W121" s="201">
        <f t="shared" si="40"/>
        <v>10421.884210717653</v>
      </c>
      <c r="X121" s="201">
        <f t="shared" si="33"/>
        <v>3103.9646461658131</v>
      </c>
      <c r="Y121" s="201">
        <f t="shared" si="34"/>
        <v>7317.9195645518403</v>
      </c>
      <c r="Z121" s="201">
        <f t="shared" si="41"/>
        <v>10421.884210717653</v>
      </c>
      <c r="AA121" s="201"/>
      <c r="AC121" s="257">
        <f t="shared" si="35"/>
        <v>10421.884210717653</v>
      </c>
    </row>
    <row r="122" spans="2:29" x14ac:dyDescent="0.3">
      <c r="B122" s="84">
        <f t="shared" si="36"/>
        <v>111</v>
      </c>
      <c r="C122" s="85">
        <f ca="1">IF($B122="","",'Fecha Pago'!K114)</f>
        <v>49524</v>
      </c>
      <c r="D122" s="86">
        <f>IF($B$12="","",'Fecha Pago'!L114)</f>
        <v>30.4</v>
      </c>
      <c r="E122" s="87">
        <f t="shared" si="21"/>
        <v>0.11</v>
      </c>
      <c r="F122" s="86">
        <f t="shared" si="22"/>
        <v>784710.34254242945</v>
      </c>
      <c r="G122" s="86">
        <f t="shared" si="37"/>
        <v>3132.7970288790866</v>
      </c>
      <c r="H122" s="86">
        <f t="shared" ca="1" si="38"/>
        <v>7289.0871818385667</v>
      </c>
      <c r="I122" s="86">
        <f t="shared" si="23"/>
        <v>10421.884210717653</v>
      </c>
      <c r="J122" s="86">
        <f t="shared" si="24"/>
        <v>0</v>
      </c>
      <c r="K122" s="86">
        <f>IF(B122="","",IF(F122=0,0,IF(Sheet1!$I$10=6,'Tabla Fijos CAT'!$C$3*'Tabla Fijos CAT'!$F$5,$C$5*$F$5)))</f>
        <v>0</v>
      </c>
      <c r="L122" s="86">
        <f t="shared" si="25"/>
        <v>0</v>
      </c>
      <c r="M122" s="86"/>
      <c r="N122" s="86"/>
      <c r="O122" s="86">
        <f t="shared" ca="1" si="39"/>
        <v>10421.884210717653</v>
      </c>
      <c r="P122" s="86">
        <f t="shared" si="26"/>
        <v>781577.5455135504</v>
      </c>
      <c r="Q122" s="355">
        <f t="shared" si="27"/>
        <v>0</v>
      </c>
      <c r="R122" s="201">
        <f t="shared" si="28"/>
        <v>3132.797028879088</v>
      </c>
      <c r="S122" s="201">
        <f t="shared" si="29"/>
        <v>7289.0871818385667</v>
      </c>
      <c r="T122" s="202">
        <f t="shared" si="30"/>
        <v>10421.884210717655</v>
      </c>
      <c r="U122" s="201">
        <f t="shared" si="31"/>
        <v>3132.7970288790866</v>
      </c>
      <c r="V122" s="201">
        <f t="shared" si="32"/>
        <v>7289.0871818385667</v>
      </c>
      <c r="W122" s="201">
        <f t="shared" si="40"/>
        <v>10421.884210717653</v>
      </c>
      <c r="X122" s="201">
        <f t="shared" si="33"/>
        <v>3132.7970288790866</v>
      </c>
      <c r="Y122" s="201">
        <f t="shared" si="34"/>
        <v>7289.0871818385667</v>
      </c>
      <c r="Z122" s="201">
        <f t="shared" si="41"/>
        <v>10421.884210717653</v>
      </c>
      <c r="AA122" s="201"/>
      <c r="AC122" s="257">
        <f t="shared" si="35"/>
        <v>10421.884210717653</v>
      </c>
    </row>
    <row r="123" spans="2:29" x14ac:dyDescent="0.3">
      <c r="B123" s="84">
        <f t="shared" si="36"/>
        <v>112</v>
      </c>
      <c r="C123" s="85">
        <f ca="1">IF($B123="","",'Fecha Pago'!K115)</f>
        <v>49555</v>
      </c>
      <c r="D123" s="86">
        <f>IF($B$12="","",'Fecha Pago'!L115)</f>
        <v>30.4</v>
      </c>
      <c r="E123" s="87">
        <f t="shared" si="21"/>
        <v>0.11</v>
      </c>
      <c r="F123" s="86">
        <f t="shared" si="22"/>
        <v>781577.5455135504</v>
      </c>
      <c r="G123" s="86">
        <f t="shared" si="37"/>
        <v>3161.897232391786</v>
      </c>
      <c r="H123" s="86">
        <f t="shared" ca="1" si="38"/>
        <v>7259.9869783258673</v>
      </c>
      <c r="I123" s="86">
        <f t="shared" si="23"/>
        <v>10421.884210717653</v>
      </c>
      <c r="J123" s="86">
        <f t="shared" si="24"/>
        <v>0</v>
      </c>
      <c r="K123" s="86">
        <f>IF(B123="","",IF(F123=0,0,IF(Sheet1!$I$10=6,'Tabla Fijos CAT'!$C$3*'Tabla Fijos CAT'!$F$5,$C$5*$F$5)))</f>
        <v>0</v>
      </c>
      <c r="L123" s="86">
        <f t="shared" si="25"/>
        <v>0</v>
      </c>
      <c r="M123" s="86"/>
      <c r="N123" s="86"/>
      <c r="O123" s="86">
        <f t="shared" ca="1" si="39"/>
        <v>10421.884210717653</v>
      </c>
      <c r="P123" s="86">
        <f t="shared" si="26"/>
        <v>778415.64828115865</v>
      </c>
      <c r="Q123" s="355">
        <f t="shared" si="27"/>
        <v>0</v>
      </c>
      <c r="R123" s="201">
        <f t="shared" si="28"/>
        <v>3161.8972323917869</v>
      </c>
      <c r="S123" s="201">
        <f t="shared" si="29"/>
        <v>7259.9869783258673</v>
      </c>
      <c r="T123" s="202">
        <f t="shared" si="30"/>
        <v>10421.884210717653</v>
      </c>
      <c r="U123" s="201">
        <f t="shared" si="31"/>
        <v>3161.897232391786</v>
      </c>
      <c r="V123" s="201">
        <f t="shared" si="32"/>
        <v>7259.9869783258673</v>
      </c>
      <c r="W123" s="201">
        <f t="shared" si="40"/>
        <v>10421.884210717653</v>
      </c>
      <c r="X123" s="201">
        <f t="shared" si="33"/>
        <v>3161.897232391786</v>
      </c>
      <c r="Y123" s="201">
        <f t="shared" si="34"/>
        <v>7259.9869783258673</v>
      </c>
      <c r="Z123" s="201">
        <f t="shared" si="41"/>
        <v>10421.884210717653</v>
      </c>
      <c r="AA123" s="201"/>
      <c r="AC123" s="257">
        <f t="shared" si="35"/>
        <v>10421.884210717653</v>
      </c>
    </row>
    <row r="124" spans="2:29" x14ac:dyDescent="0.3">
      <c r="B124" s="84">
        <f t="shared" si="36"/>
        <v>113</v>
      </c>
      <c r="C124" s="85">
        <f ca="1">IF($B124="","",'Fecha Pago'!K116)</f>
        <v>49585</v>
      </c>
      <c r="D124" s="86">
        <f>IF($B$12="","",'Fecha Pago'!L116)</f>
        <v>30.4</v>
      </c>
      <c r="E124" s="87">
        <f t="shared" si="21"/>
        <v>0.11</v>
      </c>
      <c r="F124" s="86">
        <f t="shared" si="22"/>
        <v>778415.64828115865</v>
      </c>
      <c r="G124" s="86">
        <f t="shared" si="37"/>
        <v>3191.2677444615583</v>
      </c>
      <c r="H124" s="86">
        <f t="shared" ca="1" si="38"/>
        <v>7230.616466256095</v>
      </c>
      <c r="I124" s="86">
        <f t="shared" si="23"/>
        <v>10421.884210717653</v>
      </c>
      <c r="J124" s="86">
        <f t="shared" si="24"/>
        <v>0</v>
      </c>
      <c r="K124" s="86">
        <f>IF(B124="","",IF(F124=0,0,IF(Sheet1!$I$10=6,'Tabla Fijos CAT'!$C$3*'Tabla Fijos CAT'!$F$5,$C$5*$F$5)))</f>
        <v>0</v>
      </c>
      <c r="L124" s="86">
        <f t="shared" si="25"/>
        <v>0</v>
      </c>
      <c r="M124" s="86"/>
      <c r="N124" s="86"/>
      <c r="O124" s="86">
        <f t="shared" ca="1" si="39"/>
        <v>10421.884210717653</v>
      </c>
      <c r="P124" s="86">
        <f t="shared" si="26"/>
        <v>775224.38053669711</v>
      </c>
      <c r="Q124" s="355">
        <f t="shared" si="27"/>
        <v>0</v>
      </c>
      <c r="R124" s="201">
        <f t="shared" si="28"/>
        <v>3191.2677444615592</v>
      </c>
      <c r="S124" s="201">
        <f t="shared" si="29"/>
        <v>7230.616466256095</v>
      </c>
      <c r="T124" s="202">
        <f t="shared" si="30"/>
        <v>10421.884210717653</v>
      </c>
      <c r="U124" s="201">
        <f t="shared" si="31"/>
        <v>3191.2677444615583</v>
      </c>
      <c r="V124" s="201">
        <f t="shared" si="32"/>
        <v>7230.616466256095</v>
      </c>
      <c r="W124" s="201">
        <f t="shared" si="40"/>
        <v>10421.884210717653</v>
      </c>
      <c r="X124" s="201">
        <f t="shared" si="33"/>
        <v>3191.2677444615583</v>
      </c>
      <c r="Y124" s="201">
        <f t="shared" si="34"/>
        <v>7230.616466256095</v>
      </c>
      <c r="Z124" s="201">
        <f t="shared" si="41"/>
        <v>10421.884210717653</v>
      </c>
      <c r="AA124" s="201"/>
      <c r="AC124" s="257">
        <f t="shared" si="35"/>
        <v>10421.884210717653</v>
      </c>
    </row>
    <row r="125" spans="2:29" x14ac:dyDescent="0.3">
      <c r="B125" s="84">
        <f t="shared" si="36"/>
        <v>114</v>
      </c>
      <c r="C125" s="85">
        <f ca="1">IF($B125="","",'Fecha Pago'!K117)</f>
        <v>49616</v>
      </c>
      <c r="D125" s="86">
        <f>IF($B$12="","",'Fecha Pago'!L117)</f>
        <v>30.4</v>
      </c>
      <c r="E125" s="87">
        <f t="shared" si="21"/>
        <v>0.11</v>
      </c>
      <c r="F125" s="86">
        <f t="shared" si="22"/>
        <v>775224.38053669711</v>
      </c>
      <c r="G125" s="86">
        <f t="shared" si="37"/>
        <v>3220.9110759545565</v>
      </c>
      <c r="H125" s="86">
        <f t="shared" ca="1" si="38"/>
        <v>7200.9731347630968</v>
      </c>
      <c r="I125" s="86">
        <f t="shared" si="23"/>
        <v>10421.884210717653</v>
      </c>
      <c r="J125" s="86">
        <f t="shared" si="24"/>
        <v>0</v>
      </c>
      <c r="K125" s="86">
        <f>IF(B125="","",IF(F125=0,0,IF(Sheet1!$I$10=6,'Tabla Fijos CAT'!$C$3*'Tabla Fijos CAT'!$F$5,$C$5*$F$5)))</f>
        <v>0</v>
      </c>
      <c r="L125" s="86">
        <f t="shared" si="25"/>
        <v>0</v>
      </c>
      <c r="M125" s="86"/>
      <c r="N125" s="86"/>
      <c r="O125" s="86">
        <f t="shared" ca="1" si="39"/>
        <v>10421.884210717653</v>
      </c>
      <c r="P125" s="86">
        <f t="shared" si="26"/>
        <v>772003.46946074255</v>
      </c>
      <c r="Q125" s="355">
        <f t="shared" si="27"/>
        <v>0</v>
      </c>
      <c r="R125" s="201">
        <f t="shared" si="28"/>
        <v>3220.9110759545579</v>
      </c>
      <c r="S125" s="201">
        <f t="shared" si="29"/>
        <v>7200.9731347630968</v>
      </c>
      <c r="T125" s="202">
        <f t="shared" si="30"/>
        <v>10421.884210717655</v>
      </c>
      <c r="U125" s="201">
        <f t="shared" si="31"/>
        <v>3220.9110759545565</v>
      </c>
      <c r="V125" s="201">
        <f t="shared" si="32"/>
        <v>7200.9731347630968</v>
      </c>
      <c r="W125" s="201">
        <f t="shared" si="40"/>
        <v>10421.884210717653</v>
      </c>
      <c r="X125" s="201">
        <f t="shared" si="33"/>
        <v>3220.9110759545565</v>
      </c>
      <c r="Y125" s="201">
        <f t="shared" si="34"/>
        <v>7200.9731347630968</v>
      </c>
      <c r="Z125" s="201">
        <f t="shared" si="41"/>
        <v>10421.884210717653</v>
      </c>
      <c r="AA125" s="201"/>
      <c r="AC125" s="257">
        <f t="shared" si="35"/>
        <v>10421.884210717653</v>
      </c>
    </row>
    <row r="126" spans="2:29" x14ac:dyDescent="0.3">
      <c r="B126" s="84">
        <f t="shared" si="36"/>
        <v>115</v>
      </c>
      <c r="C126" s="85">
        <f ca="1">IF($B126="","",'Fecha Pago'!K118)</f>
        <v>49646</v>
      </c>
      <c r="D126" s="86">
        <f>IF($B$12="","",'Fecha Pago'!L118)</f>
        <v>30.4</v>
      </c>
      <c r="E126" s="87">
        <f t="shared" si="21"/>
        <v>0.11</v>
      </c>
      <c r="F126" s="86">
        <f t="shared" si="22"/>
        <v>772003.46946074255</v>
      </c>
      <c r="G126" s="86">
        <f t="shared" si="37"/>
        <v>3250.8297610600894</v>
      </c>
      <c r="H126" s="86">
        <f t="shared" ca="1" si="38"/>
        <v>7171.054449657564</v>
      </c>
      <c r="I126" s="86">
        <f t="shared" si="23"/>
        <v>10421.884210717653</v>
      </c>
      <c r="J126" s="86">
        <f t="shared" si="24"/>
        <v>0</v>
      </c>
      <c r="K126" s="86">
        <f>IF(B126="","",IF(F126=0,0,IF(Sheet1!$I$10=6,'Tabla Fijos CAT'!$C$3*'Tabla Fijos CAT'!$F$5,$C$5*$F$5)))</f>
        <v>0</v>
      </c>
      <c r="L126" s="86">
        <f t="shared" si="25"/>
        <v>0</v>
      </c>
      <c r="M126" s="86"/>
      <c r="N126" s="86"/>
      <c r="O126" s="86">
        <f t="shared" ca="1" si="39"/>
        <v>10421.884210717653</v>
      </c>
      <c r="P126" s="86">
        <f t="shared" si="26"/>
        <v>768752.63969968248</v>
      </c>
      <c r="Q126" s="355">
        <f t="shared" si="27"/>
        <v>0</v>
      </c>
      <c r="R126" s="201">
        <f t="shared" si="28"/>
        <v>3250.8297610600912</v>
      </c>
      <c r="S126" s="201">
        <f t="shared" si="29"/>
        <v>7171.054449657564</v>
      </c>
      <c r="T126" s="202">
        <f t="shared" si="30"/>
        <v>10421.884210717655</v>
      </c>
      <c r="U126" s="201">
        <f t="shared" si="31"/>
        <v>3250.8297610600894</v>
      </c>
      <c r="V126" s="201">
        <f t="shared" si="32"/>
        <v>7171.054449657564</v>
      </c>
      <c r="W126" s="201">
        <f t="shared" si="40"/>
        <v>10421.884210717653</v>
      </c>
      <c r="X126" s="201">
        <f t="shared" si="33"/>
        <v>3250.8297610600894</v>
      </c>
      <c r="Y126" s="201">
        <f t="shared" si="34"/>
        <v>7171.054449657564</v>
      </c>
      <c r="Z126" s="201">
        <f t="shared" si="41"/>
        <v>10421.884210717653</v>
      </c>
      <c r="AA126" s="201"/>
      <c r="AC126" s="257">
        <f t="shared" si="35"/>
        <v>10421.884210717653</v>
      </c>
    </row>
    <row r="127" spans="2:29" x14ac:dyDescent="0.3">
      <c r="B127" s="84">
        <f t="shared" si="36"/>
        <v>116</v>
      </c>
      <c r="C127" s="85">
        <f ca="1">IF($B127="","",'Fecha Pago'!K119)</f>
        <v>49677</v>
      </c>
      <c r="D127" s="86">
        <f>IF($B$12="","",'Fecha Pago'!L119)</f>
        <v>30.4</v>
      </c>
      <c r="E127" s="87">
        <f t="shared" si="21"/>
        <v>0.11</v>
      </c>
      <c r="F127" s="86">
        <f t="shared" si="22"/>
        <v>768752.63969968248</v>
      </c>
      <c r="G127" s="86">
        <f t="shared" si="37"/>
        <v>3281.0263575072704</v>
      </c>
      <c r="H127" s="86">
        <f t="shared" ca="1" si="38"/>
        <v>7140.8578532103829</v>
      </c>
      <c r="I127" s="86">
        <f t="shared" si="23"/>
        <v>10421.884210717653</v>
      </c>
      <c r="J127" s="86">
        <f t="shared" si="24"/>
        <v>0</v>
      </c>
      <c r="K127" s="86">
        <f>IF(B127="","",IF(F127=0,0,IF(Sheet1!$I$10=6,'Tabla Fijos CAT'!$C$3*'Tabla Fijos CAT'!$F$5,$C$5*$F$5)))</f>
        <v>0</v>
      </c>
      <c r="L127" s="86">
        <f t="shared" si="25"/>
        <v>0</v>
      </c>
      <c r="M127" s="86"/>
      <c r="N127" s="86"/>
      <c r="O127" s="86">
        <f t="shared" ca="1" si="39"/>
        <v>10421.884210717653</v>
      </c>
      <c r="P127" s="86">
        <f t="shared" si="26"/>
        <v>765471.61334217526</v>
      </c>
      <c r="Q127" s="355">
        <f t="shared" si="27"/>
        <v>0</v>
      </c>
      <c r="R127" s="201">
        <f t="shared" si="28"/>
        <v>3281.0263575072713</v>
      </c>
      <c r="S127" s="201">
        <f t="shared" si="29"/>
        <v>7140.8578532103829</v>
      </c>
      <c r="T127" s="202">
        <f t="shared" si="30"/>
        <v>10421.884210717653</v>
      </c>
      <c r="U127" s="201">
        <f t="shared" si="31"/>
        <v>3281.0263575072704</v>
      </c>
      <c r="V127" s="201">
        <f t="shared" si="32"/>
        <v>7140.8578532103829</v>
      </c>
      <c r="W127" s="201">
        <f t="shared" si="40"/>
        <v>10421.884210717653</v>
      </c>
      <c r="X127" s="201">
        <f t="shared" si="33"/>
        <v>3281.0263575072704</v>
      </c>
      <c r="Y127" s="201">
        <f t="shared" si="34"/>
        <v>7140.8578532103829</v>
      </c>
      <c r="Z127" s="201">
        <f t="shared" si="41"/>
        <v>10421.884210717653</v>
      </c>
      <c r="AA127" s="201"/>
      <c r="AC127" s="257">
        <f t="shared" si="35"/>
        <v>10421.884210717653</v>
      </c>
    </row>
    <row r="128" spans="2:29" x14ac:dyDescent="0.3">
      <c r="B128" s="84">
        <f t="shared" si="36"/>
        <v>117</v>
      </c>
      <c r="C128" s="85">
        <f ca="1">IF($B128="","",'Fecha Pago'!K120)</f>
        <v>49708</v>
      </c>
      <c r="D128" s="86">
        <f>IF($B$12="","",'Fecha Pago'!L120)</f>
        <v>30.4</v>
      </c>
      <c r="E128" s="87">
        <f t="shared" si="21"/>
        <v>0.11</v>
      </c>
      <c r="F128" s="86">
        <f t="shared" si="22"/>
        <v>765471.61334217526</v>
      </c>
      <c r="G128" s="86">
        <f t="shared" si="37"/>
        <v>3311.5034467836704</v>
      </c>
      <c r="H128" s="86">
        <f t="shared" ca="1" si="38"/>
        <v>7110.380763933983</v>
      </c>
      <c r="I128" s="86">
        <f t="shared" si="23"/>
        <v>10421.884210717653</v>
      </c>
      <c r="J128" s="86">
        <f t="shared" si="24"/>
        <v>0</v>
      </c>
      <c r="K128" s="86">
        <f>IF(B128="","",IF(F128=0,0,IF(Sheet1!$I$10=6,'Tabla Fijos CAT'!$C$3*'Tabla Fijos CAT'!$F$5,$C$5*$F$5)))</f>
        <v>0</v>
      </c>
      <c r="L128" s="86">
        <f t="shared" si="25"/>
        <v>0</v>
      </c>
      <c r="M128" s="86"/>
      <c r="N128" s="86"/>
      <c r="O128" s="86">
        <f t="shared" ca="1" si="39"/>
        <v>10421.884210717653</v>
      </c>
      <c r="P128" s="86">
        <f t="shared" si="26"/>
        <v>762160.10989539162</v>
      </c>
      <c r="Q128" s="355">
        <f t="shared" si="27"/>
        <v>0</v>
      </c>
      <c r="R128" s="201">
        <f t="shared" si="28"/>
        <v>3311.5034467836722</v>
      </c>
      <c r="S128" s="201">
        <f t="shared" si="29"/>
        <v>7110.380763933983</v>
      </c>
      <c r="T128" s="202">
        <f t="shared" si="30"/>
        <v>10421.884210717655</v>
      </c>
      <c r="U128" s="201">
        <f t="shared" si="31"/>
        <v>3311.5034467836704</v>
      </c>
      <c r="V128" s="201">
        <f t="shared" si="32"/>
        <v>7110.380763933983</v>
      </c>
      <c r="W128" s="201">
        <f t="shared" si="40"/>
        <v>10421.884210717653</v>
      </c>
      <c r="X128" s="201">
        <f t="shared" si="33"/>
        <v>3311.5034467836704</v>
      </c>
      <c r="Y128" s="201">
        <f t="shared" si="34"/>
        <v>7110.380763933983</v>
      </c>
      <c r="Z128" s="201">
        <f t="shared" si="41"/>
        <v>10421.884210717653</v>
      </c>
      <c r="AA128" s="201"/>
      <c r="AC128" s="257">
        <f t="shared" si="35"/>
        <v>10421.884210717653</v>
      </c>
    </row>
    <row r="129" spans="2:29" x14ac:dyDescent="0.3">
      <c r="B129" s="84">
        <f t="shared" si="36"/>
        <v>118</v>
      </c>
      <c r="C129" s="85">
        <f ca="1">IF($B129="","",'Fecha Pago'!K121)</f>
        <v>49737</v>
      </c>
      <c r="D129" s="86">
        <f>IF($B$12="","",'Fecha Pago'!L121)</f>
        <v>30.4</v>
      </c>
      <c r="E129" s="87">
        <f t="shared" si="21"/>
        <v>0.11</v>
      </c>
      <c r="F129" s="86">
        <f t="shared" si="22"/>
        <v>762160.10989539162</v>
      </c>
      <c r="G129" s="86">
        <f t="shared" si="37"/>
        <v>3342.2636343560162</v>
      </c>
      <c r="H129" s="86">
        <f t="shared" ca="1" si="38"/>
        <v>7079.6205763616372</v>
      </c>
      <c r="I129" s="86">
        <f t="shared" si="23"/>
        <v>10421.884210717653</v>
      </c>
      <c r="J129" s="86">
        <f t="shared" si="24"/>
        <v>0</v>
      </c>
      <c r="K129" s="86">
        <f>IF(B129="","",IF(F129=0,0,IF(Sheet1!$I$10=6,'Tabla Fijos CAT'!$C$3*'Tabla Fijos CAT'!$F$5,$C$5*$F$5)))</f>
        <v>0</v>
      </c>
      <c r="L129" s="86">
        <f t="shared" si="25"/>
        <v>0</v>
      </c>
      <c r="M129" s="86"/>
      <c r="N129" s="86"/>
      <c r="O129" s="86">
        <f t="shared" ca="1" si="39"/>
        <v>10421.884210717653</v>
      </c>
      <c r="P129" s="86">
        <f t="shared" si="26"/>
        <v>758817.84626103565</v>
      </c>
      <c r="Q129" s="355">
        <f t="shared" si="27"/>
        <v>0</v>
      </c>
      <c r="R129" s="201">
        <f t="shared" si="28"/>
        <v>3342.2636343560189</v>
      </c>
      <c r="S129" s="201">
        <f t="shared" si="29"/>
        <v>7079.6205763616372</v>
      </c>
      <c r="T129" s="202">
        <f t="shared" si="30"/>
        <v>10421.884210717657</v>
      </c>
      <c r="U129" s="201">
        <f t="shared" si="31"/>
        <v>3342.2636343560162</v>
      </c>
      <c r="V129" s="201">
        <f t="shared" si="32"/>
        <v>7079.6205763616372</v>
      </c>
      <c r="W129" s="201">
        <f t="shared" si="40"/>
        <v>10421.884210717653</v>
      </c>
      <c r="X129" s="201">
        <f t="shared" si="33"/>
        <v>3342.2636343560216</v>
      </c>
      <c r="Y129" s="201">
        <f t="shared" si="34"/>
        <v>7079.6205763616372</v>
      </c>
      <c r="Z129" s="201">
        <f t="shared" si="41"/>
        <v>10421.884210717659</v>
      </c>
      <c r="AA129" s="201"/>
      <c r="AC129" s="257">
        <f t="shared" si="35"/>
        <v>10421.884210717653</v>
      </c>
    </row>
    <row r="130" spans="2:29" x14ac:dyDescent="0.3">
      <c r="B130" s="84">
        <f t="shared" si="36"/>
        <v>119</v>
      </c>
      <c r="C130" s="85">
        <f ca="1">IF($B130="","",'Fecha Pago'!K122)</f>
        <v>49768</v>
      </c>
      <c r="D130" s="86">
        <f>IF($B$12="","",'Fecha Pago'!L122)</f>
        <v>30.4</v>
      </c>
      <c r="E130" s="87">
        <f t="shared" si="21"/>
        <v>0.11</v>
      </c>
      <c r="F130" s="86">
        <f t="shared" si="22"/>
        <v>758817.84626103565</v>
      </c>
      <c r="G130" s="86">
        <f t="shared" si="37"/>
        <v>3373.3095498929224</v>
      </c>
      <c r="H130" s="86">
        <f t="shared" ca="1" si="38"/>
        <v>7048.5746608247309</v>
      </c>
      <c r="I130" s="86">
        <f t="shared" si="23"/>
        <v>10421.884210717653</v>
      </c>
      <c r="J130" s="86">
        <f t="shared" si="24"/>
        <v>0</v>
      </c>
      <c r="K130" s="86">
        <f>IF(B130="","",IF(F130=0,0,IF(Sheet1!$I$10=6,'Tabla Fijos CAT'!$C$3*'Tabla Fijos CAT'!$F$5,$C$5*$F$5)))</f>
        <v>0</v>
      </c>
      <c r="L130" s="86">
        <f t="shared" si="25"/>
        <v>0</v>
      </c>
      <c r="M130" s="86"/>
      <c r="N130" s="86"/>
      <c r="O130" s="86">
        <f t="shared" ca="1" si="39"/>
        <v>10421.884210717653</v>
      </c>
      <c r="P130" s="86">
        <f t="shared" si="26"/>
        <v>755444.53671114275</v>
      </c>
      <c r="Q130" s="355">
        <f t="shared" si="27"/>
        <v>0</v>
      </c>
      <c r="R130" s="201">
        <f t="shared" si="28"/>
        <v>3373.3095498929256</v>
      </c>
      <c r="S130" s="201">
        <f t="shared" si="29"/>
        <v>7048.5746608247309</v>
      </c>
      <c r="T130" s="202">
        <f t="shared" si="30"/>
        <v>10421.884210717657</v>
      </c>
      <c r="U130" s="201">
        <f t="shared" si="31"/>
        <v>3373.3095498929224</v>
      </c>
      <c r="V130" s="201">
        <f t="shared" si="32"/>
        <v>7048.5746608247309</v>
      </c>
      <c r="W130" s="201">
        <f t="shared" si="40"/>
        <v>10421.884210717653</v>
      </c>
      <c r="X130" s="201">
        <f t="shared" si="33"/>
        <v>3373.309549892926</v>
      </c>
      <c r="Y130" s="201">
        <f t="shared" si="34"/>
        <v>7048.5746608247309</v>
      </c>
      <c r="Z130" s="201">
        <f t="shared" si="41"/>
        <v>10421.884210717657</v>
      </c>
      <c r="AA130" s="201"/>
      <c r="AC130" s="257">
        <f t="shared" si="35"/>
        <v>10421.884210717653</v>
      </c>
    </row>
    <row r="131" spans="2:29" x14ac:dyDescent="0.3">
      <c r="B131" s="84">
        <f t="shared" si="36"/>
        <v>120</v>
      </c>
      <c r="C131" s="85">
        <f ca="1">IF($B131="","",'Fecha Pago'!K123)</f>
        <v>49798</v>
      </c>
      <c r="D131" s="86">
        <f>IF($B$12="","",'Fecha Pago'!L123)</f>
        <v>30.4</v>
      </c>
      <c r="E131" s="87">
        <f t="shared" si="21"/>
        <v>0.11</v>
      </c>
      <c r="F131" s="86">
        <f t="shared" si="22"/>
        <v>755444.53671114275</v>
      </c>
      <c r="G131" s="86">
        <f t="shared" si="37"/>
        <v>3404.6438474897059</v>
      </c>
      <c r="H131" s="86">
        <f t="shared" ca="1" si="38"/>
        <v>7017.2403632279475</v>
      </c>
      <c r="I131" s="86">
        <f t="shared" si="23"/>
        <v>10421.884210717653</v>
      </c>
      <c r="J131" s="86">
        <f t="shared" si="24"/>
        <v>0</v>
      </c>
      <c r="K131" s="86">
        <f>IF(B131="","",IF(F131=0,0,IF(Sheet1!$I$10=6,'Tabla Fijos CAT'!$C$3*'Tabla Fijos CAT'!$F$5,$C$5*$F$5)))</f>
        <v>0</v>
      </c>
      <c r="L131" s="86">
        <f t="shared" si="25"/>
        <v>0</v>
      </c>
      <c r="M131" s="86"/>
      <c r="N131" s="86"/>
      <c r="O131" s="86">
        <f t="shared" ca="1" si="39"/>
        <v>10421.884210717653</v>
      </c>
      <c r="P131" s="86">
        <f t="shared" si="26"/>
        <v>752039.89286365302</v>
      </c>
      <c r="Q131" s="355">
        <f t="shared" si="27"/>
        <v>0</v>
      </c>
      <c r="R131" s="201">
        <f t="shared" si="28"/>
        <v>3404.6438474897091</v>
      </c>
      <c r="S131" s="201">
        <f t="shared" si="29"/>
        <v>7017.2403632279475</v>
      </c>
      <c r="T131" s="202">
        <f t="shared" si="30"/>
        <v>10421.884210717657</v>
      </c>
      <c r="U131" s="201">
        <f t="shared" si="31"/>
        <v>3404.6438474897059</v>
      </c>
      <c r="V131" s="201">
        <f t="shared" si="32"/>
        <v>7017.2403632279475</v>
      </c>
      <c r="W131" s="201">
        <f t="shared" si="40"/>
        <v>10421.884210717653</v>
      </c>
      <c r="X131" s="201">
        <f t="shared" si="33"/>
        <v>3404.6438474897113</v>
      </c>
      <c r="Y131" s="201">
        <f t="shared" si="34"/>
        <v>7017.2403632279475</v>
      </c>
      <c r="Z131" s="201">
        <f t="shared" si="41"/>
        <v>10421.884210717659</v>
      </c>
      <c r="AA131" s="201"/>
      <c r="AC131" s="257">
        <f t="shared" si="35"/>
        <v>10421.884210717653</v>
      </c>
    </row>
    <row r="132" spans="2:29" x14ac:dyDescent="0.3">
      <c r="B132" s="84">
        <f t="shared" si="36"/>
        <v>121</v>
      </c>
      <c r="C132" s="85">
        <f ca="1">IF($B132="","",'Fecha Pago'!K124)</f>
        <v>49829</v>
      </c>
      <c r="D132" s="86">
        <f>IF($B$12="","",'Fecha Pago'!L124)</f>
        <v>30.4</v>
      </c>
      <c r="E132" s="87">
        <f t="shared" si="21"/>
        <v>0.11</v>
      </c>
      <c r="F132" s="86">
        <f t="shared" si="22"/>
        <v>752039.89286365302</v>
      </c>
      <c r="G132" s="86">
        <f t="shared" si="37"/>
        <v>3436.2692058952771</v>
      </c>
      <c r="H132" s="86">
        <f t="shared" ca="1" si="38"/>
        <v>6985.6150048223762</v>
      </c>
      <c r="I132" s="86">
        <f t="shared" si="23"/>
        <v>10421.884210717653</v>
      </c>
      <c r="J132" s="86">
        <f t="shared" si="24"/>
        <v>0</v>
      </c>
      <c r="K132" s="86">
        <f>IF(B132="","",IF(F132=0,0,IF(Sheet1!$I$10=6,'Tabla Fijos CAT'!$C$3*'Tabla Fijos CAT'!$F$5,$C$5*$F$5)))</f>
        <v>0</v>
      </c>
      <c r="L132" s="86">
        <f t="shared" si="25"/>
        <v>0</v>
      </c>
      <c r="M132" s="86"/>
      <c r="N132" s="86"/>
      <c r="O132" s="86">
        <f t="shared" ca="1" si="39"/>
        <v>10421.884210717653</v>
      </c>
      <c r="P132" s="86">
        <f t="shared" si="26"/>
        <v>748603.62365775777</v>
      </c>
      <c r="Q132" s="355">
        <f t="shared" si="27"/>
        <v>0</v>
      </c>
      <c r="R132" s="201">
        <f t="shared" si="28"/>
        <v>3436.2692058952798</v>
      </c>
      <c r="S132" s="201">
        <f t="shared" si="29"/>
        <v>6985.6150048223762</v>
      </c>
      <c r="T132" s="202">
        <f t="shared" si="30"/>
        <v>10421.884210717657</v>
      </c>
      <c r="U132" s="201">
        <f t="shared" si="31"/>
        <v>3436.2692058952771</v>
      </c>
      <c r="V132" s="201">
        <f t="shared" si="32"/>
        <v>6985.6150048223762</v>
      </c>
      <c r="W132" s="201">
        <f t="shared" si="40"/>
        <v>10421.884210717653</v>
      </c>
      <c r="X132" s="201">
        <f t="shared" si="33"/>
        <v>3436.2692058952807</v>
      </c>
      <c r="Y132" s="201">
        <f t="shared" si="34"/>
        <v>6985.6150048223762</v>
      </c>
      <c r="Z132" s="201">
        <f t="shared" si="41"/>
        <v>10421.884210717657</v>
      </c>
      <c r="AA132" s="201"/>
      <c r="AC132" s="257">
        <f t="shared" si="35"/>
        <v>10421.884210717653</v>
      </c>
    </row>
    <row r="133" spans="2:29" x14ac:dyDescent="0.3">
      <c r="B133" s="84">
        <f t="shared" si="36"/>
        <v>122</v>
      </c>
      <c r="C133" s="85">
        <f ca="1">IF($B133="","",'Fecha Pago'!K125)</f>
        <v>49859</v>
      </c>
      <c r="D133" s="86">
        <f>IF($B$12="","",'Fecha Pago'!L125)</f>
        <v>30.4</v>
      </c>
      <c r="E133" s="87">
        <f t="shared" si="21"/>
        <v>0.11</v>
      </c>
      <c r="F133" s="86">
        <f t="shared" si="22"/>
        <v>748603.62365775777</v>
      </c>
      <c r="G133" s="86">
        <f t="shared" si="37"/>
        <v>3468.1883287411483</v>
      </c>
      <c r="H133" s="86">
        <f t="shared" ca="1" si="38"/>
        <v>6953.695881976505</v>
      </c>
      <c r="I133" s="86">
        <f t="shared" si="23"/>
        <v>10421.884210717653</v>
      </c>
      <c r="J133" s="86">
        <f t="shared" si="24"/>
        <v>0</v>
      </c>
      <c r="K133" s="86">
        <f>IF(B133="","",IF(F133=0,0,IF(Sheet1!$I$10=6,'Tabla Fijos CAT'!$C$3*'Tabla Fijos CAT'!$F$5,$C$5*$F$5)))</f>
        <v>0</v>
      </c>
      <c r="L133" s="86">
        <f t="shared" si="25"/>
        <v>0</v>
      </c>
      <c r="M133" s="86"/>
      <c r="N133" s="86"/>
      <c r="O133" s="86">
        <f t="shared" ca="1" si="39"/>
        <v>10421.884210717653</v>
      </c>
      <c r="P133" s="86">
        <f t="shared" si="26"/>
        <v>745135.43532901665</v>
      </c>
      <c r="Q133" s="355">
        <f t="shared" si="27"/>
        <v>0</v>
      </c>
      <c r="R133" s="201">
        <f t="shared" si="28"/>
        <v>3468.1883287411515</v>
      </c>
      <c r="S133" s="201">
        <f t="shared" si="29"/>
        <v>6953.695881976505</v>
      </c>
      <c r="T133" s="202">
        <f t="shared" si="30"/>
        <v>10421.884210717657</v>
      </c>
      <c r="U133" s="201">
        <f t="shared" si="31"/>
        <v>3468.1883287411483</v>
      </c>
      <c r="V133" s="201">
        <f t="shared" si="32"/>
        <v>6953.695881976505</v>
      </c>
      <c r="W133" s="201">
        <f t="shared" si="40"/>
        <v>10421.884210717653</v>
      </c>
      <c r="X133" s="201">
        <f t="shared" si="33"/>
        <v>3468.1883287411538</v>
      </c>
      <c r="Y133" s="201">
        <f t="shared" si="34"/>
        <v>6953.695881976505</v>
      </c>
      <c r="Z133" s="201">
        <f t="shared" si="41"/>
        <v>10421.884210717659</v>
      </c>
      <c r="AA133" s="201"/>
      <c r="AC133" s="257">
        <f t="shared" si="35"/>
        <v>10421.884210717653</v>
      </c>
    </row>
    <row r="134" spans="2:29" x14ac:dyDescent="0.3">
      <c r="B134" s="84">
        <f t="shared" si="36"/>
        <v>123</v>
      </c>
      <c r="C134" s="85">
        <f ca="1">IF($B134="","",'Fecha Pago'!K126)</f>
        <v>49890</v>
      </c>
      <c r="D134" s="86">
        <f>IF($B$12="","",'Fecha Pago'!L126)</f>
        <v>30.4</v>
      </c>
      <c r="E134" s="87">
        <f t="shared" si="21"/>
        <v>0.11</v>
      </c>
      <c r="F134" s="86">
        <f t="shared" si="22"/>
        <v>745135.43532901665</v>
      </c>
      <c r="G134" s="86">
        <f t="shared" si="37"/>
        <v>3500.4039447725663</v>
      </c>
      <c r="H134" s="86">
        <f t="shared" ca="1" si="38"/>
        <v>6921.480265945087</v>
      </c>
      <c r="I134" s="86">
        <f t="shared" si="23"/>
        <v>10421.884210717653</v>
      </c>
      <c r="J134" s="86">
        <f t="shared" si="24"/>
        <v>0</v>
      </c>
      <c r="K134" s="86">
        <f>IF(B134="","",IF(F134=0,0,IF(Sheet1!$I$10=6,'Tabla Fijos CAT'!$C$3*'Tabla Fijos CAT'!$F$5,$C$5*$F$5)))</f>
        <v>0</v>
      </c>
      <c r="L134" s="86">
        <f t="shared" si="25"/>
        <v>0</v>
      </c>
      <c r="M134" s="86"/>
      <c r="N134" s="86"/>
      <c r="O134" s="86">
        <f t="shared" ca="1" si="39"/>
        <v>10421.884210717653</v>
      </c>
      <c r="P134" s="86">
        <f t="shared" si="26"/>
        <v>741635.0313842441</v>
      </c>
      <c r="Q134" s="355">
        <f t="shared" si="27"/>
        <v>0</v>
      </c>
      <c r="R134" s="201">
        <f t="shared" si="28"/>
        <v>3500.4039447725695</v>
      </c>
      <c r="S134" s="201">
        <f t="shared" si="29"/>
        <v>6921.480265945087</v>
      </c>
      <c r="T134" s="202">
        <f t="shared" si="30"/>
        <v>10421.884210717657</v>
      </c>
      <c r="U134" s="201">
        <f t="shared" si="31"/>
        <v>3500.4039447725663</v>
      </c>
      <c r="V134" s="201">
        <f t="shared" si="32"/>
        <v>6921.480265945087</v>
      </c>
      <c r="W134" s="201">
        <f t="shared" si="40"/>
        <v>10421.884210717653</v>
      </c>
      <c r="X134" s="201">
        <f t="shared" si="33"/>
        <v>3500.4039447725718</v>
      </c>
      <c r="Y134" s="201">
        <f t="shared" si="34"/>
        <v>6921.480265945087</v>
      </c>
      <c r="Z134" s="201">
        <f t="shared" si="41"/>
        <v>10421.884210717659</v>
      </c>
      <c r="AA134" s="201"/>
      <c r="AC134" s="257">
        <f t="shared" si="35"/>
        <v>10421.884210717653</v>
      </c>
    </row>
    <row r="135" spans="2:29" x14ac:dyDescent="0.3">
      <c r="B135" s="84">
        <f t="shared" si="36"/>
        <v>124</v>
      </c>
      <c r="C135" s="85">
        <f ca="1">IF($B135="","",'Fecha Pago'!K127)</f>
        <v>49921</v>
      </c>
      <c r="D135" s="86">
        <f>IF($B$12="","",'Fecha Pago'!L127)</f>
        <v>30.4</v>
      </c>
      <c r="E135" s="87">
        <f t="shared" si="21"/>
        <v>0.11</v>
      </c>
      <c r="F135" s="86">
        <f t="shared" si="22"/>
        <v>741635.0313842441</v>
      </c>
      <c r="G135" s="86">
        <f t="shared" si="37"/>
        <v>3532.9188080817867</v>
      </c>
      <c r="H135" s="86">
        <f t="shared" ca="1" si="38"/>
        <v>6888.9654026358667</v>
      </c>
      <c r="I135" s="86">
        <f t="shared" si="23"/>
        <v>10421.884210717653</v>
      </c>
      <c r="J135" s="86">
        <f t="shared" si="24"/>
        <v>0</v>
      </c>
      <c r="K135" s="86">
        <f>IF(B135="","",IF(F135=0,0,IF(Sheet1!$I$10=6,'Tabla Fijos CAT'!$C$3*'Tabla Fijos CAT'!$F$5,$C$5*$F$5)))</f>
        <v>0</v>
      </c>
      <c r="L135" s="86">
        <f t="shared" si="25"/>
        <v>0</v>
      </c>
      <c r="M135" s="86"/>
      <c r="N135" s="86"/>
      <c r="O135" s="86">
        <f t="shared" ca="1" si="39"/>
        <v>10421.884210717653</v>
      </c>
      <c r="P135" s="86">
        <f t="shared" si="26"/>
        <v>738102.11257616233</v>
      </c>
      <c r="Q135" s="355">
        <f t="shared" si="27"/>
        <v>0</v>
      </c>
      <c r="R135" s="201">
        <f t="shared" si="28"/>
        <v>3532.9188080817898</v>
      </c>
      <c r="S135" s="201">
        <f t="shared" si="29"/>
        <v>6888.9654026358667</v>
      </c>
      <c r="T135" s="202">
        <f t="shared" si="30"/>
        <v>10421.884210717657</v>
      </c>
      <c r="U135" s="201">
        <f t="shared" si="31"/>
        <v>3532.9188080817867</v>
      </c>
      <c r="V135" s="201">
        <f t="shared" si="32"/>
        <v>6888.9654026358667</v>
      </c>
      <c r="W135" s="201">
        <f t="shared" si="40"/>
        <v>10421.884210717653</v>
      </c>
      <c r="X135" s="201">
        <f t="shared" si="33"/>
        <v>3532.9188080817921</v>
      </c>
      <c r="Y135" s="201">
        <f t="shared" si="34"/>
        <v>6888.9654026358667</v>
      </c>
      <c r="Z135" s="201">
        <f t="shared" si="41"/>
        <v>10421.884210717659</v>
      </c>
      <c r="AA135" s="201"/>
      <c r="AC135" s="257">
        <f t="shared" si="35"/>
        <v>10421.884210717653</v>
      </c>
    </row>
    <row r="136" spans="2:29" x14ac:dyDescent="0.3">
      <c r="B136" s="84">
        <f t="shared" si="36"/>
        <v>125</v>
      </c>
      <c r="C136" s="85">
        <f ca="1">IF($B136="","",'Fecha Pago'!K128)</f>
        <v>49951</v>
      </c>
      <c r="D136" s="86">
        <f>IF($B$12="","",'Fecha Pago'!L128)</f>
        <v>30.4</v>
      </c>
      <c r="E136" s="87">
        <f t="shared" si="21"/>
        <v>0.11</v>
      </c>
      <c r="F136" s="86">
        <f t="shared" si="22"/>
        <v>738102.11257616233</v>
      </c>
      <c r="G136" s="86">
        <f t="shared" si="37"/>
        <v>3565.7356983435238</v>
      </c>
      <c r="H136" s="86">
        <f t="shared" ca="1" si="38"/>
        <v>6856.1485123741295</v>
      </c>
      <c r="I136" s="86">
        <f t="shared" si="23"/>
        <v>10421.884210717653</v>
      </c>
      <c r="J136" s="86">
        <f t="shared" si="24"/>
        <v>0</v>
      </c>
      <c r="K136" s="86">
        <f>IF(B136="","",IF(F136=0,0,IF(Sheet1!$I$10=6,'Tabla Fijos CAT'!$C$3*'Tabla Fijos CAT'!$F$5,$C$5*$F$5)))</f>
        <v>0</v>
      </c>
      <c r="L136" s="86">
        <f t="shared" si="25"/>
        <v>0</v>
      </c>
      <c r="M136" s="86"/>
      <c r="N136" s="86"/>
      <c r="O136" s="86">
        <f t="shared" ca="1" si="39"/>
        <v>10421.884210717653</v>
      </c>
      <c r="P136" s="86">
        <f t="shared" si="26"/>
        <v>734536.37687781884</v>
      </c>
      <c r="Q136" s="355">
        <f t="shared" si="27"/>
        <v>0</v>
      </c>
      <c r="R136" s="201">
        <f t="shared" si="28"/>
        <v>3565.7356983435284</v>
      </c>
      <c r="S136" s="201">
        <f t="shared" si="29"/>
        <v>6856.1485123741295</v>
      </c>
      <c r="T136" s="202">
        <f t="shared" si="30"/>
        <v>10421.884210717657</v>
      </c>
      <c r="U136" s="201">
        <f t="shared" si="31"/>
        <v>3565.7356983435238</v>
      </c>
      <c r="V136" s="201">
        <f t="shared" si="32"/>
        <v>6856.1485123741295</v>
      </c>
      <c r="W136" s="201">
        <f t="shared" si="40"/>
        <v>10421.884210717653</v>
      </c>
      <c r="X136" s="201">
        <f t="shared" si="33"/>
        <v>3565.7356983435311</v>
      </c>
      <c r="Y136" s="201">
        <f t="shared" si="34"/>
        <v>6856.1485123741295</v>
      </c>
      <c r="Z136" s="201">
        <f t="shared" si="41"/>
        <v>10421.884210717661</v>
      </c>
      <c r="AA136" s="201"/>
      <c r="AC136" s="257">
        <f t="shared" si="35"/>
        <v>10421.884210717653</v>
      </c>
    </row>
    <row r="137" spans="2:29" x14ac:dyDescent="0.3">
      <c r="B137" s="84">
        <f t="shared" si="36"/>
        <v>126</v>
      </c>
      <c r="C137" s="85">
        <f ca="1">IF($B137="","",'Fecha Pago'!K129)</f>
        <v>49982</v>
      </c>
      <c r="D137" s="86">
        <f>IF($B$12="","",'Fecha Pago'!L129)</f>
        <v>30.4</v>
      </c>
      <c r="E137" s="87">
        <f t="shared" si="21"/>
        <v>0.11</v>
      </c>
      <c r="F137" s="86">
        <f t="shared" si="22"/>
        <v>734536.37687781884</v>
      </c>
      <c r="G137" s="86">
        <f t="shared" si="37"/>
        <v>3598.8574210525812</v>
      </c>
      <c r="H137" s="86">
        <f t="shared" ca="1" si="38"/>
        <v>6823.0267896650721</v>
      </c>
      <c r="I137" s="86">
        <f t="shared" si="23"/>
        <v>10421.884210717653</v>
      </c>
      <c r="J137" s="86">
        <f t="shared" si="24"/>
        <v>0</v>
      </c>
      <c r="K137" s="86">
        <f>IF(B137="","",IF(F137=0,0,IF(Sheet1!$I$10=6,'Tabla Fijos CAT'!$C$3*'Tabla Fijos CAT'!$F$5,$C$5*$F$5)))</f>
        <v>0</v>
      </c>
      <c r="L137" s="86">
        <f t="shared" si="25"/>
        <v>0</v>
      </c>
      <c r="M137" s="86"/>
      <c r="N137" s="86"/>
      <c r="O137" s="86">
        <f t="shared" ca="1" si="39"/>
        <v>10421.884210717653</v>
      </c>
      <c r="P137" s="86">
        <f t="shared" si="26"/>
        <v>730937.51945676631</v>
      </c>
      <c r="Q137" s="355">
        <f t="shared" si="27"/>
        <v>0</v>
      </c>
      <c r="R137" s="201">
        <f t="shared" si="28"/>
        <v>3598.8574210525858</v>
      </c>
      <c r="S137" s="201">
        <f t="shared" si="29"/>
        <v>6823.0267896650721</v>
      </c>
      <c r="T137" s="202">
        <f t="shared" si="30"/>
        <v>10421.884210717657</v>
      </c>
      <c r="U137" s="201">
        <f t="shared" si="31"/>
        <v>3598.8574210525812</v>
      </c>
      <c r="V137" s="201">
        <f t="shared" si="32"/>
        <v>6823.0267896650721</v>
      </c>
      <c r="W137" s="201">
        <f t="shared" si="40"/>
        <v>10421.884210717653</v>
      </c>
      <c r="X137" s="201">
        <f t="shared" si="33"/>
        <v>3598.8574210525885</v>
      </c>
      <c r="Y137" s="201">
        <f t="shared" si="34"/>
        <v>6823.0267896650721</v>
      </c>
      <c r="Z137" s="201">
        <f t="shared" si="41"/>
        <v>10421.884210717661</v>
      </c>
      <c r="AA137" s="201"/>
      <c r="AC137" s="257">
        <f t="shared" si="35"/>
        <v>10421.884210717653</v>
      </c>
    </row>
    <row r="138" spans="2:29" x14ac:dyDescent="0.3">
      <c r="B138" s="84">
        <f t="shared" si="36"/>
        <v>127</v>
      </c>
      <c r="C138" s="85">
        <f ca="1">IF($B138="","",'Fecha Pago'!K130)</f>
        <v>50012</v>
      </c>
      <c r="D138" s="86">
        <f>IF($B$12="","",'Fecha Pago'!L130)</f>
        <v>30.4</v>
      </c>
      <c r="E138" s="87">
        <f t="shared" si="21"/>
        <v>0.11</v>
      </c>
      <c r="F138" s="86">
        <f t="shared" si="22"/>
        <v>730937.51945676631</v>
      </c>
      <c r="G138" s="86">
        <f t="shared" si="37"/>
        <v>3632.2868077636913</v>
      </c>
      <c r="H138" s="86">
        <f t="shared" ca="1" si="38"/>
        <v>6789.597402953962</v>
      </c>
      <c r="I138" s="86">
        <f t="shared" si="23"/>
        <v>10421.884210717653</v>
      </c>
      <c r="J138" s="86">
        <f t="shared" si="24"/>
        <v>0</v>
      </c>
      <c r="K138" s="86">
        <f>IF(B138="","",IF(F138=0,0,IF(Sheet1!$I$10=6,'Tabla Fijos CAT'!$C$3*'Tabla Fijos CAT'!$F$5,$C$5*$F$5)))</f>
        <v>0</v>
      </c>
      <c r="L138" s="86">
        <f t="shared" si="25"/>
        <v>0</v>
      </c>
      <c r="M138" s="86"/>
      <c r="N138" s="86"/>
      <c r="O138" s="86">
        <f t="shared" ca="1" si="39"/>
        <v>10421.884210717653</v>
      </c>
      <c r="P138" s="86">
        <f t="shared" si="26"/>
        <v>727305.23264900257</v>
      </c>
      <c r="Q138" s="355">
        <f t="shared" si="27"/>
        <v>0</v>
      </c>
      <c r="R138" s="201">
        <f t="shared" si="28"/>
        <v>3632.2868077636963</v>
      </c>
      <c r="S138" s="201">
        <f t="shared" si="29"/>
        <v>6789.597402953962</v>
      </c>
      <c r="T138" s="202">
        <f t="shared" si="30"/>
        <v>10421.884210717659</v>
      </c>
      <c r="U138" s="201">
        <f t="shared" si="31"/>
        <v>3632.2868077636913</v>
      </c>
      <c r="V138" s="201">
        <f t="shared" si="32"/>
        <v>6789.597402953962</v>
      </c>
      <c r="W138" s="201">
        <f t="shared" si="40"/>
        <v>10421.884210717653</v>
      </c>
      <c r="X138" s="201">
        <f t="shared" si="33"/>
        <v>3632.2868077636986</v>
      </c>
      <c r="Y138" s="201">
        <f t="shared" si="34"/>
        <v>6789.597402953962</v>
      </c>
      <c r="Z138" s="201">
        <f t="shared" si="41"/>
        <v>10421.884210717661</v>
      </c>
      <c r="AA138" s="201"/>
      <c r="AC138" s="257">
        <f t="shared" si="35"/>
        <v>10421.884210717653</v>
      </c>
    </row>
    <row r="139" spans="2:29" x14ac:dyDescent="0.3">
      <c r="B139" s="84">
        <f t="shared" si="36"/>
        <v>128</v>
      </c>
      <c r="C139" s="85">
        <f ca="1">IF($B139="","",'Fecha Pago'!K131)</f>
        <v>50043</v>
      </c>
      <c r="D139" s="86">
        <f>IF($B$12="","",'Fecha Pago'!L131)</f>
        <v>30.4</v>
      </c>
      <c r="E139" s="87">
        <f t="shared" si="21"/>
        <v>0.11</v>
      </c>
      <c r="F139" s="86">
        <f t="shared" si="22"/>
        <v>727305.23264900257</v>
      </c>
      <c r="G139" s="86">
        <f t="shared" si="37"/>
        <v>3666.0267163335857</v>
      </c>
      <c r="H139" s="86">
        <f t="shared" ca="1" si="38"/>
        <v>6755.8574943840676</v>
      </c>
      <c r="I139" s="86">
        <f t="shared" si="23"/>
        <v>10421.884210717653</v>
      </c>
      <c r="J139" s="86">
        <f t="shared" si="24"/>
        <v>0</v>
      </c>
      <c r="K139" s="86">
        <f>IF(B139="","",IF(F139=0,0,IF(Sheet1!$I$10=6,'Tabla Fijos CAT'!$C$3*'Tabla Fijos CAT'!$F$5,$C$5*$F$5)))</f>
        <v>0</v>
      </c>
      <c r="L139" s="86">
        <f t="shared" si="25"/>
        <v>0</v>
      </c>
      <c r="M139" s="86"/>
      <c r="N139" s="86"/>
      <c r="O139" s="86">
        <f t="shared" ca="1" si="39"/>
        <v>10421.884210717653</v>
      </c>
      <c r="P139" s="86">
        <f t="shared" si="26"/>
        <v>723639.20593266899</v>
      </c>
      <c r="Q139" s="355">
        <f t="shared" si="27"/>
        <v>0</v>
      </c>
      <c r="R139" s="201">
        <f t="shared" si="28"/>
        <v>3666.0267163335902</v>
      </c>
      <c r="S139" s="201">
        <f t="shared" si="29"/>
        <v>6755.8574943840676</v>
      </c>
      <c r="T139" s="202">
        <f t="shared" si="30"/>
        <v>10421.884210717657</v>
      </c>
      <c r="U139" s="201">
        <f t="shared" si="31"/>
        <v>3666.0267163335857</v>
      </c>
      <c r="V139" s="201">
        <f t="shared" si="32"/>
        <v>6755.8574943840676</v>
      </c>
      <c r="W139" s="201">
        <f t="shared" si="40"/>
        <v>10421.884210717653</v>
      </c>
      <c r="X139" s="201">
        <f t="shared" si="33"/>
        <v>3666.026716333593</v>
      </c>
      <c r="Y139" s="201">
        <f t="shared" si="34"/>
        <v>6755.8574943840676</v>
      </c>
      <c r="Z139" s="201">
        <f t="shared" si="41"/>
        <v>10421.884210717661</v>
      </c>
      <c r="AA139" s="201"/>
      <c r="AC139" s="257">
        <f t="shared" si="35"/>
        <v>10421.884210717653</v>
      </c>
    </row>
    <row r="140" spans="2:29" x14ac:dyDescent="0.3">
      <c r="B140" s="84">
        <f t="shared" si="36"/>
        <v>129</v>
      </c>
      <c r="C140" s="85">
        <f ca="1">IF($B140="","",'Fecha Pago'!K132)</f>
        <v>50074</v>
      </c>
      <c r="D140" s="86">
        <f>IF($B$12="","",'Fecha Pago'!L132)</f>
        <v>30.4</v>
      </c>
      <c r="E140" s="87">
        <f t="shared" si="21"/>
        <v>0.11</v>
      </c>
      <c r="F140" s="86">
        <f t="shared" si="22"/>
        <v>723639.20593266899</v>
      </c>
      <c r="G140" s="86">
        <f t="shared" si="37"/>
        <v>3700.0800311653065</v>
      </c>
      <c r="H140" s="86">
        <f t="shared" ca="1" si="38"/>
        <v>6721.8041795523468</v>
      </c>
      <c r="I140" s="86">
        <f t="shared" si="23"/>
        <v>10421.884210717653</v>
      </c>
      <c r="J140" s="86">
        <f t="shared" si="24"/>
        <v>0</v>
      </c>
      <c r="K140" s="86">
        <f>IF(B140="","",IF(F140=0,0,IF(Sheet1!$I$10=6,'Tabla Fijos CAT'!$C$3*'Tabla Fijos CAT'!$F$5,$C$5*$F$5)))</f>
        <v>0</v>
      </c>
      <c r="L140" s="86">
        <f t="shared" si="25"/>
        <v>0</v>
      </c>
      <c r="M140" s="86"/>
      <c r="N140" s="86"/>
      <c r="O140" s="86">
        <f t="shared" ca="1" si="39"/>
        <v>10421.884210717653</v>
      </c>
      <c r="P140" s="86">
        <f t="shared" si="26"/>
        <v>719939.12590150372</v>
      </c>
      <c r="Q140" s="355">
        <f t="shared" si="27"/>
        <v>0</v>
      </c>
      <c r="R140" s="201">
        <f t="shared" si="28"/>
        <v>3700.0800311653111</v>
      </c>
      <c r="S140" s="201">
        <f t="shared" si="29"/>
        <v>6721.8041795523468</v>
      </c>
      <c r="T140" s="202">
        <f t="shared" si="30"/>
        <v>10421.884210717657</v>
      </c>
      <c r="U140" s="201">
        <f t="shared" si="31"/>
        <v>3700.0800311653065</v>
      </c>
      <c r="V140" s="201">
        <f t="shared" si="32"/>
        <v>6721.8041795523468</v>
      </c>
      <c r="W140" s="201">
        <f t="shared" si="40"/>
        <v>10421.884210717653</v>
      </c>
      <c r="X140" s="201">
        <f t="shared" si="33"/>
        <v>3700.0800311653138</v>
      </c>
      <c r="Y140" s="201">
        <f t="shared" si="34"/>
        <v>6721.8041795523468</v>
      </c>
      <c r="Z140" s="201">
        <f t="shared" si="41"/>
        <v>10421.884210717661</v>
      </c>
      <c r="AA140" s="201"/>
      <c r="AC140" s="257">
        <f t="shared" si="35"/>
        <v>10421.884210717653</v>
      </c>
    </row>
    <row r="141" spans="2:29" x14ac:dyDescent="0.3">
      <c r="B141" s="84">
        <f t="shared" si="36"/>
        <v>130</v>
      </c>
      <c r="C141" s="85">
        <f ca="1">IF($B141="","",'Fecha Pago'!K133)</f>
        <v>50102</v>
      </c>
      <c r="D141" s="86">
        <f>IF($B$12="","",'Fecha Pago'!L133)</f>
        <v>30.4</v>
      </c>
      <c r="E141" s="87">
        <f t="shared" ref="E141:E204" si="42">IF(B141="","",$F$2)</f>
        <v>0.11</v>
      </c>
      <c r="F141" s="86">
        <f t="shared" ref="F141:F204" si="43">IF(B141="","",IF(P140&lt;0,0,F140-G140))</f>
        <v>719939.12590150372</v>
      </c>
      <c r="G141" s="86">
        <f t="shared" si="37"/>
        <v>3734.4496634547968</v>
      </c>
      <c r="H141" s="86">
        <f t="shared" ca="1" si="38"/>
        <v>6687.4345472628565</v>
      </c>
      <c r="I141" s="86">
        <f t="shared" ref="I141:I200" si="44">IF(D141="","",IF(F141=G141,G141+H141,IF($P$7=$X$10,Z141,IF($P$7=$U$10,W141,IF($P$7=$R$10,T141,)))))</f>
        <v>10421.884210717653</v>
      </c>
      <c r="J141" s="86">
        <f t="shared" ref="J141:J204" si="45">IF(B141="","",IF($F$3="",0,$F$4*F141))</f>
        <v>0</v>
      </c>
      <c r="K141" s="86">
        <f>IF(B141="","",IF(F141=0,0,IF(Sheet1!$I$10=6,'Tabla Fijos CAT'!$C$3*'Tabla Fijos CAT'!$F$5,$C$5*$F$5)))</f>
        <v>0</v>
      </c>
      <c r="L141" s="86">
        <f t="shared" ref="L141:L204" si="46">IF(B141="","",IF(F141=0,0,$I$4))</f>
        <v>0</v>
      </c>
      <c r="M141" s="86"/>
      <c r="N141" s="86"/>
      <c r="O141" s="86">
        <f t="shared" ca="1" si="39"/>
        <v>10421.884210717653</v>
      </c>
      <c r="P141" s="86">
        <f t="shared" ref="P141:P204" si="47">IF(B141="","",F141-G141)</f>
        <v>716204.67623804894</v>
      </c>
      <c r="Q141" s="355">
        <f t="shared" ref="Q141:Q204" si="48">IF(B141="","",F141*($F$4/12/1000))</f>
        <v>0</v>
      </c>
      <c r="R141" s="201">
        <f t="shared" ref="R141:R204" si="49">PPMT(E141/360*30.4,B141,$C$4,-$P$11)</f>
        <v>3734.4496634548022</v>
      </c>
      <c r="S141" s="201">
        <f t="shared" ref="S141:S204" si="50">(E141/360*D141)*F141</f>
        <v>6687.4345472628565</v>
      </c>
      <c r="T141" s="202">
        <f t="shared" ref="T141:T204" si="51">R141+S141</f>
        <v>10421.884210717659</v>
      </c>
      <c r="U141" s="201">
        <f t="shared" ref="U141:U204" si="52">W141-V141</f>
        <v>3734.4496634547968</v>
      </c>
      <c r="V141" s="201">
        <f t="shared" ref="V141:V204" si="53">(E141/360*D141)*F141</f>
        <v>6687.4345472628565</v>
      </c>
      <c r="W141" s="201">
        <f t="shared" si="40"/>
        <v>10421.884210717653</v>
      </c>
      <c r="X141" s="201">
        <f t="shared" ref="X141:X204" si="54">Z141-Y141</f>
        <v>3734.4496634548041</v>
      </c>
      <c r="Y141" s="201">
        <f t="shared" ref="Y141:Y204" si="55">(E141/360*D141)*F141</f>
        <v>6687.4345472628565</v>
      </c>
      <c r="Z141" s="201">
        <f t="shared" si="41"/>
        <v>10421.884210717661</v>
      </c>
      <c r="AA141" s="201"/>
      <c r="AC141" s="257">
        <f t="shared" ref="AC141:AC204" si="56">IF(B141="","",I141+J141+(K141/1.16)+L141+N141)</f>
        <v>10421.884210717653</v>
      </c>
    </row>
    <row r="142" spans="2:29" x14ac:dyDescent="0.3">
      <c r="B142" s="84">
        <f t="shared" ref="B142:B205" si="57">IF(B141="","",IF(B141=$C$4,"",B141+1))</f>
        <v>131</v>
      </c>
      <c r="C142" s="85">
        <f ca="1">IF($B142="","",'Fecha Pago'!K134)</f>
        <v>50133</v>
      </c>
      <c r="D142" s="86">
        <f>IF($B$12="","",'Fecha Pago'!L134)</f>
        <v>30.4</v>
      </c>
      <c r="E142" s="87">
        <f t="shared" si="42"/>
        <v>0.11</v>
      </c>
      <c r="F142" s="86">
        <f t="shared" si="43"/>
        <v>716204.67623804894</v>
      </c>
      <c r="G142" s="86">
        <f t="shared" ref="G142:G205" si="58">IF(B142="","",IF(F142&lt;=G141,F142,IF($P$7=$X$10,X142,IF($P$7=$U$10,U142,IF($P$7=$R$10,R142,)))))+N142</f>
        <v>3769.1385514397771</v>
      </c>
      <c r="H142" s="86">
        <f t="shared" ref="H142:H205" ca="1" si="59">IF(C142="","",IF($P$7=$X$10,Y142,IF($P$7=$U$10,V142,IF($P$7=$R$10,S142,))))</f>
        <v>6652.7456592778763</v>
      </c>
      <c r="I142" s="86">
        <f t="shared" si="44"/>
        <v>10421.884210717653</v>
      </c>
      <c r="J142" s="86">
        <f t="shared" si="45"/>
        <v>0</v>
      </c>
      <c r="K142" s="86">
        <f>IF(B142="","",IF(F142=0,0,IF(Sheet1!$I$10=6,'Tabla Fijos CAT'!$C$3*'Tabla Fijos CAT'!$F$5,$C$5*$F$5)))</f>
        <v>0</v>
      </c>
      <c r="L142" s="86">
        <f t="shared" si="46"/>
        <v>0</v>
      </c>
      <c r="M142" s="86"/>
      <c r="N142" s="86"/>
      <c r="O142" s="86">
        <f t="shared" ref="O142:O205" ca="1" si="60">IF(B142="","",G142+H142+J142+K142+L142)</f>
        <v>10421.884210717653</v>
      </c>
      <c r="P142" s="86">
        <f t="shared" si="47"/>
        <v>712435.5376866092</v>
      </c>
      <c r="Q142" s="355">
        <f t="shared" si="48"/>
        <v>0</v>
      </c>
      <c r="R142" s="201">
        <f t="shared" si="49"/>
        <v>3769.1385514397816</v>
      </c>
      <c r="S142" s="201">
        <f t="shared" si="50"/>
        <v>6652.7456592778763</v>
      </c>
      <c r="T142" s="202">
        <f t="shared" si="51"/>
        <v>10421.884210717657</v>
      </c>
      <c r="U142" s="201">
        <f t="shared" si="52"/>
        <v>3769.1385514397771</v>
      </c>
      <c r="V142" s="201">
        <f t="shared" si="53"/>
        <v>6652.7456592778763</v>
      </c>
      <c r="W142" s="201">
        <f t="shared" ref="W142:W205" si="61">PMT($F$2/360*30.4,$C$4,-$C$3)</f>
        <v>10421.884210717653</v>
      </c>
      <c r="X142" s="201">
        <f t="shared" si="54"/>
        <v>3769.1385514397844</v>
      </c>
      <c r="Y142" s="201">
        <f t="shared" si="55"/>
        <v>6652.7456592778763</v>
      </c>
      <c r="Z142" s="201">
        <f t="shared" ref="Z142:Z205" si="62">PMT($F$2/360*30.4,$C$4-B141,-P141)</f>
        <v>10421.884210717661</v>
      </c>
      <c r="AA142" s="201"/>
      <c r="AC142" s="257">
        <f t="shared" si="56"/>
        <v>10421.884210717653</v>
      </c>
    </row>
    <row r="143" spans="2:29" x14ac:dyDescent="0.3">
      <c r="B143" s="84">
        <f t="shared" si="57"/>
        <v>132</v>
      </c>
      <c r="C143" s="85">
        <f ca="1">IF($B143="","",'Fecha Pago'!K135)</f>
        <v>50163</v>
      </c>
      <c r="D143" s="86">
        <f>IF($B$12="","",'Fecha Pago'!L135)</f>
        <v>30.4</v>
      </c>
      <c r="E143" s="87">
        <f t="shared" si="42"/>
        <v>0.11</v>
      </c>
      <c r="F143" s="86">
        <f t="shared" si="43"/>
        <v>712435.5376866092</v>
      </c>
      <c r="G143" s="86">
        <f t="shared" si="58"/>
        <v>3804.1496606509281</v>
      </c>
      <c r="H143" s="86">
        <f t="shared" ca="1" si="59"/>
        <v>6617.7345500667252</v>
      </c>
      <c r="I143" s="86">
        <f t="shared" si="44"/>
        <v>10421.884210717653</v>
      </c>
      <c r="J143" s="86">
        <f t="shared" si="45"/>
        <v>0</v>
      </c>
      <c r="K143" s="86">
        <f>IF(B143="","",IF(F143=0,0,IF(Sheet1!$I$10=6,'Tabla Fijos CAT'!$C$3*'Tabla Fijos CAT'!$F$5,$C$5*$F$5)))</f>
        <v>0</v>
      </c>
      <c r="L143" s="86">
        <f t="shared" si="46"/>
        <v>0</v>
      </c>
      <c r="M143" s="86"/>
      <c r="N143" s="86"/>
      <c r="O143" s="86">
        <f t="shared" ca="1" si="60"/>
        <v>10421.884210717653</v>
      </c>
      <c r="P143" s="86">
        <f t="shared" si="47"/>
        <v>708631.38802595832</v>
      </c>
      <c r="Q143" s="355">
        <f t="shared" si="48"/>
        <v>0</v>
      </c>
      <c r="R143" s="201">
        <f t="shared" si="49"/>
        <v>3804.1496606509336</v>
      </c>
      <c r="S143" s="201">
        <f t="shared" si="50"/>
        <v>6617.7345500667252</v>
      </c>
      <c r="T143" s="202">
        <f t="shared" si="51"/>
        <v>10421.884210717659</v>
      </c>
      <c r="U143" s="201">
        <f t="shared" si="52"/>
        <v>3804.1496606509281</v>
      </c>
      <c r="V143" s="201">
        <f t="shared" si="53"/>
        <v>6617.7345500667252</v>
      </c>
      <c r="W143" s="201">
        <f t="shared" si="61"/>
        <v>10421.884210717653</v>
      </c>
      <c r="X143" s="201">
        <f t="shared" si="54"/>
        <v>3804.1496606509354</v>
      </c>
      <c r="Y143" s="201">
        <f t="shared" si="55"/>
        <v>6617.7345500667252</v>
      </c>
      <c r="Z143" s="201">
        <f t="shared" si="62"/>
        <v>10421.884210717661</v>
      </c>
      <c r="AA143" s="201"/>
      <c r="AC143" s="257">
        <f t="shared" si="56"/>
        <v>10421.884210717653</v>
      </c>
    </row>
    <row r="144" spans="2:29" x14ac:dyDescent="0.3">
      <c r="B144" s="84">
        <f t="shared" si="57"/>
        <v>133</v>
      </c>
      <c r="C144" s="85">
        <f ca="1">IF($B144="","",'Fecha Pago'!K136)</f>
        <v>50194</v>
      </c>
      <c r="D144" s="86">
        <f>IF($B$12="","",'Fecha Pago'!L136)</f>
        <v>30.4</v>
      </c>
      <c r="E144" s="87">
        <f t="shared" si="42"/>
        <v>0.11</v>
      </c>
      <c r="F144" s="86">
        <f t="shared" si="43"/>
        <v>708631.38802595832</v>
      </c>
      <c r="G144" s="86">
        <f t="shared" si="58"/>
        <v>3839.4859841654188</v>
      </c>
      <c r="H144" s="86">
        <f t="shared" ca="1" si="59"/>
        <v>6582.3982265522345</v>
      </c>
      <c r="I144" s="86">
        <f t="shared" si="44"/>
        <v>10421.884210717653</v>
      </c>
      <c r="J144" s="86">
        <f t="shared" si="45"/>
        <v>0</v>
      </c>
      <c r="K144" s="86">
        <f>IF(B144="","",IF(F144=0,0,IF(Sheet1!$I$10=6,'Tabla Fijos CAT'!$C$3*'Tabla Fijos CAT'!$F$5,$C$5*$F$5)))</f>
        <v>0</v>
      </c>
      <c r="L144" s="86">
        <f t="shared" si="46"/>
        <v>0</v>
      </c>
      <c r="M144" s="86"/>
      <c r="N144" s="86"/>
      <c r="O144" s="86">
        <f t="shared" ca="1" si="60"/>
        <v>10421.884210717653</v>
      </c>
      <c r="P144" s="86">
        <f t="shared" si="47"/>
        <v>704791.90204179287</v>
      </c>
      <c r="Q144" s="355">
        <f t="shared" si="48"/>
        <v>0</v>
      </c>
      <c r="R144" s="201">
        <f t="shared" si="49"/>
        <v>3839.4859841654247</v>
      </c>
      <c r="S144" s="201">
        <f t="shared" si="50"/>
        <v>6582.3982265522345</v>
      </c>
      <c r="T144" s="202">
        <f t="shared" si="51"/>
        <v>10421.884210717659</v>
      </c>
      <c r="U144" s="201">
        <f t="shared" si="52"/>
        <v>3839.4859841654188</v>
      </c>
      <c r="V144" s="201">
        <f t="shared" si="53"/>
        <v>6582.3982265522345</v>
      </c>
      <c r="W144" s="201">
        <f t="shared" si="61"/>
        <v>10421.884210717653</v>
      </c>
      <c r="X144" s="201">
        <f t="shared" si="54"/>
        <v>3839.4859841654279</v>
      </c>
      <c r="Y144" s="201">
        <f t="shared" si="55"/>
        <v>6582.3982265522345</v>
      </c>
      <c r="Z144" s="201">
        <f t="shared" si="62"/>
        <v>10421.884210717662</v>
      </c>
      <c r="AA144" s="201"/>
      <c r="AC144" s="257">
        <f t="shared" si="56"/>
        <v>10421.884210717653</v>
      </c>
    </row>
    <row r="145" spans="2:29" x14ac:dyDescent="0.3">
      <c r="B145" s="84">
        <f t="shared" si="57"/>
        <v>134</v>
      </c>
      <c r="C145" s="85">
        <f ca="1">IF($B145="","",'Fecha Pago'!K137)</f>
        <v>50224</v>
      </c>
      <c r="D145" s="86">
        <f>IF($B$12="","",'Fecha Pago'!L137)</f>
        <v>30.4</v>
      </c>
      <c r="E145" s="87">
        <f t="shared" si="42"/>
        <v>0.11</v>
      </c>
      <c r="F145" s="86">
        <f t="shared" si="43"/>
        <v>704791.90204179287</v>
      </c>
      <c r="G145" s="86">
        <f t="shared" si="58"/>
        <v>3875.1505428627779</v>
      </c>
      <c r="H145" s="86">
        <f t="shared" ca="1" si="59"/>
        <v>6546.7336678548754</v>
      </c>
      <c r="I145" s="86">
        <f t="shared" si="44"/>
        <v>10421.884210717653</v>
      </c>
      <c r="J145" s="86">
        <f t="shared" si="45"/>
        <v>0</v>
      </c>
      <c r="K145" s="86">
        <f>IF(B145="","",IF(F145=0,0,IF(Sheet1!$I$10=6,'Tabla Fijos CAT'!$C$3*'Tabla Fijos CAT'!$F$5,$C$5*$F$5)))</f>
        <v>0</v>
      </c>
      <c r="L145" s="86">
        <f t="shared" si="46"/>
        <v>0</v>
      </c>
      <c r="M145" s="86"/>
      <c r="N145" s="86"/>
      <c r="O145" s="86">
        <f t="shared" ca="1" si="60"/>
        <v>10421.884210717653</v>
      </c>
      <c r="P145" s="86">
        <f t="shared" si="47"/>
        <v>700916.75149893004</v>
      </c>
      <c r="Q145" s="355">
        <f t="shared" si="48"/>
        <v>0</v>
      </c>
      <c r="R145" s="201">
        <f t="shared" si="49"/>
        <v>3875.1505428627834</v>
      </c>
      <c r="S145" s="201">
        <f t="shared" si="50"/>
        <v>6546.7336678548754</v>
      </c>
      <c r="T145" s="202">
        <f t="shared" si="51"/>
        <v>10421.884210717659</v>
      </c>
      <c r="U145" s="201">
        <f t="shared" si="52"/>
        <v>3875.1505428627779</v>
      </c>
      <c r="V145" s="201">
        <f t="shared" si="53"/>
        <v>6546.7336678548754</v>
      </c>
      <c r="W145" s="201">
        <f t="shared" si="61"/>
        <v>10421.884210717653</v>
      </c>
      <c r="X145" s="201">
        <f t="shared" si="54"/>
        <v>3875.1505428627852</v>
      </c>
      <c r="Y145" s="201">
        <f t="shared" si="55"/>
        <v>6546.7336678548754</v>
      </c>
      <c r="Z145" s="201">
        <f t="shared" si="62"/>
        <v>10421.884210717661</v>
      </c>
      <c r="AA145" s="201"/>
      <c r="AC145" s="257">
        <f t="shared" si="56"/>
        <v>10421.884210717653</v>
      </c>
    </row>
    <row r="146" spans="2:29" x14ac:dyDescent="0.3">
      <c r="B146" s="84">
        <f t="shared" si="57"/>
        <v>135</v>
      </c>
      <c r="C146" s="85">
        <f ca="1">IF($B146="","",'Fecha Pago'!K138)</f>
        <v>50255</v>
      </c>
      <c r="D146" s="86">
        <f>IF($B$12="","",'Fecha Pago'!L138)</f>
        <v>30.4</v>
      </c>
      <c r="E146" s="87">
        <f t="shared" si="42"/>
        <v>0.11</v>
      </c>
      <c r="F146" s="86">
        <f t="shared" si="43"/>
        <v>700916.75149893004</v>
      </c>
      <c r="G146" s="86">
        <f t="shared" si="58"/>
        <v>3911.1463856831479</v>
      </c>
      <c r="H146" s="86">
        <f t="shared" ca="1" si="59"/>
        <v>6510.7378250345055</v>
      </c>
      <c r="I146" s="86">
        <f t="shared" si="44"/>
        <v>10421.884210717653</v>
      </c>
      <c r="J146" s="86">
        <f t="shared" si="45"/>
        <v>0</v>
      </c>
      <c r="K146" s="86">
        <f>IF(B146="","",IF(F146=0,0,IF(Sheet1!$I$10=6,'Tabla Fijos CAT'!$C$3*'Tabla Fijos CAT'!$F$5,$C$5*$F$5)))</f>
        <v>0</v>
      </c>
      <c r="L146" s="86">
        <f t="shared" si="46"/>
        <v>0</v>
      </c>
      <c r="M146" s="86"/>
      <c r="N146" s="86"/>
      <c r="O146" s="86">
        <f t="shared" ca="1" si="60"/>
        <v>10421.884210717653</v>
      </c>
      <c r="P146" s="86">
        <f t="shared" si="47"/>
        <v>697005.60511324694</v>
      </c>
      <c r="Q146" s="355">
        <f t="shared" si="48"/>
        <v>0</v>
      </c>
      <c r="R146" s="201">
        <f t="shared" si="49"/>
        <v>3911.1463856831538</v>
      </c>
      <c r="S146" s="201">
        <f t="shared" si="50"/>
        <v>6510.7378250345055</v>
      </c>
      <c r="T146" s="202">
        <f t="shared" si="51"/>
        <v>10421.884210717659</v>
      </c>
      <c r="U146" s="201">
        <f t="shared" si="52"/>
        <v>3911.1463856831479</v>
      </c>
      <c r="V146" s="201">
        <f t="shared" si="53"/>
        <v>6510.7378250345055</v>
      </c>
      <c r="W146" s="201">
        <f t="shared" si="61"/>
        <v>10421.884210717653</v>
      </c>
      <c r="X146" s="201">
        <f t="shared" si="54"/>
        <v>3911.146385683157</v>
      </c>
      <c r="Y146" s="201">
        <f t="shared" si="55"/>
        <v>6510.7378250345055</v>
      </c>
      <c r="Z146" s="201">
        <f t="shared" si="62"/>
        <v>10421.884210717662</v>
      </c>
      <c r="AA146" s="201"/>
      <c r="AC146" s="257">
        <f t="shared" si="56"/>
        <v>10421.884210717653</v>
      </c>
    </row>
    <row r="147" spans="2:29" x14ac:dyDescent="0.3">
      <c r="B147" s="84">
        <f t="shared" si="57"/>
        <v>136</v>
      </c>
      <c r="C147" s="85">
        <f ca="1">IF($B147="","",'Fecha Pago'!K139)</f>
        <v>50286</v>
      </c>
      <c r="D147" s="86">
        <f>IF($B$12="","",'Fecha Pago'!L139)</f>
        <v>30.4</v>
      </c>
      <c r="E147" s="87">
        <f t="shared" si="42"/>
        <v>0.11</v>
      </c>
      <c r="F147" s="86">
        <f t="shared" si="43"/>
        <v>697005.60511324694</v>
      </c>
      <c r="G147" s="86">
        <f t="shared" si="58"/>
        <v>3947.4765898879377</v>
      </c>
      <c r="H147" s="86">
        <f t="shared" ca="1" si="59"/>
        <v>6474.4076208297156</v>
      </c>
      <c r="I147" s="86">
        <f t="shared" si="44"/>
        <v>10421.884210717653</v>
      </c>
      <c r="J147" s="86">
        <f t="shared" si="45"/>
        <v>0</v>
      </c>
      <c r="K147" s="86">
        <f>IF(B147="","",IF(F147=0,0,IF(Sheet1!$I$10=6,'Tabla Fijos CAT'!$C$3*'Tabla Fijos CAT'!$F$5,$C$5*$F$5)))</f>
        <v>0</v>
      </c>
      <c r="L147" s="86">
        <f t="shared" si="46"/>
        <v>0</v>
      </c>
      <c r="M147" s="86"/>
      <c r="N147" s="86"/>
      <c r="O147" s="86">
        <f t="shared" ca="1" si="60"/>
        <v>10421.884210717653</v>
      </c>
      <c r="P147" s="86">
        <f t="shared" si="47"/>
        <v>693058.12852335896</v>
      </c>
      <c r="Q147" s="355">
        <f t="shared" si="48"/>
        <v>0</v>
      </c>
      <c r="R147" s="201">
        <f t="shared" si="49"/>
        <v>3947.4765898879441</v>
      </c>
      <c r="S147" s="201">
        <f t="shared" si="50"/>
        <v>6474.4076208297156</v>
      </c>
      <c r="T147" s="202">
        <f t="shared" si="51"/>
        <v>10421.884210717661</v>
      </c>
      <c r="U147" s="201">
        <f t="shared" si="52"/>
        <v>3947.4765898879377</v>
      </c>
      <c r="V147" s="201">
        <f t="shared" si="53"/>
        <v>6474.4076208297156</v>
      </c>
      <c r="W147" s="201">
        <f t="shared" si="61"/>
        <v>10421.884210717653</v>
      </c>
      <c r="X147" s="201">
        <f t="shared" si="54"/>
        <v>3947.4765898879468</v>
      </c>
      <c r="Y147" s="201">
        <f t="shared" si="55"/>
        <v>6474.4076208297156</v>
      </c>
      <c r="Z147" s="201">
        <f t="shared" si="62"/>
        <v>10421.884210717662</v>
      </c>
      <c r="AA147" s="201"/>
      <c r="AC147" s="257">
        <f t="shared" si="56"/>
        <v>10421.884210717653</v>
      </c>
    </row>
    <row r="148" spans="2:29" x14ac:dyDescent="0.3">
      <c r="B148" s="84">
        <f t="shared" si="57"/>
        <v>137</v>
      </c>
      <c r="C148" s="85">
        <f ca="1">IF($B148="","",'Fecha Pago'!K140)</f>
        <v>50316</v>
      </c>
      <c r="D148" s="86">
        <f>IF($B$12="","",'Fecha Pago'!L140)</f>
        <v>30.4</v>
      </c>
      <c r="E148" s="87">
        <f t="shared" si="42"/>
        <v>0.11</v>
      </c>
      <c r="F148" s="86">
        <f t="shared" si="43"/>
        <v>693058.12852335896</v>
      </c>
      <c r="G148" s="86">
        <f t="shared" si="58"/>
        <v>3984.1442613228974</v>
      </c>
      <c r="H148" s="86">
        <f t="shared" ca="1" si="59"/>
        <v>6437.739949394756</v>
      </c>
      <c r="I148" s="86">
        <f t="shared" si="44"/>
        <v>10421.884210717653</v>
      </c>
      <c r="J148" s="86">
        <f t="shared" si="45"/>
        <v>0</v>
      </c>
      <c r="K148" s="86">
        <f>IF(B148="","",IF(F148=0,0,IF(Sheet1!$I$10=6,'Tabla Fijos CAT'!$C$3*'Tabla Fijos CAT'!$F$5,$C$5*$F$5)))</f>
        <v>0</v>
      </c>
      <c r="L148" s="86">
        <f t="shared" si="46"/>
        <v>0</v>
      </c>
      <c r="M148" s="86"/>
      <c r="N148" s="86"/>
      <c r="O148" s="86">
        <f t="shared" ca="1" si="60"/>
        <v>10421.884210717653</v>
      </c>
      <c r="P148" s="86">
        <f t="shared" si="47"/>
        <v>689073.98426203604</v>
      </c>
      <c r="Q148" s="355">
        <f t="shared" si="48"/>
        <v>0</v>
      </c>
      <c r="R148" s="201">
        <f t="shared" si="49"/>
        <v>3984.1442613229028</v>
      </c>
      <c r="S148" s="201">
        <f t="shared" si="50"/>
        <v>6437.739949394756</v>
      </c>
      <c r="T148" s="202">
        <f t="shared" si="51"/>
        <v>10421.884210717659</v>
      </c>
      <c r="U148" s="201">
        <f t="shared" si="52"/>
        <v>3984.1442613228974</v>
      </c>
      <c r="V148" s="201">
        <f t="shared" si="53"/>
        <v>6437.739949394756</v>
      </c>
      <c r="W148" s="201">
        <f t="shared" si="61"/>
        <v>10421.884210717653</v>
      </c>
      <c r="X148" s="201">
        <f t="shared" si="54"/>
        <v>3984.1442613229028</v>
      </c>
      <c r="Y148" s="201">
        <f t="shared" si="55"/>
        <v>6437.739949394756</v>
      </c>
      <c r="Z148" s="201">
        <f t="shared" si="62"/>
        <v>10421.884210717659</v>
      </c>
      <c r="AA148" s="201"/>
      <c r="AC148" s="257">
        <f t="shared" si="56"/>
        <v>10421.884210717653</v>
      </c>
    </row>
    <row r="149" spans="2:29" x14ac:dyDescent="0.3">
      <c r="B149" s="84">
        <f t="shared" si="57"/>
        <v>138</v>
      </c>
      <c r="C149" s="85">
        <f ca="1">IF($B149="","",'Fecha Pago'!K141)</f>
        <v>50347</v>
      </c>
      <c r="D149" s="86">
        <f>IF($B$12="","",'Fecha Pago'!L141)</f>
        <v>30.4</v>
      </c>
      <c r="E149" s="87">
        <f t="shared" si="42"/>
        <v>0.11</v>
      </c>
      <c r="F149" s="86">
        <f t="shared" si="43"/>
        <v>689073.98426203604</v>
      </c>
      <c r="G149" s="86">
        <f t="shared" si="58"/>
        <v>4021.1525346836297</v>
      </c>
      <c r="H149" s="86">
        <f t="shared" ca="1" si="59"/>
        <v>6400.7316760340236</v>
      </c>
      <c r="I149" s="86">
        <f t="shared" si="44"/>
        <v>10421.884210717653</v>
      </c>
      <c r="J149" s="86">
        <f t="shared" si="45"/>
        <v>0</v>
      </c>
      <c r="K149" s="86">
        <f>IF(B149="","",IF(F149=0,0,IF(Sheet1!$I$10=6,'Tabla Fijos CAT'!$C$3*'Tabla Fijos CAT'!$F$5,$C$5*$F$5)))</f>
        <v>0</v>
      </c>
      <c r="L149" s="86">
        <f t="shared" si="46"/>
        <v>0</v>
      </c>
      <c r="M149" s="86"/>
      <c r="N149" s="86"/>
      <c r="O149" s="86">
        <f t="shared" ca="1" si="60"/>
        <v>10421.884210717653</v>
      </c>
      <c r="P149" s="86">
        <f t="shared" si="47"/>
        <v>685052.83172735246</v>
      </c>
      <c r="Q149" s="355">
        <f t="shared" si="48"/>
        <v>0</v>
      </c>
      <c r="R149" s="201">
        <f t="shared" si="49"/>
        <v>4021.1525346836352</v>
      </c>
      <c r="S149" s="201">
        <f t="shared" si="50"/>
        <v>6400.7316760340236</v>
      </c>
      <c r="T149" s="202">
        <f t="shared" si="51"/>
        <v>10421.884210717659</v>
      </c>
      <c r="U149" s="201">
        <f t="shared" si="52"/>
        <v>4021.1525346836297</v>
      </c>
      <c r="V149" s="201">
        <f t="shared" si="53"/>
        <v>6400.7316760340236</v>
      </c>
      <c r="W149" s="201">
        <f t="shared" si="61"/>
        <v>10421.884210717653</v>
      </c>
      <c r="X149" s="201">
        <f t="shared" si="54"/>
        <v>4021.152534683637</v>
      </c>
      <c r="Y149" s="201">
        <f t="shared" si="55"/>
        <v>6400.7316760340236</v>
      </c>
      <c r="Z149" s="201">
        <f t="shared" si="62"/>
        <v>10421.884210717661</v>
      </c>
      <c r="AA149" s="201"/>
      <c r="AC149" s="257">
        <f t="shared" si="56"/>
        <v>10421.884210717653</v>
      </c>
    </row>
    <row r="150" spans="2:29" x14ac:dyDescent="0.3">
      <c r="B150" s="84">
        <f t="shared" si="57"/>
        <v>139</v>
      </c>
      <c r="C150" s="85">
        <f ca="1">IF($B150="","",'Fecha Pago'!K142)</f>
        <v>50377</v>
      </c>
      <c r="D150" s="86">
        <f>IF($B$12="","",'Fecha Pago'!L142)</f>
        <v>30.4</v>
      </c>
      <c r="E150" s="87">
        <f t="shared" si="42"/>
        <v>0.11</v>
      </c>
      <c r="F150" s="86">
        <f t="shared" si="43"/>
        <v>685052.83172735246</v>
      </c>
      <c r="G150" s="86">
        <f t="shared" si="58"/>
        <v>4058.5045737835799</v>
      </c>
      <c r="H150" s="86">
        <f t="shared" ca="1" si="59"/>
        <v>6363.3796369340735</v>
      </c>
      <c r="I150" s="86">
        <f t="shared" si="44"/>
        <v>10421.884210717653</v>
      </c>
      <c r="J150" s="86">
        <f t="shared" si="45"/>
        <v>0</v>
      </c>
      <c r="K150" s="86">
        <f>IF(B150="","",IF(F150=0,0,IF(Sheet1!$I$10=6,'Tabla Fijos CAT'!$C$3*'Tabla Fijos CAT'!$F$5,$C$5*$F$5)))</f>
        <v>0</v>
      </c>
      <c r="L150" s="86">
        <f t="shared" si="46"/>
        <v>0</v>
      </c>
      <c r="M150" s="86"/>
      <c r="N150" s="86"/>
      <c r="O150" s="86">
        <f t="shared" ca="1" si="60"/>
        <v>10421.884210717653</v>
      </c>
      <c r="P150" s="86">
        <f t="shared" si="47"/>
        <v>680994.32715356885</v>
      </c>
      <c r="Q150" s="355">
        <f t="shared" si="48"/>
        <v>0</v>
      </c>
      <c r="R150" s="201">
        <f t="shared" si="49"/>
        <v>4058.5045737835853</v>
      </c>
      <c r="S150" s="201">
        <f t="shared" si="50"/>
        <v>6363.3796369340735</v>
      </c>
      <c r="T150" s="202">
        <f t="shared" si="51"/>
        <v>10421.884210717659</v>
      </c>
      <c r="U150" s="201">
        <f t="shared" si="52"/>
        <v>4058.5045737835799</v>
      </c>
      <c r="V150" s="201">
        <f t="shared" si="53"/>
        <v>6363.3796369340735</v>
      </c>
      <c r="W150" s="201">
        <f t="shared" si="61"/>
        <v>10421.884210717653</v>
      </c>
      <c r="X150" s="201">
        <f t="shared" si="54"/>
        <v>4058.504573783589</v>
      </c>
      <c r="Y150" s="201">
        <f t="shared" si="55"/>
        <v>6363.3796369340735</v>
      </c>
      <c r="Z150" s="201">
        <f t="shared" si="62"/>
        <v>10421.884210717662</v>
      </c>
      <c r="AA150" s="201"/>
      <c r="AC150" s="257">
        <f t="shared" si="56"/>
        <v>10421.884210717653</v>
      </c>
    </row>
    <row r="151" spans="2:29" x14ac:dyDescent="0.3">
      <c r="B151" s="84">
        <f t="shared" si="57"/>
        <v>140</v>
      </c>
      <c r="C151" s="85">
        <f ca="1">IF($B151="","",'Fecha Pago'!K143)</f>
        <v>50408</v>
      </c>
      <c r="D151" s="86">
        <f>IF($B$12="","",'Fecha Pago'!L143)</f>
        <v>30.4</v>
      </c>
      <c r="E151" s="87">
        <f t="shared" si="42"/>
        <v>0.11</v>
      </c>
      <c r="F151" s="86">
        <f t="shared" si="43"/>
        <v>680994.32715356885</v>
      </c>
      <c r="G151" s="86">
        <f t="shared" si="58"/>
        <v>4096.2035718245033</v>
      </c>
      <c r="H151" s="86">
        <f t="shared" ca="1" si="59"/>
        <v>6325.68063889315</v>
      </c>
      <c r="I151" s="86">
        <f t="shared" si="44"/>
        <v>10421.884210717653</v>
      </c>
      <c r="J151" s="86">
        <f t="shared" si="45"/>
        <v>0</v>
      </c>
      <c r="K151" s="86">
        <f>IF(B151="","",IF(F151=0,0,IF(Sheet1!$I$10=6,'Tabla Fijos CAT'!$C$3*'Tabla Fijos CAT'!$F$5,$C$5*$F$5)))</f>
        <v>0</v>
      </c>
      <c r="L151" s="86">
        <f t="shared" si="46"/>
        <v>0</v>
      </c>
      <c r="M151" s="86"/>
      <c r="N151" s="86"/>
      <c r="O151" s="86">
        <f t="shared" ca="1" si="60"/>
        <v>10421.884210717653</v>
      </c>
      <c r="P151" s="86">
        <f t="shared" si="47"/>
        <v>676898.12358174438</v>
      </c>
      <c r="Q151" s="355">
        <f t="shared" si="48"/>
        <v>0</v>
      </c>
      <c r="R151" s="201">
        <f t="shared" si="49"/>
        <v>4096.2035718245088</v>
      </c>
      <c r="S151" s="201">
        <f t="shared" si="50"/>
        <v>6325.68063889315</v>
      </c>
      <c r="T151" s="202">
        <f t="shared" si="51"/>
        <v>10421.884210717659</v>
      </c>
      <c r="U151" s="201">
        <f t="shared" si="52"/>
        <v>4096.2035718245033</v>
      </c>
      <c r="V151" s="201">
        <f t="shared" si="53"/>
        <v>6325.68063889315</v>
      </c>
      <c r="W151" s="201">
        <f t="shared" si="61"/>
        <v>10421.884210717653</v>
      </c>
      <c r="X151" s="201">
        <f t="shared" si="54"/>
        <v>4096.2035718245124</v>
      </c>
      <c r="Y151" s="201">
        <f t="shared" si="55"/>
        <v>6325.68063889315</v>
      </c>
      <c r="Z151" s="201">
        <f t="shared" si="62"/>
        <v>10421.884210717662</v>
      </c>
      <c r="AA151" s="201"/>
      <c r="AC151" s="257">
        <f t="shared" si="56"/>
        <v>10421.884210717653</v>
      </c>
    </row>
    <row r="152" spans="2:29" x14ac:dyDescent="0.3">
      <c r="B152" s="84">
        <f t="shared" si="57"/>
        <v>141</v>
      </c>
      <c r="C152" s="85">
        <f ca="1">IF($B152="","",'Fecha Pago'!K144)</f>
        <v>50439</v>
      </c>
      <c r="D152" s="86">
        <f>IF($B$12="","",'Fecha Pago'!L144)</f>
        <v>30.4</v>
      </c>
      <c r="E152" s="87">
        <f t="shared" si="42"/>
        <v>0.11</v>
      </c>
      <c r="F152" s="86">
        <f t="shared" si="43"/>
        <v>676898.12358174438</v>
      </c>
      <c r="G152" s="86">
        <f t="shared" si="58"/>
        <v>4134.2527516694508</v>
      </c>
      <c r="H152" s="86">
        <f t="shared" ca="1" si="59"/>
        <v>6287.6314590482025</v>
      </c>
      <c r="I152" s="86">
        <f t="shared" si="44"/>
        <v>10421.884210717653</v>
      </c>
      <c r="J152" s="86">
        <f t="shared" si="45"/>
        <v>0</v>
      </c>
      <c r="K152" s="86">
        <f>IF(B152="","",IF(F152=0,0,IF(Sheet1!$I$10=6,'Tabla Fijos CAT'!$C$3*'Tabla Fijos CAT'!$F$5,$C$5*$F$5)))</f>
        <v>0</v>
      </c>
      <c r="L152" s="86">
        <f t="shared" si="46"/>
        <v>0</v>
      </c>
      <c r="M152" s="86"/>
      <c r="N152" s="86"/>
      <c r="O152" s="86">
        <f t="shared" ca="1" si="60"/>
        <v>10421.884210717653</v>
      </c>
      <c r="P152" s="86">
        <f t="shared" si="47"/>
        <v>672763.87083007488</v>
      </c>
      <c r="Q152" s="355">
        <f t="shared" si="48"/>
        <v>0</v>
      </c>
      <c r="R152" s="201">
        <f t="shared" si="49"/>
        <v>4134.2527516694563</v>
      </c>
      <c r="S152" s="201">
        <f t="shared" si="50"/>
        <v>6287.6314590482025</v>
      </c>
      <c r="T152" s="202">
        <f t="shared" si="51"/>
        <v>10421.884210717659</v>
      </c>
      <c r="U152" s="201">
        <f t="shared" si="52"/>
        <v>4134.2527516694508</v>
      </c>
      <c r="V152" s="201">
        <f t="shared" si="53"/>
        <v>6287.6314590482025</v>
      </c>
      <c r="W152" s="201">
        <f t="shared" si="61"/>
        <v>10421.884210717653</v>
      </c>
      <c r="X152" s="201">
        <f t="shared" si="54"/>
        <v>4134.2527516694599</v>
      </c>
      <c r="Y152" s="201">
        <f t="shared" si="55"/>
        <v>6287.6314590482025</v>
      </c>
      <c r="Z152" s="201">
        <f t="shared" si="62"/>
        <v>10421.884210717662</v>
      </c>
      <c r="AA152" s="201"/>
      <c r="AC152" s="257">
        <f t="shared" si="56"/>
        <v>10421.884210717653</v>
      </c>
    </row>
    <row r="153" spans="2:29" x14ac:dyDescent="0.3">
      <c r="B153" s="84">
        <f t="shared" si="57"/>
        <v>142</v>
      </c>
      <c r="C153" s="85">
        <f ca="1">IF($B153="","",'Fecha Pago'!K145)</f>
        <v>50467</v>
      </c>
      <c r="D153" s="86">
        <f>IF($B$12="","",'Fecha Pago'!L145)</f>
        <v>30.4</v>
      </c>
      <c r="E153" s="87">
        <f t="shared" si="42"/>
        <v>0.11</v>
      </c>
      <c r="F153" s="86">
        <f t="shared" si="43"/>
        <v>672763.87083007488</v>
      </c>
      <c r="G153" s="86">
        <f t="shared" si="58"/>
        <v>4172.6553661182916</v>
      </c>
      <c r="H153" s="86">
        <f t="shared" ca="1" si="59"/>
        <v>6249.2288445993618</v>
      </c>
      <c r="I153" s="86">
        <f t="shared" si="44"/>
        <v>10421.884210717653</v>
      </c>
      <c r="J153" s="86">
        <f t="shared" si="45"/>
        <v>0</v>
      </c>
      <c r="K153" s="86">
        <f>IF(B153="","",IF(F153=0,0,IF(Sheet1!$I$10=6,'Tabla Fijos CAT'!$C$3*'Tabla Fijos CAT'!$F$5,$C$5*$F$5)))</f>
        <v>0</v>
      </c>
      <c r="L153" s="86">
        <f t="shared" si="46"/>
        <v>0</v>
      </c>
      <c r="M153" s="86"/>
      <c r="N153" s="86"/>
      <c r="O153" s="86">
        <f t="shared" ca="1" si="60"/>
        <v>10421.884210717653</v>
      </c>
      <c r="P153" s="86">
        <f t="shared" si="47"/>
        <v>668591.21546395659</v>
      </c>
      <c r="Q153" s="355">
        <f t="shared" si="48"/>
        <v>0</v>
      </c>
      <c r="R153" s="201">
        <f t="shared" si="49"/>
        <v>4172.655366118297</v>
      </c>
      <c r="S153" s="201">
        <f t="shared" si="50"/>
        <v>6249.2288445993618</v>
      </c>
      <c r="T153" s="202">
        <f t="shared" si="51"/>
        <v>10421.884210717659</v>
      </c>
      <c r="U153" s="201">
        <f t="shared" si="52"/>
        <v>4172.6553661182916</v>
      </c>
      <c r="V153" s="201">
        <f t="shared" si="53"/>
        <v>6249.2288445993618</v>
      </c>
      <c r="W153" s="201">
        <f t="shared" si="61"/>
        <v>10421.884210717653</v>
      </c>
      <c r="X153" s="201">
        <f t="shared" si="54"/>
        <v>4172.6553661183007</v>
      </c>
      <c r="Y153" s="201">
        <f t="shared" si="55"/>
        <v>6249.2288445993618</v>
      </c>
      <c r="Z153" s="201">
        <f t="shared" si="62"/>
        <v>10421.884210717662</v>
      </c>
      <c r="AA153" s="201"/>
      <c r="AC153" s="257">
        <f t="shared" si="56"/>
        <v>10421.884210717653</v>
      </c>
    </row>
    <row r="154" spans="2:29" x14ac:dyDescent="0.3">
      <c r="B154" s="84">
        <f t="shared" si="57"/>
        <v>143</v>
      </c>
      <c r="C154" s="85">
        <f ca="1">IF($B154="","",'Fecha Pago'!K146)</f>
        <v>50498</v>
      </c>
      <c r="D154" s="86">
        <f>IF($B$12="","",'Fecha Pago'!L146)</f>
        <v>30.4</v>
      </c>
      <c r="E154" s="87">
        <f t="shared" si="42"/>
        <v>0.11</v>
      </c>
      <c r="F154" s="86">
        <f t="shared" si="43"/>
        <v>668591.21546395659</v>
      </c>
      <c r="G154" s="86">
        <f t="shared" si="58"/>
        <v>4211.4146981857903</v>
      </c>
      <c r="H154" s="86">
        <f t="shared" ca="1" si="59"/>
        <v>6210.4695125318631</v>
      </c>
      <c r="I154" s="86">
        <f t="shared" si="44"/>
        <v>10421.884210717653</v>
      </c>
      <c r="J154" s="86">
        <f t="shared" si="45"/>
        <v>0</v>
      </c>
      <c r="K154" s="86">
        <f>IF(B154="","",IF(F154=0,0,IF(Sheet1!$I$10=6,'Tabla Fijos CAT'!$C$3*'Tabla Fijos CAT'!$F$5,$C$5*$F$5)))</f>
        <v>0</v>
      </c>
      <c r="L154" s="86">
        <f t="shared" si="46"/>
        <v>0</v>
      </c>
      <c r="M154" s="86"/>
      <c r="N154" s="86"/>
      <c r="O154" s="86">
        <f t="shared" ca="1" si="60"/>
        <v>10421.884210717653</v>
      </c>
      <c r="P154" s="86">
        <f t="shared" si="47"/>
        <v>664379.80076577084</v>
      </c>
      <c r="Q154" s="355">
        <f t="shared" si="48"/>
        <v>0</v>
      </c>
      <c r="R154" s="201">
        <f t="shared" si="49"/>
        <v>4211.4146981857957</v>
      </c>
      <c r="S154" s="201">
        <f t="shared" si="50"/>
        <v>6210.4695125318631</v>
      </c>
      <c r="T154" s="202">
        <f t="shared" si="51"/>
        <v>10421.884210717659</v>
      </c>
      <c r="U154" s="201">
        <f t="shared" si="52"/>
        <v>4211.4146981857903</v>
      </c>
      <c r="V154" s="201">
        <f t="shared" si="53"/>
        <v>6210.4695125318631</v>
      </c>
      <c r="W154" s="201">
        <f t="shared" si="61"/>
        <v>10421.884210717653</v>
      </c>
      <c r="X154" s="201">
        <f t="shared" si="54"/>
        <v>4211.4146981857975</v>
      </c>
      <c r="Y154" s="201">
        <f t="shared" si="55"/>
        <v>6210.4695125318631</v>
      </c>
      <c r="Z154" s="201">
        <f t="shared" si="62"/>
        <v>10421.884210717661</v>
      </c>
      <c r="AA154" s="201"/>
      <c r="AC154" s="257">
        <f t="shared" si="56"/>
        <v>10421.884210717653</v>
      </c>
    </row>
    <row r="155" spans="2:29" x14ac:dyDescent="0.3">
      <c r="B155" s="84">
        <f t="shared" si="57"/>
        <v>144</v>
      </c>
      <c r="C155" s="85">
        <f ca="1">IF($B155="","",'Fecha Pago'!K147)</f>
        <v>50528</v>
      </c>
      <c r="D155" s="86">
        <f>IF($B$12="","",'Fecha Pago'!L147)</f>
        <v>30.4</v>
      </c>
      <c r="E155" s="87">
        <f t="shared" si="42"/>
        <v>0.11</v>
      </c>
      <c r="F155" s="86">
        <f t="shared" si="43"/>
        <v>664379.80076577084</v>
      </c>
      <c r="G155" s="86">
        <f t="shared" si="58"/>
        <v>4250.5340613822709</v>
      </c>
      <c r="H155" s="86">
        <f t="shared" ca="1" si="59"/>
        <v>6171.3501493353824</v>
      </c>
      <c r="I155" s="86">
        <f t="shared" si="44"/>
        <v>10421.884210717653</v>
      </c>
      <c r="J155" s="86">
        <f t="shared" si="45"/>
        <v>0</v>
      </c>
      <c r="K155" s="86">
        <f>IF(B155="","",IF(F155=0,0,IF(Sheet1!$I$10=6,'Tabla Fijos CAT'!$C$3*'Tabla Fijos CAT'!$F$5,$C$5*$F$5)))</f>
        <v>0</v>
      </c>
      <c r="L155" s="86">
        <f t="shared" si="46"/>
        <v>0</v>
      </c>
      <c r="M155" s="86"/>
      <c r="N155" s="86"/>
      <c r="O155" s="86">
        <f t="shared" ca="1" si="60"/>
        <v>10421.884210717653</v>
      </c>
      <c r="P155" s="86">
        <f t="shared" si="47"/>
        <v>660129.26670438854</v>
      </c>
      <c r="Q155" s="355">
        <f t="shared" si="48"/>
        <v>0</v>
      </c>
      <c r="R155" s="201">
        <f t="shared" si="49"/>
        <v>4250.5340613822773</v>
      </c>
      <c r="S155" s="201">
        <f t="shared" si="50"/>
        <v>6171.3501493353824</v>
      </c>
      <c r="T155" s="202">
        <f t="shared" si="51"/>
        <v>10421.884210717661</v>
      </c>
      <c r="U155" s="201">
        <f t="shared" si="52"/>
        <v>4250.5340613822709</v>
      </c>
      <c r="V155" s="201">
        <f t="shared" si="53"/>
        <v>6171.3501493353824</v>
      </c>
      <c r="W155" s="201">
        <f t="shared" si="61"/>
        <v>10421.884210717653</v>
      </c>
      <c r="X155" s="201">
        <f t="shared" si="54"/>
        <v>4250.53406138228</v>
      </c>
      <c r="Y155" s="201">
        <f t="shared" si="55"/>
        <v>6171.3501493353824</v>
      </c>
      <c r="Z155" s="201">
        <f t="shared" si="62"/>
        <v>10421.884210717662</v>
      </c>
      <c r="AA155" s="201"/>
      <c r="AC155" s="257">
        <f t="shared" si="56"/>
        <v>10421.884210717653</v>
      </c>
    </row>
    <row r="156" spans="2:29" x14ac:dyDescent="0.3">
      <c r="B156" s="84">
        <f t="shared" si="57"/>
        <v>145</v>
      </c>
      <c r="C156" s="85">
        <f ca="1">IF($B156="","",'Fecha Pago'!K148)</f>
        <v>50559</v>
      </c>
      <c r="D156" s="86">
        <f>IF($B$12="","",'Fecha Pago'!L148)</f>
        <v>30.4</v>
      </c>
      <c r="E156" s="87">
        <f t="shared" si="42"/>
        <v>0.11</v>
      </c>
      <c r="F156" s="86">
        <f t="shared" si="43"/>
        <v>660129.26670438854</v>
      </c>
      <c r="G156" s="86">
        <f t="shared" si="58"/>
        <v>4290.0167999968889</v>
      </c>
      <c r="H156" s="86">
        <f t="shared" ca="1" si="59"/>
        <v>6131.8674107207644</v>
      </c>
      <c r="I156" s="86">
        <f t="shared" si="44"/>
        <v>10421.884210717653</v>
      </c>
      <c r="J156" s="86">
        <f t="shared" si="45"/>
        <v>0</v>
      </c>
      <c r="K156" s="86">
        <f>IF(B156="","",IF(F156=0,0,IF(Sheet1!$I$10=6,'Tabla Fijos CAT'!$C$3*'Tabla Fijos CAT'!$F$5,$C$5*$F$5)))</f>
        <v>0</v>
      </c>
      <c r="L156" s="86">
        <f t="shared" si="46"/>
        <v>0</v>
      </c>
      <c r="M156" s="86"/>
      <c r="N156" s="86"/>
      <c r="O156" s="86">
        <f t="shared" ca="1" si="60"/>
        <v>10421.884210717653</v>
      </c>
      <c r="P156" s="86">
        <f t="shared" si="47"/>
        <v>655839.24990439171</v>
      </c>
      <c r="Q156" s="355">
        <f t="shared" si="48"/>
        <v>0</v>
      </c>
      <c r="R156" s="201">
        <f t="shared" si="49"/>
        <v>4290.0167999968953</v>
      </c>
      <c r="S156" s="201">
        <f t="shared" si="50"/>
        <v>6131.8674107207644</v>
      </c>
      <c r="T156" s="202">
        <f t="shared" si="51"/>
        <v>10421.884210717661</v>
      </c>
      <c r="U156" s="201">
        <f t="shared" si="52"/>
        <v>4290.0167999968889</v>
      </c>
      <c r="V156" s="201">
        <f t="shared" si="53"/>
        <v>6131.8674107207644</v>
      </c>
      <c r="W156" s="201">
        <f t="shared" si="61"/>
        <v>10421.884210717653</v>
      </c>
      <c r="X156" s="201">
        <f t="shared" si="54"/>
        <v>4290.016799996898</v>
      </c>
      <c r="Y156" s="201">
        <f t="shared" si="55"/>
        <v>6131.8674107207644</v>
      </c>
      <c r="Z156" s="201">
        <f t="shared" si="62"/>
        <v>10421.884210717662</v>
      </c>
      <c r="AA156" s="201"/>
      <c r="AC156" s="257">
        <f t="shared" si="56"/>
        <v>10421.884210717653</v>
      </c>
    </row>
    <row r="157" spans="2:29" x14ac:dyDescent="0.3">
      <c r="B157" s="84">
        <f t="shared" si="57"/>
        <v>146</v>
      </c>
      <c r="C157" s="85">
        <f ca="1">IF($B157="","",'Fecha Pago'!K149)</f>
        <v>50589</v>
      </c>
      <c r="D157" s="86">
        <f>IF($B$12="","",'Fecha Pago'!L149)</f>
        <v>30.4</v>
      </c>
      <c r="E157" s="87">
        <f t="shared" si="42"/>
        <v>0.11</v>
      </c>
      <c r="F157" s="86">
        <f t="shared" si="43"/>
        <v>655839.24990439171</v>
      </c>
      <c r="G157" s="86">
        <f t="shared" si="58"/>
        <v>4329.8662893835262</v>
      </c>
      <c r="H157" s="86">
        <f t="shared" ca="1" si="59"/>
        <v>6092.0179213341271</v>
      </c>
      <c r="I157" s="86">
        <f t="shared" si="44"/>
        <v>10421.884210717653</v>
      </c>
      <c r="J157" s="86">
        <f t="shared" si="45"/>
        <v>0</v>
      </c>
      <c r="K157" s="86">
        <f>IF(B157="","",IF(F157=0,0,IF(Sheet1!$I$10=6,'Tabla Fijos CAT'!$C$3*'Tabla Fijos CAT'!$F$5,$C$5*$F$5)))</f>
        <v>0</v>
      </c>
      <c r="L157" s="86">
        <f t="shared" si="46"/>
        <v>0</v>
      </c>
      <c r="M157" s="86"/>
      <c r="N157" s="86"/>
      <c r="O157" s="86">
        <f t="shared" ca="1" si="60"/>
        <v>10421.884210717653</v>
      </c>
      <c r="P157" s="86">
        <f t="shared" si="47"/>
        <v>651509.38361500821</v>
      </c>
      <c r="Q157" s="355">
        <f t="shared" si="48"/>
        <v>0</v>
      </c>
      <c r="R157" s="201">
        <f t="shared" si="49"/>
        <v>4329.8662893835335</v>
      </c>
      <c r="S157" s="201">
        <f t="shared" si="50"/>
        <v>6092.0179213341271</v>
      </c>
      <c r="T157" s="202">
        <f t="shared" si="51"/>
        <v>10421.884210717661</v>
      </c>
      <c r="U157" s="201">
        <f t="shared" si="52"/>
        <v>4329.8662893835262</v>
      </c>
      <c r="V157" s="201">
        <f t="shared" si="53"/>
        <v>6092.0179213341271</v>
      </c>
      <c r="W157" s="201">
        <f t="shared" si="61"/>
        <v>10421.884210717653</v>
      </c>
      <c r="X157" s="201">
        <f t="shared" si="54"/>
        <v>4329.8662893835353</v>
      </c>
      <c r="Y157" s="201">
        <f t="shared" si="55"/>
        <v>6092.0179213341271</v>
      </c>
      <c r="Z157" s="201">
        <f t="shared" si="62"/>
        <v>10421.884210717662</v>
      </c>
      <c r="AA157" s="201"/>
      <c r="AC157" s="257">
        <f t="shared" si="56"/>
        <v>10421.884210717653</v>
      </c>
    </row>
    <row r="158" spans="2:29" x14ac:dyDescent="0.3">
      <c r="B158" s="84">
        <f t="shared" si="57"/>
        <v>147</v>
      </c>
      <c r="C158" s="85">
        <f ca="1">IF($B158="","",'Fecha Pago'!K150)</f>
        <v>50620</v>
      </c>
      <c r="D158" s="86">
        <f>IF($B$12="","",'Fecha Pago'!L150)</f>
        <v>30.4</v>
      </c>
      <c r="E158" s="87">
        <f t="shared" si="42"/>
        <v>0.11</v>
      </c>
      <c r="F158" s="86">
        <f t="shared" si="43"/>
        <v>651509.38361500821</v>
      </c>
      <c r="G158" s="86">
        <f t="shared" si="58"/>
        <v>4370.0859362493557</v>
      </c>
      <c r="H158" s="86">
        <f t="shared" ca="1" si="59"/>
        <v>6051.7982744682977</v>
      </c>
      <c r="I158" s="86">
        <f t="shared" si="44"/>
        <v>10421.884210717653</v>
      </c>
      <c r="J158" s="86">
        <f t="shared" si="45"/>
        <v>0</v>
      </c>
      <c r="K158" s="86">
        <f>IF(B158="","",IF(F158=0,0,IF(Sheet1!$I$10=6,'Tabla Fijos CAT'!$C$3*'Tabla Fijos CAT'!$F$5,$C$5*$F$5)))</f>
        <v>0</v>
      </c>
      <c r="L158" s="86">
        <f t="shared" si="46"/>
        <v>0</v>
      </c>
      <c r="M158" s="86"/>
      <c r="N158" s="86"/>
      <c r="O158" s="86">
        <f t="shared" ca="1" si="60"/>
        <v>10421.884210717653</v>
      </c>
      <c r="P158" s="86">
        <f t="shared" si="47"/>
        <v>647139.29767875886</v>
      </c>
      <c r="Q158" s="355">
        <f t="shared" si="48"/>
        <v>0</v>
      </c>
      <c r="R158" s="201">
        <f t="shared" si="49"/>
        <v>4370.085936249362</v>
      </c>
      <c r="S158" s="201">
        <f t="shared" si="50"/>
        <v>6051.7982744682977</v>
      </c>
      <c r="T158" s="202">
        <f t="shared" si="51"/>
        <v>10421.884210717661</v>
      </c>
      <c r="U158" s="201">
        <f t="shared" si="52"/>
        <v>4370.0859362493557</v>
      </c>
      <c r="V158" s="201">
        <f t="shared" si="53"/>
        <v>6051.7982744682977</v>
      </c>
      <c r="W158" s="201">
        <f t="shared" si="61"/>
        <v>10421.884210717653</v>
      </c>
      <c r="X158" s="201">
        <f t="shared" si="54"/>
        <v>4370.0859362493666</v>
      </c>
      <c r="Y158" s="201">
        <f t="shared" si="55"/>
        <v>6051.7982744682977</v>
      </c>
      <c r="Z158" s="201">
        <f t="shared" si="62"/>
        <v>10421.884210717664</v>
      </c>
      <c r="AA158" s="201"/>
      <c r="AC158" s="257">
        <f t="shared" si="56"/>
        <v>10421.884210717653</v>
      </c>
    </row>
    <row r="159" spans="2:29" x14ac:dyDescent="0.3">
      <c r="B159" s="84">
        <f t="shared" si="57"/>
        <v>148</v>
      </c>
      <c r="C159" s="85">
        <f ca="1">IF($B159="","",'Fecha Pago'!K151)</f>
        <v>50651</v>
      </c>
      <c r="D159" s="86">
        <f>IF($B$12="","",'Fecha Pago'!L151)</f>
        <v>30.4</v>
      </c>
      <c r="E159" s="87">
        <f t="shared" si="42"/>
        <v>0.11</v>
      </c>
      <c r="F159" s="86">
        <f t="shared" si="43"/>
        <v>647139.29767875886</v>
      </c>
      <c r="G159" s="86">
        <f t="shared" si="58"/>
        <v>4410.6791789460713</v>
      </c>
      <c r="H159" s="86">
        <f t="shared" ca="1" si="59"/>
        <v>6011.2050317715821</v>
      </c>
      <c r="I159" s="86">
        <f t="shared" si="44"/>
        <v>10421.884210717653</v>
      </c>
      <c r="J159" s="86">
        <f t="shared" si="45"/>
        <v>0</v>
      </c>
      <c r="K159" s="86">
        <f>IF(B159="","",IF(F159=0,0,IF(Sheet1!$I$10=6,'Tabla Fijos CAT'!$C$3*'Tabla Fijos CAT'!$F$5,$C$5*$F$5)))</f>
        <v>0</v>
      </c>
      <c r="L159" s="86">
        <f t="shared" si="46"/>
        <v>0</v>
      </c>
      <c r="M159" s="86"/>
      <c r="N159" s="86"/>
      <c r="O159" s="86">
        <f t="shared" ca="1" si="60"/>
        <v>10421.884210717653</v>
      </c>
      <c r="P159" s="86">
        <f t="shared" si="47"/>
        <v>642728.61849981279</v>
      </c>
      <c r="Q159" s="355">
        <f t="shared" si="48"/>
        <v>0</v>
      </c>
      <c r="R159" s="201">
        <f t="shared" si="49"/>
        <v>4410.6791789460785</v>
      </c>
      <c r="S159" s="201">
        <f t="shared" si="50"/>
        <v>6011.2050317715821</v>
      </c>
      <c r="T159" s="202">
        <f t="shared" si="51"/>
        <v>10421.884210717661</v>
      </c>
      <c r="U159" s="201">
        <f t="shared" si="52"/>
        <v>4410.6791789460713</v>
      </c>
      <c r="V159" s="201">
        <f t="shared" si="53"/>
        <v>6011.2050317715821</v>
      </c>
      <c r="W159" s="201">
        <f t="shared" si="61"/>
        <v>10421.884210717653</v>
      </c>
      <c r="X159" s="201">
        <f t="shared" si="54"/>
        <v>4410.6791789460804</v>
      </c>
      <c r="Y159" s="201">
        <f t="shared" si="55"/>
        <v>6011.2050317715821</v>
      </c>
      <c r="Z159" s="201">
        <f t="shared" si="62"/>
        <v>10421.884210717662</v>
      </c>
      <c r="AA159" s="201"/>
      <c r="AC159" s="257">
        <f t="shared" si="56"/>
        <v>10421.884210717653</v>
      </c>
    </row>
    <row r="160" spans="2:29" x14ac:dyDescent="0.3">
      <c r="B160" s="84">
        <f t="shared" si="57"/>
        <v>149</v>
      </c>
      <c r="C160" s="85">
        <f ca="1">IF($B160="","",'Fecha Pago'!K152)</f>
        <v>50681</v>
      </c>
      <c r="D160" s="86">
        <f>IF($B$12="","",'Fecha Pago'!L152)</f>
        <v>30.4</v>
      </c>
      <c r="E160" s="87">
        <f t="shared" si="42"/>
        <v>0.11</v>
      </c>
      <c r="F160" s="86">
        <f t="shared" si="43"/>
        <v>642728.61849981279</v>
      </c>
      <c r="G160" s="86">
        <f t="shared" si="58"/>
        <v>4451.649487763837</v>
      </c>
      <c r="H160" s="86">
        <f t="shared" ca="1" si="59"/>
        <v>5970.2347229538163</v>
      </c>
      <c r="I160" s="86">
        <f t="shared" si="44"/>
        <v>10421.884210717653</v>
      </c>
      <c r="J160" s="86">
        <f t="shared" si="45"/>
        <v>0</v>
      </c>
      <c r="K160" s="86">
        <f>IF(B160="","",IF(F160=0,0,IF(Sheet1!$I$10=6,'Tabla Fijos CAT'!$C$3*'Tabla Fijos CAT'!$F$5,$C$5*$F$5)))</f>
        <v>0</v>
      </c>
      <c r="L160" s="86">
        <f t="shared" si="46"/>
        <v>0</v>
      </c>
      <c r="M160" s="86"/>
      <c r="N160" s="86"/>
      <c r="O160" s="86">
        <f t="shared" ca="1" si="60"/>
        <v>10421.884210717653</v>
      </c>
      <c r="P160" s="86">
        <f t="shared" si="47"/>
        <v>638276.96901204891</v>
      </c>
      <c r="Q160" s="355">
        <f t="shared" si="48"/>
        <v>0</v>
      </c>
      <c r="R160" s="201">
        <f t="shared" si="49"/>
        <v>4451.6494877638443</v>
      </c>
      <c r="S160" s="201">
        <f t="shared" si="50"/>
        <v>5970.2347229538163</v>
      </c>
      <c r="T160" s="202">
        <f t="shared" si="51"/>
        <v>10421.884210717661</v>
      </c>
      <c r="U160" s="201">
        <f t="shared" si="52"/>
        <v>4451.649487763837</v>
      </c>
      <c r="V160" s="201">
        <f t="shared" si="53"/>
        <v>5970.2347229538163</v>
      </c>
      <c r="W160" s="201">
        <f t="shared" si="61"/>
        <v>10421.884210717653</v>
      </c>
      <c r="X160" s="201">
        <f t="shared" si="54"/>
        <v>4451.6494877638479</v>
      </c>
      <c r="Y160" s="201">
        <f t="shared" si="55"/>
        <v>5970.2347229538163</v>
      </c>
      <c r="Z160" s="201">
        <f t="shared" si="62"/>
        <v>10421.884210717664</v>
      </c>
      <c r="AA160" s="201"/>
      <c r="AC160" s="257">
        <f t="shared" si="56"/>
        <v>10421.884210717653</v>
      </c>
    </row>
    <row r="161" spans="2:29" x14ac:dyDescent="0.3">
      <c r="B161" s="84">
        <f t="shared" si="57"/>
        <v>150</v>
      </c>
      <c r="C161" s="85">
        <f ca="1">IF($B161="","",'Fecha Pago'!K153)</f>
        <v>50712</v>
      </c>
      <c r="D161" s="86">
        <f>IF($B$12="","",'Fecha Pago'!L153)</f>
        <v>30.4</v>
      </c>
      <c r="E161" s="87">
        <f t="shared" si="42"/>
        <v>0.11</v>
      </c>
      <c r="F161" s="86">
        <f t="shared" si="43"/>
        <v>638276.96901204891</v>
      </c>
      <c r="G161" s="86">
        <f t="shared" si="58"/>
        <v>4493.0003652279547</v>
      </c>
      <c r="H161" s="86">
        <f t="shared" ca="1" si="59"/>
        <v>5928.8838454896986</v>
      </c>
      <c r="I161" s="86">
        <f t="shared" si="44"/>
        <v>10421.884210717653</v>
      </c>
      <c r="J161" s="86">
        <f t="shared" si="45"/>
        <v>0</v>
      </c>
      <c r="K161" s="86">
        <f>IF(B161="","",IF(F161=0,0,IF(Sheet1!$I$10=6,'Tabla Fijos CAT'!$C$3*'Tabla Fijos CAT'!$F$5,$C$5*$F$5)))</f>
        <v>0</v>
      </c>
      <c r="L161" s="86">
        <f t="shared" si="46"/>
        <v>0</v>
      </c>
      <c r="M161" s="86"/>
      <c r="N161" s="86"/>
      <c r="O161" s="86">
        <f t="shared" ca="1" si="60"/>
        <v>10421.884210717653</v>
      </c>
      <c r="P161" s="86">
        <f t="shared" si="47"/>
        <v>633783.96864682098</v>
      </c>
      <c r="Q161" s="355">
        <f t="shared" si="48"/>
        <v>0</v>
      </c>
      <c r="R161" s="201">
        <f t="shared" si="49"/>
        <v>4493.0003652279611</v>
      </c>
      <c r="S161" s="201">
        <f t="shared" si="50"/>
        <v>5928.8838454896986</v>
      </c>
      <c r="T161" s="202">
        <f t="shared" si="51"/>
        <v>10421.884210717661</v>
      </c>
      <c r="U161" s="201">
        <f t="shared" si="52"/>
        <v>4493.0003652279547</v>
      </c>
      <c r="V161" s="201">
        <f t="shared" si="53"/>
        <v>5928.8838454896986</v>
      </c>
      <c r="W161" s="201">
        <f t="shared" si="61"/>
        <v>10421.884210717653</v>
      </c>
      <c r="X161" s="201">
        <f t="shared" si="54"/>
        <v>4493.0003652279638</v>
      </c>
      <c r="Y161" s="201">
        <f t="shared" si="55"/>
        <v>5928.8838454896986</v>
      </c>
      <c r="Z161" s="201">
        <f t="shared" si="62"/>
        <v>10421.884210717662</v>
      </c>
      <c r="AA161" s="201"/>
      <c r="AC161" s="257">
        <f t="shared" si="56"/>
        <v>10421.884210717653</v>
      </c>
    </row>
    <row r="162" spans="2:29" x14ac:dyDescent="0.3">
      <c r="B162" s="84">
        <f t="shared" si="57"/>
        <v>151</v>
      </c>
      <c r="C162" s="85">
        <f ca="1">IF($B162="","",'Fecha Pago'!K154)</f>
        <v>50742</v>
      </c>
      <c r="D162" s="86">
        <f>IF($B$12="","",'Fecha Pago'!L154)</f>
        <v>30.4</v>
      </c>
      <c r="E162" s="87">
        <f t="shared" si="42"/>
        <v>0.11</v>
      </c>
      <c r="F162" s="86">
        <f t="shared" si="43"/>
        <v>633783.96864682098</v>
      </c>
      <c r="G162" s="86">
        <f t="shared" si="58"/>
        <v>4534.7353463982945</v>
      </c>
      <c r="H162" s="86">
        <f t="shared" ca="1" si="59"/>
        <v>5887.1488643193588</v>
      </c>
      <c r="I162" s="86">
        <f t="shared" si="44"/>
        <v>10421.884210717653</v>
      </c>
      <c r="J162" s="86">
        <f t="shared" si="45"/>
        <v>0</v>
      </c>
      <c r="K162" s="86">
        <f>IF(B162="","",IF(F162=0,0,IF(Sheet1!$I$10=6,'Tabla Fijos CAT'!$C$3*'Tabla Fijos CAT'!$F$5,$C$5*$F$5)))</f>
        <v>0</v>
      </c>
      <c r="L162" s="86">
        <f t="shared" si="46"/>
        <v>0</v>
      </c>
      <c r="M162" s="86"/>
      <c r="N162" s="86"/>
      <c r="O162" s="86">
        <f t="shared" ca="1" si="60"/>
        <v>10421.884210717653</v>
      </c>
      <c r="P162" s="86">
        <f t="shared" si="47"/>
        <v>629249.23330042267</v>
      </c>
      <c r="Q162" s="355">
        <f t="shared" si="48"/>
        <v>0</v>
      </c>
      <c r="R162" s="201">
        <f t="shared" si="49"/>
        <v>4534.7353463983018</v>
      </c>
      <c r="S162" s="201">
        <f t="shared" si="50"/>
        <v>5887.1488643193588</v>
      </c>
      <c r="T162" s="202">
        <f t="shared" si="51"/>
        <v>10421.884210717661</v>
      </c>
      <c r="U162" s="201">
        <f t="shared" si="52"/>
        <v>4534.7353463982945</v>
      </c>
      <c r="V162" s="201">
        <f t="shared" si="53"/>
        <v>5887.1488643193588</v>
      </c>
      <c r="W162" s="201">
        <f t="shared" si="61"/>
        <v>10421.884210717653</v>
      </c>
      <c r="X162" s="201">
        <f t="shared" si="54"/>
        <v>4534.7353463983054</v>
      </c>
      <c r="Y162" s="201">
        <f t="shared" si="55"/>
        <v>5887.1488643193588</v>
      </c>
      <c r="Z162" s="201">
        <f t="shared" si="62"/>
        <v>10421.884210717664</v>
      </c>
      <c r="AA162" s="201"/>
      <c r="AC162" s="257">
        <f t="shared" si="56"/>
        <v>10421.884210717653</v>
      </c>
    </row>
    <row r="163" spans="2:29" x14ac:dyDescent="0.3">
      <c r="B163" s="84">
        <f t="shared" si="57"/>
        <v>152</v>
      </c>
      <c r="C163" s="85">
        <f ca="1">IF($B163="","",'Fecha Pago'!K155)</f>
        <v>50773</v>
      </c>
      <c r="D163" s="86">
        <f>IF($B$12="","",'Fecha Pago'!L155)</f>
        <v>30.4</v>
      </c>
      <c r="E163" s="87">
        <f t="shared" si="42"/>
        <v>0.11</v>
      </c>
      <c r="F163" s="86">
        <f t="shared" si="43"/>
        <v>629249.23330042267</v>
      </c>
      <c r="G163" s="86">
        <f t="shared" si="58"/>
        <v>4576.8579991715051</v>
      </c>
      <c r="H163" s="86">
        <f t="shared" ca="1" si="59"/>
        <v>5845.0262115461483</v>
      </c>
      <c r="I163" s="86">
        <f t="shared" si="44"/>
        <v>10421.884210717653</v>
      </c>
      <c r="J163" s="86">
        <f t="shared" si="45"/>
        <v>0</v>
      </c>
      <c r="K163" s="86">
        <f>IF(B163="","",IF(F163=0,0,IF(Sheet1!$I$10=6,'Tabla Fijos CAT'!$C$3*'Tabla Fijos CAT'!$F$5,$C$5*$F$5)))</f>
        <v>0</v>
      </c>
      <c r="L163" s="86">
        <f t="shared" si="46"/>
        <v>0</v>
      </c>
      <c r="M163" s="86"/>
      <c r="N163" s="86"/>
      <c r="O163" s="86">
        <f t="shared" ca="1" si="60"/>
        <v>10421.884210717653</v>
      </c>
      <c r="P163" s="86">
        <f t="shared" si="47"/>
        <v>624672.37530125119</v>
      </c>
      <c r="Q163" s="355">
        <f t="shared" si="48"/>
        <v>0</v>
      </c>
      <c r="R163" s="201">
        <f t="shared" si="49"/>
        <v>4576.8579991715123</v>
      </c>
      <c r="S163" s="201">
        <f t="shared" si="50"/>
        <v>5845.0262115461483</v>
      </c>
      <c r="T163" s="202">
        <f t="shared" si="51"/>
        <v>10421.884210717661</v>
      </c>
      <c r="U163" s="201">
        <f t="shared" si="52"/>
        <v>4576.8579991715051</v>
      </c>
      <c r="V163" s="201">
        <f t="shared" si="53"/>
        <v>5845.0262115461483</v>
      </c>
      <c r="W163" s="201">
        <f t="shared" si="61"/>
        <v>10421.884210717653</v>
      </c>
      <c r="X163" s="201">
        <f t="shared" si="54"/>
        <v>4576.857999171516</v>
      </c>
      <c r="Y163" s="201">
        <f t="shared" si="55"/>
        <v>5845.0262115461483</v>
      </c>
      <c r="Z163" s="201">
        <f t="shared" si="62"/>
        <v>10421.884210717664</v>
      </c>
      <c r="AA163" s="201"/>
      <c r="AC163" s="257">
        <f t="shared" si="56"/>
        <v>10421.884210717653</v>
      </c>
    </row>
    <row r="164" spans="2:29" x14ac:dyDescent="0.3">
      <c r="B164" s="84">
        <f t="shared" si="57"/>
        <v>153</v>
      </c>
      <c r="C164" s="85">
        <f ca="1">IF($B164="","",'Fecha Pago'!K156)</f>
        <v>50804</v>
      </c>
      <c r="D164" s="86">
        <f>IF($B$12="","",'Fecha Pago'!L156)</f>
        <v>30.4</v>
      </c>
      <c r="E164" s="87">
        <f t="shared" si="42"/>
        <v>0.11</v>
      </c>
      <c r="F164" s="86">
        <f t="shared" si="43"/>
        <v>624672.37530125119</v>
      </c>
      <c r="G164" s="86">
        <f t="shared" si="58"/>
        <v>4619.371924586032</v>
      </c>
      <c r="H164" s="86">
        <f t="shared" ca="1" si="59"/>
        <v>5802.5122861316213</v>
      </c>
      <c r="I164" s="86">
        <f t="shared" si="44"/>
        <v>10421.884210717653</v>
      </c>
      <c r="J164" s="86">
        <f t="shared" si="45"/>
        <v>0</v>
      </c>
      <c r="K164" s="86">
        <f>IF(B164="","",IF(F164=0,0,IF(Sheet1!$I$10=6,'Tabla Fijos CAT'!$C$3*'Tabla Fijos CAT'!$F$5,$C$5*$F$5)))</f>
        <v>0</v>
      </c>
      <c r="L164" s="86">
        <f t="shared" si="46"/>
        <v>0</v>
      </c>
      <c r="M164" s="86"/>
      <c r="N164" s="86"/>
      <c r="O164" s="86">
        <f t="shared" ca="1" si="60"/>
        <v>10421.884210717653</v>
      </c>
      <c r="P164" s="86">
        <f t="shared" si="47"/>
        <v>620053.00337666518</v>
      </c>
      <c r="Q164" s="355">
        <f t="shared" si="48"/>
        <v>0</v>
      </c>
      <c r="R164" s="201">
        <f t="shared" si="49"/>
        <v>4619.3719245860393</v>
      </c>
      <c r="S164" s="201">
        <f t="shared" si="50"/>
        <v>5802.5122861316213</v>
      </c>
      <c r="T164" s="202">
        <f t="shared" si="51"/>
        <v>10421.884210717661</v>
      </c>
      <c r="U164" s="201">
        <f t="shared" si="52"/>
        <v>4619.371924586032</v>
      </c>
      <c r="V164" s="201">
        <f t="shared" si="53"/>
        <v>5802.5122861316213</v>
      </c>
      <c r="W164" s="201">
        <f t="shared" si="61"/>
        <v>10421.884210717653</v>
      </c>
      <c r="X164" s="201">
        <f t="shared" si="54"/>
        <v>4619.371924586043</v>
      </c>
      <c r="Y164" s="201">
        <f t="shared" si="55"/>
        <v>5802.5122861316213</v>
      </c>
      <c r="Z164" s="201">
        <f t="shared" si="62"/>
        <v>10421.884210717664</v>
      </c>
      <c r="AA164" s="201"/>
      <c r="AC164" s="257">
        <f t="shared" si="56"/>
        <v>10421.884210717653</v>
      </c>
    </row>
    <row r="165" spans="2:29" x14ac:dyDescent="0.3">
      <c r="B165" s="84">
        <f t="shared" si="57"/>
        <v>154</v>
      </c>
      <c r="C165" s="85">
        <f ca="1">IF($B165="","",'Fecha Pago'!K157)</f>
        <v>50832</v>
      </c>
      <c r="D165" s="86">
        <f>IF($B$12="","",'Fecha Pago'!L157)</f>
        <v>30.4</v>
      </c>
      <c r="E165" s="87">
        <f t="shared" si="42"/>
        <v>0.11</v>
      </c>
      <c r="F165" s="86">
        <f t="shared" si="43"/>
        <v>620053.00337666518</v>
      </c>
      <c r="G165" s="86">
        <f t="shared" si="58"/>
        <v>4662.2807571299636</v>
      </c>
      <c r="H165" s="86">
        <f t="shared" ca="1" si="59"/>
        <v>5759.6034535876897</v>
      </c>
      <c r="I165" s="86">
        <f t="shared" si="44"/>
        <v>10421.884210717653</v>
      </c>
      <c r="J165" s="86">
        <f t="shared" si="45"/>
        <v>0</v>
      </c>
      <c r="K165" s="86">
        <f>IF(B165="","",IF(F165=0,0,IF(Sheet1!$I$10=6,'Tabla Fijos CAT'!$C$3*'Tabla Fijos CAT'!$F$5,$C$5*$F$5)))</f>
        <v>0</v>
      </c>
      <c r="L165" s="86">
        <f t="shared" si="46"/>
        <v>0</v>
      </c>
      <c r="M165" s="86"/>
      <c r="N165" s="86"/>
      <c r="O165" s="86">
        <f t="shared" ca="1" si="60"/>
        <v>10421.884210717653</v>
      </c>
      <c r="P165" s="86">
        <f t="shared" si="47"/>
        <v>615390.72261953517</v>
      </c>
      <c r="Q165" s="355">
        <f t="shared" si="48"/>
        <v>0</v>
      </c>
      <c r="R165" s="201">
        <f t="shared" si="49"/>
        <v>4662.2807571299709</v>
      </c>
      <c r="S165" s="201">
        <f t="shared" si="50"/>
        <v>5759.6034535876897</v>
      </c>
      <c r="T165" s="202">
        <f t="shared" si="51"/>
        <v>10421.884210717661</v>
      </c>
      <c r="U165" s="201">
        <f t="shared" si="52"/>
        <v>4662.2807571299636</v>
      </c>
      <c r="V165" s="201">
        <f t="shared" si="53"/>
        <v>5759.6034535876897</v>
      </c>
      <c r="W165" s="201">
        <f t="shared" si="61"/>
        <v>10421.884210717653</v>
      </c>
      <c r="X165" s="201">
        <f t="shared" si="54"/>
        <v>4662.2807571299745</v>
      </c>
      <c r="Y165" s="201">
        <f t="shared" si="55"/>
        <v>5759.6034535876897</v>
      </c>
      <c r="Z165" s="201">
        <f t="shared" si="62"/>
        <v>10421.884210717664</v>
      </c>
      <c r="AA165" s="201"/>
      <c r="AC165" s="257">
        <f t="shared" si="56"/>
        <v>10421.884210717653</v>
      </c>
    </row>
    <row r="166" spans="2:29" x14ac:dyDescent="0.3">
      <c r="B166" s="84">
        <f t="shared" si="57"/>
        <v>155</v>
      </c>
      <c r="C166" s="85">
        <f ca="1">IF($B166="","",'Fecha Pago'!K158)</f>
        <v>50863</v>
      </c>
      <c r="D166" s="86">
        <f>IF($B$12="","",'Fecha Pago'!L158)</f>
        <v>30.4</v>
      </c>
      <c r="E166" s="87">
        <f t="shared" si="42"/>
        <v>0.11</v>
      </c>
      <c r="F166" s="86">
        <f t="shared" si="43"/>
        <v>615390.72261953517</v>
      </c>
      <c r="G166" s="86">
        <f t="shared" si="58"/>
        <v>4705.5881650517495</v>
      </c>
      <c r="H166" s="86">
        <f t="shared" ca="1" si="59"/>
        <v>5716.2960456659039</v>
      </c>
      <c r="I166" s="86">
        <f t="shared" si="44"/>
        <v>10421.884210717653</v>
      </c>
      <c r="J166" s="86">
        <f t="shared" si="45"/>
        <v>0</v>
      </c>
      <c r="K166" s="86">
        <f>IF(B166="","",IF(F166=0,0,IF(Sheet1!$I$10=6,'Tabla Fijos CAT'!$C$3*'Tabla Fijos CAT'!$F$5,$C$5*$F$5)))</f>
        <v>0</v>
      </c>
      <c r="L166" s="86">
        <f t="shared" si="46"/>
        <v>0</v>
      </c>
      <c r="M166" s="86"/>
      <c r="N166" s="86"/>
      <c r="O166" s="86">
        <f t="shared" ca="1" si="60"/>
        <v>10421.884210717653</v>
      </c>
      <c r="P166" s="86">
        <f t="shared" si="47"/>
        <v>610685.1344544834</v>
      </c>
      <c r="Q166" s="355">
        <f t="shared" si="48"/>
        <v>0</v>
      </c>
      <c r="R166" s="201">
        <f t="shared" si="49"/>
        <v>4705.5881650517558</v>
      </c>
      <c r="S166" s="201">
        <f t="shared" si="50"/>
        <v>5716.2960456659039</v>
      </c>
      <c r="T166" s="202">
        <f t="shared" si="51"/>
        <v>10421.884210717661</v>
      </c>
      <c r="U166" s="201">
        <f t="shared" si="52"/>
        <v>4705.5881650517495</v>
      </c>
      <c r="V166" s="201">
        <f t="shared" si="53"/>
        <v>5716.2960456659039</v>
      </c>
      <c r="W166" s="201">
        <f t="shared" si="61"/>
        <v>10421.884210717653</v>
      </c>
      <c r="X166" s="201">
        <f t="shared" si="54"/>
        <v>4705.5881650517604</v>
      </c>
      <c r="Y166" s="201">
        <f t="shared" si="55"/>
        <v>5716.2960456659039</v>
      </c>
      <c r="Z166" s="201">
        <f t="shared" si="62"/>
        <v>10421.884210717664</v>
      </c>
      <c r="AA166" s="201"/>
      <c r="AC166" s="257">
        <f t="shared" si="56"/>
        <v>10421.884210717653</v>
      </c>
    </row>
    <row r="167" spans="2:29" x14ac:dyDescent="0.3">
      <c r="B167" s="84">
        <f t="shared" si="57"/>
        <v>156</v>
      </c>
      <c r="C167" s="85">
        <f ca="1">IF($B167="","",'Fecha Pago'!K159)</f>
        <v>50893</v>
      </c>
      <c r="D167" s="86">
        <f>IF($B$12="","",'Fecha Pago'!L159)</f>
        <v>30.4</v>
      </c>
      <c r="E167" s="87">
        <f t="shared" si="42"/>
        <v>0.11</v>
      </c>
      <c r="F167" s="86">
        <f t="shared" si="43"/>
        <v>610685.1344544834</v>
      </c>
      <c r="G167" s="86">
        <f t="shared" si="58"/>
        <v>4749.2978506737854</v>
      </c>
      <c r="H167" s="86">
        <f t="shared" ca="1" si="59"/>
        <v>5672.5863600438679</v>
      </c>
      <c r="I167" s="86">
        <f t="shared" si="44"/>
        <v>10421.884210717653</v>
      </c>
      <c r="J167" s="86">
        <f t="shared" si="45"/>
        <v>0</v>
      </c>
      <c r="K167" s="86">
        <f>IF(B167="","",IF(F167=0,0,IF(Sheet1!$I$10=6,'Tabla Fijos CAT'!$C$3*'Tabla Fijos CAT'!$F$5,$C$5*$F$5)))</f>
        <v>0</v>
      </c>
      <c r="L167" s="86">
        <f t="shared" si="46"/>
        <v>0</v>
      </c>
      <c r="M167" s="86"/>
      <c r="N167" s="86"/>
      <c r="O167" s="86">
        <f t="shared" ca="1" si="60"/>
        <v>10421.884210717653</v>
      </c>
      <c r="P167" s="86">
        <f t="shared" si="47"/>
        <v>605935.83660380961</v>
      </c>
      <c r="Q167" s="355">
        <f t="shared" si="48"/>
        <v>0</v>
      </c>
      <c r="R167" s="201">
        <f t="shared" si="49"/>
        <v>4749.2978506737927</v>
      </c>
      <c r="S167" s="201">
        <f t="shared" si="50"/>
        <v>5672.5863600438679</v>
      </c>
      <c r="T167" s="202">
        <f t="shared" si="51"/>
        <v>10421.884210717661</v>
      </c>
      <c r="U167" s="201">
        <f t="shared" si="52"/>
        <v>4749.2978506737854</v>
      </c>
      <c r="V167" s="201">
        <f t="shared" si="53"/>
        <v>5672.5863600438679</v>
      </c>
      <c r="W167" s="201">
        <f t="shared" si="61"/>
        <v>10421.884210717653</v>
      </c>
      <c r="X167" s="201">
        <f t="shared" si="54"/>
        <v>4749.2978506737963</v>
      </c>
      <c r="Y167" s="201">
        <f t="shared" si="55"/>
        <v>5672.5863600438679</v>
      </c>
      <c r="Z167" s="201">
        <f t="shared" si="62"/>
        <v>10421.884210717664</v>
      </c>
      <c r="AA167" s="201"/>
      <c r="AC167" s="257">
        <f t="shared" si="56"/>
        <v>10421.884210717653</v>
      </c>
    </row>
    <row r="168" spans="2:29" x14ac:dyDescent="0.3">
      <c r="B168" s="84">
        <f t="shared" si="57"/>
        <v>157</v>
      </c>
      <c r="C168" s="85">
        <f ca="1">IF($B168="","",'Fecha Pago'!K160)</f>
        <v>50924</v>
      </c>
      <c r="D168" s="86">
        <f>IF($B$12="","",'Fecha Pago'!L160)</f>
        <v>30.4</v>
      </c>
      <c r="E168" s="87">
        <f t="shared" si="42"/>
        <v>0.11</v>
      </c>
      <c r="F168" s="86">
        <f t="shared" si="43"/>
        <v>605935.83660380961</v>
      </c>
      <c r="G168" s="86">
        <f t="shared" si="58"/>
        <v>4793.4135507089331</v>
      </c>
      <c r="H168" s="86">
        <f t="shared" ca="1" si="59"/>
        <v>5628.4706600087202</v>
      </c>
      <c r="I168" s="86">
        <f t="shared" si="44"/>
        <v>10421.884210717653</v>
      </c>
      <c r="J168" s="86">
        <f t="shared" si="45"/>
        <v>0</v>
      </c>
      <c r="K168" s="86">
        <f>IF(B168="","",IF(F168=0,0,IF(Sheet1!$I$10=6,'Tabla Fijos CAT'!$C$3*'Tabla Fijos CAT'!$F$5,$C$5*$F$5)))</f>
        <v>0</v>
      </c>
      <c r="L168" s="86">
        <f t="shared" si="46"/>
        <v>0</v>
      </c>
      <c r="M168" s="86"/>
      <c r="N168" s="86"/>
      <c r="O168" s="86">
        <f t="shared" ca="1" si="60"/>
        <v>10421.884210717653</v>
      </c>
      <c r="P168" s="86">
        <f t="shared" si="47"/>
        <v>601142.42305310071</v>
      </c>
      <c r="Q168" s="355">
        <f t="shared" si="48"/>
        <v>0</v>
      </c>
      <c r="R168" s="201">
        <f t="shared" si="49"/>
        <v>4793.4135507089404</v>
      </c>
      <c r="S168" s="201">
        <f t="shared" si="50"/>
        <v>5628.4706600087202</v>
      </c>
      <c r="T168" s="202">
        <f t="shared" si="51"/>
        <v>10421.884210717661</v>
      </c>
      <c r="U168" s="201">
        <f t="shared" si="52"/>
        <v>4793.4135507089331</v>
      </c>
      <c r="V168" s="201">
        <f t="shared" si="53"/>
        <v>5628.4706600087202</v>
      </c>
      <c r="W168" s="201">
        <f t="shared" si="61"/>
        <v>10421.884210717653</v>
      </c>
      <c r="X168" s="201">
        <f t="shared" si="54"/>
        <v>4793.4135507089441</v>
      </c>
      <c r="Y168" s="201">
        <f t="shared" si="55"/>
        <v>5628.4706600087202</v>
      </c>
      <c r="Z168" s="201">
        <f t="shared" si="62"/>
        <v>10421.884210717664</v>
      </c>
      <c r="AA168" s="201"/>
      <c r="AC168" s="257">
        <f t="shared" si="56"/>
        <v>10421.884210717653</v>
      </c>
    </row>
    <row r="169" spans="2:29" x14ac:dyDescent="0.3">
      <c r="B169" s="84">
        <f t="shared" si="57"/>
        <v>158</v>
      </c>
      <c r="C169" s="85">
        <f ca="1">IF($B169="","",'Fecha Pago'!K161)</f>
        <v>50954</v>
      </c>
      <c r="D169" s="86">
        <f>IF($B$12="","",'Fecha Pago'!L161)</f>
        <v>30.4</v>
      </c>
      <c r="E169" s="87">
        <f t="shared" si="42"/>
        <v>0.11</v>
      </c>
      <c r="F169" s="86">
        <f t="shared" si="43"/>
        <v>601142.42305310071</v>
      </c>
      <c r="G169" s="86">
        <f t="shared" si="58"/>
        <v>4837.9390365799627</v>
      </c>
      <c r="H169" s="86">
        <f t="shared" ca="1" si="59"/>
        <v>5583.9451741376906</v>
      </c>
      <c r="I169" s="86">
        <f t="shared" si="44"/>
        <v>10421.884210717653</v>
      </c>
      <c r="J169" s="86">
        <f t="shared" si="45"/>
        <v>0</v>
      </c>
      <c r="K169" s="86">
        <f>IF(B169="","",IF(F169=0,0,IF(Sheet1!$I$10=6,'Tabla Fijos CAT'!$C$3*'Tabla Fijos CAT'!$F$5,$C$5*$F$5)))</f>
        <v>0</v>
      </c>
      <c r="L169" s="86">
        <f t="shared" si="46"/>
        <v>0</v>
      </c>
      <c r="M169" s="86"/>
      <c r="N169" s="86"/>
      <c r="O169" s="86">
        <f t="shared" ca="1" si="60"/>
        <v>10421.884210717653</v>
      </c>
      <c r="P169" s="86">
        <f t="shared" si="47"/>
        <v>596304.48401652079</v>
      </c>
      <c r="Q169" s="355">
        <f t="shared" si="48"/>
        <v>0</v>
      </c>
      <c r="R169" s="201">
        <f t="shared" si="49"/>
        <v>4837.93903657997</v>
      </c>
      <c r="S169" s="201">
        <f t="shared" si="50"/>
        <v>5583.9451741376906</v>
      </c>
      <c r="T169" s="202">
        <f t="shared" si="51"/>
        <v>10421.884210717661</v>
      </c>
      <c r="U169" s="201">
        <f t="shared" si="52"/>
        <v>4837.9390365799627</v>
      </c>
      <c r="V169" s="201">
        <f t="shared" si="53"/>
        <v>5583.9451741376906</v>
      </c>
      <c r="W169" s="201">
        <f t="shared" si="61"/>
        <v>10421.884210717653</v>
      </c>
      <c r="X169" s="201">
        <f t="shared" si="54"/>
        <v>4837.9390365799736</v>
      </c>
      <c r="Y169" s="201">
        <f t="shared" si="55"/>
        <v>5583.9451741376906</v>
      </c>
      <c r="Z169" s="201">
        <f t="shared" si="62"/>
        <v>10421.884210717664</v>
      </c>
      <c r="AA169" s="201"/>
      <c r="AC169" s="257">
        <f t="shared" si="56"/>
        <v>10421.884210717653</v>
      </c>
    </row>
    <row r="170" spans="2:29" x14ac:dyDescent="0.3">
      <c r="B170" s="84">
        <f t="shared" si="57"/>
        <v>159</v>
      </c>
      <c r="C170" s="85">
        <f ca="1">IF($B170="","",'Fecha Pago'!K162)</f>
        <v>50985</v>
      </c>
      <c r="D170" s="86">
        <f>IF($B$12="","",'Fecha Pago'!L162)</f>
        <v>30.4</v>
      </c>
      <c r="E170" s="87">
        <f t="shared" si="42"/>
        <v>0.11</v>
      </c>
      <c r="F170" s="86">
        <f t="shared" si="43"/>
        <v>596304.48401652079</v>
      </c>
      <c r="G170" s="86">
        <f t="shared" si="58"/>
        <v>4882.8781147419713</v>
      </c>
      <c r="H170" s="86">
        <f t="shared" ca="1" si="59"/>
        <v>5539.006095975682</v>
      </c>
      <c r="I170" s="86">
        <f t="shared" si="44"/>
        <v>10421.884210717653</v>
      </c>
      <c r="J170" s="86">
        <f t="shared" si="45"/>
        <v>0</v>
      </c>
      <c r="K170" s="86">
        <f>IF(B170="","",IF(F170=0,0,IF(Sheet1!$I$10=6,'Tabla Fijos CAT'!$C$3*'Tabla Fijos CAT'!$F$5,$C$5*$F$5)))</f>
        <v>0</v>
      </c>
      <c r="L170" s="86">
        <f t="shared" si="46"/>
        <v>0</v>
      </c>
      <c r="M170" s="86"/>
      <c r="N170" s="86"/>
      <c r="O170" s="86">
        <f t="shared" ca="1" si="60"/>
        <v>10421.884210717653</v>
      </c>
      <c r="P170" s="86">
        <f t="shared" si="47"/>
        <v>591421.60590177879</v>
      </c>
      <c r="Q170" s="355">
        <f t="shared" si="48"/>
        <v>0</v>
      </c>
      <c r="R170" s="201">
        <f t="shared" si="49"/>
        <v>4882.8781147419804</v>
      </c>
      <c r="S170" s="201">
        <f t="shared" si="50"/>
        <v>5539.006095975682</v>
      </c>
      <c r="T170" s="202">
        <f t="shared" si="51"/>
        <v>10421.884210717662</v>
      </c>
      <c r="U170" s="201">
        <f t="shared" si="52"/>
        <v>4882.8781147419713</v>
      </c>
      <c r="V170" s="201">
        <f t="shared" si="53"/>
        <v>5539.006095975682</v>
      </c>
      <c r="W170" s="201">
        <f t="shared" si="61"/>
        <v>10421.884210717653</v>
      </c>
      <c r="X170" s="201">
        <f t="shared" si="54"/>
        <v>4882.8781147419859</v>
      </c>
      <c r="Y170" s="201">
        <f t="shared" si="55"/>
        <v>5539.006095975682</v>
      </c>
      <c r="Z170" s="201">
        <f t="shared" si="62"/>
        <v>10421.884210717668</v>
      </c>
      <c r="AA170" s="201"/>
      <c r="AC170" s="257">
        <f t="shared" si="56"/>
        <v>10421.884210717653</v>
      </c>
    </row>
    <row r="171" spans="2:29" x14ac:dyDescent="0.3">
      <c r="B171" s="84">
        <f t="shared" si="57"/>
        <v>160</v>
      </c>
      <c r="C171" s="85">
        <f ca="1">IF($B171="","",'Fecha Pago'!K163)</f>
        <v>51016</v>
      </c>
      <c r="D171" s="86">
        <f>IF($B$12="","",'Fecha Pago'!L163)</f>
        <v>30.4</v>
      </c>
      <c r="E171" s="87">
        <f t="shared" si="42"/>
        <v>0.11</v>
      </c>
      <c r="F171" s="86">
        <f t="shared" si="43"/>
        <v>591421.60590177879</v>
      </c>
      <c r="G171" s="86">
        <f t="shared" si="58"/>
        <v>4928.2346270077978</v>
      </c>
      <c r="H171" s="86">
        <f t="shared" ca="1" si="59"/>
        <v>5493.6495837098555</v>
      </c>
      <c r="I171" s="86">
        <f t="shared" si="44"/>
        <v>10421.884210717653</v>
      </c>
      <c r="J171" s="86">
        <f t="shared" si="45"/>
        <v>0</v>
      </c>
      <c r="K171" s="86">
        <f>IF(B171="","",IF(F171=0,0,IF(Sheet1!$I$10=6,'Tabla Fijos CAT'!$C$3*'Tabla Fijos CAT'!$F$5,$C$5*$F$5)))</f>
        <v>0</v>
      </c>
      <c r="L171" s="86">
        <f t="shared" si="46"/>
        <v>0</v>
      </c>
      <c r="M171" s="86"/>
      <c r="N171" s="86"/>
      <c r="O171" s="86">
        <f t="shared" ca="1" si="60"/>
        <v>10421.884210717653</v>
      </c>
      <c r="P171" s="86">
        <f t="shared" si="47"/>
        <v>586493.37127477094</v>
      </c>
      <c r="Q171" s="355">
        <f t="shared" si="48"/>
        <v>0</v>
      </c>
      <c r="R171" s="201">
        <f t="shared" si="49"/>
        <v>4928.2346270078051</v>
      </c>
      <c r="S171" s="201">
        <f t="shared" si="50"/>
        <v>5493.6495837098555</v>
      </c>
      <c r="T171" s="202">
        <f t="shared" si="51"/>
        <v>10421.884210717661</v>
      </c>
      <c r="U171" s="201">
        <f t="shared" si="52"/>
        <v>4928.2346270077978</v>
      </c>
      <c r="V171" s="201">
        <f t="shared" si="53"/>
        <v>5493.6495837098555</v>
      </c>
      <c r="W171" s="201">
        <f t="shared" si="61"/>
        <v>10421.884210717653</v>
      </c>
      <c r="X171" s="201">
        <f t="shared" si="54"/>
        <v>4928.2346270078124</v>
      </c>
      <c r="Y171" s="201">
        <f t="shared" si="55"/>
        <v>5493.6495837098555</v>
      </c>
      <c r="Z171" s="201">
        <f t="shared" si="62"/>
        <v>10421.884210717668</v>
      </c>
      <c r="AA171" s="201"/>
      <c r="AC171" s="257">
        <f t="shared" si="56"/>
        <v>10421.884210717653</v>
      </c>
    </row>
    <row r="172" spans="2:29" x14ac:dyDescent="0.3">
      <c r="B172" s="84">
        <f t="shared" si="57"/>
        <v>161</v>
      </c>
      <c r="C172" s="85">
        <f ca="1">IF($B172="","",'Fecha Pago'!K164)</f>
        <v>51046</v>
      </c>
      <c r="D172" s="86">
        <f>IF($B$12="","",'Fecha Pago'!L164)</f>
        <v>30.4</v>
      </c>
      <c r="E172" s="87">
        <f t="shared" si="42"/>
        <v>0.11</v>
      </c>
      <c r="F172" s="86">
        <f t="shared" si="43"/>
        <v>586493.37127477094</v>
      </c>
      <c r="G172" s="86">
        <f t="shared" si="58"/>
        <v>4974.0124508764484</v>
      </c>
      <c r="H172" s="86">
        <f t="shared" ca="1" si="59"/>
        <v>5447.8717598412049</v>
      </c>
      <c r="I172" s="86">
        <f t="shared" si="44"/>
        <v>10421.884210717653</v>
      </c>
      <c r="J172" s="86">
        <f t="shared" si="45"/>
        <v>0</v>
      </c>
      <c r="K172" s="86">
        <f>IF(B172="","",IF(F172=0,0,IF(Sheet1!$I$10=6,'Tabla Fijos CAT'!$C$3*'Tabla Fijos CAT'!$F$5,$C$5*$F$5)))</f>
        <v>0</v>
      </c>
      <c r="L172" s="86">
        <f t="shared" si="46"/>
        <v>0</v>
      </c>
      <c r="M172" s="86"/>
      <c r="N172" s="86"/>
      <c r="O172" s="86">
        <f t="shared" ca="1" si="60"/>
        <v>10421.884210717653</v>
      </c>
      <c r="P172" s="86">
        <f t="shared" si="47"/>
        <v>581519.35882389452</v>
      </c>
      <c r="Q172" s="355">
        <f t="shared" si="48"/>
        <v>0</v>
      </c>
      <c r="R172" s="201">
        <f t="shared" si="49"/>
        <v>4974.0124508764557</v>
      </c>
      <c r="S172" s="201">
        <f t="shared" si="50"/>
        <v>5447.8717598412049</v>
      </c>
      <c r="T172" s="202">
        <f t="shared" si="51"/>
        <v>10421.884210717661</v>
      </c>
      <c r="U172" s="201">
        <f t="shared" si="52"/>
        <v>4974.0124508764484</v>
      </c>
      <c r="V172" s="201">
        <f t="shared" si="53"/>
        <v>5447.8717598412049</v>
      </c>
      <c r="W172" s="201">
        <f t="shared" si="61"/>
        <v>10421.884210717653</v>
      </c>
      <c r="X172" s="201">
        <f t="shared" si="54"/>
        <v>4974.0124508764593</v>
      </c>
      <c r="Y172" s="201">
        <f t="shared" si="55"/>
        <v>5447.8717598412049</v>
      </c>
      <c r="Z172" s="201">
        <f t="shared" si="62"/>
        <v>10421.884210717664</v>
      </c>
      <c r="AA172" s="201"/>
      <c r="AC172" s="257">
        <f t="shared" si="56"/>
        <v>10421.884210717653</v>
      </c>
    </row>
    <row r="173" spans="2:29" x14ac:dyDescent="0.3">
      <c r="B173" s="84">
        <f t="shared" si="57"/>
        <v>162</v>
      </c>
      <c r="C173" s="85">
        <f ca="1">IF($B173="","",'Fecha Pago'!K165)</f>
        <v>51077</v>
      </c>
      <c r="D173" s="86">
        <f>IF($B$12="","",'Fecha Pago'!L165)</f>
        <v>30.4</v>
      </c>
      <c r="E173" s="87">
        <f t="shared" si="42"/>
        <v>0.11</v>
      </c>
      <c r="F173" s="86">
        <f t="shared" si="43"/>
        <v>581519.35882389452</v>
      </c>
      <c r="G173" s="86">
        <f t="shared" si="58"/>
        <v>5020.2154998645892</v>
      </c>
      <c r="H173" s="86">
        <f t="shared" ca="1" si="59"/>
        <v>5401.6687108530641</v>
      </c>
      <c r="I173" s="86">
        <f t="shared" si="44"/>
        <v>10421.884210717653</v>
      </c>
      <c r="J173" s="86">
        <f t="shared" si="45"/>
        <v>0</v>
      </c>
      <c r="K173" s="86">
        <f>IF(B173="","",IF(F173=0,0,IF(Sheet1!$I$10=6,'Tabla Fijos CAT'!$C$3*'Tabla Fijos CAT'!$F$5,$C$5*$F$5)))</f>
        <v>0</v>
      </c>
      <c r="L173" s="86">
        <f t="shared" si="46"/>
        <v>0</v>
      </c>
      <c r="M173" s="86"/>
      <c r="N173" s="86"/>
      <c r="O173" s="86">
        <f t="shared" ca="1" si="60"/>
        <v>10421.884210717653</v>
      </c>
      <c r="P173" s="86">
        <f t="shared" si="47"/>
        <v>576499.14332402998</v>
      </c>
      <c r="Q173" s="355">
        <f t="shared" si="48"/>
        <v>0</v>
      </c>
      <c r="R173" s="201">
        <f t="shared" si="49"/>
        <v>5020.2154998645965</v>
      </c>
      <c r="S173" s="201">
        <f t="shared" si="50"/>
        <v>5401.6687108530641</v>
      </c>
      <c r="T173" s="202">
        <f t="shared" si="51"/>
        <v>10421.884210717661</v>
      </c>
      <c r="U173" s="201">
        <f t="shared" si="52"/>
        <v>5020.2154998645892</v>
      </c>
      <c r="V173" s="201">
        <f t="shared" si="53"/>
        <v>5401.6687108530641</v>
      </c>
      <c r="W173" s="201">
        <f t="shared" si="61"/>
        <v>10421.884210717653</v>
      </c>
      <c r="X173" s="201">
        <f t="shared" si="54"/>
        <v>5020.2154998646001</v>
      </c>
      <c r="Y173" s="201">
        <f t="shared" si="55"/>
        <v>5401.6687108530641</v>
      </c>
      <c r="Z173" s="201">
        <f t="shared" si="62"/>
        <v>10421.884210717664</v>
      </c>
      <c r="AA173" s="201"/>
      <c r="AC173" s="257">
        <f t="shared" si="56"/>
        <v>10421.884210717653</v>
      </c>
    </row>
    <row r="174" spans="2:29" x14ac:dyDescent="0.3">
      <c r="B174" s="84">
        <f t="shared" si="57"/>
        <v>163</v>
      </c>
      <c r="C174" s="85">
        <f ca="1">IF($B174="","",'Fecha Pago'!K166)</f>
        <v>51107</v>
      </c>
      <c r="D174" s="86">
        <f>IF($B$12="","",'Fecha Pago'!L166)</f>
        <v>30.4</v>
      </c>
      <c r="E174" s="87">
        <f t="shared" si="42"/>
        <v>0.11</v>
      </c>
      <c r="F174" s="86">
        <f t="shared" si="43"/>
        <v>576499.14332402998</v>
      </c>
      <c r="G174" s="86">
        <f t="shared" si="58"/>
        <v>5066.8477238411087</v>
      </c>
      <c r="H174" s="86">
        <f t="shared" ca="1" si="59"/>
        <v>5355.0364868765446</v>
      </c>
      <c r="I174" s="86">
        <f t="shared" si="44"/>
        <v>10421.884210717653</v>
      </c>
      <c r="J174" s="86">
        <f t="shared" si="45"/>
        <v>0</v>
      </c>
      <c r="K174" s="86">
        <f>IF(B174="","",IF(F174=0,0,IF(Sheet1!$I$10=6,'Tabla Fijos CAT'!$C$3*'Tabla Fijos CAT'!$F$5,$C$5*$F$5)))</f>
        <v>0</v>
      </c>
      <c r="L174" s="86">
        <f t="shared" si="46"/>
        <v>0</v>
      </c>
      <c r="M174" s="86"/>
      <c r="N174" s="86"/>
      <c r="O174" s="86">
        <f t="shared" ca="1" si="60"/>
        <v>10421.884210717653</v>
      </c>
      <c r="P174" s="86">
        <f t="shared" si="47"/>
        <v>571432.2956001889</v>
      </c>
      <c r="Q174" s="355">
        <f t="shared" si="48"/>
        <v>0</v>
      </c>
      <c r="R174" s="201">
        <f t="shared" si="49"/>
        <v>5066.8477238411169</v>
      </c>
      <c r="S174" s="201">
        <f t="shared" si="50"/>
        <v>5355.0364868765446</v>
      </c>
      <c r="T174" s="202">
        <f t="shared" si="51"/>
        <v>10421.884210717661</v>
      </c>
      <c r="U174" s="201">
        <f t="shared" si="52"/>
        <v>5066.8477238411087</v>
      </c>
      <c r="V174" s="201">
        <f t="shared" si="53"/>
        <v>5355.0364868765446</v>
      </c>
      <c r="W174" s="201">
        <f t="shared" si="61"/>
        <v>10421.884210717653</v>
      </c>
      <c r="X174" s="201">
        <f t="shared" si="54"/>
        <v>5066.8477238411251</v>
      </c>
      <c r="Y174" s="201">
        <f t="shared" si="55"/>
        <v>5355.0364868765446</v>
      </c>
      <c r="Z174" s="201">
        <f t="shared" si="62"/>
        <v>10421.88421071767</v>
      </c>
      <c r="AA174" s="201"/>
      <c r="AC174" s="257">
        <f t="shared" si="56"/>
        <v>10421.884210717653</v>
      </c>
    </row>
    <row r="175" spans="2:29" x14ac:dyDescent="0.3">
      <c r="B175" s="84">
        <f t="shared" si="57"/>
        <v>164</v>
      </c>
      <c r="C175" s="85">
        <f ca="1">IF($B175="","",'Fecha Pago'!K167)</f>
        <v>51138</v>
      </c>
      <c r="D175" s="86">
        <f>IF($B$12="","",'Fecha Pago'!L167)</f>
        <v>30.4</v>
      </c>
      <c r="E175" s="87">
        <f t="shared" si="42"/>
        <v>0.11</v>
      </c>
      <c r="F175" s="86">
        <f t="shared" si="43"/>
        <v>571432.2956001889</v>
      </c>
      <c r="G175" s="86">
        <f t="shared" si="58"/>
        <v>5113.9131093647884</v>
      </c>
      <c r="H175" s="86">
        <f t="shared" ca="1" si="59"/>
        <v>5307.9711013528649</v>
      </c>
      <c r="I175" s="86">
        <f t="shared" si="44"/>
        <v>10421.884210717653</v>
      </c>
      <c r="J175" s="86">
        <f t="shared" si="45"/>
        <v>0</v>
      </c>
      <c r="K175" s="86">
        <f>IF(B175="","",IF(F175=0,0,IF(Sheet1!$I$10=6,'Tabla Fijos CAT'!$C$3*'Tabla Fijos CAT'!$F$5,$C$5*$F$5)))</f>
        <v>0</v>
      </c>
      <c r="L175" s="86">
        <f t="shared" si="46"/>
        <v>0</v>
      </c>
      <c r="M175" s="86"/>
      <c r="N175" s="86"/>
      <c r="O175" s="86">
        <f t="shared" ca="1" si="60"/>
        <v>10421.884210717653</v>
      </c>
      <c r="P175" s="86">
        <f t="shared" si="47"/>
        <v>566318.38249082409</v>
      </c>
      <c r="Q175" s="355">
        <f t="shared" si="48"/>
        <v>0</v>
      </c>
      <c r="R175" s="201">
        <f t="shared" si="49"/>
        <v>5113.9131093647966</v>
      </c>
      <c r="S175" s="201">
        <f t="shared" si="50"/>
        <v>5307.9711013528649</v>
      </c>
      <c r="T175" s="202">
        <f t="shared" si="51"/>
        <v>10421.884210717661</v>
      </c>
      <c r="U175" s="201">
        <f t="shared" si="52"/>
        <v>5113.9131093647884</v>
      </c>
      <c r="V175" s="201">
        <f t="shared" si="53"/>
        <v>5307.9711013528649</v>
      </c>
      <c r="W175" s="201">
        <f t="shared" si="61"/>
        <v>10421.884210717653</v>
      </c>
      <c r="X175" s="201">
        <f t="shared" si="54"/>
        <v>5113.9131093648048</v>
      </c>
      <c r="Y175" s="201">
        <f t="shared" si="55"/>
        <v>5307.9711013528649</v>
      </c>
      <c r="Z175" s="201">
        <f t="shared" si="62"/>
        <v>10421.88421071767</v>
      </c>
      <c r="AA175" s="201"/>
      <c r="AC175" s="257">
        <f t="shared" si="56"/>
        <v>10421.884210717653</v>
      </c>
    </row>
    <row r="176" spans="2:29" x14ac:dyDescent="0.3">
      <c r="B176" s="84">
        <f t="shared" si="57"/>
        <v>165</v>
      </c>
      <c r="C176" s="85">
        <f ca="1">IF($B176="","",'Fecha Pago'!K168)</f>
        <v>51169</v>
      </c>
      <c r="D176" s="86">
        <f>IF($B$12="","",'Fecha Pago'!L168)</f>
        <v>30.4</v>
      </c>
      <c r="E176" s="87">
        <f t="shared" si="42"/>
        <v>0.11</v>
      </c>
      <c r="F176" s="86">
        <f t="shared" si="43"/>
        <v>566318.38249082409</v>
      </c>
      <c r="G176" s="86">
        <f t="shared" si="58"/>
        <v>5161.4156800251103</v>
      </c>
      <c r="H176" s="86">
        <f t="shared" ca="1" si="59"/>
        <v>5260.468530692543</v>
      </c>
      <c r="I176" s="86">
        <f t="shared" si="44"/>
        <v>10421.884210717653</v>
      </c>
      <c r="J176" s="86">
        <f t="shared" si="45"/>
        <v>0</v>
      </c>
      <c r="K176" s="86">
        <f>IF(B176="","",IF(F176=0,0,IF(Sheet1!$I$10=6,'Tabla Fijos CAT'!$C$3*'Tabla Fijos CAT'!$F$5,$C$5*$F$5)))</f>
        <v>0</v>
      </c>
      <c r="L176" s="86">
        <f t="shared" si="46"/>
        <v>0</v>
      </c>
      <c r="M176" s="86"/>
      <c r="N176" s="86"/>
      <c r="O176" s="86">
        <f t="shared" ca="1" si="60"/>
        <v>10421.884210717653</v>
      </c>
      <c r="P176" s="86">
        <f t="shared" si="47"/>
        <v>561156.96681079897</v>
      </c>
      <c r="Q176" s="355">
        <f t="shared" si="48"/>
        <v>0</v>
      </c>
      <c r="R176" s="201">
        <f t="shared" si="49"/>
        <v>5161.4156800251185</v>
      </c>
      <c r="S176" s="201">
        <f t="shared" si="50"/>
        <v>5260.468530692543</v>
      </c>
      <c r="T176" s="202">
        <f t="shared" si="51"/>
        <v>10421.884210717661</v>
      </c>
      <c r="U176" s="201">
        <f t="shared" si="52"/>
        <v>5161.4156800251103</v>
      </c>
      <c r="V176" s="201">
        <f t="shared" si="53"/>
        <v>5260.468530692543</v>
      </c>
      <c r="W176" s="201">
        <f t="shared" si="61"/>
        <v>10421.884210717653</v>
      </c>
      <c r="X176" s="201">
        <f t="shared" si="54"/>
        <v>5161.4156800251249</v>
      </c>
      <c r="Y176" s="201">
        <f t="shared" si="55"/>
        <v>5260.468530692543</v>
      </c>
      <c r="Z176" s="201">
        <f t="shared" si="62"/>
        <v>10421.884210717668</v>
      </c>
      <c r="AA176" s="201"/>
      <c r="AC176" s="257">
        <f t="shared" si="56"/>
        <v>10421.884210717653</v>
      </c>
    </row>
    <row r="177" spans="2:29" x14ac:dyDescent="0.3">
      <c r="B177" s="84">
        <f t="shared" si="57"/>
        <v>166</v>
      </c>
      <c r="C177" s="85">
        <f ca="1">IF($B177="","",'Fecha Pago'!K169)</f>
        <v>51198</v>
      </c>
      <c r="D177" s="86">
        <f>IF($B$12="","",'Fecha Pago'!L169)</f>
        <v>30.4</v>
      </c>
      <c r="E177" s="87">
        <f t="shared" si="42"/>
        <v>0.11</v>
      </c>
      <c r="F177" s="86">
        <f t="shared" si="43"/>
        <v>561156.96681079897</v>
      </c>
      <c r="G177" s="86">
        <f t="shared" si="58"/>
        <v>5209.3594967862318</v>
      </c>
      <c r="H177" s="86">
        <f t="shared" ca="1" si="59"/>
        <v>5212.5247139314215</v>
      </c>
      <c r="I177" s="86">
        <f t="shared" si="44"/>
        <v>10421.884210717653</v>
      </c>
      <c r="J177" s="86">
        <f t="shared" si="45"/>
        <v>0</v>
      </c>
      <c r="K177" s="86">
        <f>IF(B177="","",IF(F177=0,0,IF(Sheet1!$I$10=6,'Tabla Fijos CAT'!$C$3*'Tabla Fijos CAT'!$F$5,$C$5*$F$5)))</f>
        <v>0</v>
      </c>
      <c r="L177" s="86">
        <f t="shared" si="46"/>
        <v>0</v>
      </c>
      <c r="M177" s="86"/>
      <c r="N177" s="86"/>
      <c r="O177" s="86">
        <f t="shared" ca="1" si="60"/>
        <v>10421.884210717653</v>
      </c>
      <c r="P177" s="86">
        <f t="shared" si="47"/>
        <v>555947.60731401271</v>
      </c>
      <c r="Q177" s="355">
        <f t="shared" si="48"/>
        <v>0</v>
      </c>
      <c r="R177" s="201">
        <f t="shared" si="49"/>
        <v>5209.3594967862409</v>
      </c>
      <c r="S177" s="201">
        <f t="shared" si="50"/>
        <v>5212.5247139314215</v>
      </c>
      <c r="T177" s="202">
        <f t="shared" si="51"/>
        <v>10421.884210717662</v>
      </c>
      <c r="U177" s="201">
        <f t="shared" si="52"/>
        <v>5209.3594967862318</v>
      </c>
      <c r="V177" s="201">
        <f t="shared" si="53"/>
        <v>5212.5247139314215</v>
      </c>
      <c r="W177" s="201">
        <f t="shared" si="61"/>
        <v>10421.884210717653</v>
      </c>
      <c r="X177" s="201">
        <f t="shared" si="54"/>
        <v>5209.3594967862482</v>
      </c>
      <c r="Y177" s="201">
        <f t="shared" si="55"/>
        <v>5212.5247139314215</v>
      </c>
      <c r="Z177" s="201">
        <f t="shared" si="62"/>
        <v>10421.88421071767</v>
      </c>
      <c r="AA177" s="201"/>
      <c r="AC177" s="257">
        <f t="shared" si="56"/>
        <v>10421.884210717653</v>
      </c>
    </row>
    <row r="178" spans="2:29" x14ac:dyDescent="0.3">
      <c r="B178" s="84">
        <f t="shared" si="57"/>
        <v>167</v>
      </c>
      <c r="C178" s="85">
        <f ca="1">IF($B178="","",'Fecha Pago'!K170)</f>
        <v>51229</v>
      </c>
      <c r="D178" s="86">
        <f>IF($B$12="","",'Fecha Pago'!L170)</f>
        <v>30.4</v>
      </c>
      <c r="E178" s="87">
        <f t="shared" si="42"/>
        <v>0.11</v>
      </c>
      <c r="F178" s="86">
        <f t="shared" si="43"/>
        <v>555947.60731401271</v>
      </c>
      <c r="G178" s="86">
        <f t="shared" si="58"/>
        <v>5257.7486583341579</v>
      </c>
      <c r="H178" s="86">
        <f t="shared" ca="1" si="59"/>
        <v>5164.1355523834955</v>
      </c>
      <c r="I178" s="86">
        <f t="shared" si="44"/>
        <v>10421.884210717653</v>
      </c>
      <c r="J178" s="86">
        <f t="shared" si="45"/>
        <v>0</v>
      </c>
      <c r="K178" s="86">
        <f>IF(B178="","",IF(F178=0,0,IF(Sheet1!$I$10=6,'Tabla Fijos CAT'!$C$3*'Tabla Fijos CAT'!$F$5,$C$5*$F$5)))</f>
        <v>0</v>
      </c>
      <c r="L178" s="86">
        <f t="shared" si="46"/>
        <v>0</v>
      </c>
      <c r="M178" s="86"/>
      <c r="N178" s="86"/>
      <c r="O178" s="86">
        <f t="shared" ca="1" si="60"/>
        <v>10421.884210717653</v>
      </c>
      <c r="P178" s="86">
        <f t="shared" si="47"/>
        <v>550689.85865567857</v>
      </c>
      <c r="Q178" s="355">
        <f t="shared" si="48"/>
        <v>0</v>
      </c>
      <c r="R178" s="201">
        <f t="shared" si="49"/>
        <v>5257.7486583341661</v>
      </c>
      <c r="S178" s="201">
        <f t="shared" si="50"/>
        <v>5164.1355523834955</v>
      </c>
      <c r="T178" s="202">
        <f t="shared" si="51"/>
        <v>10421.884210717661</v>
      </c>
      <c r="U178" s="201">
        <f t="shared" si="52"/>
        <v>5257.7486583341579</v>
      </c>
      <c r="V178" s="201">
        <f t="shared" si="53"/>
        <v>5164.1355523834955</v>
      </c>
      <c r="W178" s="201">
        <f t="shared" si="61"/>
        <v>10421.884210717653</v>
      </c>
      <c r="X178" s="201">
        <f t="shared" si="54"/>
        <v>5257.7486583341743</v>
      </c>
      <c r="Y178" s="201">
        <f t="shared" si="55"/>
        <v>5164.1355523834955</v>
      </c>
      <c r="Z178" s="201">
        <f t="shared" si="62"/>
        <v>10421.88421071767</v>
      </c>
      <c r="AA178" s="201"/>
      <c r="AC178" s="257">
        <f t="shared" si="56"/>
        <v>10421.884210717653</v>
      </c>
    </row>
    <row r="179" spans="2:29" x14ac:dyDescent="0.3">
      <c r="B179" s="84">
        <f t="shared" si="57"/>
        <v>168</v>
      </c>
      <c r="C179" s="85">
        <f ca="1">IF($B179="","",'Fecha Pago'!K171)</f>
        <v>51259</v>
      </c>
      <c r="D179" s="86">
        <f>IF($B$12="","",'Fecha Pago'!L171)</f>
        <v>30.4</v>
      </c>
      <c r="E179" s="87">
        <f t="shared" si="42"/>
        <v>0.11</v>
      </c>
      <c r="F179" s="86">
        <f t="shared" si="43"/>
        <v>550689.85865567857</v>
      </c>
      <c r="G179" s="86">
        <f t="shared" si="58"/>
        <v>5306.5873014271283</v>
      </c>
      <c r="H179" s="86">
        <f t="shared" ca="1" si="59"/>
        <v>5115.296909290525</v>
      </c>
      <c r="I179" s="86">
        <f t="shared" si="44"/>
        <v>10421.884210717653</v>
      </c>
      <c r="J179" s="86">
        <f t="shared" si="45"/>
        <v>0</v>
      </c>
      <c r="K179" s="86">
        <f>IF(B179="","",IF(F179=0,0,IF(Sheet1!$I$10=6,'Tabla Fijos CAT'!$C$3*'Tabla Fijos CAT'!$F$5,$C$5*$F$5)))</f>
        <v>0</v>
      </c>
      <c r="L179" s="86">
        <f t="shared" si="46"/>
        <v>0</v>
      </c>
      <c r="M179" s="86"/>
      <c r="N179" s="86"/>
      <c r="O179" s="86">
        <f t="shared" ca="1" si="60"/>
        <v>10421.884210717653</v>
      </c>
      <c r="P179" s="86">
        <f t="shared" si="47"/>
        <v>545383.27135425142</v>
      </c>
      <c r="Q179" s="355">
        <f t="shared" si="48"/>
        <v>0</v>
      </c>
      <c r="R179" s="201">
        <f t="shared" si="49"/>
        <v>5306.5873014271365</v>
      </c>
      <c r="S179" s="201">
        <f t="shared" si="50"/>
        <v>5115.296909290525</v>
      </c>
      <c r="T179" s="202">
        <f t="shared" si="51"/>
        <v>10421.884210717661</v>
      </c>
      <c r="U179" s="201">
        <f t="shared" si="52"/>
        <v>5306.5873014271283</v>
      </c>
      <c r="V179" s="201">
        <f t="shared" si="53"/>
        <v>5115.296909290525</v>
      </c>
      <c r="W179" s="201">
        <f t="shared" si="61"/>
        <v>10421.884210717653</v>
      </c>
      <c r="X179" s="201">
        <f t="shared" si="54"/>
        <v>5306.5873014271465</v>
      </c>
      <c r="Y179" s="201">
        <f t="shared" si="55"/>
        <v>5115.296909290525</v>
      </c>
      <c r="Z179" s="201">
        <f t="shared" si="62"/>
        <v>10421.884210717672</v>
      </c>
      <c r="AA179" s="201"/>
      <c r="AC179" s="257">
        <f t="shared" si="56"/>
        <v>10421.884210717653</v>
      </c>
    </row>
    <row r="180" spans="2:29" x14ac:dyDescent="0.3">
      <c r="B180" s="84">
        <f t="shared" si="57"/>
        <v>169</v>
      </c>
      <c r="C180" s="85">
        <f ca="1">IF($B180="","",'Fecha Pago'!K172)</f>
        <v>51290</v>
      </c>
      <c r="D180" s="86">
        <f>IF($B$12="","",'Fecha Pago'!L172)</f>
        <v>30.4</v>
      </c>
      <c r="E180" s="87">
        <f t="shared" si="42"/>
        <v>0.11</v>
      </c>
      <c r="F180" s="86">
        <f t="shared" si="43"/>
        <v>545383.27135425142</v>
      </c>
      <c r="G180" s="86">
        <f t="shared" si="58"/>
        <v>5355.8796012492739</v>
      </c>
      <c r="H180" s="86">
        <f t="shared" ca="1" si="59"/>
        <v>5066.0046094683794</v>
      </c>
      <c r="I180" s="86">
        <f t="shared" si="44"/>
        <v>10421.884210717653</v>
      </c>
      <c r="J180" s="86">
        <f t="shared" si="45"/>
        <v>0</v>
      </c>
      <c r="K180" s="86">
        <f>IF(B180="","",IF(F180=0,0,IF(Sheet1!$I$10=6,'Tabla Fijos CAT'!$C$3*'Tabla Fijos CAT'!$F$5,$C$5*$F$5)))</f>
        <v>0</v>
      </c>
      <c r="L180" s="86">
        <f t="shared" si="46"/>
        <v>0</v>
      </c>
      <c r="M180" s="86"/>
      <c r="N180" s="86"/>
      <c r="O180" s="86">
        <f t="shared" ca="1" si="60"/>
        <v>10421.884210717653</v>
      </c>
      <c r="P180" s="86">
        <f t="shared" si="47"/>
        <v>540027.39175300219</v>
      </c>
      <c r="Q180" s="355">
        <f t="shared" si="48"/>
        <v>0</v>
      </c>
      <c r="R180" s="201">
        <f t="shared" si="49"/>
        <v>5355.8796012492821</v>
      </c>
      <c r="S180" s="201">
        <f t="shared" si="50"/>
        <v>5066.0046094683794</v>
      </c>
      <c r="T180" s="202">
        <f t="shared" si="51"/>
        <v>10421.884210717661</v>
      </c>
      <c r="U180" s="201">
        <f t="shared" si="52"/>
        <v>5355.8796012492739</v>
      </c>
      <c r="V180" s="201">
        <f t="shared" si="53"/>
        <v>5066.0046094683794</v>
      </c>
      <c r="W180" s="201">
        <f t="shared" si="61"/>
        <v>10421.884210717653</v>
      </c>
      <c r="X180" s="201">
        <f t="shared" si="54"/>
        <v>5355.8796012492903</v>
      </c>
      <c r="Y180" s="201">
        <f t="shared" si="55"/>
        <v>5066.0046094683794</v>
      </c>
      <c r="Z180" s="201">
        <f t="shared" si="62"/>
        <v>10421.88421071767</v>
      </c>
      <c r="AA180" s="201"/>
      <c r="AC180" s="257">
        <f t="shared" si="56"/>
        <v>10421.884210717653</v>
      </c>
    </row>
    <row r="181" spans="2:29" x14ac:dyDescent="0.3">
      <c r="B181" s="84">
        <f t="shared" si="57"/>
        <v>170</v>
      </c>
      <c r="C181" s="85">
        <f ca="1">IF($B181="","",'Fecha Pago'!K173)</f>
        <v>51320</v>
      </c>
      <c r="D181" s="86">
        <f>IF($B$12="","",'Fecha Pago'!L173)</f>
        <v>30.4</v>
      </c>
      <c r="E181" s="87">
        <f t="shared" si="42"/>
        <v>0.11</v>
      </c>
      <c r="F181" s="86">
        <f t="shared" si="43"/>
        <v>540027.39175300219</v>
      </c>
      <c r="G181" s="86">
        <f t="shared" si="58"/>
        <v>5405.6297717675443</v>
      </c>
      <c r="H181" s="86">
        <f t="shared" ca="1" si="59"/>
        <v>5016.254438950109</v>
      </c>
      <c r="I181" s="86">
        <f t="shared" si="44"/>
        <v>10421.884210717653</v>
      </c>
      <c r="J181" s="86">
        <f t="shared" si="45"/>
        <v>0</v>
      </c>
      <c r="K181" s="86">
        <f>IF(B181="","",IF(F181=0,0,IF(Sheet1!$I$10=6,'Tabla Fijos CAT'!$C$3*'Tabla Fijos CAT'!$F$5,$C$5*$F$5)))</f>
        <v>0</v>
      </c>
      <c r="L181" s="86">
        <f t="shared" si="46"/>
        <v>0</v>
      </c>
      <c r="M181" s="86"/>
      <c r="N181" s="86"/>
      <c r="O181" s="86">
        <f t="shared" ca="1" si="60"/>
        <v>10421.884210717653</v>
      </c>
      <c r="P181" s="86">
        <f t="shared" si="47"/>
        <v>534621.76198123465</v>
      </c>
      <c r="Q181" s="355">
        <f t="shared" si="48"/>
        <v>0</v>
      </c>
      <c r="R181" s="201">
        <f t="shared" si="49"/>
        <v>5405.6297717675525</v>
      </c>
      <c r="S181" s="201">
        <f t="shared" si="50"/>
        <v>5016.254438950109</v>
      </c>
      <c r="T181" s="202">
        <f t="shared" si="51"/>
        <v>10421.884210717661</v>
      </c>
      <c r="U181" s="201">
        <f t="shared" si="52"/>
        <v>5405.6297717675443</v>
      </c>
      <c r="V181" s="201">
        <f t="shared" si="53"/>
        <v>5016.254438950109</v>
      </c>
      <c r="W181" s="201">
        <f t="shared" si="61"/>
        <v>10421.884210717653</v>
      </c>
      <c r="X181" s="201">
        <f t="shared" si="54"/>
        <v>5405.6297717675625</v>
      </c>
      <c r="Y181" s="201">
        <f t="shared" si="55"/>
        <v>5016.254438950109</v>
      </c>
      <c r="Z181" s="201">
        <f t="shared" si="62"/>
        <v>10421.884210717672</v>
      </c>
      <c r="AA181" s="201"/>
      <c r="AC181" s="257">
        <f t="shared" si="56"/>
        <v>10421.884210717653</v>
      </c>
    </row>
    <row r="182" spans="2:29" x14ac:dyDescent="0.3">
      <c r="B182" s="84">
        <f t="shared" si="57"/>
        <v>171</v>
      </c>
      <c r="C182" s="85">
        <f ca="1">IF($B182="","",'Fecha Pago'!K174)</f>
        <v>51351</v>
      </c>
      <c r="D182" s="86">
        <f>IF($B$12="","",'Fecha Pago'!L174)</f>
        <v>30.4</v>
      </c>
      <c r="E182" s="87">
        <f t="shared" si="42"/>
        <v>0.11</v>
      </c>
      <c r="F182" s="86">
        <f t="shared" si="43"/>
        <v>534621.76198123465</v>
      </c>
      <c r="G182" s="86">
        <f t="shared" si="58"/>
        <v>5455.8420660919628</v>
      </c>
      <c r="H182" s="86">
        <f t="shared" ca="1" si="59"/>
        <v>4966.0421446256905</v>
      </c>
      <c r="I182" s="86">
        <f t="shared" si="44"/>
        <v>10421.884210717653</v>
      </c>
      <c r="J182" s="86">
        <f t="shared" si="45"/>
        <v>0</v>
      </c>
      <c r="K182" s="86">
        <f>IF(B182="","",IF(F182=0,0,IF(Sheet1!$I$10=6,'Tabla Fijos CAT'!$C$3*'Tabla Fijos CAT'!$F$5,$C$5*$F$5)))</f>
        <v>0</v>
      </c>
      <c r="L182" s="86">
        <f t="shared" si="46"/>
        <v>0</v>
      </c>
      <c r="M182" s="86"/>
      <c r="N182" s="86"/>
      <c r="O182" s="86">
        <f t="shared" ca="1" si="60"/>
        <v>10421.884210717653</v>
      </c>
      <c r="P182" s="86">
        <f t="shared" si="47"/>
        <v>529165.9199151427</v>
      </c>
      <c r="Q182" s="355">
        <f t="shared" si="48"/>
        <v>0</v>
      </c>
      <c r="R182" s="201">
        <f t="shared" si="49"/>
        <v>5455.8420660919728</v>
      </c>
      <c r="S182" s="201">
        <f t="shared" si="50"/>
        <v>4966.0421446256905</v>
      </c>
      <c r="T182" s="202">
        <f t="shared" si="51"/>
        <v>10421.884210717664</v>
      </c>
      <c r="U182" s="201">
        <f t="shared" si="52"/>
        <v>5455.8420660919628</v>
      </c>
      <c r="V182" s="201">
        <f t="shared" si="53"/>
        <v>4966.0421446256905</v>
      </c>
      <c r="W182" s="201">
        <f t="shared" si="61"/>
        <v>10421.884210717653</v>
      </c>
      <c r="X182" s="201">
        <f t="shared" si="54"/>
        <v>5455.842066091981</v>
      </c>
      <c r="Y182" s="201">
        <f t="shared" si="55"/>
        <v>4966.0421446256905</v>
      </c>
      <c r="Z182" s="201">
        <f t="shared" si="62"/>
        <v>10421.884210717672</v>
      </c>
      <c r="AA182" s="201"/>
      <c r="AC182" s="257">
        <f t="shared" si="56"/>
        <v>10421.884210717653</v>
      </c>
    </row>
    <row r="183" spans="2:29" x14ac:dyDescent="0.3">
      <c r="B183" s="84">
        <f t="shared" si="57"/>
        <v>172</v>
      </c>
      <c r="C183" s="85">
        <f ca="1">IF($B183="","",'Fecha Pago'!K175)</f>
        <v>51382</v>
      </c>
      <c r="D183" s="86">
        <f>IF($B$12="","",'Fecha Pago'!L175)</f>
        <v>30.4</v>
      </c>
      <c r="E183" s="87">
        <f t="shared" si="42"/>
        <v>0.11</v>
      </c>
      <c r="F183" s="86">
        <f t="shared" si="43"/>
        <v>529165.9199151427</v>
      </c>
      <c r="G183" s="86">
        <f t="shared" si="58"/>
        <v>5506.5207768392174</v>
      </c>
      <c r="H183" s="86">
        <f t="shared" ca="1" si="59"/>
        <v>4915.3634338784359</v>
      </c>
      <c r="I183" s="86">
        <f t="shared" si="44"/>
        <v>10421.884210717653</v>
      </c>
      <c r="J183" s="86">
        <f t="shared" si="45"/>
        <v>0</v>
      </c>
      <c r="K183" s="86">
        <f>IF(B183="","",IF(F183=0,0,IF(Sheet1!$I$10=6,'Tabla Fijos CAT'!$C$3*'Tabla Fijos CAT'!$F$5,$C$5*$F$5)))</f>
        <v>0</v>
      </c>
      <c r="L183" s="86">
        <f t="shared" si="46"/>
        <v>0</v>
      </c>
      <c r="M183" s="86"/>
      <c r="N183" s="86"/>
      <c r="O183" s="86">
        <f t="shared" ca="1" si="60"/>
        <v>10421.884210717653</v>
      </c>
      <c r="P183" s="86">
        <f t="shared" si="47"/>
        <v>523659.39913830347</v>
      </c>
      <c r="Q183" s="355">
        <f t="shared" si="48"/>
        <v>0</v>
      </c>
      <c r="R183" s="201">
        <f t="shared" si="49"/>
        <v>5506.5207768392265</v>
      </c>
      <c r="S183" s="201">
        <f t="shared" si="50"/>
        <v>4915.3634338784359</v>
      </c>
      <c r="T183" s="202">
        <f t="shared" si="51"/>
        <v>10421.884210717662</v>
      </c>
      <c r="U183" s="201">
        <f t="shared" si="52"/>
        <v>5506.5207768392174</v>
      </c>
      <c r="V183" s="201">
        <f t="shared" si="53"/>
        <v>4915.3634338784359</v>
      </c>
      <c r="W183" s="201">
        <f t="shared" si="61"/>
        <v>10421.884210717653</v>
      </c>
      <c r="X183" s="201">
        <f t="shared" si="54"/>
        <v>5506.5207768392374</v>
      </c>
      <c r="Y183" s="201">
        <f t="shared" si="55"/>
        <v>4915.3634338784359</v>
      </c>
      <c r="Z183" s="201">
        <f t="shared" si="62"/>
        <v>10421.884210717673</v>
      </c>
      <c r="AA183" s="201"/>
      <c r="AC183" s="257">
        <f t="shared" si="56"/>
        <v>10421.884210717653</v>
      </c>
    </row>
    <row r="184" spans="2:29" x14ac:dyDescent="0.3">
      <c r="B184" s="84">
        <f t="shared" si="57"/>
        <v>173</v>
      </c>
      <c r="C184" s="85">
        <f ca="1">IF($B184="","",'Fecha Pago'!K176)</f>
        <v>51412</v>
      </c>
      <c r="D184" s="86">
        <f>IF($B$12="","",'Fecha Pago'!L176)</f>
        <v>30.4</v>
      </c>
      <c r="E184" s="87">
        <f t="shared" si="42"/>
        <v>0.11</v>
      </c>
      <c r="F184" s="86">
        <f t="shared" si="43"/>
        <v>523659.39913830347</v>
      </c>
      <c r="G184" s="86">
        <f t="shared" si="58"/>
        <v>5557.6702364996345</v>
      </c>
      <c r="H184" s="86">
        <f t="shared" ca="1" si="59"/>
        <v>4864.2139742180188</v>
      </c>
      <c r="I184" s="86">
        <f t="shared" si="44"/>
        <v>10421.884210717653</v>
      </c>
      <c r="J184" s="86">
        <f t="shared" si="45"/>
        <v>0</v>
      </c>
      <c r="K184" s="86">
        <f>IF(B184="","",IF(F184=0,0,IF(Sheet1!$I$10=6,'Tabla Fijos CAT'!$C$3*'Tabla Fijos CAT'!$F$5,$C$5*$F$5)))</f>
        <v>0</v>
      </c>
      <c r="L184" s="86">
        <f t="shared" si="46"/>
        <v>0</v>
      </c>
      <c r="M184" s="86"/>
      <c r="N184" s="86"/>
      <c r="O184" s="86">
        <f t="shared" ca="1" si="60"/>
        <v>10421.884210717653</v>
      </c>
      <c r="P184" s="86">
        <f t="shared" si="47"/>
        <v>518101.72890180384</v>
      </c>
      <c r="Q184" s="355">
        <f t="shared" si="48"/>
        <v>0</v>
      </c>
      <c r="R184" s="201">
        <f t="shared" si="49"/>
        <v>5557.6702364996445</v>
      </c>
      <c r="S184" s="201">
        <f t="shared" si="50"/>
        <v>4864.2139742180188</v>
      </c>
      <c r="T184" s="202">
        <f t="shared" si="51"/>
        <v>10421.884210717664</v>
      </c>
      <c r="U184" s="201">
        <f t="shared" si="52"/>
        <v>5557.6702364996345</v>
      </c>
      <c r="V184" s="201">
        <f t="shared" si="53"/>
        <v>4864.2139742180188</v>
      </c>
      <c r="W184" s="201">
        <f t="shared" si="61"/>
        <v>10421.884210717653</v>
      </c>
      <c r="X184" s="201">
        <f t="shared" si="54"/>
        <v>5557.6702364996527</v>
      </c>
      <c r="Y184" s="201">
        <f t="shared" si="55"/>
        <v>4864.2139742180188</v>
      </c>
      <c r="Z184" s="201">
        <f t="shared" si="62"/>
        <v>10421.884210717672</v>
      </c>
      <c r="AA184" s="201"/>
      <c r="AC184" s="257">
        <f t="shared" si="56"/>
        <v>10421.884210717653</v>
      </c>
    </row>
    <row r="185" spans="2:29" x14ac:dyDescent="0.3">
      <c r="B185" s="84">
        <f t="shared" si="57"/>
        <v>174</v>
      </c>
      <c r="C185" s="85">
        <f ca="1">IF($B185="","",'Fecha Pago'!K177)</f>
        <v>51443</v>
      </c>
      <c r="D185" s="86">
        <f>IF($B$12="","",'Fecha Pago'!L177)</f>
        <v>30.4</v>
      </c>
      <c r="E185" s="87">
        <f t="shared" si="42"/>
        <v>0.11</v>
      </c>
      <c r="F185" s="86">
        <f t="shared" si="43"/>
        <v>518101.72890180384</v>
      </c>
      <c r="G185" s="86">
        <f t="shared" si="58"/>
        <v>5609.2948178075649</v>
      </c>
      <c r="H185" s="86">
        <f t="shared" ca="1" si="59"/>
        <v>4812.5893929100885</v>
      </c>
      <c r="I185" s="86">
        <f t="shared" si="44"/>
        <v>10421.884210717653</v>
      </c>
      <c r="J185" s="86">
        <f t="shared" si="45"/>
        <v>0</v>
      </c>
      <c r="K185" s="86">
        <f>IF(B185="","",IF(F185=0,0,IF(Sheet1!$I$10=6,'Tabla Fijos CAT'!$C$3*'Tabla Fijos CAT'!$F$5,$C$5*$F$5)))</f>
        <v>0</v>
      </c>
      <c r="L185" s="86">
        <f t="shared" si="46"/>
        <v>0</v>
      </c>
      <c r="M185" s="86"/>
      <c r="N185" s="86"/>
      <c r="O185" s="86">
        <f t="shared" ca="1" si="60"/>
        <v>10421.884210717653</v>
      </c>
      <c r="P185" s="86">
        <f t="shared" si="47"/>
        <v>512492.43408399628</v>
      </c>
      <c r="Q185" s="355">
        <f t="shared" si="48"/>
        <v>0</v>
      </c>
      <c r="R185" s="201">
        <f t="shared" si="49"/>
        <v>5609.294817807574</v>
      </c>
      <c r="S185" s="201">
        <f t="shared" si="50"/>
        <v>4812.5893929100885</v>
      </c>
      <c r="T185" s="202">
        <f t="shared" si="51"/>
        <v>10421.884210717662</v>
      </c>
      <c r="U185" s="201">
        <f t="shared" si="52"/>
        <v>5609.2948178075649</v>
      </c>
      <c r="V185" s="201">
        <f t="shared" si="53"/>
        <v>4812.5893929100885</v>
      </c>
      <c r="W185" s="201">
        <f t="shared" si="61"/>
        <v>10421.884210717653</v>
      </c>
      <c r="X185" s="201">
        <f t="shared" si="54"/>
        <v>5609.2948178075831</v>
      </c>
      <c r="Y185" s="201">
        <f t="shared" si="55"/>
        <v>4812.5893929100885</v>
      </c>
      <c r="Z185" s="201">
        <f t="shared" si="62"/>
        <v>10421.884210717672</v>
      </c>
      <c r="AA185" s="201"/>
      <c r="AC185" s="257">
        <f t="shared" si="56"/>
        <v>10421.884210717653</v>
      </c>
    </row>
    <row r="186" spans="2:29" x14ac:dyDescent="0.3">
      <c r="B186" s="84">
        <f t="shared" si="57"/>
        <v>175</v>
      </c>
      <c r="C186" s="85">
        <f ca="1">IF($B186="","",'Fecha Pago'!K178)</f>
        <v>51473</v>
      </c>
      <c r="D186" s="86">
        <f>IF($B$12="","",'Fecha Pago'!L178)</f>
        <v>30.4</v>
      </c>
      <c r="E186" s="87">
        <f t="shared" si="42"/>
        <v>0.11</v>
      </c>
      <c r="F186" s="86">
        <f t="shared" si="43"/>
        <v>512492.43408399628</v>
      </c>
      <c r="G186" s="86">
        <f t="shared" si="58"/>
        <v>5661.3989341151992</v>
      </c>
      <c r="H186" s="86">
        <f t="shared" ca="1" si="59"/>
        <v>4760.4852766024542</v>
      </c>
      <c r="I186" s="86">
        <f t="shared" si="44"/>
        <v>10421.884210717653</v>
      </c>
      <c r="J186" s="86">
        <f t="shared" si="45"/>
        <v>0</v>
      </c>
      <c r="K186" s="86">
        <f>IF(B186="","",IF(F186=0,0,IF(Sheet1!$I$10=6,'Tabla Fijos CAT'!$C$3*'Tabla Fijos CAT'!$F$5,$C$5*$F$5)))</f>
        <v>0</v>
      </c>
      <c r="L186" s="86">
        <f t="shared" si="46"/>
        <v>0</v>
      </c>
      <c r="M186" s="86"/>
      <c r="N186" s="86"/>
      <c r="O186" s="86">
        <f t="shared" ca="1" si="60"/>
        <v>10421.884210717653</v>
      </c>
      <c r="P186" s="86">
        <f t="shared" si="47"/>
        <v>506831.03514988109</v>
      </c>
      <c r="Q186" s="355">
        <f t="shared" si="48"/>
        <v>0</v>
      </c>
      <c r="R186" s="201">
        <f t="shared" si="49"/>
        <v>5661.3989341152082</v>
      </c>
      <c r="S186" s="201">
        <f t="shared" si="50"/>
        <v>4760.4852766024542</v>
      </c>
      <c r="T186" s="202">
        <f t="shared" si="51"/>
        <v>10421.884210717662</v>
      </c>
      <c r="U186" s="201">
        <f t="shared" si="52"/>
        <v>5661.3989341151992</v>
      </c>
      <c r="V186" s="201">
        <f t="shared" si="53"/>
        <v>4760.4852766024542</v>
      </c>
      <c r="W186" s="201">
        <f t="shared" si="61"/>
        <v>10421.884210717653</v>
      </c>
      <c r="X186" s="201">
        <f t="shared" si="54"/>
        <v>5661.398934115221</v>
      </c>
      <c r="Y186" s="201">
        <f t="shared" si="55"/>
        <v>4760.4852766024542</v>
      </c>
      <c r="Z186" s="201">
        <f t="shared" si="62"/>
        <v>10421.884210717675</v>
      </c>
      <c r="AA186" s="201"/>
      <c r="AC186" s="257">
        <f t="shared" si="56"/>
        <v>10421.884210717653</v>
      </c>
    </row>
    <row r="187" spans="2:29" x14ac:dyDescent="0.3">
      <c r="B187" s="84">
        <f t="shared" si="57"/>
        <v>176</v>
      </c>
      <c r="C187" s="85">
        <f ca="1">IF($B187="","",'Fecha Pago'!K179)</f>
        <v>51504</v>
      </c>
      <c r="D187" s="86">
        <f>IF($B$12="","",'Fecha Pago'!L179)</f>
        <v>30.4</v>
      </c>
      <c r="E187" s="87">
        <f t="shared" si="42"/>
        <v>0.11</v>
      </c>
      <c r="F187" s="86">
        <f t="shared" si="43"/>
        <v>506831.03514988109</v>
      </c>
      <c r="G187" s="86">
        <f t="shared" si="58"/>
        <v>5713.9870397698696</v>
      </c>
      <c r="H187" s="86">
        <f t="shared" ca="1" si="59"/>
        <v>4707.8971709477837</v>
      </c>
      <c r="I187" s="86">
        <f t="shared" si="44"/>
        <v>10421.884210717653</v>
      </c>
      <c r="J187" s="86">
        <f t="shared" si="45"/>
        <v>0</v>
      </c>
      <c r="K187" s="86">
        <f>IF(B187="","",IF(F187=0,0,IF(Sheet1!$I$10=6,'Tabla Fijos CAT'!$C$3*'Tabla Fijos CAT'!$F$5,$C$5*$F$5)))</f>
        <v>0</v>
      </c>
      <c r="L187" s="86">
        <f t="shared" si="46"/>
        <v>0</v>
      </c>
      <c r="M187" s="86"/>
      <c r="N187" s="86"/>
      <c r="O187" s="86">
        <f t="shared" ca="1" si="60"/>
        <v>10421.884210717653</v>
      </c>
      <c r="P187" s="86">
        <f t="shared" si="47"/>
        <v>501117.04811011121</v>
      </c>
      <c r="Q187" s="355">
        <f t="shared" si="48"/>
        <v>0</v>
      </c>
      <c r="R187" s="201">
        <f t="shared" si="49"/>
        <v>5713.9870397698796</v>
      </c>
      <c r="S187" s="201">
        <f t="shared" si="50"/>
        <v>4707.8971709477837</v>
      </c>
      <c r="T187" s="202">
        <f t="shared" si="51"/>
        <v>10421.884210717664</v>
      </c>
      <c r="U187" s="201">
        <f t="shared" si="52"/>
        <v>5713.9870397698696</v>
      </c>
      <c r="V187" s="201">
        <f t="shared" si="53"/>
        <v>4707.8971709477837</v>
      </c>
      <c r="W187" s="201">
        <f t="shared" si="61"/>
        <v>10421.884210717653</v>
      </c>
      <c r="X187" s="201">
        <f t="shared" si="54"/>
        <v>5713.9870397698896</v>
      </c>
      <c r="Y187" s="201">
        <f t="shared" si="55"/>
        <v>4707.8971709477837</v>
      </c>
      <c r="Z187" s="201">
        <f t="shared" si="62"/>
        <v>10421.884210717673</v>
      </c>
      <c r="AA187" s="201"/>
      <c r="AC187" s="257">
        <f t="shared" si="56"/>
        <v>10421.884210717653</v>
      </c>
    </row>
    <row r="188" spans="2:29" x14ac:dyDescent="0.3">
      <c r="B188" s="84">
        <f t="shared" si="57"/>
        <v>177</v>
      </c>
      <c r="C188" s="85">
        <f ca="1">IF($B188="","",'Fecha Pago'!K180)</f>
        <v>51535</v>
      </c>
      <c r="D188" s="86">
        <f>IF($B$12="","",'Fecha Pago'!L180)</f>
        <v>30.4</v>
      </c>
      <c r="E188" s="87">
        <f t="shared" si="42"/>
        <v>0.11</v>
      </c>
      <c r="F188" s="86">
        <f t="shared" si="43"/>
        <v>501117.04811011121</v>
      </c>
      <c r="G188" s="86">
        <f t="shared" si="58"/>
        <v>5767.063630494843</v>
      </c>
      <c r="H188" s="86">
        <f t="shared" ca="1" si="59"/>
        <v>4654.8205802228103</v>
      </c>
      <c r="I188" s="86">
        <f t="shared" si="44"/>
        <v>10421.884210717653</v>
      </c>
      <c r="J188" s="86">
        <f t="shared" si="45"/>
        <v>0</v>
      </c>
      <c r="K188" s="86">
        <f>IF(B188="","",IF(F188=0,0,IF(Sheet1!$I$10=6,'Tabla Fijos CAT'!$C$3*'Tabla Fijos CAT'!$F$5,$C$5*$F$5)))</f>
        <v>0</v>
      </c>
      <c r="L188" s="86">
        <f t="shared" si="46"/>
        <v>0</v>
      </c>
      <c r="M188" s="86"/>
      <c r="N188" s="86"/>
      <c r="O188" s="86">
        <f t="shared" ca="1" si="60"/>
        <v>10421.884210717653</v>
      </c>
      <c r="P188" s="86">
        <f t="shared" si="47"/>
        <v>495349.98447961634</v>
      </c>
      <c r="Q188" s="355">
        <f t="shared" si="48"/>
        <v>0</v>
      </c>
      <c r="R188" s="201">
        <f t="shared" si="49"/>
        <v>5767.0636304948521</v>
      </c>
      <c r="S188" s="201">
        <f t="shared" si="50"/>
        <v>4654.8205802228103</v>
      </c>
      <c r="T188" s="202">
        <f t="shared" si="51"/>
        <v>10421.884210717662</v>
      </c>
      <c r="U188" s="201">
        <f t="shared" si="52"/>
        <v>5767.063630494843</v>
      </c>
      <c r="V188" s="201">
        <f t="shared" si="53"/>
        <v>4654.8205802228103</v>
      </c>
      <c r="W188" s="201">
        <f t="shared" si="61"/>
        <v>10421.884210717653</v>
      </c>
      <c r="X188" s="201">
        <f t="shared" si="54"/>
        <v>5767.0636304948648</v>
      </c>
      <c r="Y188" s="201">
        <f t="shared" si="55"/>
        <v>4654.8205802228103</v>
      </c>
      <c r="Z188" s="201">
        <f t="shared" si="62"/>
        <v>10421.884210717675</v>
      </c>
      <c r="AA188" s="201"/>
      <c r="AC188" s="257">
        <f t="shared" si="56"/>
        <v>10421.884210717653</v>
      </c>
    </row>
    <row r="189" spans="2:29" x14ac:dyDescent="0.3">
      <c r="B189" s="84">
        <f t="shared" si="57"/>
        <v>178</v>
      </c>
      <c r="C189" s="85">
        <f ca="1">IF($B189="","",'Fecha Pago'!K181)</f>
        <v>51563</v>
      </c>
      <c r="D189" s="86">
        <f>IF($B$12="","",'Fecha Pago'!L181)</f>
        <v>30.4</v>
      </c>
      <c r="E189" s="87">
        <f t="shared" si="42"/>
        <v>0.11</v>
      </c>
      <c r="F189" s="86">
        <f t="shared" si="43"/>
        <v>495349.98447961634</v>
      </c>
      <c r="G189" s="86">
        <f t="shared" si="58"/>
        <v>5820.6332437736619</v>
      </c>
      <c r="H189" s="86">
        <f t="shared" ca="1" si="59"/>
        <v>4601.2509669439914</v>
      </c>
      <c r="I189" s="86">
        <f t="shared" si="44"/>
        <v>10421.884210717653</v>
      </c>
      <c r="J189" s="86">
        <f t="shared" si="45"/>
        <v>0</v>
      </c>
      <c r="K189" s="86">
        <f>IF(B189="","",IF(F189=0,0,IF(Sheet1!$I$10=6,'Tabla Fijos CAT'!$C$3*'Tabla Fijos CAT'!$F$5,$C$5*$F$5)))</f>
        <v>0</v>
      </c>
      <c r="L189" s="86">
        <f t="shared" si="46"/>
        <v>0</v>
      </c>
      <c r="M189" s="86"/>
      <c r="N189" s="86"/>
      <c r="O189" s="86">
        <f t="shared" ca="1" si="60"/>
        <v>10421.884210717653</v>
      </c>
      <c r="P189" s="86">
        <f t="shared" si="47"/>
        <v>489529.35123584268</v>
      </c>
      <c r="Q189" s="355">
        <f t="shared" si="48"/>
        <v>0</v>
      </c>
      <c r="R189" s="201">
        <f t="shared" si="49"/>
        <v>5820.6332437736719</v>
      </c>
      <c r="S189" s="201">
        <f t="shared" si="50"/>
        <v>4601.2509669439914</v>
      </c>
      <c r="T189" s="202">
        <f t="shared" si="51"/>
        <v>10421.884210717664</v>
      </c>
      <c r="U189" s="201">
        <f t="shared" si="52"/>
        <v>5820.6332437736619</v>
      </c>
      <c r="V189" s="201">
        <f t="shared" si="53"/>
        <v>4601.2509669439914</v>
      </c>
      <c r="W189" s="201">
        <f t="shared" si="61"/>
        <v>10421.884210717653</v>
      </c>
      <c r="X189" s="201">
        <f t="shared" si="54"/>
        <v>5820.6332437736801</v>
      </c>
      <c r="Y189" s="201">
        <f t="shared" si="55"/>
        <v>4601.2509669439914</v>
      </c>
      <c r="Z189" s="201">
        <f t="shared" si="62"/>
        <v>10421.884210717672</v>
      </c>
      <c r="AA189" s="201"/>
      <c r="AC189" s="257">
        <f t="shared" si="56"/>
        <v>10421.884210717653</v>
      </c>
    </row>
    <row r="190" spans="2:29" x14ac:dyDescent="0.3">
      <c r="B190" s="84">
        <f t="shared" si="57"/>
        <v>179</v>
      </c>
      <c r="C190" s="85">
        <f ca="1">IF($B190="","",'Fecha Pago'!K182)</f>
        <v>51594</v>
      </c>
      <c r="D190" s="86">
        <f>IF($B$12="","",'Fecha Pago'!L182)</f>
        <v>30.4</v>
      </c>
      <c r="E190" s="87">
        <f t="shared" si="42"/>
        <v>0.11</v>
      </c>
      <c r="F190" s="86">
        <f t="shared" si="43"/>
        <v>489529.35123584268</v>
      </c>
      <c r="G190" s="86">
        <f t="shared" si="58"/>
        <v>5874.7004592380481</v>
      </c>
      <c r="H190" s="86">
        <f t="shared" ca="1" si="59"/>
        <v>4547.1837514796052</v>
      </c>
      <c r="I190" s="86">
        <f t="shared" si="44"/>
        <v>10421.884210717653</v>
      </c>
      <c r="J190" s="86">
        <f t="shared" si="45"/>
        <v>0</v>
      </c>
      <c r="K190" s="86">
        <f>IF(B190="","",IF(F190=0,0,IF(Sheet1!$I$10=6,'Tabla Fijos CAT'!$C$3*'Tabla Fijos CAT'!$F$5,$C$5*$F$5)))</f>
        <v>0</v>
      </c>
      <c r="L190" s="86">
        <f t="shared" si="46"/>
        <v>0</v>
      </c>
      <c r="M190" s="86"/>
      <c r="N190" s="86"/>
      <c r="O190" s="86">
        <f t="shared" ca="1" si="60"/>
        <v>10421.884210717653</v>
      </c>
      <c r="P190" s="86">
        <f t="shared" si="47"/>
        <v>483654.65077660466</v>
      </c>
      <c r="Q190" s="355">
        <f t="shared" si="48"/>
        <v>0</v>
      </c>
      <c r="R190" s="201">
        <f t="shared" si="49"/>
        <v>5874.7004592380581</v>
      </c>
      <c r="S190" s="201">
        <f t="shared" si="50"/>
        <v>4547.1837514796052</v>
      </c>
      <c r="T190" s="202">
        <f t="shared" si="51"/>
        <v>10421.884210717664</v>
      </c>
      <c r="U190" s="201">
        <f t="shared" si="52"/>
        <v>5874.7004592380481</v>
      </c>
      <c r="V190" s="201">
        <f t="shared" si="53"/>
        <v>4547.1837514796052</v>
      </c>
      <c r="W190" s="201">
        <f t="shared" si="61"/>
        <v>10421.884210717653</v>
      </c>
      <c r="X190" s="201">
        <f t="shared" si="54"/>
        <v>5874.7004592380681</v>
      </c>
      <c r="Y190" s="201">
        <f t="shared" si="55"/>
        <v>4547.1837514796052</v>
      </c>
      <c r="Z190" s="201">
        <f t="shared" si="62"/>
        <v>10421.884210717673</v>
      </c>
      <c r="AA190" s="201"/>
      <c r="AC190" s="257">
        <f t="shared" si="56"/>
        <v>10421.884210717653</v>
      </c>
    </row>
    <row r="191" spans="2:29" x14ac:dyDescent="0.3">
      <c r="B191" s="84">
        <f t="shared" si="57"/>
        <v>180</v>
      </c>
      <c r="C191" s="85">
        <f ca="1">IF($B191="","",'Fecha Pago'!K183)</f>
        <v>51624</v>
      </c>
      <c r="D191" s="86">
        <f>IF($B$12="","",'Fecha Pago'!L183)</f>
        <v>30.4</v>
      </c>
      <c r="E191" s="87">
        <f t="shared" si="42"/>
        <v>0.11</v>
      </c>
      <c r="F191" s="86">
        <f t="shared" si="43"/>
        <v>483654.65077660466</v>
      </c>
      <c r="G191" s="86">
        <f t="shared" si="58"/>
        <v>5929.2698990594145</v>
      </c>
      <c r="H191" s="86">
        <f t="shared" ca="1" si="59"/>
        <v>4492.6143116582389</v>
      </c>
      <c r="I191" s="86">
        <f t="shared" si="44"/>
        <v>10421.884210717653</v>
      </c>
      <c r="J191" s="86">
        <f t="shared" si="45"/>
        <v>0</v>
      </c>
      <c r="K191" s="86">
        <f>IF(B191="","",IF(F191=0,0,IF(Sheet1!$I$10=6,'Tabla Fijos CAT'!$C$3*'Tabla Fijos CAT'!$F$5,$C$5*$F$5)))</f>
        <v>0</v>
      </c>
      <c r="L191" s="86">
        <f t="shared" si="46"/>
        <v>0</v>
      </c>
      <c r="M191" s="86"/>
      <c r="N191" s="86"/>
      <c r="O191" s="86">
        <f t="shared" ca="1" si="60"/>
        <v>10421.884210717653</v>
      </c>
      <c r="P191" s="86">
        <f t="shared" si="47"/>
        <v>477725.38087754522</v>
      </c>
      <c r="Q191" s="355">
        <f t="shared" si="48"/>
        <v>0</v>
      </c>
      <c r="R191" s="201">
        <f t="shared" si="49"/>
        <v>5929.2698990594254</v>
      </c>
      <c r="S191" s="201">
        <f t="shared" si="50"/>
        <v>4492.6143116582389</v>
      </c>
      <c r="T191" s="202">
        <f t="shared" si="51"/>
        <v>10421.884210717664</v>
      </c>
      <c r="U191" s="201">
        <f t="shared" si="52"/>
        <v>5929.2698990594145</v>
      </c>
      <c r="V191" s="201">
        <f t="shared" si="53"/>
        <v>4492.6143116582389</v>
      </c>
      <c r="W191" s="201">
        <f t="shared" si="61"/>
        <v>10421.884210717653</v>
      </c>
      <c r="X191" s="201">
        <f t="shared" si="54"/>
        <v>5929.2698990594363</v>
      </c>
      <c r="Y191" s="201">
        <f t="shared" si="55"/>
        <v>4492.6143116582389</v>
      </c>
      <c r="Z191" s="201">
        <f t="shared" si="62"/>
        <v>10421.884210717675</v>
      </c>
      <c r="AA191" s="201"/>
      <c r="AC191" s="257">
        <f t="shared" si="56"/>
        <v>10421.884210717653</v>
      </c>
    </row>
    <row r="192" spans="2:29" x14ac:dyDescent="0.3">
      <c r="B192" s="84">
        <f t="shared" si="57"/>
        <v>181</v>
      </c>
      <c r="C192" s="85">
        <f ca="1">IF($B192="","",'Fecha Pago'!K184)</f>
        <v>51655</v>
      </c>
      <c r="D192" s="86">
        <f>IF($B$12="","",'Fecha Pago'!L184)</f>
        <v>30.4</v>
      </c>
      <c r="E192" s="87">
        <f t="shared" si="42"/>
        <v>0.11</v>
      </c>
      <c r="F192" s="86">
        <f t="shared" si="43"/>
        <v>477725.38087754522</v>
      </c>
      <c r="G192" s="86">
        <f t="shared" si="58"/>
        <v>5984.3462283440113</v>
      </c>
      <c r="H192" s="86">
        <f t="shared" ca="1" si="59"/>
        <v>4437.5379823736421</v>
      </c>
      <c r="I192" s="86">
        <f t="shared" si="44"/>
        <v>10421.884210717653</v>
      </c>
      <c r="J192" s="86">
        <f t="shared" si="45"/>
        <v>0</v>
      </c>
      <c r="K192" s="86">
        <f>IF(B192="","",IF(F192=0,0,IF(Sheet1!$I$10=6,'Tabla Fijos CAT'!$C$3*'Tabla Fijos CAT'!$F$5,$C$5*$F$5)))</f>
        <v>0</v>
      </c>
      <c r="L192" s="86">
        <f t="shared" si="46"/>
        <v>0</v>
      </c>
      <c r="M192" s="86"/>
      <c r="N192" s="86"/>
      <c r="O192" s="86">
        <f t="shared" ca="1" si="60"/>
        <v>10421.884210717653</v>
      </c>
      <c r="P192" s="86">
        <f t="shared" si="47"/>
        <v>471741.0346492012</v>
      </c>
      <c r="Q192" s="355">
        <f t="shared" si="48"/>
        <v>0</v>
      </c>
      <c r="R192" s="201">
        <f t="shared" si="49"/>
        <v>5984.3462283440222</v>
      </c>
      <c r="S192" s="201">
        <f t="shared" si="50"/>
        <v>4437.5379823736421</v>
      </c>
      <c r="T192" s="202">
        <f t="shared" si="51"/>
        <v>10421.884210717664</v>
      </c>
      <c r="U192" s="201">
        <f t="shared" si="52"/>
        <v>5984.3462283440113</v>
      </c>
      <c r="V192" s="201">
        <f t="shared" si="53"/>
        <v>4437.5379823736421</v>
      </c>
      <c r="W192" s="201">
        <f t="shared" si="61"/>
        <v>10421.884210717653</v>
      </c>
      <c r="X192" s="201">
        <f t="shared" si="54"/>
        <v>5984.3462283440313</v>
      </c>
      <c r="Y192" s="201">
        <f t="shared" si="55"/>
        <v>4437.5379823736421</v>
      </c>
      <c r="Z192" s="201">
        <f t="shared" si="62"/>
        <v>10421.884210717673</v>
      </c>
      <c r="AA192" s="201"/>
      <c r="AC192" s="257">
        <f t="shared" si="56"/>
        <v>10421.884210717653</v>
      </c>
    </row>
    <row r="193" spans="2:29" x14ac:dyDescent="0.3">
      <c r="B193" s="84">
        <f t="shared" si="57"/>
        <v>182</v>
      </c>
      <c r="C193" s="85">
        <f ca="1">IF($B193="","",'Fecha Pago'!K185)</f>
        <v>51685</v>
      </c>
      <c r="D193" s="86">
        <f>IF($B$12="","",'Fecha Pago'!L185)</f>
        <v>30.4</v>
      </c>
      <c r="E193" s="87">
        <f t="shared" si="42"/>
        <v>0.11</v>
      </c>
      <c r="F193" s="86">
        <f t="shared" si="43"/>
        <v>471741.0346492012</v>
      </c>
      <c r="G193" s="86">
        <f t="shared" si="58"/>
        <v>6039.9341555317405</v>
      </c>
      <c r="H193" s="86">
        <f t="shared" ca="1" si="59"/>
        <v>4381.9500551859128</v>
      </c>
      <c r="I193" s="86">
        <f t="shared" si="44"/>
        <v>10421.884210717653</v>
      </c>
      <c r="J193" s="86">
        <f t="shared" si="45"/>
        <v>0</v>
      </c>
      <c r="K193" s="86">
        <f>IF(B193="","",IF(F193=0,0,IF(Sheet1!$I$10=6,'Tabla Fijos CAT'!$C$3*'Tabla Fijos CAT'!$F$5,$C$5*$F$5)))</f>
        <v>0</v>
      </c>
      <c r="L193" s="86">
        <f t="shared" si="46"/>
        <v>0</v>
      </c>
      <c r="M193" s="86"/>
      <c r="N193" s="86"/>
      <c r="O193" s="86">
        <f t="shared" ca="1" si="60"/>
        <v>10421.884210717653</v>
      </c>
      <c r="P193" s="86">
        <f t="shared" si="47"/>
        <v>465701.10049366945</v>
      </c>
      <c r="Q193" s="355">
        <f t="shared" si="48"/>
        <v>0</v>
      </c>
      <c r="R193" s="201">
        <f t="shared" si="49"/>
        <v>6039.9341555317496</v>
      </c>
      <c r="S193" s="201">
        <f t="shared" si="50"/>
        <v>4381.9500551859128</v>
      </c>
      <c r="T193" s="202">
        <f t="shared" si="51"/>
        <v>10421.884210717662</v>
      </c>
      <c r="U193" s="201">
        <f t="shared" si="52"/>
        <v>6039.9341555317405</v>
      </c>
      <c r="V193" s="201">
        <f t="shared" si="53"/>
        <v>4381.9500551859128</v>
      </c>
      <c r="W193" s="201">
        <f t="shared" si="61"/>
        <v>10421.884210717653</v>
      </c>
      <c r="X193" s="201">
        <f t="shared" si="54"/>
        <v>6039.9341555317624</v>
      </c>
      <c r="Y193" s="201">
        <f t="shared" si="55"/>
        <v>4381.9500551859128</v>
      </c>
      <c r="Z193" s="201">
        <f t="shared" si="62"/>
        <v>10421.884210717675</v>
      </c>
      <c r="AA193" s="201"/>
      <c r="AC193" s="257">
        <f t="shared" si="56"/>
        <v>10421.884210717653</v>
      </c>
    </row>
    <row r="194" spans="2:29" x14ac:dyDescent="0.3">
      <c r="B194" s="84">
        <f t="shared" si="57"/>
        <v>183</v>
      </c>
      <c r="C194" s="85">
        <f ca="1">IF($B194="","",'Fecha Pago'!K186)</f>
        <v>51716</v>
      </c>
      <c r="D194" s="86">
        <f>IF($B$12="","",'Fecha Pago'!L186)</f>
        <v>30.4</v>
      </c>
      <c r="E194" s="87">
        <f t="shared" si="42"/>
        <v>0.11</v>
      </c>
      <c r="F194" s="86">
        <f t="shared" si="43"/>
        <v>465701.10049366945</v>
      </c>
      <c r="G194" s="86">
        <f t="shared" si="58"/>
        <v>6096.0384327986794</v>
      </c>
      <c r="H194" s="86">
        <f t="shared" ca="1" si="59"/>
        <v>4325.8457779189739</v>
      </c>
      <c r="I194" s="86">
        <f t="shared" si="44"/>
        <v>10421.884210717653</v>
      </c>
      <c r="J194" s="86">
        <f t="shared" si="45"/>
        <v>0</v>
      </c>
      <c r="K194" s="86">
        <f>IF(B194="","",IF(F194=0,0,IF(Sheet1!$I$10=6,'Tabla Fijos CAT'!$C$3*'Tabla Fijos CAT'!$F$5,$C$5*$F$5)))</f>
        <v>0</v>
      </c>
      <c r="L194" s="86">
        <f t="shared" si="46"/>
        <v>0</v>
      </c>
      <c r="M194" s="86"/>
      <c r="N194" s="86"/>
      <c r="O194" s="86">
        <f t="shared" ca="1" si="60"/>
        <v>10421.884210717653</v>
      </c>
      <c r="P194" s="86">
        <f t="shared" si="47"/>
        <v>459605.06206087075</v>
      </c>
      <c r="Q194" s="355">
        <f t="shared" si="48"/>
        <v>0</v>
      </c>
      <c r="R194" s="201">
        <f t="shared" si="49"/>
        <v>6096.0384327986894</v>
      </c>
      <c r="S194" s="201">
        <f t="shared" si="50"/>
        <v>4325.8457779189739</v>
      </c>
      <c r="T194" s="202">
        <f t="shared" si="51"/>
        <v>10421.884210717664</v>
      </c>
      <c r="U194" s="201">
        <f t="shared" si="52"/>
        <v>6096.0384327986794</v>
      </c>
      <c r="V194" s="201">
        <f t="shared" si="53"/>
        <v>4325.8457779189739</v>
      </c>
      <c r="W194" s="201">
        <f t="shared" si="61"/>
        <v>10421.884210717653</v>
      </c>
      <c r="X194" s="201">
        <f t="shared" si="54"/>
        <v>6096.0384327987013</v>
      </c>
      <c r="Y194" s="201">
        <f t="shared" si="55"/>
        <v>4325.8457779189739</v>
      </c>
      <c r="Z194" s="201">
        <f t="shared" si="62"/>
        <v>10421.884210717675</v>
      </c>
      <c r="AA194" s="201"/>
      <c r="AC194" s="257">
        <f t="shared" si="56"/>
        <v>10421.884210717653</v>
      </c>
    </row>
    <row r="195" spans="2:29" x14ac:dyDescent="0.3">
      <c r="B195" s="84">
        <f t="shared" si="57"/>
        <v>184</v>
      </c>
      <c r="C195" s="85">
        <f ca="1">IF($B195="","",'Fecha Pago'!K187)</f>
        <v>51747</v>
      </c>
      <c r="D195" s="86">
        <f>IF($B$12="","",'Fecha Pago'!L187)</f>
        <v>30.4</v>
      </c>
      <c r="E195" s="87">
        <f t="shared" si="42"/>
        <v>0.11</v>
      </c>
      <c r="F195" s="86">
        <f t="shared" si="43"/>
        <v>459605.06206087075</v>
      </c>
      <c r="G195" s="86">
        <f t="shared" si="58"/>
        <v>6152.6638564633431</v>
      </c>
      <c r="H195" s="86">
        <f t="shared" ca="1" si="59"/>
        <v>4269.2203542543102</v>
      </c>
      <c r="I195" s="86">
        <f t="shared" si="44"/>
        <v>10421.884210717653</v>
      </c>
      <c r="J195" s="86">
        <f t="shared" si="45"/>
        <v>0</v>
      </c>
      <c r="K195" s="86">
        <f>IF(B195="","",IF(F195=0,0,IF(Sheet1!$I$10=6,'Tabla Fijos CAT'!$C$3*'Tabla Fijos CAT'!$F$5,$C$5*$F$5)))</f>
        <v>0</v>
      </c>
      <c r="L195" s="86">
        <f t="shared" si="46"/>
        <v>0</v>
      </c>
      <c r="M195" s="86"/>
      <c r="N195" s="86"/>
      <c r="O195" s="86">
        <f t="shared" ca="1" si="60"/>
        <v>10421.884210717653</v>
      </c>
      <c r="P195" s="86">
        <f t="shared" si="47"/>
        <v>453452.39820440742</v>
      </c>
      <c r="Q195" s="355">
        <f t="shared" si="48"/>
        <v>0</v>
      </c>
      <c r="R195" s="201">
        <f t="shared" si="49"/>
        <v>6152.6638564633531</v>
      </c>
      <c r="S195" s="201">
        <f t="shared" si="50"/>
        <v>4269.2203542543102</v>
      </c>
      <c r="T195" s="202">
        <f t="shared" si="51"/>
        <v>10421.884210717664</v>
      </c>
      <c r="U195" s="201">
        <f t="shared" si="52"/>
        <v>6152.6638564633431</v>
      </c>
      <c r="V195" s="201">
        <f t="shared" si="53"/>
        <v>4269.2203542543102</v>
      </c>
      <c r="W195" s="201">
        <f t="shared" si="61"/>
        <v>10421.884210717653</v>
      </c>
      <c r="X195" s="201">
        <f t="shared" si="54"/>
        <v>6152.6638564633631</v>
      </c>
      <c r="Y195" s="201">
        <f t="shared" si="55"/>
        <v>4269.2203542543102</v>
      </c>
      <c r="Z195" s="201">
        <f t="shared" si="62"/>
        <v>10421.884210717673</v>
      </c>
      <c r="AA195" s="201"/>
      <c r="AC195" s="257">
        <f t="shared" si="56"/>
        <v>10421.884210717653</v>
      </c>
    </row>
    <row r="196" spans="2:29" x14ac:dyDescent="0.3">
      <c r="B196" s="84">
        <f t="shared" si="57"/>
        <v>185</v>
      </c>
      <c r="C196" s="85">
        <f ca="1">IF($B196="","",'Fecha Pago'!K188)</f>
        <v>51777</v>
      </c>
      <c r="D196" s="86">
        <f>IF($B$12="","",'Fecha Pago'!L188)</f>
        <v>30.4</v>
      </c>
      <c r="E196" s="87">
        <f t="shared" si="42"/>
        <v>0.11</v>
      </c>
      <c r="F196" s="86">
        <f t="shared" si="43"/>
        <v>453452.39820440742</v>
      </c>
      <c r="G196" s="86">
        <f t="shared" si="58"/>
        <v>6209.8152673967134</v>
      </c>
      <c r="H196" s="86">
        <f t="shared" ca="1" si="59"/>
        <v>4212.06894332094</v>
      </c>
      <c r="I196" s="86">
        <f t="shared" si="44"/>
        <v>10421.884210717653</v>
      </c>
      <c r="J196" s="86">
        <f t="shared" si="45"/>
        <v>0</v>
      </c>
      <c r="K196" s="86">
        <f>IF(B196="","",IF(F196=0,0,IF(Sheet1!$I$10=6,'Tabla Fijos CAT'!$C$3*'Tabla Fijos CAT'!$F$5,$C$5*$F$5)))</f>
        <v>0</v>
      </c>
      <c r="L196" s="86">
        <f t="shared" si="46"/>
        <v>0</v>
      </c>
      <c r="M196" s="86"/>
      <c r="N196" s="86"/>
      <c r="O196" s="86">
        <f t="shared" ca="1" si="60"/>
        <v>10421.884210717653</v>
      </c>
      <c r="P196" s="86">
        <f t="shared" si="47"/>
        <v>447242.58293701068</v>
      </c>
      <c r="Q196" s="355">
        <f t="shared" si="48"/>
        <v>0</v>
      </c>
      <c r="R196" s="201">
        <f t="shared" si="49"/>
        <v>6209.8152673967234</v>
      </c>
      <c r="S196" s="201">
        <f t="shared" si="50"/>
        <v>4212.06894332094</v>
      </c>
      <c r="T196" s="202">
        <f t="shared" si="51"/>
        <v>10421.884210717664</v>
      </c>
      <c r="U196" s="201">
        <f t="shared" si="52"/>
        <v>6209.8152673967134</v>
      </c>
      <c r="V196" s="201">
        <f t="shared" si="53"/>
        <v>4212.06894332094</v>
      </c>
      <c r="W196" s="201">
        <f t="shared" si="61"/>
        <v>10421.884210717653</v>
      </c>
      <c r="X196" s="201">
        <f t="shared" si="54"/>
        <v>6209.8152673967352</v>
      </c>
      <c r="Y196" s="201">
        <f t="shared" si="55"/>
        <v>4212.06894332094</v>
      </c>
      <c r="Z196" s="201">
        <f t="shared" si="62"/>
        <v>10421.884210717675</v>
      </c>
      <c r="AA196" s="201"/>
      <c r="AC196" s="257">
        <f t="shared" si="56"/>
        <v>10421.884210717653</v>
      </c>
    </row>
    <row r="197" spans="2:29" x14ac:dyDescent="0.3">
      <c r="B197" s="84">
        <f t="shared" si="57"/>
        <v>186</v>
      </c>
      <c r="C197" s="85">
        <f ca="1">IF($B197="","",'Fecha Pago'!K189)</f>
        <v>51808</v>
      </c>
      <c r="D197" s="86">
        <f>IF($B$12="","",'Fecha Pago'!L189)</f>
        <v>30.4</v>
      </c>
      <c r="E197" s="87">
        <f t="shared" si="42"/>
        <v>0.11</v>
      </c>
      <c r="F197" s="86">
        <f t="shared" si="43"/>
        <v>447242.58293701068</v>
      </c>
      <c r="G197" s="86">
        <f t="shared" si="58"/>
        <v>6267.4975514360876</v>
      </c>
      <c r="H197" s="86">
        <f t="shared" ca="1" si="59"/>
        <v>4154.3866592815657</v>
      </c>
      <c r="I197" s="86">
        <f t="shared" si="44"/>
        <v>10421.884210717653</v>
      </c>
      <c r="J197" s="86">
        <f t="shared" si="45"/>
        <v>0</v>
      </c>
      <c r="K197" s="86">
        <f>IF(B197="","",IF(F197=0,0,IF(Sheet1!$I$10=6,'Tabla Fijos CAT'!$C$3*'Tabla Fijos CAT'!$F$5,$C$5*$F$5)))</f>
        <v>0</v>
      </c>
      <c r="L197" s="86">
        <f t="shared" si="46"/>
        <v>0</v>
      </c>
      <c r="M197" s="86"/>
      <c r="N197" s="86"/>
      <c r="O197" s="86">
        <f t="shared" ca="1" si="60"/>
        <v>10421.884210717653</v>
      </c>
      <c r="P197" s="86">
        <f t="shared" si="47"/>
        <v>440975.08538557461</v>
      </c>
      <c r="Q197" s="355">
        <f t="shared" si="48"/>
        <v>0</v>
      </c>
      <c r="R197" s="201">
        <f t="shared" si="49"/>
        <v>6267.4975514360976</v>
      </c>
      <c r="S197" s="201">
        <f t="shared" si="50"/>
        <v>4154.3866592815657</v>
      </c>
      <c r="T197" s="202">
        <f t="shared" si="51"/>
        <v>10421.884210717664</v>
      </c>
      <c r="U197" s="201">
        <f t="shared" si="52"/>
        <v>6267.4975514360876</v>
      </c>
      <c r="V197" s="201">
        <f t="shared" si="53"/>
        <v>4154.3866592815657</v>
      </c>
      <c r="W197" s="201">
        <f t="shared" si="61"/>
        <v>10421.884210717653</v>
      </c>
      <c r="X197" s="201">
        <f t="shared" si="54"/>
        <v>6267.4975514361095</v>
      </c>
      <c r="Y197" s="201">
        <f t="shared" si="55"/>
        <v>4154.3866592815657</v>
      </c>
      <c r="Z197" s="201">
        <f t="shared" si="62"/>
        <v>10421.884210717675</v>
      </c>
      <c r="AA197" s="201"/>
      <c r="AC197" s="257">
        <f t="shared" si="56"/>
        <v>10421.884210717653</v>
      </c>
    </row>
    <row r="198" spans="2:29" x14ac:dyDescent="0.3">
      <c r="B198" s="84">
        <f t="shared" si="57"/>
        <v>187</v>
      </c>
      <c r="C198" s="85">
        <f ca="1">IF($B198="","",'Fecha Pago'!K190)</f>
        <v>51838</v>
      </c>
      <c r="D198" s="86">
        <f>IF($B$12="","",'Fecha Pago'!L190)</f>
        <v>30.4</v>
      </c>
      <c r="E198" s="87">
        <f t="shared" si="42"/>
        <v>0.11</v>
      </c>
      <c r="F198" s="86">
        <f t="shared" si="43"/>
        <v>440975.08538557461</v>
      </c>
      <c r="G198" s="86">
        <f t="shared" si="58"/>
        <v>6325.715639802761</v>
      </c>
      <c r="H198" s="86">
        <f t="shared" ca="1" si="59"/>
        <v>4096.1685709148924</v>
      </c>
      <c r="I198" s="86">
        <f t="shared" si="44"/>
        <v>10421.884210717653</v>
      </c>
      <c r="J198" s="86">
        <f t="shared" si="45"/>
        <v>0</v>
      </c>
      <c r="K198" s="86">
        <f>IF(B198="","",IF(F198=0,0,IF(Sheet1!$I$10=6,'Tabla Fijos CAT'!$C$3*'Tabla Fijos CAT'!$F$5,$C$5*$F$5)))</f>
        <v>0</v>
      </c>
      <c r="L198" s="86">
        <f t="shared" si="46"/>
        <v>0</v>
      </c>
      <c r="M198" s="86"/>
      <c r="N198" s="86"/>
      <c r="O198" s="86">
        <f t="shared" ca="1" si="60"/>
        <v>10421.884210717653</v>
      </c>
      <c r="P198" s="86">
        <f t="shared" si="47"/>
        <v>434649.36974577187</v>
      </c>
      <c r="Q198" s="355">
        <f t="shared" si="48"/>
        <v>0</v>
      </c>
      <c r="R198" s="201">
        <f t="shared" si="49"/>
        <v>6325.7156398027701</v>
      </c>
      <c r="S198" s="201">
        <f t="shared" si="50"/>
        <v>4096.1685709148924</v>
      </c>
      <c r="T198" s="202">
        <f t="shared" si="51"/>
        <v>10421.884210717662</v>
      </c>
      <c r="U198" s="201">
        <f t="shared" si="52"/>
        <v>6325.715639802761</v>
      </c>
      <c r="V198" s="201">
        <f t="shared" si="53"/>
        <v>4096.1685709148924</v>
      </c>
      <c r="W198" s="201">
        <f t="shared" si="61"/>
        <v>10421.884210717653</v>
      </c>
      <c r="X198" s="201">
        <f t="shared" si="54"/>
        <v>6325.7156398027864</v>
      </c>
      <c r="Y198" s="201">
        <f t="shared" si="55"/>
        <v>4096.1685709148924</v>
      </c>
      <c r="Z198" s="201">
        <f t="shared" si="62"/>
        <v>10421.884210717679</v>
      </c>
      <c r="AA198" s="201"/>
      <c r="AC198" s="257">
        <f t="shared" si="56"/>
        <v>10421.884210717653</v>
      </c>
    </row>
    <row r="199" spans="2:29" x14ac:dyDescent="0.3">
      <c r="B199" s="84">
        <f t="shared" si="57"/>
        <v>188</v>
      </c>
      <c r="C199" s="85">
        <f ca="1">IF($B199="","",'Fecha Pago'!K191)</f>
        <v>51869</v>
      </c>
      <c r="D199" s="86">
        <f>IF($B$12="","",'Fecha Pago'!L191)</f>
        <v>30.4</v>
      </c>
      <c r="E199" s="87">
        <f t="shared" si="42"/>
        <v>0.11</v>
      </c>
      <c r="F199" s="86">
        <f t="shared" si="43"/>
        <v>434649.36974577187</v>
      </c>
      <c r="G199" s="86">
        <f t="shared" si="58"/>
        <v>6384.4745095235949</v>
      </c>
      <c r="H199" s="86">
        <f t="shared" ca="1" si="59"/>
        <v>4037.4097011940585</v>
      </c>
      <c r="I199" s="86">
        <f t="shared" si="44"/>
        <v>10421.884210717653</v>
      </c>
      <c r="J199" s="86">
        <f t="shared" si="45"/>
        <v>0</v>
      </c>
      <c r="K199" s="86">
        <f>IF(B199="","",IF(F199=0,0,IF(Sheet1!$I$10=6,'Tabla Fijos CAT'!$C$3*'Tabla Fijos CAT'!$F$5,$C$5*$F$5)))</f>
        <v>0</v>
      </c>
      <c r="L199" s="86">
        <f t="shared" si="46"/>
        <v>0</v>
      </c>
      <c r="M199" s="86"/>
      <c r="N199" s="86"/>
      <c r="O199" s="86">
        <f t="shared" ca="1" si="60"/>
        <v>10421.884210717653</v>
      </c>
      <c r="P199" s="86">
        <f t="shared" si="47"/>
        <v>428264.89523624827</v>
      </c>
      <c r="Q199" s="355">
        <f t="shared" si="48"/>
        <v>0</v>
      </c>
      <c r="R199" s="201">
        <f t="shared" si="49"/>
        <v>6384.4745095236058</v>
      </c>
      <c r="S199" s="201">
        <f t="shared" si="50"/>
        <v>4037.4097011940585</v>
      </c>
      <c r="T199" s="202">
        <f t="shared" si="51"/>
        <v>10421.884210717664</v>
      </c>
      <c r="U199" s="201">
        <f t="shared" si="52"/>
        <v>6384.4745095235949</v>
      </c>
      <c r="V199" s="201">
        <f t="shared" si="53"/>
        <v>4037.4097011940585</v>
      </c>
      <c r="W199" s="201">
        <f t="shared" si="61"/>
        <v>10421.884210717653</v>
      </c>
      <c r="X199" s="201">
        <f t="shared" si="54"/>
        <v>6384.4745095236221</v>
      </c>
      <c r="Y199" s="201">
        <f t="shared" si="55"/>
        <v>4037.4097011940585</v>
      </c>
      <c r="Z199" s="201">
        <f t="shared" si="62"/>
        <v>10421.884210717681</v>
      </c>
      <c r="AA199" s="201"/>
      <c r="AC199" s="257">
        <f t="shared" si="56"/>
        <v>10421.884210717653</v>
      </c>
    </row>
    <row r="200" spans="2:29" x14ac:dyDescent="0.3">
      <c r="B200" s="84">
        <f t="shared" si="57"/>
        <v>189</v>
      </c>
      <c r="C200" s="85">
        <f ca="1">IF($B200="","",'Fecha Pago'!K192)</f>
        <v>51900</v>
      </c>
      <c r="D200" s="86">
        <f>IF($B$12="","",'Fecha Pago'!L192)</f>
        <v>30.4</v>
      </c>
      <c r="E200" s="87">
        <f t="shared" si="42"/>
        <v>0.11</v>
      </c>
      <c r="F200" s="86">
        <f t="shared" si="43"/>
        <v>428264.89523624827</v>
      </c>
      <c r="G200" s="86">
        <f t="shared" si="58"/>
        <v>6443.7791838565026</v>
      </c>
      <c r="H200" s="86">
        <f t="shared" ca="1" si="59"/>
        <v>3978.1050268611502</v>
      </c>
      <c r="I200" s="86">
        <f t="shared" si="44"/>
        <v>10421.884210717653</v>
      </c>
      <c r="J200" s="86">
        <f t="shared" si="45"/>
        <v>0</v>
      </c>
      <c r="K200" s="86">
        <f>IF(B200="","",IF(F200=0,0,IF(Sheet1!$I$10=6,'Tabla Fijos CAT'!$C$3*'Tabla Fijos CAT'!$F$5,$C$5*$F$5)))</f>
        <v>0</v>
      </c>
      <c r="L200" s="86">
        <f t="shared" si="46"/>
        <v>0</v>
      </c>
      <c r="M200" s="86"/>
      <c r="N200" s="86"/>
      <c r="O200" s="86">
        <f t="shared" ca="1" si="60"/>
        <v>10421.884210717653</v>
      </c>
      <c r="P200" s="86">
        <f t="shared" si="47"/>
        <v>421821.11605239176</v>
      </c>
      <c r="Q200" s="355">
        <f t="shared" si="48"/>
        <v>0</v>
      </c>
      <c r="R200" s="201">
        <f t="shared" si="49"/>
        <v>6443.7791838565136</v>
      </c>
      <c r="S200" s="201">
        <f t="shared" si="50"/>
        <v>3978.1050268611502</v>
      </c>
      <c r="T200" s="202">
        <f t="shared" si="51"/>
        <v>10421.884210717664</v>
      </c>
      <c r="U200" s="201">
        <f t="shared" si="52"/>
        <v>6443.7791838565026</v>
      </c>
      <c r="V200" s="201">
        <f t="shared" si="53"/>
        <v>3978.1050268611502</v>
      </c>
      <c r="W200" s="201">
        <f t="shared" si="61"/>
        <v>10421.884210717653</v>
      </c>
      <c r="X200" s="201">
        <f t="shared" si="54"/>
        <v>6443.7791838565281</v>
      </c>
      <c r="Y200" s="201">
        <f t="shared" si="55"/>
        <v>3978.1050268611502</v>
      </c>
      <c r="Z200" s="201">
        <f t="shared" si="62"/>
        <v>10421.884210717679</v>
      </c>
      <c r="AA200" s="201"/>
      <c r="AC200" s="257">
        <f t="shared" si="56"/>
        <v>10421.884210717653</v>
      </c>
    </row>
    <row r="201" spans="2:29" x14ac:dyDescent="0.3">
      <c r="B201" s="84">
        <f t="shared" si="57"/>
        <v>190</v>
      </c>
      <c r="C201" s="85">
        <f ca="1">IF($B201="","",'Fecha Pago'!K193)</f>
        <v>51928</v>
      </c>
      <c r="D201" s="86">
        <f>IF($B$12="","",'Fecha Pago'!L193)</f>
        <v>30.4</v>
      </c>
      <c r="E201" s="87">
        <f t="shared" si="42"/>
        <v>0.11</v>
      </c>
      <c r="F201" s="86">
        <f t="shared" si="43"/>
        <v>421821.11605239176</v>
      </c>
      <c r="G201" s="86">
        <f t="shared" si="58"/>
        <v>6503.6347327198819</v>
      </c>
      <c r="H201" s="86">
        <f t="shared" ca="1" si="59"/>
        <v>3918.2494779977719</v>
      </c>
      <c r="I201" s="86">
        <f>IF(D201="","",IF(F201=G201,G201+H201,IF($P$7=$X$10,Z201,IF($P$7=$U$10,W201,IF($P$7=$R$10,T201,)))))</f>
        <v>10421.884210717653</v>
      </c>
      <c r="J201" s="86">
        <f t="shared" si="45"/>
        <v>0</v>
      </c>
      <c r="K201" s="86">
        <f>IF(B201="","",IF(F201=0,0,IF(Sheet1!$I$10=6,'Tabla Fijos CAT'!$C$3*'Tabla Fijos CAT'!$F$5,$C$5*$F$5)))</f>
        <v>0</v>
      </c>
      <c r="L201" s="86">
        <f t="shared" si="46"/>
        <v>0</v>
      </c>
      <c r="M201" s="86"/>
      <c r="N201" s="86"/>
      <c r="O201" s="86">
        <f t="shared" ca="1" si="60"/>
        <v>10421.884210717653</v>
      </c>
      <c r="P201" s="86">
        <f t="shared" si="47"/>
        <v>415317.4813196719</v>
      </c>
      <c r="Q201" s="355">
        <f t="shared" si="48"/>
        <v>0</v>
      </c>
      <c r="R201" s="201">
        <f t="shared" si="49"/>
        <v>6503.634732719891</v>
      </c>
      <c r="S201" s="201">
        <f t="shared" si="50"/>
        <v>3918.2494779977719</v>
      </c>
      <c r="T201" s="202">
        <f t="shared" si="51"/>
        <v>10421.884210717662</v>
      </c>
      <c r="U201" s="201">
        <f t="shared" si="52"/>
        <v>6503.6347327198819</v>
      </c>
      <c r="V201" s="201">
        <f t="shared" si="53"/>
        <v>3918.2494779977719</v>
      </c>
      <c r="W201" s="201">
        <f t="shared" si="61"/>
        <v>10421.884210717653</v>
      </c>
      <c r="X201" s="201">
        <f t="shared" si="54"/>
        <v>6503.6347327199073</v>
      </c>
      <c r="Y201" s="201">
        <f t="shared" si="55"/>
        <v>3918.2494779977719</v>
      </c>
      <c r="Z201" s="201">
        <f t="shared" si="62"/>
        <v>10421.884210717679</v>
      </c>
      <c r="AA201" s="201"/>
      <c r="AC201" s="257">
        <f t="shared" si="56"/>
        <v>10421.884210717653</v>
      </c>
    </row>
    <row r="202" spans="2:29" x14ac:dyDescent="0.3">
      <c r="B202" s="84">
        <f t="shared" si="57"/>
        <v>191</v>
      </c>
      <c r="C202" s="85">
        <f ca="1">IF($B202="","",'Fecha Pago'!K194)</f>
        <v>51959</v>
      </c>
      <c r="D202" s="86">
        <f>IF($B$12="","",'Fecha Pago'!L194)</f>
        <v>30.4</v>
      </c>
      <c r="E202" s="87">
        <f t="shared" si="42"/>
        <v>0.11</v>
      </c>
      <c r="F202" s="86">
        <f t="shared" si="43"/>
        <v>415317.4813196719</v>
      </c>
      <c r="G202" s="86">
        <f t="shared" si="58"/>
        <v>6564.0462731260341</v>
      </c>
      <c r="H202" s="86">
        <f t="shared" ca="1" si="59"/>
        <v>3857.8379375916188</v>
      </c>
      <c r="I202" s="86">
        <f t="shared" ref="I202:I250" si="63">IF(D202="","",IF(F202=G202,G202+H202,IF($P$7=$X$10,Z202,IF($P$7=$U$10,W202,IF($P$7=$R$10,T202,)))))</f>
        <v>10421.884210717653</v>
      </c>
      <c r="J202" s="86">
        <f t="shared" si="45"/>
        <v>0</v>
      </c>
      <c r="K202" s="86">
        <f>IF(B202="","",IF(F202=0,0,IF(Sheet1!$I$10=6,'Tabla Fijos CAT'!$C$3*'Tabla Fijos CAT'!$F$5,$C$5*$F$5)))</f>
        <v>0</v>
      </c>
      <c r="L202" s="86">
        <f t="shared" si="46"/>
        <v>0</v>
      </c>
      <c r="M202" s="86"/>
      <c r="N202" s="86"/>
      <c r="O202" s="86">
        <f t="shared" ca="1" si="60"/>
        <v>10421.884210717653</v>
      </c>
      <c r="P202" s="86">
        <f t="shared" si="47"/>
        <v>408753.43504654587</v>
      </c>
      <c r="Q202" s="355">
        <f t="shared" si="48"/>
        <v>0</v>
      </c>
      <c r="R202" s="201">
        <f t="shared" si="49"/>
        <v>6564.0462731260459</v>
      </c>
      <c r="S202" s="201">
        <f t="shared" si="50"/>
        <v>3857.8379375916188</v>
      </c>
      <c r="T202" s="202">
        <f t="shared" si="51"/>
        <v>10421.884210717664</v>
      </c>
      <c r="U202" s="201">
        <f t="shared" si="52"/>
        <v>6564.0462731260341</v>
      </c>
      <c r="V202" s="201">
        <f t="shared" si="53"/>
        <v>3857.8379375916188</v>
      </c>
      <c r="W202" s="201">
        <f t="shared" si="61"/>
        <v>10421.884210717653</v>
      </c>
      <c r="X202" s="201">
        <f t="shared" si="54"/>
        <v>6564.0462731260614</v>
      </c>
      <c r="Y202" s="201">
        <f t="shared" si="55"/>
        <v>3857.8379375916188</v>
      </c>
      <c r="Z202" s="201">
        <f t="shared" si="62"/>
        <v>10421.884210717681</v>
      </c>
      <c r="AA202" s="201"/>
      <c r="AC202" s="257">
        <f t="shared" si="56"/>
        <v>10421.884210717653</v>
      </c>
    </row>
    <row r="203" spans="2:29" x14ac:dyDescent="0.3">
      <c r="B203" s="84">
        <f t="shared" si="57"/>
        <v>192</v>
      </c>
      <c r="C203" s="85">
        <f ca="1">IF($B203="","",'Fecha Pago'!K195)</f>
        <v>51989</v>
      </c>
      <c r="D203" s="86">
        <f>IF($B$12="","",'Fecha Pago'!L195)</f>
        <v>30.4</v>
      </c>
      <c r="E203" s="87">
        <f t="shared" si="42"/>
        <v>0.11</v>
      </c>
      <c r="F203" s="86">
        <f t="shared" si="43"/>
        <v>408753.43504654587</v>
      </c>
      <c r="G203" s="86">
        <f t="shared" si="58"/>
        <v>6625.018969618628</v>
      </c>
      <c r="H203" s="86">
        <f t="shared" ca="1" si="59"/>
        <v>3796.8652410990258</v>
      </c>
      <c r="I203" s="86">
        <f t="shared" si="63"/>
        <v>10421.884210717653</v>
      </c>
      <c r="J203" s="86">
        <f t="shared" si="45"/>
        <v>0</v>
      </c>
      <c r="K203" s="86">
        <f>IF(B203="","",IF(F203=0,0,IF(Sheet1!$I$10=6,'Tabla Fijos CAT'!$C$3*'Tabla Fijos CAT'!$F$5,$C$5*$F$5)))</f>
        <v>0</v>
      </c>
      <c r="L203" s="86">
        <f t="shared" si="46"/>
        <v>0</v>
      </c>
      <c r="M203" s="86"/>
      <c r="N203" s="86"/>
      <c r="O203" s="86">
        <f t="shared" ca="1" si="60"/>
        <v>10421.884210717653</v>
      </c>
      <c r="P203" s="86">
        <f t="shared" si="47"/>
        <v>402128.41607692721</v>
      </c>
      <c r="Q203" s="355">
        <f t="shared" si="48"/>
        <v>0</v>
      </c>
      <c r="R203" s="201">
        <f t="shared" si="49"/>
        <v>6625.0189696186389</v>
      </c>
      <c r="S203" s="201">
        <f t="shared" si="50"/>
        <v>3796.8652410990258</v>
      </c>
      <c r="T203" s="202">
        <f t="shared" si="51"/>
        <v>10421.884210717664</v>
      </c>
      <c r="U203" s="201">
        <f t="shared" si="52"/>
        <v>6625.018969618628</v>
      </c>
      <c r="V203" s="201">
        <f t="shared" si="53"/>
        <v>3796.8652410990258</v>
      </c>
      <c r="W203" s="201">
        <f t="shared" si="61"/>
        <v>10421.884210717653</v>
      </c>
      <c r="X203" s="201">
        <f t="shared" si="54"/>
        <v>6625.0189696186553</v>
      </c>
      <c r="Y203" s="201">
        <f t="shared" si="55"/>
        <v>3796.8652410990258</v>
      </c>
      <c r="Z203" s="201">
        <f t="shared" si="62"/>
        <v>10421.884210717681</v>
      </c>
      <c r="AA203" s="201"/>
      <c r="AC203" s="257">
        <f t="shared" si="56"/>
        <v>10421.884210717653</v>
      </c>
    </row>
    <row r="204" spans="2:29" x14ac:dyDescent="0.3">
      <c r="B204" s="84">
        <f t="shared" si="57"/>
        <v>193</v>
      </c>
      <c r="C204" s="85">
        <f ca="1">IF($B204="","",'Fecha Pago'!K196)</f>
        <v>52020</v>
      </c>
      <c r="D204" s="86">
        <f>IF($B$12="","",'Fecha Pago'!L196)</f>
        <v>30.4</v>
      </c>
      <c r="E204" s="87">
        <f t="shared" si="42"/>
        <v>0.11</v>
      </c>
      <c r="F204" s="86">
        <f t="shared" si="43"/>
        <v>402128.41607692721</v>
      </c>
      <c r="G204" s="86">
        <f t="shared" si="58"/>
        <v>6686.5580347141968</v>
      </c>
      <c r="H204" s="86">
        <f t="shared" ca="1" si="59"/>
        <v>3735.326176003457</v>
      </c>
      <c r="I204" s="86">
        <f t="shared" si="63"/>
        <v>10421.884210717653</v>
      </c>
      <c r="J204" s="86">
        <f t="shared" si="45"/>
        <v>0</v>
      </c>
      <c r="K204" s="86">
        <f>IF(B204="","",IF(F204=0,0,IF(Sheet1!$I$10=6,'Tabla Fijos CAT'!$C$3*'Tabla Fijos CAT'!$F$5,$C$5*$F$5)))</f>
        <v>0</v>
      </c>
      <c r="L204" s="86">
        <f t="shared" si="46"/>
        <v>0</v>
      </c>
      <c r="M204" s="86"/>
      <c r="N204" s="86"/>
      <c r="O204" s="86">
        <f t="shared" ca="1" si="60"/>
        <v>10421.884210717653</v>
      </c>
      <c r="P204" s="86">
        <f t="shared" si="47"/>
        <v>395441.85804221302</v>
      </c>
      <c r="Q204" s="355">
        <f t="shared" si="48"/>
        <v>0</v>
      </c>
      <c r="R204" s="201">
        <f t="shared" si="49"/>
        <v>6686.5580347142068</v>
      </c>
      <c r="S204" s="201">
        <f t="shared" si="50"/>
        <v>3735.326176003457</v>
      </c>
      <c r="T204" s="202">
        <f t="shared" si="51"/>
        <v>10421.884210717664</v>
      </c>
      <c r="U204" s="201">
        <f t="shared" si="52"/>
        <v>6686.5580347141968</v>
      </c>
      <c r="V204" s="201">
        <f t="shared" si="53"/>
        <v>3735.326176003457</v>
      </c>
      <c r="W204" s="201">
        <f t="shared" si="61"/>
        <v>10421.884210717653</v>
      </c>
      <c r="X204" s="201">
        <f t="shared" si="54"/>
        <v>6686.558034714224</v>
      </c>
      <c r="Y204" s="201">
        <f t="shared" si="55"/>
        <v>3735.326176003457</v>
      </c>
      <c r="Z204" s="201">
        <f t="shared" si="62"/>
        <v>10421.884210717681</v>
      </c>
      <c r="AA204" s="201"/>
      <c r="AC204" s="257">
        <f t="shared" si="56"/>
        <v>10421.884210717653</v>
      </c>
    </row>
    <row r="205" spans="2:29" x14ac:dyDescent="0.3">
      <c r="B205" s="84">
        <f t="shared" si="57"/>
        <v>194</v>
      </c>
      <c r="C205" s="85">
        <f ca="1">IF($B205="","",'Fecha Pago'!K197)</f>
        <v>52050</v>
      </c>
      <c r="D205" s="86">
        <f>IF($B$12="","",'Fecha Pago'!L197)</f>
        <v>30.4</v>
      </c>
      <c r="E205" s="87">
        <f t="shared" ref="E205:E250" si="64">IF(B205="","",$F$2)</f>
        <v>0.11</v>
      </c>
      <c r="F205" s="86">
        <f t="shared" ref="F205:F219" si="65">IF(B205="","",IF(P204&lt;0,0,F204-G204))</f>
        <v>395441.85804221302</v>
      </c>
      <c r="G205" s="86">
        <f t="shared" si="58"/>
        <v>6748.6687293477644</v>
      </c>
      <c r="H205" s="86">
        <f t="shared" ca="1" si="59"/>
        <v>3673.2154813698894</v>
      </c>
      <c r="I205" s="86">
        <f t="shared" si="63"/>
        <v>10421.884210717653</v>
      </c>
      <c r="J205" s="86">
        <f t="shared" ref="J205:J250" si="66">IF(B205="","",IF($F$3="",0,$F$4*F205))</f>
        <v>0</v>
      </c>
      <c r="K205" s="86">
        <f>IF(B205="","",IF(F205=0,0,IF(Sheet1!$I$10=6,'Tabla Fijos CAT'!$C$3*'Tabla Fijos CAT'!$F$5,$C$5*$F$5)))</f>
        <v>0</v>
      </c>
      <c r="L205" s="86">
        <f t="shared" ref="L205:L268" si="67">IF(B205="","",IF(F205=0,0,$I$4))</f>
        <v>0</v>
      </c>
      <c r="M205" s="86"/>
      <c r="N205" s="86"/>
      <c r="O205" s="86">
        <f t="shared" ca="1" si="60"/>
        <v>10421.884210717653</v>
      </c>
      <c r="P205" s="86">
        <f t="shared" ref="P205:P250" si="68">IF(B205="","",F205-G205)</f>
        <v>388693.18931286526</v>
      </c>
      <c r="Q205" s="355">
        <f t="shared" ref="Q205:Q250" si="69">IF(B205="","",F205*($F$4/12/1000))</f>
        <v>0</v>
      </c>
      <c r="R205" s="201">
        <f t="shared" ref="R205:R250" si="70">PPMT(E205/360*30.4,B205,$C$4,-$P$11)</f>
        <v>6748.6687293477744</v>
      </c>
      <c r="S205" s="201">
        <f t="shared" ref="S205:S250" si="71">(E205/360*D205)*F205</f>
        <v>3673.2154813698894</v>
      </c>
      <c r="T205" s="202">
        <f t="shared" ref="T205:T250" si="72">R205+S205</f>
        <v>10421.884210717664</v>
      </c>
      <c r="U205" s="201">
        <f t="shared" ref="U205:U250" si="73">W205-V205</f>
        <v>6748.6687293477644</v>
      </c>
      <c r="V205" s="201">
        <f t="shared" ref="V205:V250" si="74">(E205/360*D205)*F205</f>
        <v>3673.2154813698894</v>
      </c>
      <c r="W205" s="201">
        <f t="shared" si="61"/>
        <v>10421.884210717653</v>
      </c>
      <c r="X205" s="201">
        <f t="shared" ref="X205:X250" si="75">Z205-Y205</f>
        <v>6748.6687293477935</v>
      </c>
      <c r="Y205" s="201">
        <f t="shared" ref="Y205:Y250" si="76">(E205/360*D205)*F205</f>
        <v>3673.2154813698894</v>
      </c>
      <c r="Z205" s="201">
        <f t="shared" si="62"/>
        <v>10421.884210717682</v>
      </c>
      <c r="AA205" s="201"/>
      <c r="AC205" s="257">
        <f t="shared" ref="AC205:AC250" si="77">IF(B205="","",I205+J205+(K205/1.16)+L205+N205)</f>
        <v>10421.884210717653</v>
      </c>
    </row>
    <row r="206" spans="2:29" x14ac:dyDescent="0.3">
      <c r="B206" s="84">
        <f t="shared" ref="B206:B269" si="78">IF(B205="","",IF(B205=$C$4,"",B205+1))</f>
        <v>195</v>
      </c>
      <c r="C206" s="85">
        <f ca="1">IF($B206="","",'Fecha Pago'!K198)</f>
        <v>52081</v>
      </c>
      <c r="D206" s="86">
        <f>IF($B$12="","",'Fecha Pago'!L198)</f>
        <v>30.4</v>
      </c>
      <c r="E206" s="87">
        <f t="shared" si="64"/>
        <v>0.11</v>
      </c>
      <c r="F206" s="86">
        <f t="shared" si="65"/>
        <v>388693.18931286526</v>
      </c>
      <c r="G206" s="86">
        <f t="shared" ref="G206:G250" si="79">IF(B206="","",IF(F206&lt;=G205,F206,IF($P$7=$X$10,X206,IF($P$7=$U$10,U206,IF($P$7=$R$10,R206,)))))+N206</f>
        <v>6811.356363322594</v>
      </c>
      <c r="H206" s="86">
        <f t="shared" ref="H206:H250" ca="1" si="80">IF(C206="","",IF($P$7=$X$10,Y206,IF($P$7=$U$10,V206,IF($P$7=$R$10,S206,))))</f>
        <v>3610.5278473950593</v>
      </c>
      <c r="I206" s="86">
        <f t="shared" si="63"/>
        <v>10421.884210717653</v>
      </c>
      <c r="J206" s="86">
        <f t="shared" si="66"/>
        <v>0</v>
      </c>
      <c r="K206" s="86">
        <f>IF(B206="","",IF(F206=0,0,IF(Sheet1!$I$10=6,'Tabla Fijos CAT'!$C$3*'Tabla Fijos CAT'!$F$5,$C$5*$F$5)))</f>
        <v>0</v>
      </c>
      <c r="L206" s="86">
        <f t="shared" si="67"/>
        <v>0</v>
      </c>
      <c r="M206" s="86"/>
      <c r="N206" s="86"/>
      <c r="O206" s="86">
        <f t="shared" ref="O206:O250" ca="1" si="81">IF(B206="","",G206+H206+J206+K206+L206)</f>
        <v>10421.884210717653</v>
      </c>
      <c r="P206" s="86">
        <f t="shared" si="68"/>
        <v>381881.83294954267</v>
      </c>
      <c r="Q206" s="355">
        <f t="shared" si="69"/>
        <v>0</v>
      </c>
      <c r="R206" s="201">
        <f t="shared" si="70"/>
        <v>6811.3563633226049</v>
      </c>
      <c r="S206" s="201">
        <f t="shared" si="71"/>
        <v>3610.5278473950593</v>
      </c>
      <c r="T206" s="202">
        <f t="shared" si="72"/>
        <v>10421.884210717664</v>
      </c>
      <c r="U206" s="201">
        <f t="shared" si="73"/>
        <v>6811.356363322594</v>
      </c>
      <c r="V206" s="201">
        <f t="shared" si="74"/>
        <v>3610.5278473950593</v>
      </c>
      <c r="W206" s="201">
        <f t="shared" ref="W206:W311" si="82">PMT($F$2/360*30.4,$C$4,-$C$3)</f>
        <v>10421.884210717653</v>
      </c>
      <c r="X206" s="201">
        <f t="shared" si="75"/>
        <v>6811.3563633226231</v>
      </c>
      <c r="Y206" s="201">
        <f t="shared" si="76"/>
        <v>3610.5278473950593</v>
      </c>
      <c r="Z206" s="201">
        <f t="shared" ref="Z206:Z250" si="83">PMT($F$2/360*30.4,$C$4-B205,-P205)</f>
        <v>10421.884210717682</v>
      </c>
      <c r="AA206" s="201"/>
      <c r="AC206" s="257">
        <f t="shared" si="77"/>
        <v>10421.884210717653</v>
      </c>
    </row>
    <row r="207" spans="2:29" x14ac:dyDescent="0.3">
      <c r="B207" s="84">
        <f t="shared" si="78"/>
        <v>196</v>
      </c>
      <c r="C207" s="85">
        <f ca="1">IF($B207="","",'Fecha Pago'!K199)</f>
        <v>52112</v>
      </c>
      <c r="D207" s="86">
        <f>IF($B$12="","",'Fecha Pago'!L199)</f>
        <v>30.4</v>
      </c>
      <c r="E207" s="87">
        <f t="shared" si="64"/>
        <v>0.11</v>
      </c>
      <c r="F207" s="86">
        <f t="shared" si="65"/>
        <v>381881.83294954267</v>
      </c>
      <c r="G207" s="86">
        <f t="shared" si="79"/>
        <v>6874.6262957641238</v>
      </c>
      <c r="H207" s="86">
        <f t="shared" ca="1" si="80"/>
        <v>3547.2579149535295</v>
      </c>
      <c r="I207" s="86">
        <f t="shared" si="63"/>
        <v>10421.884210717653</v>
      </c>
      <c r="J207" s="86">
        <f t="shared" si="66"/>
        <v>0</v>
      </c>
      <c r="K207" s="86">
        <f>IF(B207="","",IF(F207=0,0,IF(Sheet1!$I$10=6,'Tabla Fijos CAT'!$C$3*'Tabla Fijos CAT'!$F$5,$C$5*$F$5)))</f>
        <v>0</v>
      </c>
      <c r="L207" s="86">
        <f t="shared" si="67"/>
        <v>0</v>
      </c>
      <c r="M207" s="86"/>
      <c r="N207" s="86"/>
      <c r="O207" s="86">
        <f t="shared" ca="1" si="81"/>
        <v>10421.884210717653</v>
      </c>
      <c r="P207" s="86">
        <f t="shared" si="68"/>
        <v>375007.20665377856</v>
      </c>
      <c r="Q207" s="355">
        <f t="shared" si="69"/>
        <v>0</v>
      </c>
      <c r="R207" s="201">
        <f t="shared" si="70"/>
        <v>6874.6262957641356</v>
      </c>
      <c r="S207" s="201">
        <f t="shared" si="71"/>
        <v>3547.2579149535295</v>
      </c>
      <c r="T207" s="202">
        <f t="shared" si="72"/>
        <v>10421.884210717664</v>
      </c>
      <c r="U207" s="201">
        <f t="shared" si="73"/>
        <v>6874.6262957641238</v>
      </c>
      <c r="V207" s="201">
        <f t="shared" si="74"/>
        <v>3547.2579149535295</v>
      </c>
      <c r="W207" s="201">
        <f t="shared" si="82"/>
        <v>10421.884210717653</v>
      </c>
      <c r="X207" s="201">
        <f t="shared" si="75"/>
        <v>6874.6262957641547</v>
      </c>
      <c r="Y207" s="201">
        <f t="shared" si="76"/>
        <v>3547.2579149535295</v>
      </c>
      <c r="Z207" s="201">
        <f t="shared" si="83"/>
        <v>10421.884210717684</v>
      </c>
      <c r="AA207" s="201"/>
      <c r="AC207" s="257">
        <f t="shared" si="77"/>
        <v>10421.884210717653</v>
      </c>
    </row>
    <row r="208" spans="2:29" x14ac:dyDescent="0.3">
      <c r="B208" s="84">
        <f t="shared" si="78"/>
        <v>197</v>
      </c>
      <c r="C208" s="85">
        <f ca="1">IF($B208="","",'Fecha Pago'!K200)</f>
        <v>52142</v>
      </c>
      <c r="D208" s="86">
        <f>IF($B$12="","",'Fecha Pago'!L200)</f>
        <v>30.4</v>
      </c>
      <c r="E208" s="87">
        <f t="shared" si="64"/>
        <v>0.11</v>
      </c>
      <c r="F208" s="86">
        <f t="shared" si="65"/>
        <v>375007.20665377856</v>
      </c>
      <c r="G208" s="86">
        <f t="shared" si="79"/>
        <v>6938.4839355781105</v>
      </c>
      <c r="H208" s="86">
        <f t="shared" ca="1" si="80"/>
        <v>3483.4002751395428</v>
      </c>
      <c r="I208" s="86">
        <f t="shared" si="63"/>
        <v>10421.884210717653</v>
      </c>
      <c r="J208" s="86">
        <f t="shared" si="66"/>
        <v>0</v>
      </c>
      <c r="K208" s="86">
        <f>IF(B208="","",IF(F208=0,0,IF(Sheet1!$I$10=6,'Tabla Fijos CAT'!$C$3*'Tabla Fijos CAT'!$F$5,$C$5*$F$5)))</f>
        <v>0</v>
      </c>
      <c r="L208" s="86">
        <f t="shared" si="67"/>
        <v>0</v>
      </c>
      <c r="M208" s="86"/>
      <c r="N208" s="86"/>
      <c r="O208" s="86">
        <f t="shared" ca="1" si="81"/>
        <v>10421.884210717653</v>
      </c>
      <c r="P208" s="86">
        <f t="shared" si="68"/>
        <v>368068.72271820047</v>
      </c>
      <c r="Q208" s="355">
        <f t="shared" si="69"/>
        <v>0</v>
      </c>
      <c r="R208" s="201">
        <f t="shared" si="70"/>
        <v>6938.4839355781223</v>
      </c>
      <c r="S208" s="201">
        <f t="shared" si="71"/>
        <v>3483.4002751395428</v>
      </c>
      <c r="T208" s="202">
        <f t="shared" si="72"/>
        <v>10421.884210717664</v>
      </c>
      <c r="U208" s="201">
        <f t="shared" si="73"/>
        <v>6938.4839355781105</v>
      </c>
      <c r="V208" s="201">
        <f t="shared" si="74"/>
        <v>3483.4002751395428</v>
      </c>
      <c r="W208" s="201">
        <f t="shared" si="82"/>
        <v>10421.884210717653</v>
      </c>
      <c r="X208" s="201">
        <f t="shared" si="75"/>
        <v>6938.4839355781414</v>
      </c>
      <c r="Y208" s="201">
        <f t="shared" si="76"/>
        <v>3483.4002751395428</v>
      </c>
      <c r="Z208" s="201">
        <f t="shared" si="83"/>
        <v>10421.884210717684</v>
      </c>
      <c r="AA208" s="201"/>
      <c r="AC208" s="257">
        <f t="shared" si="77"/>
        <v>10421.884210717653</v>
      </c>
    </row>
    <row r="209" spans="2:29" x14ac:dyDescent="0.3">
      <c r="B209" s="84">
        <f t="shared" si="78"/>
        <v>198</v>
      </c>
      <c r="C209" s="85">
        <f ca="1">IF($B209="","",'Fecha Pago'!K201)</f>
        <v>52173</v>
      </c>
      <c r="D209" s="86">
        <f>IF($B$12="","",'Fecha Pago'!L201)</f>
        <v>30.4</v>
      </c>
      <c r="E209" s="87">
        <f t="shared" si="64"/>
        <v>0.11</v>
      </c>
      <c r="F209" s="86">
        <f t="shared" si="65"/>
        <v>368068.72271820047</v>
      </c>
      <c r="G209" s="86">
        <f t="shared" si="79"/>
        <v>7002.9347419130354</v>
      </c>
      <c r="H209" s="86">
        <f t="shared" ca="1" si="80"/>
        <v>3418.9494688046175</v>
      </c>
      <c r="I209" s="86">
        <f t="shared" si="63"/>
        <v>10421.884210717653</v>
      </c>
      <c r="J209" s="86">
        <f t="shared" si="66"/>
        <v>0</v>
      </c>
      <c r="K209" s="86">
        <f>IF(B209="","",IF(F209=0,0,IF(Sheet1!$I$10=6,'Tabla Fijos CAT'!$C$3*'Tabla Fijos CAT'!$F$5,$C$5*$F$5)))</f>
        <v>0</v>
      </c>
      <c r="L209" s="86">
        <f t="shared" si="67"/>
        <v>0</v>
      </c>
      <c r="M209" s="86"/>
      <c r="N209" s="86"/>
      <c r="O209" s="86">
        <f t="shared" ca="1" si="81"/>
        <v>10421.884210717653</v>
      </c>
      <c r="P209" s="86">
        <f t="shared" si="68"/>
        <v>361065.78797628742</v>
      </c>
      <c r="Q209" s="355">
        <f t="shared" si="69"/>
        <v>0</v>
      </c>
      <c r="R209" s="201">
        <f t="shared" si="70"/>
        <v>7002.9347419130472</v>
      </c>
      <c r="S209" s="201">
        <f t="shared" si="71"/>
        <v>3418.9494688046175</v>
      </c>
      <c r="T209" s="202">
        <f t="shared" si="72"/>
        <v>10421.884210717664</v>
      </c>
      <c r="U209" s="201">
        <f t="shared" si="73"/>
        <v>7002.9347419130354</v>
      </c>
      <c r="V209" s="201">
        <f t="shared" si="74"/>
        <v>3418.9494688046175</v>
      </c>
      <c r="W209" s="201">
        <f t="shared" si="82"/>
        <v>10421.884210717653</v>
      </c>
      <c r="X209" s="201">
        <f t="shared" si="75"/>
        <v>7002.9347419130681</v>
      </c>
      <c r="Y209" s="201">
        <f t="shared" si="76"/>
        <v>3418.9494688046175</v>
      </c>
      <c r="Z209" s="201">
        <f t="shared" si="83"/>
        <v>10421.884210717686</v>
      </c>
      <c r="AA209" s="201"/>
      <c r="AC209" s="257">
        <f t="shared" si="77"/>
        <v>10421.884210717653</v>
      </c>
    </row>
    <row r="210" spans="2:29" x14ac:dyDescent="0.3">
      <c r="B210" s="84">
        <f t="shared" si="78"/>
        <v>199</v>
      </c>
      <c r="C210" s="85">
        <f ca="1">IF($B210="","",'Fecha Pago'!K202)</f>
        <v>52203</v>
      </c>
      <c r="D210" s="86">
        <f>IF($B$12="","",'Fecha Pago'!L202)</f>
        <v>30.4</v>
      </c>
      <c r="E210" s="87">
        <f t="shared" si="64"/>
        <v>0.11</v>
      </c>
      <c r="F210" s="86">
        <f t="shared" si="65"/>
        <v>361065.78797628742</v>
      </c>
      <c r="G210" s="86">
        <f t="shared" si="79"/>
        <v>7067.9842246268054</v>
      </c>
      <c r="H210" s="86">
        <f t="shared" ca="1" si="80"/>
        <v>3353.8999860908475</v>
      </c>
      <c r="I210" s="86">
        <f t="shared" si="63"/>
        <v>10421.884210717653</v>
      </c>
      <c r="J210" s="86">
        <f t="shared" si="66"/>
        <v>0</v>
      </c>
      <c r="K210" s="86">
        <f>IF(B210="","",IF(F210=0,0,IF(Sheet1!$I$10=6,'Tabla Fijos CAT'!$C$3*'Tabla Fijos CAT'!$F$5,$C$5*$F$5)))</f>
        <v>0</v>
      </c>
      <c r="L210" s="86">
        <f t="shared" si="67"/>
        <v>0</v>
      </c>
      <c r="M210" s="86"/>
      <c r="N210" s="86"/>
      <c r="O210" s="86">
        <f t="shared" ca="1" si="81"/>
        <v>10421.884210717653</v>
      </c>
      <c r="P210" s="86">
        <f t="shared" si="68"/>
        <v>353997.80375166063</v>
      </c>
      <c r="Q210" s="355">
        <f t="shared" si="69"/>
        <v>0</v>
      </c>
      <c r="R210" s="201">
        <f t="shared" si="70"/>
        <v>7067.9842246268172</v>
      </c>
      <c r="S210" s="201">
        <f t="shared" si="71"/>
        <v>3353.8999860908475</v>
      </c>
      <c r="T210" s="202">
        <f t="shared" si="72"/>
        <v>10421.884210717664</v>
      </c>
      <c r="U210" s="201">
        <f t="shared" si="73"/>
        <v>7067.9842246268054</v>
      </c>
      <c r="V210" s="201">
        <f t="shared" si="74"/>
        <v>3353.8999860908475</v>
      </c>
      <c r="W210" s="201">
        <f t="shared" si="82"/>
        <v>10421.884210717653</v>
      </c>
      <c r="X210" s="201">
        <f t="shared" si="75"/>
        <v>7067.9842246268381</v>
      </c>
      <c r="Y210" s="201">
        <f t="shared" si="76"/>
        <v>3353.8999860908475</v>
      </c>
      <c r="Z210" s="201">
        <f t="shared" si="83"/>
        <v>10421.884210717686</v>
      </c>
      <c r="AA210" s="201"/>
      <c r="AC210" s="257">
        <f t="shared" si="77"/>
        <v>10421.884210717653</v>
      </c>
    </row>
    <row r="211" spans="2:29" x14ac:dyDescent="0.3">
      <c r="B211" s="84">
        <f t="shared" si="78"/>
        <v>200</v>
      </c>
      <c r="C211" s="85">
        <f ca="1">IF($B211="","",'Fecha Pago'!K203)</f>
        <v>52234</v>
      </c>
      <c r="D211" s="86">
        <f>IF($B$12="","",'Fecha Pago'!L203)</f>
        <v>30.4</v>
      </c>
      <c r="E211" s="87">
        <f t="shared" si="64"/>
        <v>0.11</v>
      </c>
      <c r="F211" s="86">
        <f t="shared" si="65"/>
        <v>353997.80375166063</v>
      </c>
      <c r="G211" s="86">
        <f t="shared" si="79"/>
        <v>7133.6379447577838</v>
      </c>
      <c r="H211" s="86">
        <f t="shared" ca="1" si="80"/>
        <v>3288.2462659598696</v>
      </c>
      <c r="I211" s="86">
        <f t="shared" si="63"/>
        <v>10421.884210717653</v>
      </c>
      <c r="J211" s="86">
        <f t="shared" si="66"/>
        <v>0</v>
      </c>
      <c r="K211" s="86">
        <f>IF(B211="","",IF(F211=0,0,IF(Sheet1!$I$10=6,'Tabla Fijos CAT'!$C$3*'Tabla Fijos CAT'!$F$5,$C$5*$F$5)))</f>
        <v>0</v>
      </c>
      <c r="L211" s="86">
        <f t="shared" si="67"/>
        <v>0</v>
      </c>
      <c r="M211" s="86"/>
      <c r="N211" s="86"/>
      <c r="O211" s="86">
        <f t="shared" ca="1" si="81"/>
        <v>10421.884210717653</v>
      </c>
      <c r="P211" s="86">
        <f t="shared" si="68"/>
        <v>346864.16580690286</v>
      </c>
      <c r="Q211" s="355">
        <f t="shared" si="69"/>
        <v>0</v>
      </c>
      <c r="R211" s="201">
        <f t="shared" si="70"/>
        <v>7133.6379447577956</v>
      </c>
      <c r="S211" s="201">
        <f t="shared" si="71"/>
        <v>3288.2462659598696</v>
      </c>
      <c r="T211" s="202">
        <f t="shared" si="72"/>
        <v>10421.884210717664</v>
      </c>
      <c r="U211" s="201">
        <f t="shared" si="73"/>
        <v>7133.6379447577838</v>
      </c>
      <c r="V211" s="201">
        <f t="shared" si="74"/>
        <v>3288.2462659598696</v>
      </c>
      <c r="W211" s="201">
        <f t="shared" si="82"/>
        <v>10421.884210717653</v>
      </c>
      <c r="X211" s="201">
        <f t="shared" si="75"/>
        <v>7133.6379447578183</v>
      </c>
      <c r="Y211" s="201">
        <f t="shared" si="76"/>
        <v>3288.2462659598696</v>
      </c>
      <c r="Z211" s="201">
        <f t="shared" si="83"/>
        <v>10421.884210717688</v>
      </c>
      <c r="AA211" s="201"/>
      <c r="AC211" s="257">
        <f t="shared" si="77"/>
        <v>10421.884210717653</v>
      </c>
    </row>
    <row r="212" spans="2:29" x14ac:dyDescent="0.3">
      <c r="B212" s="84">
        <f t="shared" si="78"/>
        <v>201</v>
      </c>
      <c r="C212" s="85">
        <f ca="1">IF($B212="","",'Fecha Pago'!K204)</f>
        <v>52265</v>
      </c>
      <c r="D212" s="86">
        <f>IF($B$12="","",'Fecha Pago'!L204)</f>
        <v>30.4</v>
      </c>
      <c r="E212" s="87">
        <f t="shared" si="64"/>
        <v>0.11</v>
      </c>
      <c r="F212" s="86">
        <f t="shared" si="65"/>
        <v>346864.16580690286</v>
      </c>
      <c r="G212" s="86">
        <f t="shared" si="79"/>
        <v>7199.9015150001997</v>
      </c>
      <c r="H212" s="86">
        <f t="shared" ca="1" si="80"/>
        <v>3221.9826957174532</v>
      </c>
      <c r="I212" s="86">
        <f t="shared" si="63"/>
        <v>10421.884210717653</v>
      </c>
      <c r="J212" s="86">
        <f t="shared" si="66"/>
        <v>0</v>
      </c>
      <c r="K212" s="86">
        <f>IF(B212="","",IF(F212=0,0,IF(Sheet1!$I$10=6,'Tabla Fijos CAT'!$C$3*'Tabla Fijos CAT'!$F$5,$C$5*$F$5)))</f>
        <v>0</v>
      </c>
      <c r="L212" s="86">
        <f t="shared" si="67"/>
        <v>0</v>
      </c>
      <c r="M212" s="86"/>
      <c r="N212" s="86"/>
      <c r="O212" s="86">
        <f t="shared" ca="1" si="81"/>
        <v>10421.884210717653</v>
      </c>
      <c r="P212" s="86">
        <f t="shared" si="68"/>
        <v>339664.26429190265</v>
      </c>
      <c r="Q212" s="355">
        <f t="shared" si="69"/>
        <v>0</v>
      </c>
      <c r="R212" s="201">
        <f t="shared" si="70"/>
        <v>7199.9015150002124</v>
      </c>
      <c r="S212" s="201">
        <f t="shared" si="71"/>
        <v>3221.9826957174532</v>
      </c>
      <c r="T212" s="202">
        <f t="shared" si="72"/>
        <v>10421.884210717666</v>
      </c>
      <c r="U212" s="201">
        <f t="shared" si="73"/>
        <v>7199.9015150001997</v>
      </c>
      <c r="V212" s="201">
        <f t="shared" si="74"/>
        <v>3221.9826957174532</v>
      </c>
      <c r="W212" s="201">
        <f t="shared" si="82"/>
        <v>10421.884210717653</v>
      </c>
      <c r="X212" s="201">
        <f t="shared" si="75"/>
        <v>7199.9015150002342</v>
      </c>
      <c r="Y212" s="201">
        <f t="shared" si="76"/>
        <v>3221.9826957174532</v>
      </c>
      <c r="Z212" s="201">
        <f t="shared" si="83"/>
        <v>10421.884210717688</v>
      </c>
      <c r="AA212" s="201"/>
      <c r="AC212" s="257">
        <f t="shared" si="77"/>
        <v>10421.884210717653</v>
      </c>
    </row>
    <row r="213" spans="2:29" x14ac:dyDescent="0.3">
      <c r="B213" s="84">
        <f t="shared" si="78"/>
        <v>202</v>
      </c>
      <c r="C213" s="85">
        <f ca="1">IF($B213="","",'Fecha Pago'!K205)</f>
        <v>52293</v>
      </c>
      <c r="D213" s="86">
        <f>IF($B$12="","",'Fecha Pago'!L205)</f>
        <v>30.4</v>
      </c>
      <c r="E213" s="87">
        <f t="shared" si="64"/>
        <v>0.11</v>
      </c>
      <c r="F213" s="86">
        <f t="shared" si="65"/>
        <v>339664.26429190265</v>
      </c>
      <c r="G213" s="86">
        <f t="shared" si="79"/>
        <v>7266.7806001839799</v>
      </c>
      <c r="H213" s="86">
        <f t="shared" ca="1" si="80"/>
        <v>3155.1036105336734</v>
      </c>
      <c r="I213" s="86">
        <f t="shared" si="63"/>
        <v>10421.884210717653</v>
      </c>
      <c r="J213" s="86">
        <f t="shared" si="66"/>
        <v>0</v>
      </c>
      <c r="K213" s="86">
        <f>IF(B213="","",IF(F213=0,0,IF(Sheet1!$I$10=6,'Tabla Fijos CAT'!$C$3*'Tabla Fijos CAT'!$F$5,$C$5*$F$5)))</f>
        <v>0</v>
      </c>
      <c r="L213" s="86">
        <f t="shared" si="67"/>
        <v>0</v>
      </c>
      <c r="M213" s="86"/>
      <c r="N213" s="86"/>
      <c r="O213" s="86">
        <f t="shared" ca="1" si="81"/>
        <v>10421.884210717653</v>
      </c>
      <c r="P213" s="86">
        <f t="shared" si="68"/>
        <v>332397.48369171866</v>
      </c>
      <c r="Q213" s="355">
        <f t="shared" si="69"/>
        <v>0</v>
      </c>
      <c r="R213" s="201">
        <f t="shared" si="70"/>
        <v>7266.7806001839917</v>
      </c>
      <c r="S213" s="201">
        <f t="shared" si="71"/>
        <v>3155.1036105336734</v>
      </c>
      <c r="T213" s="202">
        <f t="shared" si="72"/>
        <v>10421.884210717664</v>
      </c>
      <c r="U213" s="201">
        <f t="shared" si="73"/>
        <v>7266.7806001839799</v>
      </c>
      <c r="V213" s="201">
        <f t="shared" si="74"/>
        <v>3155.1036105336734</v>
      </c>
      <c r="W213" s="201">
        <f t="shared" si="82"/>
        <v>10421.884210717653</v>
      </c>
      <c r="X213" s="201">
        <f t="shared" si="75"/>
        <v>7266.7806001840181</v>
      </c>
      <c r="Y213" s="201">
        <f t="shared" si="76"/>
        <v>3155.1036105336734</v>
      </c>
      <c r="Z213" s="201">
        <f t="shared" si="83"/>
        <v>10421.884210717692</v>
      </c>
      <c r="AA213" s="201"/>
      <c r="AC213" s="257">
        <f t="shared" si="77"/>
        <v>10421.884210717653</v>
      </c>
    </row>
    <row r="214" spans="2:29" x14ac:dyDescent="0.3">
      <c r="B214" s="84">
        <f t="shared" si="78"/>
        <v>203</v>
      </c>
      <c r="C214" s="85">
        <f ca="1">IF($B214="","",'Fecha Pago'!K206)</f>
        <v>52324</v>
      </c>
      <c r="D214" s="86">
        <f>IF($B$12="","",'Fecha Pago'!L206)</f>
        <v>30.4</v>
      </c>
      <c r="E214" s="87">
        <f t="shared" si="64"/>
        <v>0.11</v>
      </c>
      <c r="F214" s="86">
        <f t="shared" si="65"/>
        <v>332397.48369171866</v>
      </c>
      <c r="G214" s="86">
        <f t="shared" si="79"/>
        <v>7334.2809177590225</v>
      </c>
      <c r="H214" s="86">
        <f t="shared" ca="1" si="80"/>
        <v>3087.6032929586308</v>
      </c>
      <c r="I214" s="86">
        <f t="shared" si="63"/>
        <v>10421.884210717653</v>
      </c>
      <c r="J214" s="86">
        <f t="shared" si="66"/>
        <v>0</v>
      </c>
      <c r="K214" s="86">
        <f>IF(B214="","",IF(F214=0,0,IF(Sheet1!$I$10=6,'Tabla Fijos CAT'!$C$3*'Tabla Fijos CAT'!$F$5,$C$5*$F$5)))</f>
        <v>0</v>
      </c>
      <c r="L214" s="86">
        <f t="shared" si="67"/>
        <v>0</v>
      </c>
      <c r="M214" s="86"/>
      <c r="N214" s="86"/>
      <c r="O214" s="86">
        <f t="shared" ca="1" si="81"/>
        <v>10421.884210717653</v>
      </c>
      <c r="P214" s="86">
        <f t="shared" si="68"/>
        <v>325063.20277395967</v>
      </c>
      <c r="Q214" s="355">
        <f t="shared" si="69"/>
        <v>0</v>
      </c>
      <c r="R214" s="201">
        <f t="shared" si="70"/>
        <v>7334.2809177590343</v>
      </c>
      <c r="S214" s="201">
        <f t="shared" si="71"/>
        <v>3087.6032929586308</v>
      </c>
      <c r="T214" s="202">
        <f t="shared" si="72"/>
        <v>10421.884210717664</v>
      </c>
      <c r="U214" s="201">
        <f t="shared" si="73"/>
        <v>7334.2809177590225</v>
      </c>
      <c r="V214" s="201">
        <f t="shared" si="74"/>
        <v>3087.6032929586308</v>
      </c>
      <c r="W214" s="201">
        <f t="shared" si="82"/>
        <v>10421.884210717653</v>
      </c>
      <c r="X214" s="201">
        <f t="shared" si="75"/>
        <v>7334.2809177590607</v>
      </c>
      <c r="Y214" s="201">
        <f t="shared" si="76"/>
        <v>3087.6032929586308</v>
      </c>
      <c r="Z214" s="201">
        <f t="shared" si="83"/>
        <v>10421.884210717692</v>
      </c>
      <c r="AA214" s="201"/>
      <c r="AC214" s="257">
        <f t="shared" si="77"/>
        <v>10421.884210717653</v>
      </c>
    </row>
    <row r="215" spans="2:29" x14ac:dyDescent="0.3">
      <c r="B215" s="84">
        <f t="shared" si="78"/>
        <v>204</v>
      </c>
      <c r="C215" s="85">
        <f ca="1">IF($B215="","",'Fecha Pago'!K207)</f>
        <v>52354</v>
      </c>
      <c r="D215" s="86">
        <f>IF($B$12="","",'Fecha Pago'!L207)</f>
        <v>30.4</v>
      </c>
      <c r="E215" s="87">
        <f t="shared" si="64"/>
        <v>0.11</v>
      </c>
      <c r="F215" s="86">
        <f t="shared" si="65"/>
        <v>325063.20277395967</v>
      </c>
      <c r="G215" s="86">
        <f t="shared" si="79"/>
        <v>7402.4082382839842</v>
      </c>
      <c r="H215" s="86">
        <f t="shared" ca="1" si="80"/>
        <v>3019.4759724336695</v>
      </c>
      <c r="I215" s="86">
        <f t="shared" si="63"/>
        <v>10421.884210717653</v>
      </c>
      <c r="J215" s="86">
        <f t="shared" si="66"/>
        <v>0</v>
      </c>
      <c r="K215" s="86">
        <f>IF(B215="","",IF(F215=0,0,IF(Sheet1!$I$10=6,'Tabla Fijos CAT'!$C$3*'Tabla Fijos CAT'!$F$5,$C$5*$F$5)))</f>
        <v>0</v>
      </c>
      <c r="L215" s="86">
        <f t="shared" si="67"/>
        <v>0</v>
      </c>
      <c r="M215" s="86"/>
      <c r="N215" s="86"/>
      <c r="O215" s="86">
        <f t="shared" ca="1" si="81"/>
        <v>10421.884210717653</v>
      </c>
      <c r="P215" s="86">
        <f t="shared" si="68"/>
        <v>317660.79453567567</v>
      </c>
      <c r="Q215" s="355">
        <f t="shared" si="69"/>
        <v>0</v>
      </c>
      <c r="R215" s="201">
        <f t="shared" si="70"/>
        <v>7402.408238283997</v>
      </c>
      <c r="S215" s="201">
        <f t="shared" si="71"/>
        <v>3019.4759724336695</v>
      </c>
      <c r="T215" s="202">
        <f t="shared" si="72"/>
        <v>10421.884210717666</v>
      </c>
      <c r="U215" s="201">
        <f t="shared" si="73"/>
        <v>7402.4082382839842</v>
      </c>
      <c r="V215" s="201">
        <f t="shared" si="74"/>
        <v>3019.4759724336695</v>
      </c>
      <c r="W215" s="201">
        <f t="shared" si="82"/>
        <v>10421.884210717653</v>
      </c>
      <c r="X215" s="201">
        <f t="shared" si="75"/>
        <v>7402.4082382840243</v>
      </c>
      <c r="Y215" s="201">
        <f t="shared" si="76"/>
        <v>3019.4759724336695</v>
      </c>
      <c r="Z215" s="201">
        <f t="shared" si="83"/>
        <v>10421.884210717693</v>
      </c>
      <c r="AA215" s="201"/>
      <c r="AC215" s="257">
        <f t="shared" si="77"/>
        <v>10421.884210717653</v>
      </c>
    </row>
    <row r="216" spans="2:29" x14ac:dyDescent="0.3">
      <c r="B216" s="84">
        <f t="shared" si="78"/>
        <v>205</v>
      </c>
      <c r="C216" s="85">
        <f ca="1">IF($B216="","",'Fecha Pago'!K208)</f>
        <v>52385</v>
      </c>
      <c r="D216" s="86">
        <f>IF($B$12="","",'Fecha Pago'!L208)</f>
        <v>30.4</v>
      </c>
      <c r="E216" s="87">
        <f t="shared" si="64"/>
        <v>0.11</v>
      </c>
      <c r="F216" s="86">
        <f t="shared" si="65"/>
        <v>317660.79453567567</v>
      </c>
      <c r="G216" s="86">
        <f t="shared" si="79"/>
        <v>7471.1683859196</v>
      </c>
      <c r="H216" s="86">
        <f t="shared" ca="1" si="80"/>
        <v>2950.7158247980537</v>
      </c>
      <c r="I216" s="86">
        <f t="shared" si="63"/>
        <v>10421.884210717653</v>
      </c>
      <c r="J216" s="86">
        <f t="shared" si="66"/>
        <v>0</v>
      </c>
      <c r="K216" s="86">
        <f>IF(B216="","",IF(F216=0,0,IF(Sheet1!$I$10=6,'Tabla Fijos CAT'!$C$3*'Tabla Fijos CAT'!$F$5,$C$5*$F$5)))</f>
        <v>0</v>
      </c>
      <c r="L216" s="86">
        <f t="shared" si="67"/>
        <v>0</v>
      </c>
      <c r="M216" s="86"/>
      <c r="N216" s="86"/>
      <c r="O216" s="86">
        <f t="shared" ca="1" si="81"/>
        <v>10421.884210717653</v>
      </c>
      <c r="P216" s="86">
        <f t="shared" si="68"/>
        <v>310189.62614975608</v>
      </c>
      <c r="Q216" s="355">
        <f t="shared" si="69"/>
        <v>0</v>
      </c>
      <c r="R216" s="201">
        <f t="shared" si="70"/>
        <v>7471.1683859196119</v>
      </c>
      <c r="S216" s="201">
        <f t="shared" si="71"/>
        <v>2950.7158247980537</v>
      </c>
      <c r="T216" s="202">
        <f t="shared" si="72"/>
        <v>10421.884210717666</v>
      </c>
      <c r="U216" s="201">
        <f t="shared" si="73"/>
        <v>7471.1683859196</v>
      </c>
      <c r="V216" s="201">
        <f t="shared" si="74"/>
        <v>2950.7158247980537</v>
      </c>
      <c r="W216" s="201">
        <f t="shared" si="82"/>
        <v>10421.884210717653</v>
      </c>
      <c r="X216" s="201">
        <f t="shared" si="75"/>
        <v>7471.1683859196401</v>
      </c>
      <c r="Y216" s="201">
        <f t="shared" si="76"/>
        <v>2950.7158247980537</v>
      </c>
      <c r="Z216" s="201">
        <f t="shared" si="83"/>
        <v>10421.884210717693</v>
      </c>
      <c r="AA216" s="201"/>
      <c r="AC216" s="257">
        <f t="shared" si="77"/>
        <v>10421.884210717653</v>
      </c>
    </row>
    <row r="217" spans="2:29" x14ac:dyDescent="0.3">
      <c r="B217" s="84">
        <f t="shared" si="78"/>
        <v>206</v>
      </c>
      <c r="C217" s="85">
        <f ca="1">IF($B217="","",'Fecha Pago'!K209)</f>
        <v>52415</v>
      </c>
      <c r="D217" s="86">
        <f>IF($B$12="","",'Fecha Pago'!L209)</f>
        <v>30.4</v>
      </c>
      <c r="E217" s="87">
        <f t="shared" si="64"/>
        <v>0.11</v>
      </c>
      <c r="F217" s="86">
        <f t="shared" si="65"/>
        <v>310189.62614975608</v>
      </c>
      <c r="G217" s="86">
        <f t="shared" si="79"/>
        <v>7540.5672389265856</v>
      </c>
      <c r="H217" s="86">
        <f t="shared" ca="1" si="80"/>
        <v>2881.3169717910673</v>
      </c>
      <c r="I217" s="86">
        <f t="shared" si="63"/>
        <v>10421.884210717653</v>
      </c>
      <c r="J217" s="86">
        <f t="shared" si="66"/>
        <v>0</v>
      </c>
      <c r="K217" s="86">
        <f>IF(B217="","",IF(F217=0,0,IF(Sheet1!$I$10=6,'Tabla Fijos CAT'!$C$3*'Tabla Fijos CAT'!$F$5,$C$5*$F$5)))</f>
        <v>0</v>
      </c>
      <c r="L217" s="86">
        <f t="shared" si="67"/>
        <v>0</v>
      </c>
      <c r="M217" s="86"/>
      <c r="N217" s="86"/>
      <c r="O217" s="86">
        <f t="shared" ca="1" si="81"/>
        <v>10421.884210717653</v>
      </c>
      <c r="P217" s="86">
        <f t="shared" si="68"/>
        <v>302649.05891082948</v>
      </c>
      <c r="Q217" s="355">
        <f t="shared" si="69"/>
        <v>0</v>
      </c>
      <c r="R217" s="201">
        <f t="shared" si="70"/>
        <v>7540.5672389265983</v>
      </c>
      <c r="S217" s="201">
        <f t="shared" si="71"/>
        <v>2881.3169717910673</v>
      </c>
      <c r="T217" s="202">
        <f t="shared" si="72"/>
        <v>10421.884210717666</v>
      </c>
      <c r="U217" s="201">
        <f t="shared" si="73"/>
        <v>7540.5672389265856</v>
      </c>
      <c r="V217" s="201">
        <f t="shared" si="74"/>
        <v>2881.3169717910673</v>
      </c>
      <c r="W217" s="201">
        <f t="shared" si="82"/>
        <v>10421.884210717653</v>
      </c>
      <c r="X217" s="201">
        <f t="shared" si="75"/>
        <v>7540.5672389266292</v>
      </c>
      <c r="Y217" s="201">
        <f t="shared" si="76"/>
        <v>2881.3169717910673</v>
      </c>
      <c r="Z217" s="201">
        <f t="shared" si="83"/>
        <v>10421.884210717697</v>
      </c>
      <c r="AA217" s="201"/>
      <c r="AC217" s="257">
        <f t="shared" si="77"/>
        <v>10421.884210717653</v>
      </c>
    </row>
    <row r="218" spans="2:29" x14ac:dyDescent="0.3">
      <c r="B218" s="84">
        <f t="shared" si="78"/>
        <v>207</v>
      </c>
      <c r="C218" s="85">
        <f ca="1">IF($B218="","",'Fecha Pago'!K210)</f>
        <v>52446</v>
      </c>
      <c r="D218" s="86">
        <f>IF($B$12="","",'Fecha Pago'!L210)</f>
        <v>30.4</v>
      </c>
      <c r="E218" s="87">
        <f t="shared" si="64"/>
        <v>0.11</v>
      </c>
      <c r="F218" s="86">
        <f t="shared" si="65"/>
        <v>302649.05891082948</v>
      </c>
      <c r="G218" s="86">
        <f t="shared" si="79"/>
        <v>7610.6107301681714</v>
      </c>
      <c r="H218" s="86">
        <f t="shared" ca="1" si="80"/>
        <v>2811.2734805494824</v>
      </c>
      <c r="I218" s="86">
        <f t="shared" si="63"/>
        <v>10421.884210717653</v>
      </c>
      <c r="J218" s="86">
        <f t="shared" si="66"/>
        <v>0</v>
      </c>
      <c r="K218" s="86">
        <f>IF(B218="","",IF(F218=0,0,IF(Sheet1!$I$10=6,'Tabla Fijos CAT'!$C$3*'Tabla Fijos CAT'!$F$5,$C$5*$F$5)))</f>
        <v>0</v>
      </c>
      <c r="L218" s="86">
        <f t="shared" si="67"/>
        <v>0</v>
      </c>
      <c r="M218" s="86"/>
      <c r="N218" s="86"/>
      <c r="O218" s="86">
        <f t="shared" ca="1" si="81"/>
        <v>10421.884210717653</v>
      </c>
      <c r="P218" s="86">
        <f t="shared" si="68"/>
        <v>295038.4481806613</v>
      </c>
      <c r="Q218" s="355">
        <f t="shared" si="69"/>
        <v>0</v>
      </c>
      <c r="R218" s="201">
        <f t="shared" si="70"/>
        <v>7610.6107301681832</v>
      </c>
      <c r="S218" s="201">
        <f t="shared" si="71"/>
        <v>2811.2734805494824</v>
      </c>
      <c r="T218" s="202">
        <f t="shared" si="72"/>
        <v>10421.884210717666</v>
      </c>
      <c r="U218" s="201">
        <f t="shared" si="73"/>
        <v>7610.6107301681714</v>
      </c>
      <c r="V218" s="201">
        <f t="shared" si="74"/>
        <v>2811.2734805494824</v>
      </c>
      <c r="W218" s="201">
        <f t="shared" si="82"/>
        <v>10421.884210717653</v>
      </c>
      <c r="X218" s="201">
        <f t="shared" si="75"/>
        <v>7610.610730168215</v>
      </c>
      <c r="Y218" s="201">
        <f t="shared" si="76"/>
        <v>2811.2734805494824</v>
      </c>
      <c r="Z218" s="201">
        <f t="shared" si="83"/>
        <v>10421.884210717697</v>
      </c>
      <c r="AA218" s="201"/>
      <c r="AC218" s="257">
        <f t="shared" si="77"/>
        <v>10421.884210717653</v>
      </c>
    </row>
    <row r="219" spans="2:29" x14ac:dyDescent="0.3">
      <c r="B219" s="84">
        <f t="shared" si="78"/>
        <v>208</v>
      </c>
      <c r="C219" s="85">
        <f ca="1">IF($B219="","",'Fecha Pago'!K211)</f>
        <v>52477</v>
      </c>
      <c r="D219" s="86">
        <f>IF($B$12="","",'Fecha Pago'!L211)</f>
        <v>30.4</v>
      </c>
      <c r="E219" s="87">
        <f t="shared" si="64"/>
        <v>0.11</v>
      </c>
      <c r="F219" s="86">
        <f t="shared" si="65"/>
        <v>295038.4481806613</v>
      </c>
      <c r="G219" s="86">
        <f t="shared" si="79"/>
        <v>7681.304847617288</v>
      </c>
      <c r="H219" s="86">
        <f t="shared" ca="1" si="80"/>
        <v>2740.5793631003648</v>
      </c>
      <c r="I219" s="86">
        <f t="shared" si="63"/>
        <v>10421.884210717653</v>
      </c>
      <c r="J219" s="86">
        <f t="shared" si="66"/>
        <v>0</v>
      </c>
      <c r="K219" s="86">
        <f>IF(B219="","",IF(F219=0,0,IF(Sheet1!$I$10=6,'Tabla Fijos CAT'!$C$3*'Tabla Fijos CAT'!$F$5,$C$5*$F$5)))</f>
        <v>0</v>
      </c>
      <c r="L219" s="86">
        <f t="shared" si="67"/>
        <v>0</v>
      </c>
      <c r="M219" s="86"/>
      <c r="N219" s="86"/>
      <c r="O219" s="86">
        <f t="shared" ca="1" si="81"/>
        <v>10421.884210717653</v>
      </c>
      <c r="P219" s="86">
        <f t="shared" si="68"/>
        <v>287357.14333304402</v>
      </c>
      <c r="Q219" s="355">
        <f t="shared" si="69"/>
        <v>0</v>
      </c>
      <c r="R219" s="201">
        <f t="shared" si="70"/>
        <v>7681.3048476173017</v>
      </c>
      <c r="S219" s="201">
        <f t="shared" si="71"/>
        <v>2740.5793631003648</v>
      </c>
      <c r="T219" s="202">
        <f t="shared" si="72"/>
        <v>10421.884210717666</v>
      </c>
      <c r="U219" s="201">
        <f t="shared" si="73"/>
        <v>7681.304847617288</v>
      </c>
      <c r="V219" s="201">
        <f t="shared" si="74"/>
        <v>2740.5793631003648</v>
      </c>
      <c r="W219" s="201">
        <f t="shared" si="82"/>
        <v>10421.884210717653</v>
      </c>
      <c r="X219" s="201">
        <f t="shared" si="75"/>
        <v>7681.3048476173335</v>
      </c>
      <c r="Y219" s="201">
        <f t="shared" si="76"/>
        <v>2740.5793631003648</v>
      </c>
      <c r="Z219" s="201">
        <f t="shared" si="83"/>
        <v>10421.884210717699</v>
      </c>
      <c r="AA219" s="201"/>
      <c r="AC219" s="257">
        <f t="shared" si="77"/>
        <v>10421.884210717653</v>
      </c>
    </row>
    <row r="220" spans="2:29" x14ac:dyDescent="0.3">
      <c r="B220" s="84">
        <f t="shared" si="78"/>
        <v>209</v>
      </c>
      <c r="C220" s="85">
        <f ca="1">IF($B220="","",'Fecha Pago'!K212)</f>
        <v>52507</v>
      </c>
      <c r="D220" s="86">
        <f>IF($B$12="","",'Fecha Pago'!L212)</f>
        <v>30.4</v>
      </c>
      <c r="E220" s="87">
        <f t="shared" si="64"/>
        <v>0.11</v>
      </c>
      <c r="F220" s="86">
        <f>IF(B220="","",IF(P219&lt;0,0,F219-G219))</f>
        <v>287357.14333304402</v>
      </c>
      <c r="G220" s="86">
        <f t="shared" si="79"/>
        <v>7752.655634868489</v>
      </c>
      <c r="H220" s="86">
        <f t="shared" ca="1" si="80"/>
        <v>2669.2285758491644</v>
      </c>
      <c r="I220" s="86">
        <f t="shared" si="63"/>
        <v>10421.884210717653</v>
      </c>
      <c r="J220" s="86">
        <f t="shared" si="66"/>
        <v>0</v>
      </c>
      <c r="K220" s="86">
        <f>IF(B220="","",IF(F220=0,0,IF(Sheet1!$I$10=6,'Tabla Fijos CAT'!$C$3*'Tabla Fijos CAT'!$F$5,$C$5*$F$5)))</f>
        <v>0</v>
      </c>
      <c r="L220" s="86">
        <f t="shared" si="67"/>
        <v>0</v>
      </c>
      <c r="M220" s="86"/>
      <c r="N220" s="86"/>
      <c r="O220" s="86">
        <f t="shared" ca="1" si="81"/>
        <v>10421.884210717653</v>
      </c>
      <c r="P220" s="86">
        <f t="shared" si="68"/>
        <v>279604.48769817554</v>
      </c>
      <c r="Q220" s="355">
        <f t="shared" si="69"/>
        <v>0</v>
      </c>
      <c r="R220" s="201">
        <f t="shared" si="70"/>
        <v>7752.6556348685017</v>
      </c>
      <c r="S220" s="201">
        <f t="shared" si="71"/>
        <v>2669.2285758491644</v>
      </c>
      <c r="T220" s="202">
        <f t="shared" si="72"/>
        <v>10421.884210717666</v>
      </c>
      <c r="U220" s="201">
        <f t="shared" si="73"/>
        <v>7752.655634868489</v>
      </c>
      <c r="V220" s="201">
        <f t="shared" si="74"/>
        <v>2669.2285758491644</v>
      </c>
      <c r="W220" s="201">
        <f t="shared" si="82"/>
        <v>10421.884210717653</v>
      </c>
      <c r="X220" s="201">
        <f t="shared" si="75"/>
        <v>7752.6556348685344</v>
      </c>
      <c r="Y220" s="201">
        <f t="shared" si="76"/>
        <v>2669.2285758491644</v>
      </c>
      <c r="Z220" s="201">
        <f t="shared" si="83"/>
        <v>10421.884210717699</v>
      </c>
      <c r="AA220" s="201"/>
      <c r="AC220" s="257">
        <f t="shared" si="77"/>
        <v>10421.884210717653</v>
      </c>
    </row>
    <row r="221" spans="2:29" x14ac:dyDescent="0.3">
      <c r="B221" s="84">
        <f t="shared" si="78"/>
        <v>210</v>
      </c>
      <c r="C221" s="85">
        <f ca="1">IF($B221="","",'Fecha Pago'!K213)</f>
        <v>52538</v>
      </c>
      <c r="D221" s="86">
        <f>IF($B$12="","",'Fecha Pago'!L213)</f>
        <v>30.4</v>
      </c>
      <c r="E221" s="87">
        <f t="shared" si="64"/>
        <v>0.11</v>
      </c>
      <c r="F221" s="86">
        <f t="shared" ref="F221:F250" si="84">IF(B221="","",IF(P220&lt;0,0,F220-G220))</f>
        <v>279604.48769817554</v>
      </c>
      <c r="G221" s="86">
        <f t="shared" si="79"/>
        <v>7824.6691916546006</v>
      </c>
      <c r="H221" s="86">
        <f t="shared" ca="1" si="80"/>
        <v>2597.2150190630528</v>
      </c>
      <c r="I221" s="86">
        <f t="shared" si="63"/>
        <v>10421.884210717653</v>
      </c>
      <c r="J221" s="86">
        <f t="shared" si="66"/>
        <v>0</v>
      </c>
      <c r="K221" s="86">
        <f>IF(B221="","",IF(F221=0,0,IF(Sheet1!$I$10=6,'Tabla Fijos CAT'!$C$3*'Tabla Fijos CAT'!$F$5,$C$5*$F$5)))</f>
        <v>0</v>
      </c>
      <c r="L221" s="86">
        <f t="shared" si="67"/>
        <v>0</v>
      </c>
      <c r="M221" s="86"/>
      <c r="N221" s="86"/>
      <c r="O221" s="86">
        <f t="shared" ca="1" si="81"/>
        <v>10421.884210717653</v>
      </c>
      <c r="P221" s="86">
        <f t="shared" si="68"/>
        <v>271779.81850652094</v>
      </c>
      <c r="Q221" s="355">
        <f t="shared" si="69"/>
        <v>0</v>
      </c>
      <c r="R221" s="201">
        <f t="shared" si="70"/>
        <v>7824.6691916546133</v>
      </c>
      <c r="S221" s="201">
        <f t="shared" si="71"/>
        <v>2597.2150190630528</v>
      </c>
      <c r="T221" s="202">
        <f t="shared" si="72"/>
        <v>10421.884210717666</v>
      </c>
      <c r="U221" s="201">
        <f t="shared" si="73"/>
        <v>7824.6691916546006</v>
      </c>
      <c r="V221" s="201">
        <f t="shared" si="74"/>
        <v>2597.2150190630528</v>
      </c>
      <c r="W221" s="201">
        <f t="shared" si="82"/>
        <v>10421.884210717653</v>
      </c>
      <c r="X221" s="201">
        <f t="shared" si="75"/>
        <v>7824.6691916546497</v>
      </c>
      <c r="Y221" s="201">
        <f t="shared" si="76"/>
        <v>2597.2150190630528</v>
      </c>
      <c r="Z221" s="201">
        <f t="shared" si="83"/>
        <v>10421.884210717702</v>
      </c>
      <c r="AA221" s="201"/>
      <c r="AC221" s="257">
        <f t="shared" si="77"/>
        <v>10421.884210717653</v>
      </c>
    </row>
    <row r="222" spans="2:29" x14ac:dyDescent="0.3">
      <c r="B222" s="84">
        <f t="shared" si="78"/>
        <v>211</v>
      </c>
      <c r="C222" s="85">
        <f ca="1">IF($B222="","",'Fecha Pago'!K214)</f>
        <v>52568</v>
      </c>
      <c r="D222" s="86">
        <f>IF($B$12="","",'Fecha Pago'!L214)</f>
        <v>30.4</v>
      </c>
      <c r="E222" s="87">
        <f t="shared" si="64"/>
        <v>0.11</v>
      </c>
      <c r="F222" s="86">
        <f t="shared" si="84"/>
        <v>271779.81850652094</v>
      </c>
      <c r="G222" s="86">
        <f t="shared" si="79"/>
        <v>7897.3516743681921</v>
      </c>
      <c r="H222" s="86">
        <f t="shared" ca="1" si="80"/>
        <v>2524.5325363494608</v>
      </c>
      <c r="I222" s="86">
        <f t="shared" si="63"/>
        <v>10421.884210717653</v>
      </c>
      <c r="J222" s="86">
        <f t="shared" si="66"/>
        <v>0</v>
      </c>
      <c r="K222" s="86">
        <f>IF(B222="","",IF(F222=0,0,IF(Sheet1!$I$10=6,'Tabla Fijos CAT'!$C$3*'Tabla Fijos CAT'!$F$5,$C$5*$F$5)))</f>
        <v>0</v>
      </c>
      <c r="L222" s="86">
        <f t="shared" si="67"/>
        <v>0</v>
      </c>
      <c r="M222" s="86"/>
      <c r="N222" s="86"/>
      <c r="O222" s="86">
        <f t="shared" ca="1" si="81"/>
        <v>10421.884210717653</v>
      </c>
      <c r="P222" s="86">
        <f t="shared" si="68"/>
        <v>263882.46683215274</v>
      </c>
      <c r="Q222" s="355">
        <f t="shared" si="69"/>
        <v>0</v>
      </c>
      <c r="R222" s="201">
        <f t="shared" si="70"/>
        <v>7897.3516743682048</v>
      </c>
      <c r="S222" s="201">
        <f t="shared" si="71"/>
        <v>2524.5325363494608</v>
      </c>
      <c r="T222" s="202">
        <f t="shared" si="72"/>
        <v>10421.884210717666</v>
      </c>
      <c r="U222" s="201">
        <f t="shared" si="73"/>
        <v>7897.3516743681921</v>
      </c>
      <c r="V222" s="201">
        <f t="shared" si="74"/>
        <v>2524.5325363494608</v>
      </c>
      <c r="W222" s="201">
        <f t="shared" si="82"/>
        <v>10421.884210717653</v>
      </c>
      <c r="X222" s="201">
        <f t="shared" si="75"/>
        <v>7897.3516743682449</v>
      </c>
      <c r="Y222" s="201">
        <f t="shared" si="76"/>
        <v>2524.5325363494608</v>
      </c>
      <c r="Z222" s="201">
        <f t="shared" si="83"/>
        <v>10421.884210717706</v>
      </c>
      <c r="AA222" s="201"/>
      <c r="AC222" s="257">
        <f t="shared" si="77"/>
        <v>10421.884210717653</v>
      </c>
    </row>
    <row r="223" spans="2:29" x14ac:dyDescent="0.3">
      <c r="B223" s="84">
        <f t="shared" si="78"/>
        <v>212</v>
      </c>
      <c r="C223" s="85">
        <f ca="1">IF($B223="","",'Fecha Pago'!K215)</f>
        <v>52599</v>
      </c>
      <c r="D223" s="86">
        <f>IF($B$12="","",'Fecha Pago'!L215)</f>
        <v>30.4</v>
      </c>
      <c r="E223" s="87">
        <f t="shared" si="64"/>
        <v>0.11</v>
      </c>
      <c r="F223" s="86">
        <f t="shared" si="84"/>
        <v>263882.46683215274</v>
      </c>
      <c r="G223" s="86">
        <f t="shared" si="79"/>
        <v>7970.7092965878792</v>
      </c>
      <c r="H223" s="86">
        <f t="shared" ca="1" si="80"/>
        <v>2451.1749141297742</v>
      </c>
      <c r="I223" s="86">
        <f t="shared" si="63"/>
        <v>10421.884210717653</v>
      </c>
      <c r="J223" s="86">
        <f t="shared" si="66"/>
        <v>0</v>
      </c>
      <c r="K223" s="86">
        <f>IF(B223="","",IF(F223=0,0,IF(Sheet1!$I$10=6,'Tabla Fijos CAT'!$C$3*'Tabla Fijos CAT'!$F$5,$C$5*$F$5)))</f>
        <v>0</v>
      </c>
      <c r="L223" s="86">
        <f t="shared" si="67"/>
        <v>0</v>
      </c>
      <c r="M223" s="86"/>
      <c r="N223" s="86"/>
      <c r="O223" s="86">
        <f t="shared" ca="1" si="81"/>
        <v>10421.884210717653</v>
      </c>
      <c r="P223" s="86">
        <f t="shared" si="68"/>
        <v>255911.75753556486</v>
      </c>
      <c r="Q223" s="355">
        <f t="shared" si="69"/>
        <v>0</v>
      </c>
      <c r="R223" s="201">
        <f t="shared" si="70"/>
        <v>7970.7092965878928</v>
      </c>
      <c r="S223" s="201">
        <f t="shared" si="71"/>
        <v>2451.1749141297742</v>
      </c>
      <c r="T223" s="202">
        <f t="shared" si="72"/>
        <v>10421.884210717668</v>
      </c>
      <c r="U223" s="201">
        <f t="shared" si="73"/>
        <v>7970.7092965878792</v>
      </c>
      <c r="V223" s="201">
        <f t="shared" si="74"/>
        <v>2451.1749141297742</v>
      </c>
      <c r="W223" s="201">
        <f t="shared" si="82"/>
        <v>10421.884210717653</v>
      </c>
      <c r="X223" s="201">
        <f t="shared" si="75"/>
        <v>7970.7092965879319</v>
      </c>
      <c r="Y223" s="201">
        <f t="shared" si="76"/>
        <v>2451.1749141297742</v>
      </c>
      <c r="Z223" s="201">
        <f t="shared" si="83"/>
        <v>10421.884210717706</v>
      </c>
      <c r="AA223" s="201"/>
      <c r="AC223" s="257">
        <f t="shared" si="77"/>
        <v>10421.884210717653</v>
      </c>
    </row>
    <row r="224" spans="2:29" x14ac:dyDescent="0.3">
      <c r="B224" s="84">
        <f t="shared" si="78"/>
        <v>213</v>
      </c>
      <c r="C224" s="85">
        <f ca="1">IF($B224="","",'Fecha Pago'!K216)</f>
        <v>52630</v>
      </c>
      <c r="D224" s="86">
        <f>IF($B$12="","",'Fecha Pago'!L216)</f>
        <v>30.4</v>
      </c>
      <c r="E224" s="87">
        <f t="shared" si="64"/>
        <v>0.11</v>
      </c>
      <c r="F224" s="86">
        <f t="shared" si="84"/>
        <v>255911.75753556486</v>
      </c>
      <c r="G224" s="86">
        <f t="shared" si="79"/>
        <v>8044.7483296095179</v>
      </c>
      <c r="H224" s="86">
        <f t="shared" ca="1" si="80"/>
        <v>2377.1358811081354</v>
      </c>
      <c r="I224" s="86">
        <f t="shared" si="63"/>
        <v>10421.884210717653</v>
      </c>
      <c r="J224" s="86">
        <f t="shared" si="66"/>
        <v>0</v>
      </c>
      <c r="K224" s="86">
        <f>IF(B224="","",IF(F224=0,0,IF(Sheet1!$I$10=6,'Tabla Fijos CAT'!$C$3*'Tabla Fijos CAT'!$F$5,$C$5*$F$5)))</f>
        <v>0</v>
      </c>
      <c r="L224" s="86">
        <f t="shared" si="67"/>
        <v>0</v>
      </c>
      <c r="M224" s="86"/>
      <c r="N224" s="86"/>
      <c r="O224" s="86">
        <f t="shared" ca="1" si="81"/>
        <v>10421.884210717653</v>
      </c>
      <c r="P224" s="86">
        <f t="shared" si="68"/>
        <v>247867.00920595534</v>
      </c>
      <c r="Q224" s="355">
        <f t="shared" si="69"/>
        <v>0</v>
      </c>
      <c r="R224" s="201">
        <f t="shared" si="70"/>
        <v>8044.7483296095315</v>
      </c>
      <c r="S224" s="201">
        <f t="shared" si="71"/>
        <v>2377.1358811081354</v>
      </c>
      <c r="T224" s="202">
        <f t="shared" si="72"/>
        <v>10421.884210717668</v>
      </c>
      <c r="U224" s="201">
        <f t="shared" si="73"/>
        <v>8044.7483296095179</v>
      </c>
      <c r="V224" s="201">
        <f t="shared" si="74"/>
        <v>2377.1358811081354</v>
      </c>
      <c r="W224" s="201">
        <f t="shared" si="82"/>
        <v>10421.884210717653</v>
      </c>
      <c r="X224" s="201">
        <f t="shared" si="75"/>
        <v>8044.7483296095725</v>
      </c>
      <c r="Y224" s="201">
        <f t="shared" si="76"/>
        <v>2377.1358811081354</v>
      </c>
      <c r="Z224" s="201">
        <f t="shared" si="83"/>
        <v>10421.884210717708</v>
      </c>
      <c r="AA224" s="201"/>
      <c r="AC224" s="257">
        <f t="shared" si="77"/>
        <v>10421.884210717653</v>
      </c>
    </row>
    <row r="225" spans="2:29" x14ac:dyDescent="0.3">
      <c r="B225" s="84">
        <f t="shared" si="78"/>
        <v>214</v>
      </c>
      <c r="C225" s="85">
        <f ca="1">IF($B225="","",'Fecha Pago'!K217)</f>
        <v>52659</v>
      </c>
      <c r="D225" s="86">
        <f>IF($B$12="","",'Fecha Pago'!L217)</f>
        <v>30.4</v>
      </c>
      <c r="E225" s="87">
        <f t="shared" si="64"/>
        <v>0.11</v>
      </c>
      <c r="F225" s="86">
        <f t="shared" si="84"/>
        <v>247867.00920595534</v>
      </c>
      <c r="G225" s="86">
        <f t="shared" si="79"/>
        <v>8119.4751029823346</v>
      </c>
      <c r="H225" s="86">
        <f t="shared" ca="1" si="80"/>
        <v>2302.4091077353182</v>
      </c>
      <c r="I225" s="86">
        <f t="shared" si="63"/>
        <v>10421.884210717653</v>
      </c>
      <c r="J225" s="86">
        <f t="shared" si="66"/>
        <v>0</v>
      </c>
      <c r="K225" s="86">
        <f>IF(B225="","",IF(F225=0,0,IF(Sheet1!$I$10=6,'Tabla Fijos CAT'!$C$3*'Tabla Fijos CAT'!$F$5,$C$5*$F$5)))</f>
        <v>0</v>
      </c>
      <c r="L225" s="86">
        <f t="shared" si="67"/>
        <v>0</v>
      </c>
      <c r="M225" s="86"/>
      <c r="N225" s="86"/>
      <c r="O225" s="86">
        <f t="shared" ca="1" si="81"/>
        <v>10421.884210717653</v>
      </c>
      <c r="P225" s="86">
        <f t="shared" si="68"/>
        <v>239747.534102973</v>
      </c>
      <c r="Q225" s="355">
        <f t="shared" si="69"/>
        <v>0</v>
      </c>
      <c r="R225" s="201">
        <f t="shared" si="70"/>
        <v>8119.4751029823492</v>
      </c>
      <c r="S225" s="201">
        <f t="shared" si="71"/>
        <v>2302.4091077353182</v>
      </c>
      <c r="T225" s="202">
        <f t="shared" si="72"/>
        <v>10421.884210717668</v>
      </c>
      <c r="U225" s="201">
        <f t="shared" si="73"/>
        <v>8119.4751029823346</v>
      </c>
      <c r="V225" s="201">
        <f t="shared" si="74"/>
        <v>2302.4091077353182</v>
      </c>
      <c r="W225" s="201">
        <f t="shared" si="82"/>
        <v>10421.884210717653</v>
      </c>
      <c r="X225" s="201">
        <f t="shared" si="75"/>
        <v>8119.475102982391</v>
      </c>
      <c r="Y225" s="201">
        <f t="shared" si="76"/>
        <v>2302.4091077353182</v>
      </c>
      <c r="Z225" s="201">
        <f t="shared" si="83"/>
        <v>10421.88421071771</v>
      </c>
      <c r="AA225" s="201"/>
      <c r="AC225" s="257">
        <f t="shared" si="77"/>
        <v>10421.884210717653</v>
      </c>
    </row>
    <row r="226" spans="2:29" x14ac:dyDescent="0.3">
      <c r="B226" s="84">
        <f t="shared" si="78"/>
        <v>215</v>
      </c>
      <c r="C226" s="85">
        <f ca="1">IF($B226="","",'Fecha Pago'!K218)</f>
        <v>52690</v>
      </c>
      <c r="D226" s="86">
        <f>IF($B$12="","",'Fecha Pago'!L218)</f>
        <v>30.4</v>
      </c>
      <c r="E226" s="87">
        <f t="shared" si="64"/>
        <v>0.11</v>
      </c>
      <c r="F226" s="86">
        <f t="shared" si="84"/>
        <v>239747.534102973</v>
      </c>
      <c r="G226" s="86">
        <f t="shared" si="79"/>
        <v>8194.8960050500373</v>
      </c>
      <c r="H226" s="86">
        <f t="shared" ca="1" si="80"/>
        <v>2226.9882056676156</v>
      </c>
      <c r="I226" s="86">
        <f t="shared" si="63"/>
        <v>10421.884210717653</v>
      </c>
      <c r="J226" s="86">
        <f t="shared" si="66"/>
        <v>0</v>
      </c>
      <c r="K226" s="86">
        <f>IF(B226="","",IF(F226=0,0,IF(Sheet1!$I$10=6,'Tabla Fijos CAT'!$C$3*'Tabla Fijos CAT'!$F$5,$C$5*$F$5)))</f>
        <v>0</v>
      </c>
      <c r="L226" s="86">
        <f t="shared" si="67"/>
        <v>0</v>
      </c>
      <c r="M226" s="86"/>
      <c r="N226" s="86"/>
      <c r="O226" s="86">
        <f t="shared" ca="1" si="81"/>
        <v>10421.884210717653</v>
      </c>
      <c r="P226" s="86">
        <f t="shared" si="68"/>
        <v>231552.63809792296</v>
      </c>
      <c r="Q226" s="355">
        <f t="shared" si="69"/>
        <v>0</v>
      </c>
      <c r="R226" s="201">
        <f t="shared" si="70"/>
        <v>8194.89600505005</v>
      </c>
      <c r="S226" s="201">
        <f t="shared" si="71"/>
        <v>2226.9882056676156</v>
      </c>
      <c r="T226" s="202">
        <f t="shared" si="72"/>
        <v>10421.884210717666</v>
      </c>
      <c r="U226" s="201">
        <f t="shared" si="73"/>
        <v>8194.8960050500373</v>
      </c>
      <c r="V226" s="201">
        <f t="shared" si="74"/>
        <v>2226.9882056676156</v>
      </c>
      <c r="W226" s="201">
        <f t="shared" si="82"/>
        <v>10421.884210717653</v>
      </c>
      <c r="X226" s="201">
        <f t="shared" si="75"/>
        <v>8194.8960050500991</v>
      </c>
      <c r="Y226" s="201">
        <f t="shared" si="76"/>
        <v>2226.9882056676156</v>
      </c>
      <c r="Z226" s="201">
        <f t="shared" si="83"/>
        <v>10421.884210717715</v>
      </c>
      <c r="AA226" s="201"/>
      <c r="AC226" s="257">
        <f t="shared" si="77"/>
        <v>10421.884210717653</v>
      </c>
    </row>
    <row r="227" spans="2:29" x14ac:dyDescent="0.3">
      <c r="B227" s="84">
        <f t="shared" si="78"/>
        <v>216</v>
      </c>
      <c r="C227" s="85">
        <f ca="1">IF($B227="","",'Fecha Pago'!K219)</f>
        <v>52720</v>
      </c>
      <c r="D227" s="86">
        <f>IF($B$12="","",'Fecha Pago'!L219)</f>
        <v>30.4</v>
      </c>
      <c r="E227" s="87">
        <f t="shared" si="64"/>
        <v>0.11</v>
      </c>
      <c r="F227" s="86">
        <f t="shared" si="84"/>
        <v>231552.63809792296</v>
      </c>
      <c r="G227" s="86">
        <f t="shared" si="79"/>
        <v>8271.0174834969475</v>
      </c>
      <c r="H227" s="86">
        <f t="shared" ca="1" si="80"/>
        <v>2150.8667272207063</v>
      </c>
      <c r="I227" s="86">
        <f t="shared" si="63"/>
        <v>10421.884210717653</v>
      </c>
      <c r="J227" s="86">
        <f t="shared" si="66"/>
        <v>0</v>
      </c>
      <c r="K227" s="86">
        <f>IF(B227="","",IF(F227=0,0,IF(Sheet1!$I$10=6,'Tabla Fijos CAT'!$C$3*'Tabla Fijos CAT'!$F$5,$C$5*$F$5)))</f>
        <v>0</v>
      </c>
      <c r="L227" s="86">
        <f t="shared" si="67"/>
        <v>0</v>
      </c>
      <c r="M227" s="86"/>
      <c r="N227" s="86"/>
      <c r="O227" s="86">
        <f t="shared" ca="1" si="81"/>
        <v>10421.884210717653</v>
      </c>
      <c r="P227" s="86">
        <f t="shared" si="68"/>
        <v>223281.62061442601</v>
      </c>
      <c r="Q227" s="355">
        <f t="shared" si="69"/>
        <v>0</v>
      </c>
      <c r="R227" s="201">
        <f t="shared" si="70"/>
        <v>8271.0174834969603</v>
      </c>
      <c r="S227" s="201">
        <f t="shared" si="71"/>
        <v>2150.8667272207063</v>
      </c>
      <c r="T227" s="202">
        <f t="shared" si="72"/>
        <v>10421.884210717666</v>
      </c>
      <c r="U227" s="201">
        <f t="shared" si="73"/>
        <v>8271.0174834969475</v>
      </c>
      <c r="V227" s="201">
        <f t="shared" si="74"/>
        <v>2150.8667272207063</v>
      </c>
      <c r="W227" s="201">
        <f t="shared" si="82"/>
        <v>10421.884210717653</v>
      </c>
      <c r="X227" s="201">
        <f t="shared" si="75"/>
        <v>8271.0174834970112</v>
      </c>
      <c r="Y227" s="201">
        <f t="shared" si="76"/>
        <v>2150.8667272207063</v>
      </c>
      <c r="Z227" s="201">
        <f t="shared" si="83"/>
        <v>10421.884210717717</v>
      </c>
      <c r="AA227" s="201"/>
      <c r="AC227" s="257">
        <f t="shared" si="77"/>
        <v>10421.884210717653</v>
      </c>
    </row>
    <row r="228" spans="2:29" x14ac:dyDescent="0.3">
      <c r="B228" s="84">
        <f t="shared" si="78"/>
        <v>217</v>
      </c>
      <c r="C228" s="85">
        <f ca="1">IF($B228="","",'Fecha Pago'!K220)</f>
        <v>52751</v>
      </c>
      <c r="D228" s="86">
        <f>IF($B$12="","",'Fecha Pago'!L220)</f>
        <v>30.4</v>
      </c>
      <c r="E228" s="87">
        <f t="shared" si="64"/>
        <v>0.11</v>
      </c>
      <c r="F228" s="86">
        <f t="shared" si="84"/>
        <v>223281.62061442601</v>
      </c>
      <c r="G228" s="86">
        <f t="shared" si="79"/>
        <v>8347.8460458992085</v>
      </c>
      <c r="H228" s="86">
        <f t="shared" ca="1" si="80"/>
        <v>2074.0381648184457</v>
      </c>
      <c r="I228" s="86">
        <f t="shared" si="63"/>
        <v>10421.884210717653</v>
      </c>
      <c r="J228" s="86">
        <f t="shared" si="66"/>
        <v>0</v>
      </c>
      <c r="K228" s="86">
        <f>IF(B228="","",IF(F228=0,0,IF(Sheet1!$I$10=6,'Tabla Fijos CAT'!$C$3*'Tabla Fijos CAT'!$F$5,$C$5*$F$5)))</f>
        <v>0</v>
      </c>
      <c r="L228" s="86">
        <f t="shared" si="67"/>
        <v>0</v>
      </c>
      <c r="M228" s="86"/>
      <c r="N228" s="86"/>
      <c r="O228" s="86">
        <f t="shared" ca="1" si="81"/>
        <v>10421.884210717653</v>
      </c>
      <c r="P228" s="86">
        <f t="shared" si="68"/>
        <v>214933.7745685268</v>
      </c>
      <c r="Q228" s="355">
        <f t="shared" si="69"/>
        <v>0</v>
      </c>
      <c r="R228" s="201">
        <f t="shared" si="70"/>
        <v>8347.8460458992213</v>
      </c>
      <c r="S228" s="201">
        <f t="shared" si="71"/>
        <v>2074.0381648184457</v>
      </c>
      <c r="T228" s="202">
        <f t="shared" si="72"/>
        <v>10421.884210717668</v>
      </c>
      <c r="U228" s="201">
        <f t="shared" si="73"/>
        <v>8347.8460458992085</v>
      </c>
      <c r="V228" s="201">
        <f t="shared" si="74"/>
        <v>2074.0381648184457</v>
      </c>
      <c r="W228" s="201">
        <f t="shared" si="82"/>
        <v>10421.884210717653</v>
      </c>
      <c r="X228" s="201">
        <f t="shared" si="75"/>
        <v>8347.8460458992704</v>
      </c>
      <c r="Y228" s="201">
        <f t="shared" si="76"/>
        <v>2074.0381648184457</v>
      </c>
      <c r="Z228" s="201">
        <f t="shared" si="83"/>
        <v>10421.884210717717</v>
      </c>
      <c r="AA228" s="201"/>
      <c r="AC228" s="257">
        <f t="shared" si="77"/>
        <v>10421.884210717653</v>
      </c>
    </row>
    <row r="229" spans="2:29" x14ac:dyDescent="0.3">
      <c r="B229" s="84">
        <f t="shared" si="78"/>
        <v>218</v>
      </c>
      <c r="C229" s="85">
        <f ca="1">IF($B229="","",'Fecha Pago'!K221)</f>
        <v>52781</v>
      </c>
      <c r="D229" s="86">
        <f>IF($B$12="","",'Fecha Pago'!L221)</f>
        <v>30.4</v>
      </c>
      <c r="E229" s="87">
        <f t="shared" si="64"/>
        <v>0.11</v>
      </c>
      <c r="F229" s="86">
        <f t="shared" si="84"/>
        <v>214933.7745685268</v>
      </c>
      <c r="G229" s="86">
        <f t="shared" si="79"/>
        <v>8425.3882602811154</v>
      </c>
      <c r="H229" s="86">
        <f t="shared" ca="1" si="80"/>
        <v>1996.4959504365377</v>
      </c>
      <c r="I229" s="86">
        <f t="shared" si="63"/>
        <v>10421.884210717653</v>
      </c>
      <c r="J229" s="86">
        <f t="shared" si="66"/>
        <v>0</v>
      </c>
      <c r="K229" s="86">
        <f>IF(B229="","",IF(F229=0,0,IF(Sheet1!$I$10=6,'Tabla Fijos CAT'!$C$3*'Tabla Fijos CAT'!$F$5,$C$5*$F$5)))</f>
        <v>0</v>
      </c>
      <c r="L229" s="86">
        <f t="shared" si="67"/>
        <v>0</v>
      </c>
      <c r="M229" s="86"/>
      <c r="N229" s="86"/>
      <c r="O229" s="86">
        <f t="shared" ca="1" si="81"/>
        <v>10421.884210717653</v>
      </c>
      <c r="P229" s="86">
        <f t="shared" si="68"/>
        <v>206508.38630824568</v>
      </c>
      <c r="Q229" s="355">
        <f t="shared" si="69"/>
        <v>0</v>
      </c>
      <c r="R229" s="201">
        <f t="shared" si="70"/>
        <v>8425.3882602811282</v>
      </c>
      <c r="S229" s="201">
        <f t="shared" si="71"/>
        <v>1996.4959504365377</v>
      </c>
      <c r="T229" s="202">
        <f t="shared" si="72"/>
        <v>10421.884210717666</v>
      </c>
      <c r="U229" s="201">
        <f t="shared" si="73"/>
        <v>8425.3882602811154</v>
      </c>
      <c r="V229" s="201">
        <f t="shared" si="74"/>
        <v>1996.4959504365377</v>
      </c>
      <c r="W229" s="201">
        <f t="shared" si="82"/>
        <v>10421.884210717653</v>
      </c>
      <c r="X229" s="201">
        <f t="shared" si="75"/>
        <v>8425.3882602811827</v>
      </c>
      <c r="Y229" s="201">
        <f t="shared" si="76"/>
        <v>1996.4959504365377</v>
      </c>
      <c r="Z229" s="201">
        <f t="shared" si="83"/>
        <v>10421.884210717721</v>
      </c>
      <c r="AA229" s="201"/>
      <c r="AC229" s="257">
        <f t="shared" si="77"/>
        <v>10421.884210717653</v>
      </c>
    </row>
    <row r="230" spans="2:29" x14ac:dyDescent="0.3">
      <c r="B230" s="84">
        <f t="shared" si="78"/>
        <v>219</v>
      </c>
      <c r="C230" s="85">
        <f ca="1">IF($B230="","",'Fecha Pago'!K222)</f>
        <v>52812</v>
      </c>
      <c r="D230" s="86">
        <f>IF($B$12="","",'Fecha Pago'!L222)</f>
        <v>30.4</v>
      </c>
      <c r="E230" s="87">
        <f t="shared" si="64"/>
        <v>0.11</v>
      </c>
      <c r="F230" s="86">
        <f t="shared" si="84"/>
        <v>206508.38630824568</v>
      </c>
      <c r="G230" s="86">
        <f t="shared" si="79"/>
        <v>8503.6507556766155</v>
      </c>
      <c r="H230" s="86">
        <f t="shared" ca="1" si="80"/>
        <v>1918.2334550410376</v>
      </c>
      <c r="I230" s="86">
        <f t="shared" si="63"/>
        <v>10421.884210717653</v>
      </c>
      <c r="J230" s="86">
        <f t="shared" si="66"/>
        <v>0</v>
      </c>
      <c r="K230" s="86">
        <f>IF(B230="","",IF(F230=0,0,IF(Sheet1!$I$10=6,'Tabla Fijos CAT'!$C$3*'Tabla Fijos CAT'!$F$5,$C$5*$F$5)))</f>
        <v>0</v>
      </c>
      <c r="L230" s="86">
        <f t="shared" si="67"/>
        <v>0</v>
      </c>
      <c r="M230" s="86"/>
      <c r="N230" s="86"/>
      <c r="O230" s="86">
        <f t="shared" ca="1" si="81"/>
        <v>10421.884210717653</v>
      </c>
      <c r="P230" s="86">
        <f t="shared" si="68"/>
        <v>198004.73555256907</v>
      </c>
      <c r="Q230" s="355">
        <f t="shared" si="69"/>
        <v>0</v>
      </c>
      <c r="R230" s="201">
        <f t="shared" si="70"/>
        <v>8503.6507556766301</v>
      </c>
      <c r="S230" s="201">
        <f t="shared" si="71"/>
        <v>1918.2334550410376</v>
      </c>
      <c r="T230" s="202">
        <f t="shared" si="72"/>
        <v>10421.884210717668</v>
      </c>
      <c r="U230" s="201">
        <f t="shared" si="73"/>
        <v>8503.6507556766155</v>
      </c>
      <c r="V230" s="201">
        <f t="shared" si="74"/>
        <v>1918.2334550410376</v>
      </c>
      <c r="W230" s="201">
        <f t="shared" si="82"/>
        <v>10421.884210717653</v>
      </c>
      <c r="X230" s="201">
        <f t="shared" si="75"/>
        <v>8503.6507556766846</v>
      </c>
      <c r="Y230" s="201">
        <f t="shared" si="76"/>
        <v>1918.2334550410376</v>
      </c>
      <c r="Z230" s="201">
        <f t="shared" si="83"/>
        <v>10421.884210717722</v>
      </c>
      <c r="AA230" s="201"/>
      <c r="AC230" s="257">
        <f t="shared" si="77"/>
        <v>10421.884210717653</v>
      </c>
    </row>
    <row r="231" spans="2:29" x14ac:dyDescent="0.3">
      <c r="B231" s="84">
        <f t="shared" si="78"/>
        <v>220</v>
      </c>
      <c r="C231" s="85">
        <f ca="1">IF($B231="","",'Fecha Pago'!K223)</f>
        <v>52843</v>
      </c>
      <c r="D231" s="86">
        <f>IF($B$12="","",'Fecha Pago'!L223)</f>
        <v>30.4</v>
      </c>
      <c r="E231" s="87">
        <f t="shared" si="64"/>
        <v>0.11</v>
      </c>
      <c r="F231" s="86">
        <f t="shared" si="84"/>
        <v>198004.73555256907</v>
      </c>
      <c r="G231" s="86">
        <f t="shared" si="79"/>
        <v>8582.6402226960126</v>
      </c>
      <c r="H231" s="86">
        <f t="shared" ca="1" si="80"/>
        <v>1839.2439880216414</v>
      </c>
      <c r="I231" s="86">
        <f t="shared" si="63"/>
        <v>10421.884210717653</v>
      </c>
      <c r="J231" s="86">
        <f t="shared" si="66"/>
        <v>0</v>
      </c>
      <c r="K231" s="86">
        <f>IF(B231="","",IF(F231=0,0,IF(Sheet1!$I$10=6,'Tabla Fijos CAT'!$C$3*'Tabla Fijos CAT'!$F$5,$C$5*$F$5)))</f>
        <v>0</v>
      </c>
      <c r="L231" s="86">
        <f t="shared" si="67"/>
        <v>0</v>
      </c>
      <c r="M231" s="86"/>
      <c r="N231" s="86"/>
      <c r="O231" s="86">
        <f t="shared" ca="1" si="81"/>
        <v>10421.884210717653</v>
      </c>
      <c r="P231" s="86">
        <f t="shared" si="68"/>
        <v>189422.09532987306</v>
      </c>
      <c r="Q231" s="355">
        <f t="shared" si="69"/>
        <v>0</v>
      </c>
      <c r="R231" s="201">
        <f t="shared" si="70"/>
        <v>8582.6402226960254</v>
      </c>
      <c r="S231" s="201">
        <f t="shared" si="71"/>
        <v>1839.2439880216414</v>
      </c>
      <c r="T231" s="202">
        <f t="shared" si="72"/>
        <v>10421.884210717666</v>
      </c>
      <c r="U231" s="201">
        <f t="shared" si="73"/>
        <v>8582.6402226960126</v>
      </c>
      <c r="V231" s="201">
        <f t="shared" si="74"/>
        <v>1839.2439880216414</v>
      </c>
      <c r="W231" s="201">
        <f t="shared" si="82"/>
        <v>10421.884210717653</v>
      </c>
      <c r="X231" s="201">
        <f t="shared" si="75"/>
        <v>8582.640222696089</v>
      </c>
      <c r="Y231" s="201">
        <f t="shared" si="76"/>
        <v>1839.2439880216414</v>
      </c>
      <c r="Z231" s="201">
        <f t="shared" si="83"/>
        <v>10421.88421071773</v>
      </c>
      <c r="AA231" s="201"/>
      <c r="AC231" s="257">
        <f t="shared" si="77"/>
        <v>10421.884210717653</v>
      </c>
    </row>
    <row r="232" spans="2:29" x14ac:dyDescent="0.3">
      <c r="B232" s="84">
        <f t="shared" si="78"/>
        <v>221</v>
      </c>
      <c r="C232" s="85">
        <f ca="1">IF($B232="","",'Fecha Pago'!K224)</f>
        <v>52873</v>
      </c>
      <c r="D232" s="86">
        <f>IF($B$12="","",'Fecha Pago'!L224)</f>
        <v>30.4</v>
      </c>
      <c r="E232" s="87">
        <f t="shared" si="64"/>
        <v>0.11</v>
      </c>
      <c r="F232" s="86">
        <f t="shared" si="84"/>
        <v>189422.09532987306</v>
      </c>
      <c r="G232" s="86">
        <f t="shared" si="79"/>
        <v>8662.363414097943</v>
      </c>
      <c r="H232" s="86">
        <f t="shared" ca="1" si="80"/>
        <v>1759.5207966197097</v>
      </c>
      <c r="I232" s="86">
        <f t="shared" si="63"/>
        <v>10421.884210717653</v>
      </c>
      <c r="J232" s="86">
        <f t="shared" si="66"/>
        <v>0</v>
      </c>
      <c r="K232" s="86">
        <f>IF(B232="","",IF(F232=0,0,IF(Sheet1!$I$10=6,'Tabla Fijos CAT'!$C$3*'Tabla Fijos CAT'!$F$5,$C$5*$F$5)))</f>
        <v>0</v>
      </c>
      <c r="L232" s="86">
        <f t="shared" si="67"/>
        <v>0</v>
      </c>
      <c r="M232" s="86"/>
      <c r="N232" s="86"/>
      <c r="O232" s="86">
        <f t="shared" ca="1" si="81"/>
        <v>10421.884210717653</v>
      </c>
      <c r="P232" s="86">
        <f t="shared" si="68"/>
        <v>180759.7319157751</v>
      </c>
      <c r="Q232" s="355">
        <f t="shared" si="69"/>
        <v>0</v>
      </c>
      <c r="R232" s="201">
        <f t="shared" si="70"/>
        <v>8662.3634140979593</v>
      </c>
      <c r="S232" s="201">
        <f t="shared" si="71"/>
        <v>1759.5207966197097</v>
      </c>
      <c r="T232" s="202">
        <f t="shared" si="72"/>
        <v>10421.88421071767</v>
      </c>
      <c r="U232" s="201">
        <f t="shared" si="73"/>
        <v>8662.363414097943</v>
      </c>
      <c r="V232" s="201">
        <f t="shared" si="74"/>
        <v>1759.5207966197097</v>
      </c>
      <c r="W232" s="201">
        <f t="shared" si="82"/>
        <v>10421.884210717653</v>
      </c>
      <c r="X232" s="201">
        <f t="shared" si="75"/>
        <v>8662.3634140980212</v>
      </c>
      <c r="Y232" s="201">
        <f t="shared" si="76"/>
        <v>1759.5207966197097</v>
      </c>
      <c r="Z232" s="201">
        <f t="shared" si="83"/>
        <v>10421.884210717732</v>
      </c>
      <c r="AA232" s="201"/>
      <c r="AC232" s="257">
        <f t="shared" si="77"/>
        <v>10421.884210717653</v>
      </c>
    </row>
    <row r="233" spans="2:29" x14ac:dyDescent="0.3">
      <c r="B233" s="84">
        <f t="shared" si="78"/>
        <v>222</v>
      </c>
      <c r="C233" s="85">
        <f ca="1">IF($B233="","",'Fecha Pago'!K225)</f>
        <v>52904</v>
      </c>
      <c r="D233" s="86">
        <f>IF($B$12="","",'Fecha Pago'!L225)</f>
        <v>30.4</v>
      </c>
      <c r="E233" s="87">
        <f t="shared" si="64"/>
        <v>0.11</v>
      </c>
      <c r="F233" s="86">
        <f t="shared" si="84"/>
        <v>180759.7319157751</v>
      </c>
      <c r="G233" s="86">
        <f t="shared" si="79"/>
        <v>8742.8271453666748</v>
      </c>
      <c r="H233" s="86">
        <f t="shared" ca="1" si="80"/>
        <v>1679.0570653509776</v>
      </c>
      <c r="I233" s="86">
        <f t="shared" si="63"/>
        <v>10421.884210717653</v>
      </c>
      <c r="J233" s="86">
        <f t="shared" si="66"/>
        <v>0</v>
      </c>
      <c r="K233" s="86">
        <f>IF(B233="","",IF(F233=0,0,IF(Sheet1!$I$10=6,'Tabla Fijos CAT'!$C$3*'Tabla Fijos CAT'!$F$5,$C$5*$F$5)))</f>
        <v>0</v>
      </c>
      <c r="L233" s="86">
        <f t="shared" si="67"/>
        <v>0</v>
      </c>
      <c r="M233" s="86"/>
      <c r="N233" s="86"/>
      <c r="O233" s="86">
        <f t="shared" ca="1" si="81"/>
        <v>10421.884210717653</v>
      </c>
      <c r="P233" s="86">
        <f t="shared" si="68"/>
        <v>172016.90477040844</v>
      </c>
      <c r="Q233" s="355">
        <f t="shared" si="69"/>
        <v>0</v>
      </c>
      <c r="R233" s="201">
        <f t="shared" si="70"/>
        <v>8742.8271453666894</v>
      </c>
      <c r="S233" s="201">
        <f t="shared" si="71"/>
        <v>1679.0570653509776</v>
      </c>
      <c r="T233" s="202">
        <f t="shared" si="72"/>
        <v>10421.884210717668</v>
      </c>
      <c r="U233" s="201">
        <f t="shared" si="73"/>
        <v>8742.8271453666748</v>
      </c>
      <c r="V233" s="201">
        <f t="shared" si="74"/>
        <v>1679.0570653509776</v>
      </c>
      <c r="W233" s="201">
        <f t="shared" si="82"/>
        <v>10421.884210717653</v>
      </c>
      <c r="X233" s="201">
        <f t="shared" si="75"/>
        <v>8742.8271453667585</v>
      </c>
      <c r="Y233" s="201">
        <f t="shared" si="76"/>
        <v>1679.0570653509776</v>
      </c>
      <c r="Z233" s="201">
        <f t="shared" si="83"/>
        <v>10421.884210717737</v>
      </c>
      <c r="AA233" s="201"/>
      <c r="AC233" s="257">
        <f t="shared" si="77"/>
        <v>10421.884210717653</v>
      </c>
    </row>
    <row r="234" spans="2:29" x14ac:dyDescent="0.3">
      <c r="B234" s="84">
        <f t="shared" si="78"/>
        <v>223</v>
      </c>
      <c r="C234" s="85">
        <f ca="1">IF($B234="","",'Fecha Pago'!K226)</f>
        <v>52934</v>
      </c>
      <c r="D234" s="86">
        <f>IF($B$12="","",'Fecha Pago'!L226)</f>
        <v>30.4</v>
      </c>
      <c r="E234" s="87">
        <f t="shared" si="64"/>
        <v>0.11</v>
      </c>
      <c r="F234" s="86">
        <f t="shared" si="84"/>
        <v>172016.90477040844</v>
      </c>
      <c r="G234" s="86">
        <f t="shared" si="79"/>
        <v>8824.0382952947475</v>
      </c>
      <c r="H234" s="86">
        <f t="shared" ca="1" si="80"/>
        <v>1597.8459154229049</v>
      </c>
      <c r="I234" s="86">
        <f t="shared" si="63"/>
        <v>10421.884210717653</v>
      </c>
      <c r="J234" s="86">
        <f t="shared" si="66"/>
        <v>0</v>
      </c>
      <c r="K234" s="86">
        <f>IF(B234="","",IF(F234=0,0,IF(Sheet1!$I$10=6,'Tabla Fijos CAT'!$C$3*'Tabla Fijos CAT'!$F$5,$C$5*$F$5)))</f>
        <v>0</v>
      </c>
      <c r="L234" s="86">
        <f t="shared" si="67"/>
        <v>0</v>
      </c>
      <c r="M234" s="86"/>
      <c r="N234" s="86"/>
      <c r="O234" s="86">
        <f t="shared" ca="1" si="81"/>
        <v>10421.884210717653</v>
      </c>
      <c r="P234" s="86">
        <f t="shared" si="68"/>
        <v>163192.8664751137</v>
      </c>
      <c r="Q234" s="355">
        <f t="shared" si="69"/>
        <v>0</v>
      </c>
      <c r="R234" s="201">
        <f t="shared" si="70"/>
        <v>8824.0382952947621</v>
      </c>
      <c r="S234" s="201">
        <f t="shared" si="71"/>
        <v>1597.8459154229049</v>
      </c>
      <c r="T234" s="202">
        <f t="shared" si="72"/>
        <v>10421.884210717668</v>
      </c>
      <c r="U234" s="201">
        <f t="shared" si="73"/>
        <v>8824.0382952947475</v>
      </c>
      <c r="V234" s="201">
        <f t="shared" si="74"/>
        <v>1597.8459154229049</v>
      </c>
      <c r="W234" s="201">
        <f t="shared" si="82"/>
        <v>10421.884210717653</v>
      </c>
      <c r="X234" s="201">
        <f t="shared" si="75"/>
        <v>8824.0382952948385</v>
      </c>
      <c r="Y234" s="201">
        <f t="shared" si="76"/>
        <v>1597.8459154229049</v>
      </c>
      <c r="Z234" s="201">
        <f t="shared" si="83"/>
        <v>10421.884210717742</v>
      </c>
      <c r="AA234" s="201"/>
      <c r="AC234" s="257">
        <f t="shared" si="77"/>
        <v>10421.884210717653</v>
      </c>
    </row>
    <row r="235" spans="2:29" x14ac:dyDescent="0.3">
      <c r="B235" s="84">
        <f t="shared" si="78"/>
        <v>224</v>
      </c>
      <c r="C235" s="85">
        <f ca="1">IF($B235="","",'Fecha Pago'!K227)</f>
        <v>52965</v>
      </c>
      <c r="D235" s="86">
        <f>IF($B$12="","",'Fecha Pago'!L227)</f>
        <v>30.4</v>
      </c>
      <c r="E235" s="87">
        <f t="shared" si="64"/>
        <v>0.11</v>
      </c>
      <c r="F235" s="86">
        <f t="shared" si="84"/>
        <v>163192.8664751137</v>
      </c>
      <c r="G235" s="86">
        <f t="shared" si="79"/>
        <v>8906.0038065710414</v>
      </c>
      <c r="H235" s="86">
        <f t="shared" ca="1" si="80"/>
        <v>1515.8804041466115</v>
      </c>
      <c r="I235" s="86">
        <f t="shared" si="63"/>
        <v>10421.884210717653</v>
      </c>
      <c r="J235" s="86">
        <f t="shared" si="66"/>
        <v>0</v>
      </c>
      <c r="K235" s="86">
        <f>IF(B235="","",IF(F235=0,0,IF(Sheet1!$I$10=6,'Tabla Fijos CAT'!$C$3*'Tabla Fijos CAT'!$F$5,$C$5*$F$5)))</f>
        <v>0</v>
      </c>
      <c r="L235" s="86">
        <f t="shared" si="67"/>
        <v>0</v>
      </c>
      <c r="M235" s="86"/>
      <c r="N235" s="86"/>
      <c r="O235" s="86">
        <f t="shared" ca="1" si="81"/>
        <v>10421.884210717653</v>
      </c>
      <c r="P235" s="86">
        <f t="shared" si="68"/>
        <v>154286.86266854266</v>
      </c>
      <c r="Q235" s="355">
        <f t="shared" si="69"/>
        <v>0</v>
      </c>
      <c r="R235" s="201">
        <f t="shared" si="70"/>
        <v>8906.003806571056</v>
      </c>
      <c r="S235" s="201">
        <f t="shared" si="71"/>
        <v>1515.8804041466115</v>
      </c>
      <c r="T235" s="202">
        <f t="shared" si="72"/>
        <v>10421.884210717668</v>
      </c>
      <c r="U235" s="201">
        <f t="shared" si="73"/>
        <v>8906.0038065710414</v>
      </c>
      <c r="V235" s="201">
        <f t="shared" si="74"/>
        <v>1515.8804041466115</v>
      </c>
      <c r="W235" s="201">
        <f t="shared" si="82"/>
        <v>10421.884210717653</v>
      </c>
      <c r="X235" s="201">
        <f t="shared" si="75"/>
        <v>8906.003806571136</v>
      </c>
      <c r="Y235" s="201">
        <f t="shared" si="76"/>
        <v>1515.8804041466115</v>
      </c>
      <c r="Z235" s="201">
        <f t="shared" si="83"/>
        <v>10421.884210717748</v>
      </c>
      <c r="AA235" s="201"/>
      <c r="AC235" s="257">
        <f t="shared" si="77"/>
        <v>10421.884210717653</v>
      </c>
    </row>
    <row r="236" spans="2:29" x14ac:dyDescent="0.3">
      <c r="B236" s="84">
        <f t="shared" si="78"/>
        <v>225</v>
      </c>
      <c r="C236" s="85">
        <f ca="1">IF($B236="","",'Fecha Pago'!K228)</f>
        <v>52996</v>
      </c>
      <c r="D236" s="86">
        <f>IF($B$12="","",'Fecha Pago'!L228)</f>
        <v>30.4</v>
      </c>
      <c r="E236" s="87">
        <f t="shared" si="64"/>
        <v>0.11</v>
      </c>
      <c r="F236" s="86">
        <f t="shared" si="84"/>
        <v>154286.86266854266</v>
      </c>
      <c r="G236" s="86">
        <f t="shared" si="79"/>
        <v>8988.7306863743015</v>
      </c>
      <c r="H236" s="86">
        <f t="shared" ca="1" si="80"/>
        <v>1433.1535243433516</v>
      </c>
      <c r="I236" s="86">
        <f t="shared" si="63"/>
        <v>10421.884210717653</v>
      </c>
      <c r="J236" s="86">
        <f t="shared" si="66"/>
        <v>0</v>
      </c>
      <c r="K236" s="86">
        <f>IF(B236="","",IF(F236=0,0,IF(Sheet1!$I$10=6,'Tabla Fijos CAT'!$C$3*'Tabla Fijos CAT'!$F$5,$C$5*$F$5)))</f>
        <v>0</v>
      </c>
      <c r="L236" s="86">
        <f t="shared" si="67"/>
        <v>0</v>
      </c>
      <c r="M236" s="86"/>
      <c r="N236" s="86"/>
      <c r="O236" s="86">
        <f t="shared" ca="1" si="81"/>
        <v>10421.884210717653</v>
      </c>
      <c r="P236" s="86">
        <f t="shared" si="68"/>
        <v>145298.13198216836</v>
      </c>
      <c r="Q236" s="355">
        <f t="shared" si="69"/>
        <v>0</v>
      </c>
      <c r="R236" s="201">
        <f t="shared" si="70"/>
        <v>8988.7306863743161</v>
      </c>
      <c r="S236" s="201">
        <f t="shared" si="71"/>
        <v>1433.1535243433516</v>
      </c>
      <c r="T236" s="202">
        <f t="shared" si="72"/>
        <v>10421.884210717668</v>
      </c>
      <c r="U236" s="201">
        <f t="shared" si="73"/>
        <v>8988.7306863743015</v>
      </c>
      <c r="V236" s="201">
        <f t="shared" si="74"/>
        <v>1433.1535243433516</v>
      </c>
      <c r="W236" s="201">
        <f t="shared" si="82"/>
        <v>10421.884210717653</v>
      </c>
      <c r="X236" s="201">
        <f t="shared" si="75"/>
        <v>8988.7306863744034</v>
      </c>
      <c r="Y236" s="201">
        <f t="shared" si="76"/>
        <v>1433.1535243433516</v>
      </c>
      <c r="Z236" s="201">
        <f t="shared" si="83"/>
        <v>10421.884210717755</v>
      </c>
      <c r="AA236" s="201"/>
      <c r="AC236" s="257">
        <f t="shared" si="77"/>
        <v>10421.884210717653</v>
      </c>
    </row>
    <row r="237" spans="2:29" x14ac:dyDescent="0.3">
      <c r="B237" s="84">
        <f t="shared" si="78"/>
        <v>226</v>
      </c>
      <c r="C237" s="85">
        <f ca="1">IF($B237="","",'Fecha Pago'!K229)</f>
        <v>53024</v>
      </c>
      <c r="D237" s="86">
        <f>IF($B$12="","",'Fecha Pago'!L229)</f>
        <v>30.4</v>
      </c>
      <c r="E237" s="87">
        <f t="shared" si="64"/>
        <v>0.11</v>
      </c>
      <c r="F237" s="86">
        <f t="shared" si="84"/>
        <v>145298.13198216836</v>
      </c>
      <c r="G237" s="86">
        <f t="shared" si="79"/>
        <v>9072.2260069721779</v>
      </c>
      <c r="H237" s="86">
        <f t="shared" ca="1" si="80"/>
        <v>1349.6582037454748</v>
      </c>
      <c r="I237" s="86">
        <f t="shared" si="63"/>
        <v>10421.884210717653</v>
      </c>
      <c r="J237" s="86">
        <f t="shared" si="66"/>
        <v>0</v>
      </c>
      <c r="K237" s="86">
        <f>IF(B237="","",IF(F237=0,0,IF(Sheet1!$I$10=6,'Tabla Fijos CAT'!$C$3*'Tabla Fijos CAT'!$F$5,$C$5*$F$5)))</f>
        <v>0</v>
      </c>
      <c r="L237" s="86">
        <f t="shared" si="67"/>
        <v>0</v>
      </c>
      <c r="M237" s="86"/>
      <c r="N237" s="86"/>
      <c r="O237" s="86">
        <f t="shared" ca="1" si="81"/>
        <v>10421.884210717653</v>
      </c>
      <c r="P237" s="86">
        <f t="shared" si="68"/>
        <v>136225.90597519619</v>
      </c>
      <c r="Q237" s="355">
        <f t="shared" si="69"/>
        <v>0</v>
      </c>
      <c r="R237" s="201">
        <f t="shared" si="70"/>
        <v>9072.2260069721924</v>
      </c>
      <c r="S237" s="201">
        <f t="shared" si="71"/>
        <v>1349.6582037454748</v>
      </c>
      <c r="T237" s="202">
        <f t="shared" si="72"/>
        <v>10421.884210717668</v>
      </c>
      <c r="U237" s="201">
        <f t="shared" si="73"/>
        <v>9072.2260069721779</v>
      </c>
      <c r="V237" s="201">
        <f t="shared" si="74"/>
        <v>1349.6582037454748</v>
      </c>
      <c r="W237" s="201">
        <f t="shared" si="82"/>
        <v>10421.884210717653</v>
      </c>
      <c r="X237" s="201">
        <f t="shared" si="75"/>
        <v>9072.2260069722888</v>
      </c>
      <c r="Y237" s="201">
        <f t="shared" si="76"/>
        <v>1349.6582037454748</v>
      </c>
      <c r="Z237" s="201">
        <f t="shared" si="83"/>
        <v>10421.884210717764</v>
      </c>
      <c r="AA237" s="201"/>
      <c r="AC237" s="257">
        <f t="shared" si="77"/>
        <v>10421.884210717653</v>
      </c>
    </row>
    <row r="238" spans="2:29" x14ac:dyDescent="0.3">
      <c r="B238" s="84">
        <f t="shared" si="78"/>
        <v>227</v>
      </c>
      <c r="C238" s="85">
        <f ca="1">IF($B238="","",'Fecha Pago'!K230)</f>
        <v>53055</v>
      </c>
      <c r="D238" s="86">
        <f>IF($B$12="","",'Fecha Pago'!L230)</f>
        <v>30.4</v>
      </c>
      <c r="E238" s="87">
        <f t="shared" si="64"/>
        <v>0.11</v>
      </c>
      <c r="F238" s="86">
        <f t="shared" si="84"/>
        <v>136225.90597519619</v>
      </c>
      <c r="G238" s="86">
        <f t="shared" si="79"/>
        <v>9156.4969063258304</v>
      </c>
      <c r="H238" s="86">
        <f t="shared" ca="1" si="80"/>
        <v>1265.3873043918222</v>
      </c>
      <c r="I238" s="86">
        <f t="shared" si="63"/>
        <v>10421.884210717653</v>
      </c>
      <c r="J238" s="86">
        <f t="shared" si="66"/>
        <v>0</v>
      </c>
      <c r="K238" s="86">
        <f>IF(B238="","",IF(F238=0,0,IF(Sheet1!$I$10=6,'Tabla Fijos CAT'!$C$3*'Tabla Fijos CAT'!$F$5,$C$5*$F$5)))</f>
        <v>0</v>
      </c>
      <c r="L238" s="86">
        <f t="shared" si="67"/>
        <v>0</v>
      </c>
      <c r="M238" s="86"/>
      <c r="N238" s="86"/>
      <c r="O238" s="86">
        <f t="shared" ca="1" si="81"/>
        <v>10421.884210717653</v>
      </c>
      <c r="P238" s="86">
        <f t="shared" si="68"/>
        <v>127069.40906887036</v>
      </c>
      <c r="Q238" s="355">
        <f t="shared" si="69"/>
        <v>0</v>
      </c>
      <c r="R238" s="201">
        <f t="shared" si="70"/>
        <v>9156.4969063258468</v>
      </c>
      <c r="S238" s="201">
        <f t="shared" si="71"/>
        <v>1265.3873043918222</v>
      </c>
      <c r="T238" s="202">
        <f t="shared" si="72"/>
        <v>10421.88421071767</v>
      </c>
      <c r="U238" s="201">
        <f t="shared" si="73"/>
        <v>9156.4969063258304</v>
      </c>
      <c r="V238" s="201">
        <f t="shared" si="74"/>
        <v>1265.3873043918222</v>
      </c>
      <c r="W238" s="201">
        <f t="shared" si="82"/>
        <v>10421.884210717653</v>
      </c>
      <c r="X238" s="201">
        <f t="shared" si="75"/>
        <v>9156.4969063259505</v>
      </c>
      <c r="Y238" s="201">
        <f t="shared" si="76"/>
        <v>1265.3873043918222</v>
      </c>
      <c r="Z238" s="201">
        <f t="shared" si="83"/>
        <v>10421.884210717773</v>
      </c>
      <c r="AA238" s="201"/>
      <c r="AC238" s="257">
        <f t="shared" si="77"/>
        <v>10421.884210717653</v>
      </c>
    </row>
    <row r="239" spans="2:29" x14ac:dyDescent="0.3">
      <c r="B239" s="84">
        <f t="shared" si="78"/>
        <v>228</v>
      </c>
      <c r="C239" s="85">
        <f ca="1">IF($B239="","",'Fecha Pago'!K231)</f>
        <v>53085</v>
      </c>
      <c r="D239" s="86">
        <f>IF($B$12="","",'Fecha Pago'!L231)</f>
        <v>30.4</v>
      </c>
      <c r="E239" s="87">
        <f t="shared" si="64"/>
        <v>0.11</v>
      </c>
      <c r="F239" s="86">
        <f t="shared" si="84"/>
        <v>127069.40906887036</v>
      </c>
      <c r="G239" s="86">
        <f t="shared" si="79"/>
        <v>9241.5505887001473</v>
      </c>
      <c r="H239" s="86">
        <f t="shared" ca="1" si="80"/>
        <v>1180.3336220175067</v>
      </c>
      <c r="I239" s="86">
        <f t="shared" si="63"/>
        <v>10421.884210717653</v>
      </c>
      <c r="J239" s="86">
        <f t="shared" si="66"/>
        <v>0</v>
      </c>
      <c r="K239" s="86">
        <f>IF(B239="","",IF(F239=0,0,IF(Sheet1!$I$10=6,'Tabla Fijos CAT'!$C$3*'Tabla Fijos CAT'!$F$5,$C$5*$F$5)))</f>
        <v>0</v>
      </c>
      <c r="L239" s="86">
        <f t="shared" si="67"/>
        <v>0</v>
      </c>
      <c r="M239" s="86"/>
      <c r="N239" s="86"/>
      <c r="O239" s="86">
        <f t="shared" ca="1" si="81"/>
        <v>10421.884210717653</v>
      </c>
      <c r="P239" s="86">
        <f t="shared" si="68"/>
        <v>117827.85848017021</v>
      </c>
      <c r="Q239" s="355">
        <f t="shared" si="69"/>
        <v>0</v>
      </c>
      <c r="R239" s="201">
        <f t="shared" si="70"/>
        <v>9241.5505887001618</v>
      </c>
      <c r="S239" s="201">
        <f t="shared" si="71"/>
        <v>1180.3336220175067</v>
      </c>
      <c r="T239" s="202">
        <f t="shared" si="72"/>
        <v>10421.884210717668</v>
      </c>
      <c r="U239" s="201">
        <f t="shared" si="73"/>
        <v>9241.5505887001473</v>
      </c>
      <c r="V239" s="201">
        <f t="shared" si="74"/>
        <v>1180.3336220175067</v>
      </c>
      <c r="W239" s="201">
        <f t="shared" si="82"/>
        <v>10421.884210717653</v>
      </c>
      <c r="X239" s="201">
        <f t="shared" si="75"/>
        <v>9241.5505887002782</v>
      </c>
      <c r="Y239" s="201">
        <f t="shared" si="76"/>
        <v>1180.3336220175067</v>
      </c>
      <c r="Z239" s="201">
        <f t="shared" si="83"/>
        <v>10421.884210717784</v>
      </c>
      <c r="AA239" s="201"/>
      <c r="AC239" s="257">
        <f t="shared" si="77"/>
        <v>10421.884210717653</v>
      </c>
    </row>
    <row r="240" spans="2:29" x14ac:dyDescent="0.3">
      <c r="B240" s="84">
        <f t="shared" si="78"/>
        <v>229</v>
      </c>
      <c r="C240" s="85">
        <f ca="1">IF($B240="","",'Fecha Pago'!K232)</f>
        <v>53116</v>
      </c>
      <c r="D240" s="86">
        <f>IF($B$12="","",'Fecha Pago'!L232)</f>
        <v>30.4</v>
      </c>
      <c r="E240" s="87">
        <f t="shared" si="64"/>
        <v>0.11</v>
      </c>
      <c r="F240" s="86">
        <f t="shared" si="84"/>
        <v>117827.85848017021</v>
      </c>
      <c r="G240" s="86">
        <f t="shared" si="79"/>
        <v>9327.3943252796271</v>
      </c>
      <c r="H240" s="86">
        <f t="shared" ca="1" si="80"/>
        <v>1094.4898854380253</v>
      </c>
      <c r="I240" s="86">
        <f t="shared" si="63"/>
        <v>10421.884210717653</v>
      </c>
      <c r="J240" s="86">
        <f t="shared" si="66"/>
        <v>0</v>
      </c>
      <c r="K240" s="86">
        <f>IF(B240="","",IF(F240=0,0,IF(Sheet1!$I$10=6,'Tabla Fijos CAT'!$C$3*'Tabla Fijos CAT'!$F$5,$C$5*$F$5)))</f>
        <v>0</v>
      </c>
      <c r="L240" s="86">
        <f t="shared" si="67"/>
        <v>0</v>
      </c>
      <c r="M240" s="86"/>
      <c r="N240" s="86"/>
      <c r="O240" s="86">
        <f t="shared" ca="1" si="81"/>
        <v>10421.884210717653</v>
      </c>
      <c r="P240" s="86">
        <f t="shared" si="68"/>
        <v>108500.46415489058</v>
      </c>
      <c r="Q240" s="355">
        <f t="shared" si="69"/>
        <v>0</v>
      </c>
      <c r="R240" s="201">
        <f t="shared" si="70"/>
        <v>9327.3943252796435</v>
      </c>
      <c r="S240" s="201">
        <f t="shared" si="71"/>
        <v>1094.4898854380253</v>
      </c>
      <c r="T240" s="202">
        <f t="shared" si="72"/>
        <v>10421.884210717668</v>
      </c>
      <c r="U240" s="201">
        <f t="shared" si="73"/>
        <v>9327.3943252796271</v>
      </c>
      <c r="V240" s="201">
        <f t="shared" si="74"/>
        <v>1094.4898854380253</v>
      </c>
      <c r="W240" s="201">
        <f t="shared" si="82"/>
        <v>10421.884210717653</v>
      </c>
      <c r="X240" s="201">
        <f t="shared" si="75"/>
        <v>9327.394325279769</v>
      </c>
      <c r="Y240" s="201">
        <f t="shared" si="76"/>
        <v>1094.4898854380253</v>
      </c>
      <c r="Z240" s="201">
        <f t="shared" si="83"/>
        <v>10421.884210717795</v>
      </c>
      <c r="AA240" s="201"/>
      <c r="AC240" s="257">
        <f t="shared" si="77"/>
        <v>10421.884210717653</v>
      </c>
    </row>
    <row r="241" spans="2:29" x14ac:dyDescent="0.3">
      <c r="B241" s="84">
        <f t="shared" si="78"/>
        <v>230</v>
      </c>
      <c r="C241" s="85">
        <f ca="1">IF($B241="","",'Fecha Pago'!K233)</f>
        <v>53146</v>
      </c>
      <c r="D241" s="86">
        <f>IF($B$12="","",'Fecha Pago'!L233)</f>
        <v>30.4</v>
      </c>
      <c r="E241" s="87">
        <f t="shared" si="64"/>
        <v>0.11</v>
      </c>
      <c r="F241" s="86">
        <f t="shared" si="84"/>
        <v>108500.46415489058</v>
      </c>
      <c r="G241" s="86">
        <f t="shared" si="79"/>
        <v>9414.0354547900024</v>
      </c>
      <c r="H241" s="86">
        <f t="shared" ca="1" si="80"/>
        <v>1007.8487559276501</v>
      </c>
      <c r="I241" s="86">
        <f t="shared" si="63"/>
        <v>10421.884210717653</v>
      </c>
      <c r="J241" s="86">
        <f t="shared" si="66"/>
        <v>0</v>
      </c>
      <c r="K241" s="86">
        <f>IF(B241="","",IF(F241=0,0,IF(Sheet1!$I$10=6,'Tabla Fijos CAT'!$C$3*'Tabla Fijos CAT'!$F$5,$C$5*$F$5)))</f>
        <v>0</v>
      </c>
      <c r="L241" s="86">
        <f t="shared" si="67"/>
        <v>0</v>
      </c>
      <c r="M241" s="86"/>
      <c r="N241" s="86"/>
      <c r="O241" s="86">
        <f t="shared" ca="1" si="81"/>
        <v>10421.884210717653</v>
      </c>
      <c r="P241" s="86">
        <f t="shared" si="68"/>
        <v>99086.428700100572</v>
      </c>
      <c r="Q241" s="355">
        <f t="shared" si="69"/>
        <v>0</v>
      </c>
      <c r="R241" s="201">
        <f t="shared" si="70"/>
        <v>9414.0354547900188</v>
      </c>
      <c r="S241" s="201">
        <f t="shared" si="71"/>
        <v>1007.8487559276501</v>
      </c>
      <c r="T241" s="202">
        <f t="shared" si="72"/>
        <v>10421.88421071767</v>
      </c>
      <c r="U241" s="201">
        <f t="shared" si="73"/>
        <v>9414.0354547900024</v>
      </c>
      <c r="V241" s="201">
        <f t="shared" si="74"/>
        <v>1007.8487559276501</v>
      </c>
      <c r="W241" s="201">
        <f t="shared" si="82"/>
        <v>10421.884210717653</v>
      </c>
      <c r="X241" s="201">
        <f t="shared" si="75"/>
        <v>9414.035454790157</v>
      </c>
      <c r="Y241" s="201">
        <f t="shared" si="76"/>
        <v>1007.8487559276501</v>
      </c>
      <c r="Z241" s="201">
        <f t="shared" si="83"/>
        <v>10421.884210717808</v>
      </c>
      <c r="AA241" s="201"/>
      <c r="AC241" s="257">
        <f t="shared" si="77"/>
        <v>10421.884210717653</v>
      </c>
    </row>
    <row r="242" spans="2:29" x14ac:dyDescent="0.3">
      <c r="B242" s="84">
        <f t="shared" si="78"/>
        <v>231</v>
      </c>
      <c r="C242" s="85">
        <f ca="1">IF($B242="","",'Fecha Pago'!K234)</f>
        <v>53177</v>
      </c>
      <c r="D242" s="86">
        <f>IF($B$12="","",'Fecha Pago'!L234)</f>
        <v>30.4</v>
      </c>
      <c r="E242" s="87">
        <f t="shared" si="64"/>
        <v>0.11</v>
      </c>
      <c r="F242" s="86">
        <f t="shared" si="84"/>
        <v>99086.428700100572</v>
      </c>
      <c r="G242" s="86">
        <f t="shared" si="79"/>
        <v>9501.4813841256073</v>
      </c>
      <c r="H242" s="86">
        <f t="shared" ca="1" si="80"/>
        <v>920.40282659204524</v>
      </c>
      <c r="I242" s="86">
        <f t="shared" si="63"/>
        <v>10421.884210717653</v>
      </c>
      <c r="J242" s="86">
        <f t="shared" si="66"/>
        <v>0</v>
      </c>
      <c r="K242" s="86">
        <f>IF(B242="","",IF(F242=0,0,IF(Sheet1!$I$10=6,'Tabla Fijos CAT'!$C$3*'Tabla Fijos CAT'!$F$5,$C$5*$F$5)))</f>
        <v>0</v>
      </c>
      <c r="L242" s="86">
        <f t="shared" si="67"/>
        <v>0</v>
      </c>
      <c r="M242" s="86"/>
      <c r="N242" s="86"/>
      <c r="O242" s="86">
        <f t="shared" ca="1" si="81"/>
        <v>10421.884210717653</v>
      </c>
      <c r="P242" s="86">
        <f t="shared" si="68"/>
        <v>89584.947315974961</v>
      </c>
      <c r="Q242" s="355">
        <f t="shared" si="69"/>
        <v>0</v>
      </c>
      <c r="R242" s="201">
        <f t="shared" si="70"/>
        <v>9501.4813841256237</v>
      </c>
      <c r="S242" s="201">
        <f t="shared" si="71"/>
        <v>920.40282659204524</v>
      </c>
      <c r="T242" s="202">
        <f t="shared" si="72"/>
        <v>10421.88421071767</v>
      </c>
      <c r="U242" s="201">
        <f t="shared" si="73"/>
        <v>9501.4813841256073</v>
      </c>
      <c r="V242" s="201">
        <f t="shared" si="74"/>
        <v>920.40282659204524</v>
      </c>
      <c r="W242" s="201">
        <f t="shared" si="82"/>
        <v>10421.884210717653</v>
      </c>
      <c r="X242" s="201">
        <f t="shared" si="75"/>
        <v>9501.4813841257783</v>
      </c>
      <c r="Y242" s="201">
        <f t="shared" si="76"/>
        <v>920.40282659204524</v>
      </c>
      <c r="Z242" s="201">
        <f t="shared" si="83"/>
        <v>10421.884210717824</v>
      </c>
      <c r="AA242" s="201"/>
      <c r="AC242" s="257">
        <f t="shared" si="77"/>
        <v>10421.884210717653</v>
      </c>
    </row>
    <row r="243" spans="2:29" x14ac:dyDescent="0.3">
      <c r="B243" s="84">
        <f t="shared" si="78"/>
        <v>232</v>
      </c>
      <c r="C243" s="85">
        <f ca="1">IF($B243="","",'Fecha Pago'!K235)</f>
        <v>53208</v>
      </c>
      <c r="D243" s="86">
        <f>IF($B$12="","",'Fecha Pago'!L235)</f>
        <v>30.4</v>
      </c>
      <c r="E243" s="87">
        <f t="shared" si="64"/>
        <v>0.11</v>
      </c>
      <c r="F243" s="86">
        <f t="shared" si="84"/>
        <v>89584.947315974961</v>
      </c>
      <c r="G243" s="86">
        <f t="shared" si="79"/>
        <v>9589.7395889825966</v>
      </c>
      <c r="H243" s="86">
        <f t="shared" ca="1" si="80"/>
        <v>832.14462173505626</v>
      </c>
      <c r="I243" s="86">
        <f t="shared" si="63"/>
        <v>10421.884210717653</v>
      </c>
      <c r="J243" s="86">
        <f t="shared" si="66"/>
        <v>0</v>
      </c>
      <c r="K243" s="86">
        <f>IF(B243="","",IF(F243=0,0,IF(Sheet1!$I$10=6,'Tabla Fijos CAT'!$C$3*'Tabla Fijos CAT'!$F$5,$C$5*$F$5)))</f>
        <v>0</v>
      </c>
      <c r="L243" s="86">
        <f t="shared" si="67"/>
        <v>0</v>
      </c>
      <c r="M243" s="86"/>
      <c r="N243" s="86"/>
      <c r="O243" s="86">
        <f t="shared" ca="1" si="81"/>
        <v>10421.884210717653</v>
      </c>
      <c r="P243" s="86">
        <f t="shared" si="68"/>
        <v>79995.207726992361</v>
      </c>
      <c r="Q243" s="355">
        <f t="shared" si="69"/>
        <v>0</v>
      </c>
      <c r="R243" s="201">
        <f t="shared" si="70"/>
        <v>9589.739588982613</v>
      </c>
      <c r="S243" s="201">
        <f t="shared" si="71"/>
        <v>832.14462173505626</v>
      </c>
      <c r="T243" s="202">
        <f t="shared" si="72"/>
        <v>10421.88421071767</v>
      </c>
      <c r="U243" s="201">
        <f t="shared" si="73"/>
        <v>9589.7395889825966</v>
      </c>
      <c r="V243" s="201">
        <f t="shared" si="74"/>
        <v>832.14462173505626</v>
      </c>
      <c r="W243" s="201">
        <f t="shared" si="82"/>
        <v>10421.884210717653</v>
      </c>
      <c r="X243" s="201">
        <f t="shared" si="75"/>
        <v>9589.7395889827858</v>
      </c>
      <c r="Y243" s="201">
        <f t="shared" si="76"/>
        <v>832.14462173505626</v>
      </c>
      <c r="Z243" s="201">
        <f t="shared" si="83"/>
        <v>10421.884210717843</v>
      </c>
      <c r="AA243" s="201"/>
      <c r="AC243" s="257">
        <f t="shared" si="77"/>
        <v>10421.884210717653</v>
      </c>
    </row>
    <row r="244" spans="2:29" x14ac:dyDescent="0.3">
      <c r="B244" s="84">
        <f t="shared" si="78"/>
        <v>233</v>
      </c>
      <c r="C244" s="85">
        <f ca="1">IF($B244="","",'Fecha Pago'!K236)</f>
        <v>53238</v>
      </c>
      <c r="D244" s="86">
        <f>IF($B$12="","",'Fecha Pago'!L236)</f>
        <v>30.4</v>
      </c>
      <c r="E244" s="87">
        <f t="shared" si="64"/>
        <v>0.11</v>
      </c>
      <c r="F244" s="86">
        <f t="shared" si="84"/>
        <v>79995.207726992361</v>
      </c>
      <c r="G244" s="86">
        <f t="shared" si="79"/>
        <v>9678.8176144980353</v>
      </c>
      <c r="H244" s="86">
        <f t="shared" ca="1" si="80"/>
        <v>743.06659621961785</v>
      </c>
      <c r="I244" s="86">
        <f t="shared" si="63"/>
        <v>10421.884210717653</v>
      </c>
      <c r="J244" s="86">
        <f t="shared" si="66"/>
        <v>0</v>
      </c>
      <c r="K244" s="86">
        <f>IF(B244="","",IF(F244=0,0,IF(Sheet1!$I$10=6,'Tabla Fijos CAT'!$C$3*'Tabla Fijos CAT'!$F$5,$C$5*$F$5)))</f>
        <v>0</v>
      </c>
      <c r="L244" s="86">
        <f t="shared" si="67"/>
        <v>0</v>
      </c>
      <c r="M244" s="86"/>
      <c r="N244" s="86"/>
      <c r="O244" s="86">
        <f t="shared" ca="1" si="81"/>
        <v>10421.884210717653</v>
      </c>
      <c r="P244" s="86">
        <f t="shared" si="68"/>
        <v>70316.390112494322</v>
      </c>
      <c r="Q244" s="355">
        <f t="shared" si="69"/>
        <v>0</v>
      </c>
      <c r="R244" s="201">
        <f t="shared" si="70"/>
        <v>9678.8176144980516</v>
      </c>
      <c r="S244" s="201">
        <f t="shared" si="71"/>
        <v>743.06659621961785</v>
      </c>
      <c r="T244" s="202">
        <f t="shared" si="72"/>
        <v>10421.88421071767</v>
      </c>
      <c r="U244" s="201">
        <f t="shared" si="73"/>
        <v>9678.8176144980353</v>
      </c>
      <c r="V244" s="201">
        <f t="shared" si="74"/>
        <v>743.06659621961785</v>
      </c>
      <c r="W244" s="201">
        <f t="shared" si="82"/>
        <v>10421.884210717653</v>
      </c>
      <c r="X244" s="201">
        <f t="shared" si="75"/>
        <v>9678.8176144982481</v>
      </c>
      <c r="Y244" s="201">
        <f t="shared" si="76"/>
        <v>743.06659621961785</v>
      </c>
      <c r="Z244" s="201">
        <f t="shared" si="83"/>
        <v>10421.884210717866</v>
      </c>
      <c r="AA244" s="201"/>
      <c r="AC244" s="257">
        <f t="shared" si="77"/>
        <v>10421.884210717653</v>
      </c>
    </row>
    <row r="245" spans="2:29" x14ac:dyDescent="0.3">
      <c r="B245" s="84">
        <f t="shared" si="78"/>
        <v>234</v>
      </c>
      <c r="C245" s="85">
        <f ca="1">IF($B245="","",'Fecha Pago'!K237)</f>
        <v>53269</v>
      </c>
      <c r="D245" s="86">
        <f>IF($B$12="","",'Fecha Pago'!L237)</f>
        <v>30.4</v>
      </c>
      <c r="E245" s="87">
        <f t="shared" si="64"/>
        <v>0.11</v>
      </c>
      <c r="F245" s="86">
        <f t="shared" si="84"/>
        <v>70316.390112494322</v>
      </c>
      <c r="G245" s="86">
        <f t="shared" si="79"/>
        <v>9768.7230758949281</v>
      </c>
      <c r="H245" s="86">
        <f t="shared" ca="1" si="80"/>
        <v>653.16113482272499</v>
      </c>
      <c r="I245" s="86">
        <f t="shared" si="63"/>
        <v>10421.884210717653</v>
      </c>
      <c r="J245" s="86">
        <f t="shared" si="66"/>
        <v>0</v>
      </c>
      <c r="K245" s="86">
        <f>IF(B245="","",IF(F245=0,0,IF(Sheet1!$I$10=6,'Tabla Fijos CAT'!$C$3*'Tabla Fijos CAT'!$F$5,$C$5*$F$5)))</f>
        <v>0</v>
      </c>
      <c r="L245" s="86">
        <f t="shared" si="67"/>
        <v>0</v>
      </c>
      <c r="M245" s="86"/>
      <c r="N245" s="86"/>
      <c r="O245" s="86">
        <f t="shared" ca="1" si="81"/>
        <v>10421.884210717653</v>
      </c>
      <c r="P245" s="86">
        <f t="shared" si="68"/>
        <v>60547.667036599392</v>
      </c>
      <c r="Q245" s="355">
        <f t="shared" si="69"/>
        <v>0</v>
      </c>
      <c r="R245" s="201">
        <f t="shared" si="70"/>
        <v>9768.7230758949445</v>
      </c>
      <c r="S245" s="201">
        <f t="shared" si="71"/>
        <v>653.16113482272499</v>
      </c>
      <c r="T245" s="202">
        <f t="shared" si="72"/>
        <v>10421.88421071767</v>
      </c>
      <c r="U245" s="201">
        <f t="shared" si="73"/>
        <v>9768.7230758949281</v>
      </c>
      <c r="V245" s="201">
        <f t="shared" si="74"/>
        <v>653.16113482272499</v>
      </c>
      <c r="W245" s="201">
        <f t="shared" si="82"/>
        <v>10421.884210717653</v>
      </c>
      <c r="X245" s="201">
        <f t="shared" si="75"/>
        <v>9768.7230758951719</v>
      </c>
      <c r="Y245" s="201">
        <f t="shared" si="76"/>
        <v>653.16113482272499</v>
      </c>
      <c r="Z245" s="201">
        <f t="shared" si="83"/>
        <v>10421.884210717897</v>
      </c>
      <c r="AA245" s="201"/>
      <c r="AC245" s="257">
        <f t="shared" si="77"/>
        <v>10421.884210717653</v>
      </c>
    </row>
    <row r="246" spans="2:29" x14ac:dyDescent="0.3">
      <c r="B246" s="84">
        <f t="shared" si="78"/>
        <v>235</v>
      </c>
      <c r="C246" s="85">
        <f ca="1">IF($B246="","",'Fecha Pago'!K238)</f>
        <v>53299</v>
      </c>
      <c r="D246" s="86">
        <f>IF($B$12="","",'Fecha Pago'!L238)</f>
        <v>30.4</v>
      </c>
      <c r="E246" s="87">
        <f t="shared" si="64"/>
        <v>0.11</v>
      </c>
      <c r="F246" s="86">
        <f t="shared" si="84"/>
        <v>60547.667036599392</v>
      </c>
      <c r="G246" s="86">
        <f t="shared" si="79"/>
        <v>9859.4636591332419</v>
      </c>
      <c r="H246" s="86">
        <f t="shared" ca="1" si="80"/>
        <v>562.42055158441212</v>
      </c>
      <c r="I246" s="86">
        <f t="shared" si="63"/>
        <v>10421.884210717653</v>
      </c>
      <c r="J246" s="86">
        <f t="shared" si="66"/>
        <v>0</v>
      </c>
      <c r="K246" s="86">
        <f>IF(B246="","",IF(F246=0,0,IF(Sheet1!$I$10=6,'Tabla Fijos CAT'!$C$3*'Tabla Fijos CAT'!$F$5,$C$5*$F$5)))</f>
        <v>0</v>
      </c>
      <c r="L246" s="86">
        <f t="shared" si="67"/>
        <v>0</v>
      </c>
      <c r="M246" s="86"/>
      <c r="N246" s="86"/>
      <c r="O246" s="86">
        <f t="shared" ca="1" si="81"/>
        <v>10421.884210717653</v>
      </c>
      <c r="P246" s="86">
        <f t="shared" si="68"/>
        <v>50688.203377466154</v>
      </c>
      <c r="Q246" s="355">
        <f t="shared" si="69"/>
        <v>0</v>
      </c>
      <c r="R246" s="201">
        <f t="shared" si="70"/>
        <v>9859.4636591332564</v>
      </c>
      <c r="S246" s="201">
        <f t="shared" si="71"/>
        <v>562.42055158441212</v>
      </c>
      <c r="T246" s="202">
        <f t="shared" si="72"/>
        <v>10421.884210717668</v>
      </c>
      <c r="U246" s="201">
        <f t="shared" si="73"/>
        <v>9859.4636591332419</v>
      </c>
      <c r="V246" s="201">
        <f t="shared" si="74"/>
        <v>562.42055158441212</v>
      </c>
      <c r="W246" s="201">
        <f t="shared" si="82"/>
        <v>10421.884210717653</v>
      </c>
      <c r="X246" s="201">
        <f t="shared" si="75"/>
        <v>9859.4636591335275</v>
      </c>
      <c r="Y246" s="201">
        <f t="shared" si="76"/>
        <v>562.42055158441212</v>
      </c>
      <c r="Z246" s="201">
        <f t="shared" si="83"/>
        <v>10421.884210717939</v>
      </c>
      <c r="AA246" s="201"/>
      <c r="AC246" s="257">
        <f t="shared" si="77"/>
        <v>10421.884210717653</v>
      </c>
    </row>
    <row r="247" spans="2:29" x14ac:dyDescent="0.3">
      <c r="B247" s="84">
        <f t="shared" si="78"/>
        <v>236</v>
      </c>
      <c r="C247" s="85">
        <f ca="1">IF($B247="","",'Fecha Pago'!K239)</f>
        <v>53330</v>
      </c>
      <c r="D247" s="86">
        <f>IF($B$12="","",'Fecha Pago'!L239)</f>
        <v>30.4</v>
      </c>
      <c r="E247" s="87">
        <f t="shared" si="64"/>
        <v>0.11</v>
      </c>
      <c r="F247" s="86">
        <f t="shared" si="84"/>
        <v>50688.203377466154</v>
      </c>
      <c r="G247" s="86">
        <f t="shared" si="79"/>
        <v>9951.0471215669677</v>
      </c>
      <c r="H247" s="86">
        <f t="shared" ca="1" si="80"/>
        <v>470.83708915068559</v>
      </c>
      <c r="I247" s="86">
        <f t="shared" si="63"/>
        <v>10421.884210717653</v>
      </c>
      <c r="J247" s="86">
        <f t="shared" si="66"/>
        <v>0</v>
      </c>
      <c r="K247" s="86">
        <f>IF(B247="","",IF(F247=0,0,IF(Sheet1!$I$10=6,'Tabla Fijos CAT'!$C$3*'Tabla Fijos CAT'!$F$5,$C$5*$F$5)))</f>
        <v>0</v>
      </c>
      <c r="L247" s="86">
        <f t="shared" si="67"/>
        <v>0</v>
      </c>
      <c r="M247" s="86"/>
      <c r="N247" s="86"/>
      <c r="O247" s="86">
        <f t="shared" ca="1" si="81"/>
        <v>10421.884210717653</v>
      </c>
      <c r="P247" s="86">
        <f t="shared" si="68"/>
        <v>40737.156255899186</v>
      </c>
      <c r="Q247" s="355">
        <f t="shared" si="69"/>
        <v>0</v>
      </c>
      <c r="R247" s="201">
        <f t="shared" si="70"/>
        <v>9951.0471215669841</v>
      </c>
      <c r="S247" s="201">
        <f t="shared" si="71"/>
        <v>470.83708915068559</v>
      </c>
      <c r="T247" s="202">
        <f t="shared" si="72"/>
        <v>10421.88421071767</v>
      </c>
      <c r="U247" s="201">
        <f t="shared" si="73"/>
        <v>9951.0471215669677</v>
      </c>
      <c r="V247" s="201">
        <f t="shared" si="74"/>
        <v>470.83708915068559</v>
      </c>
      <c r="W247" s="201">
        <f t="shared" si="82"/>
        <v>10421.884210717653</v>
      </c>
      <c r="X247" s="201">
        <f t="shared" si="75"/>
        <v>9951.0471215673169</v>
      </c>
      <c r="Y247" s="201">
        <f t="shared" si="76"/>
        <v>470.83708915068559</v>
      </c>
      <c r="Z247" s="201">
        <f t="shared" si="83"/>
        <v>10421.884210718003</v>
      </c>
      <c r="AA247" s="201"/>
      <c r="AC247" s="257">
        <f t="shared" si="77"/>
        <v>10421.884210717653</v>
      </c>
    </row>
    <row r="248" spans="2:29" x14ac:dyDescent="0.3">
      <c r="B248" s="84">
        <f t="shared" si="78"/>
        <v>237</v>
      </c>
      <c r="C248" s="85">
        <f ca="1">IF($B248="","",'Fecha Pago'!K240)</f>
        <v>53361</v>
      </c>
      <c r="D248" s="86">
        <f>IF($B$12="","",'Fecha Pago'!L240)</f>
        <v>30.4</v>
      </c>
      <c r="E248" s="87">
        <f t="shared" si="64"/>
        <v>0.11</v>
      </c>
      <c r="F248" s="86">
        <f t="shared" si="84"/>
        <v>40737.156255899186</v>
      </c>
      <c r="G248" s="86">
        <f t="shared" si="79"/>
        <v>10043.481292607301</v>
      </c>
      <c r="H248" s="86">
        <f t="shared" ca="1" si="80"/>
        <v>378.4029181103524</v>
      </c>
      <c r="I248" s="86">
        <f t="shared" si="63"/>
        <v>10421.884210717653</v>
      </c>
      <c r="J248" s="86">
        <f t="shared" si="66"/>
        <v>0</v>
      </c>
      <c r="K248" s="86">
        <f>IF(B248="","",IF(F248=0,0,IF(Sheet1!$I$10=6,'Tabla Fijos CAT'!$C$3*'Tabla Fijos CAT'!$F$5,$C$5*$F$5)))</f>
        <v>0</v>
      </c>
      <c r="L248" s="86">
        <f t="shared" si="67"/>
        <v>0</v>
      </c>
      <c r="M248" s="86"/>
      <c r="N248" s="86"/>
      <c r="O248" s="86">
        <f t="shared" ca="1" si="81"/>
        <v>10421.884210717653</v>
      </c>
      <c r="P248" s="86">
        <f t="shared" si="68"/>
        <v>30693.674963291887</v>
      </c>
      <c r="Q248" s="355">
        <f t="shared" si="69"/>
        <v>0</v>
      </c>
      <c r="R248" s="201">
        <f t="shared" si="70"/>
        <v>10043.481292607317</v>
      </c>
      <c r="S248" s="201">
        <f t="shared" si="71"/>
        <v>378.4029181103524</v>
      </c>
      <c r="T248" s="202">
        <f t="shared" si="72"/>
        <v>10421.88421071767</v>
      </c>
      <c r="U248" s="201">
        <f t="shared" si="73"/>
        <v>10043.481292607301</v>
      </c>
      <c r="V248" s="201">
        <f t="shared" si="74"/>
        <v>378.4029181103524</v>
      </c>
      <c r="W248" s="201">
        <f t="shared" si="82"/>
        <v>10421.884210717653</v>
      </c>
      <c r="X248" s="201">
        <f t="shared" si="75"/>
        <v>10043.481292607734</v>
      </c>
      <c r="Y248" s="201">
        <f t="shared" si="76"/>
        <v>378.4029181103524</v>
      </c>
      <c r="Z248" s="201">
        <f t="shared" si="83"/>
        <v>10421.884210718086</v>
      </c>
      <c r="AA248" s="201"/>
      <c r="AC248" s="257">
        <f t="shared" si="77"/>
        <v>10421.884210717653</v>
      </c>
    </row>
    <row r="249" spans="2:29" x14ac:dyDescent="0.3">
      <c r="B249" s="84">
        <f t="shared" si="78"/>
        <v>238</v>
      </c>
      <c r="C249" s="85">
        <f ca="1">IF($B249="","",'Fecha Pago'!K241)</f>
        <v>53389</v>
      </c>
      <c r="D249" s="86">
        <f>IF($B$12="","",'Fecha Pago'!L241)</f>
        <v>30.4</v>
      </c>
      <c r="E249" s="87">
        <f t="shared" si="64"/>
        <v>0.11</v>
      </c>
      <c r="F249" s="86">
        <f t="shared" si="84"/>
        <v>30693.674963291887</v>
      </c>
      <c r="G249" s="86">
        <f t="shared" si="79"/>
        <v>10136.774074391964</v>
      </c>
      <c r="H249" s="86">
        <f t="shared" ca="1" si="80"/>
        <v>285.11013632568904</v>
      </c>
      <c r="I249" s="86">
        <f t="shared" si="63"/>
        <v>10421.884210717653</v>
      </c>
      <c r="J249" s="86">
        <f t="shared" si="66"/>
        <v>0</v>
      </c>
      <c r="K249" s="86">
        <f>IF(B249="","",IF(F249=0,0,IF(Sheet1!$I$10=6,'Tabla Fijos CAT'!$C$3*'Tabla Fijos CAT'!$F$5,$C$5*$F$5)))</f>
        <v>0</v>
      </c>
      <c r="L249" s="86">
        <f t="shared" si="67"/>
        <v>0</v>
      </c>
      <c r="M249" s="86"/>
      <c r="N249" s="86"/>
      <c r="O249" s="86">
        <f t="shared" ca="1" si="81"/>
        <v>10421.884210717653</v>
      </c>
      <c r="P249" s="86">
        <f t="shared" si="68"/>
        <v>20556.900888899923</v>
      </c>
      <c r="Q249" s="355">
        <f t="shared" si="69"/>
        <v>0</v>
      </c>
      <c r="R249" s="201">
        <f t="shared" si="70"/>
        <v>10136.774074391982</v>
      </c>
      <c r="S249" s="201">
        <f t="shared" si="71"/>
        <v>285.11013632568904</v>
      </c>
      <c r="T249" s="202">
        <f t="shared" si="72"/>
        <v>10421.884210717672</v>
      </c>
      <c r="U249" s="201">
        <f t="shared" si="73"/>
        <v>10136.774074391964</v>
      </c>
      <c r="V249" s="201">
        <f t="shared" si="74"/>
        <v>285.11013632568904</v>
      </c>
      <c r="W249" s="201">
        <f t="shared" si="82"/>
        <v>10421.884210717653</v>
      </c>
      <c r="X249" s="201">
        <f t="shared" si="75"/>
        <v>10136.774074392548</v>
      </c>
      <c r="Y249" s="201">
        <f t="shared" si="76"/>
        <v>285.11013632568904</v>
      </c>
      <c r="Z249" s="201">
        <f t="shared" si="83"/>
        <v>10421.884210718237</v>
      </c>
      <c r="AA249" s="201"/>
      <c r="AC249" s="257">
        <f t="shared" si="77"/>
        <v>10421.884210717653</v>
      </c>
    </row>
    <row r="250" spans="2:29" x14ac:dyDescent="0.3">
      <c r="B250" s="84">
        <f t="shared" si="78"/>
        <v>239</v>
      </c>
      <c r="C250" s="85">
        <f ca="1">IF($B250="","",'Fecha Pago'!K242)</f>
        <v>53420</v>
      </c>
      <c r="D250" s="86">
        <f>IF($B$12="","",'Fecha Pago'!L242)</f>
        <v>30.4</v>
      </c>
      <c r="E250" s="87">
        <f t="shared" si="64"/>
        <v>0.11</v>
      </c>
      <c r="F250" s="86">
        <f t="shared" si="84"/>
        <v>20556.900888899923</v>
      </c>
      <c r="G250" s="86">
        <f t="shared" si="79"/>
        <v>10230.93344246076</v>
      </c>
      <c r="H250" s="86">
        <f t="shared" ca="1" si="80"/>
        <v>190.95076825689262</v>
      </c>
      <c r="I250" s="86">
        <f t="shared" si="63"/>
        <v>10421.884210717653</v>
      </c>
      <c r="J250" s="86">
        <f t="shared" si="66"/>
        <v>0</v>
      </c>
      <c r="K250" s="86">
        <f>IF(B250="","",IF(F250=0,0,IF(Sheet1!$I$10=6,'Tabla Fijos CAT'!$C$3*'Tabla Fijos CAT'!$F$5,$C$5*$F$5)))</f>
        <v>0</v>
      </c>
      <c r="L250" s="86">
        <f t="shared" si="67"/>
        <v>0</v>
      </c>
      <c r="M250" s="86"/>
      <c r="N250" s="86"/>
      <c r="O250" s="86">
        <f t="shared" ca="1" si="81"/>
        <v>10421.884210717653</v>
      </c>
      <c r="P250" s="86">
        <f t="shared" si="68"/>
        <v>10325.967446439163</v>
      </c>
      <c r="Q250" s="355">
        <f t="shared" si="69"/>
        <v>0</v>
      </c>
      <c r="R250" s="201">
        <f t="shared" si="70"/>
        <v>10230.933442460777</v>
      </c>
      <c r="S250" s="201">
        <f t="shared" si="71"/>
        <v>190.95076825689262</v>
      </c>
      <c r="T250" s="202">
        <f t="shared" si="72"/>
        <v>10421.88421071767</v>
      </c>
      <c r="U250" s="201">
        <f t="shared" si="73"/>
        <v>10230.93344246076</v>
      </c>
      <c r="V250" s="201">
        <f t="shared" si="74"/>
        <v>190.95076825689262</v>
      </c>
      <c r="W250" s="201">
        <f t="shared" si="82"/>
        <v>10421.884210717653</v>
      </c>
      <c r="X250" s="201">
        <f t="shared" si="75"/>
        <v>10230.933442461639</v>
      </c>
      <c r="Y250" s="201">
        <f t="shared" si="76"/>
        <v>190.95076825689262</v>
      </c>
      <c r="Z250" s="201">
        <f t="shared" si="83"/>
        <v>10421.884210718532</v>
      </c>
      <c r="AA250" s="201"/>
      <c r="AC250" s="257">
        <f t="shared" si="77"/>
        <v>10421.884210717653</v>
      </c>
    </row>
    <row r="251" spans="2:29" x14ac:dyDescent="0.3">
      <c r="B251" s="84">
        <f t="shared" si="78"/>
        <v>240</v>
      </c>
      <c r="C251" s="85">
        <f ca="1">IF($B251="","",'Fecha Pago'!K243)</f>
        <v>53450</v>
      </c>
      <c r="D251" s="86">
        <f>IF($B$12="","",'Fecha Pago'!L243)</f>
        <v>30.4</v>
      </c>
      <c r="E251" s="87">
        <f t="shared" ref="E251:E311" si="85">IF(B251="","",$F$2)</f>
        <v>0.11</v>
      </c>
      <c r="F251" s="86">
        <f t="shared" ref="F251:F311" si="86">IF(B251="","",IF(P250&lt;0,0,F250-G250))</f>
        <v>10325.967446439163</v>
      </c>
      <c r="G251" s="86">
        <f t="shared" ref="G251:G311" si="87">IF(B251="","",IF(F251&lt;=G250,F251,IF($P$7=$X$10,X251,IF($P$7=$U$10,U251,IF($P$7=$R$10,R251,)))))+N251</f>
        <v>10325.967446437397</v>
      </c>
      <c r="H251" s="86">
        <f t="shared" ref="H251:H311" ca="1" si="88">IF(C251="","",IF($P$7=$X$10,Y251,IF($P$7=$U$10,V251,IF($P$7=$R$10,S251,))))</f>
        <v>95.916764280257098</v>
      </c>
      <c r="I251" s="86">
        <f t="shared" ref="I251:I311" si="89">IF(D251="","",IF(F251=G251,G251+H251,IF($P$7=$X$10,Z251,IF($P$7=$U$10,W251,IF($P$7=$R$10,T251,)))))</f>
        <v>10421.884210717653</v>
      </c>
      <c r="J251" s="86">
        <f t="shared" ref="J251:J311" si="90">IF(B251="","",IF($F$3="",0,$F$4*F251))</f>
        <v>0</v>
      </c>
      <c r="K251" s="86">
        <f>IF(B251="","",IF(F251=0,0,IF(Sheet1!$I$10=6,'Tabla Fijos CAT'!$C$3*'Tabla Fijos CAT'!$F$5,$C$5*$F$5)))</f>
        <v>0</v>
      </c>
      <c r="L251" s="86">
        <f t="shared" si="67"/>
        <v>0</v>
      </c>
      <c r="M251" s="86"/>
      <c r="N251" s="86"/>
      <c r="O251" s="86">
        <f t="shared" ref="O251:O311" ca="1" si="91">IF(B251="","",G251+H251+J251+K251+L251)</f>
        <v>10421.884210717653</v>
      </c>
      <c r="P251" s="86">
        <f t="shared" ref="P251:P311" si="92">IF(B251="","",F251-G251)</f>
        <v>1.7662387108430266E-9</v>
      </c>
      <c r="Q251" s="355"/>
      <c r="R251" s="201">
        <f t="shared" ref="R251:R311" si="93">PPMT(E251/360*30.4,B251,$C$4,-$P$11)</f>
        <v>10325.967446437415</v>
      </c>
      <c r="S251" s="201">
        <f t="shared" ref="S251:S311" si="94">(E251/360*D251)*F251</f>
        <v>95.916764280257098</v>
      </c>
      <c r="T251" s="202">
        <f t="shared" ref="T251:T311" si="95">R251+S251</f>
        <v>10421.884210717672</v>
      </c>
      <c r="U251" s="201">
        <f t="shared" ref="U251:U311" si="96">W251-V251</f>
        <v>10325.967446437397</v>
      </c>
      <c r="V251" s="201">
        <f t="shared" ref="V251:V311" si="97">(E251/360*D251)*F251</f>
        <v>95.916764280257098</v>
      </c>
      <c r="W251" s="201">
        <f t="shared" si="82"/>
        <v>10421.884210717653</v>
      </c>
      <c r="X251" s="201">
        <f t="shared" ref="X251:X311" si="98">Z251-Y251</f>
        <v>10325.967446439163</v>
      </c>
      <c r="Y251" s="201">
        <f t="shared" ref="Y251:Y311" si="99">(E251/360*D251)*F251</f>
        <v>95.916764280257098</v>
      </c>
      <c r="Z251" s="201">
        <f t="shared" ref="Z251:Z311" si="100">PMT($F$2/360*30.4,$C$4-B250,-P250)</f>
        <v>10421.88421071942</v>
      </c>
      <c r="AA251" s="201"/>
      <c r="AC251" s="257">
        <f t="shared" ref="AC251:AC311" si="101">IF(B251="","",I251+J251+(K251/1.16)+L251+N251)</f>
        <v>10421.884210717653</v>
      </c>
    </row>
    <row r="252" spans="2:29" x14ac:dyDescent="0.3">
      <c r="B252" s="84" t="str">
        <f t="shared" si="78"/>
        <v/>
      </c>
      <c r="C252" s="85" t="str">
        <f>IF($B252="","",'Fecha Pago'!K244)</f>
        <v/>
      </c>
      <c r="D252" s="86" t="str">
        <f>IF($B$12="","",'Fecha Pago'!L244)</f>
        <v/>
      </c>
      <c r="E252" s="87" t="str">
        <f t="shared" si="85"/>
        <v/>
      </c>
      <c r="F252" s="86" t="str">
        <f t="shared" si="86"/>
        <v/>
      </c>
      <c r="G252" s="86" t="e">
        <f t="shared" si="87"/>
        <v>#VALUE!</v>
      </c>
      <c r="H252" s="86" t="str">
        <f t="shared" si="88"/>
        <v/>
      </c>
      <c r="I252" s="86" t="str">
        <f t="shared" si="89"/>
        <v/>
      </c>
      <c r="J252" s="86" t="str">
        <f t="shared" si="90"/>
        <v/>
      </c>
      <c r="K252" s="86" t="str">
        <f>IF(B252="","",IF(F252=0,0,IF(Sheet1!$I$10=6,'Tabla Fijos CAT'!$C$3*'Tabla Fijos CAT'!$F$5,$C$5*$F$5)))</f>
        <v/>
      </c>
      <c r="L252" s="86" t="str">
        <f t="shared" si="67"/>
        <v/>
      </c>
      <c r="M252" s="86"/>
      <c r="N252" s="86"/>
      <c r="O252" s="86" t="str">
        <f t="shared" si="91"/>
        <v/>
      </c>
      <c r="P252" s="86" t="str">
        <f t="shared" si="92"/>
        <v/>
      </c>
      <c r="Q252" s="355"/>
      <c r="R252" s="201" t="e">
        <f t="shared" si="93"/>
        <v>#VALUE!</v>
      </c>
      <c r="S252" s="201" t="e">
        <f t="shared" si="94"/>
        <v>#VALUE!</v>
      </c>
      <c r="T252" s="202" t="e">
        <f t="shared" si="95"/>
        <v>#VALUE!</v>
      </c>
      <c r="U252" s="201" t="e">
        <f t="shared" si="96"/>
        <v>#VALUE!</v>
      </c>
      <c r="V252" s="201" t="e">
        <f t="shared" si="97"/>
        <v>#VALUE!</v>
      </c>
      <c r="W252" s="201">
        <f t="shared" si="82"/>
        <v>10421.884210717653</v>
      </c>
      <c r="X252" s="201" t="e">
        <f t="shared" si="98"/>
        <v>#NUM!</v>
      </c>
      <c r="Y252" s="201" t="e">
        <f t="shared" si="99"/>
        <v>#VALUE!</v>
      </c>
      <c r="Z252" s="201" t="e">
        <f t="shared" si="100"/>
        <v>#NUM!</v>
      </c>
      <c r="AA252" s="201"/>
      <c r="AC252" s="257" t="str">
        <f t="shared" si="101"/>
        <v/>
      </c>
    </row>
    <row r="253" spans="2:29" x14ac:dyDescent="0.3">
      <c r="B253" s="84" t="str">
        <f t="shared" si="78"/>
        <v/>
      </c>
      <c r="C253" s="85" t="str">
        <f>IF($B253="","",'Fecha Pago'!K245)</f>
        <v/>
      </c>
      <c r="D253" s="86" t="str">
        <f>IF($B$12="","",'Fecha Pago'!L245)</f>
        <v/>
      </c>
      <c r="E253" s="87" t="str">
        <f t="shared" si="85"/>
        <v/>
      </c>
      <c r="F253" s="86" t="str">
        <f t="shared" si="86"/>
        <v/>
      </c>
      <c r="G253" s="86" t="e">
        <f t="shared" si="87"/>
        <v>#VALUE!</v>
      </c>
      <c r="H253" s="86" t="str">
        <f t="shared" si="88"/>
        <v/>
      </c>
      <c r="I253" s="86" t="str">
        <f t="shared" si="89"/>
        <v/>
      </c>
      <c r="J253" s="86" t="str">
        <f t="shared" si="90"/>
        <v/>
      </c>
      <c r="K253" s="86" t="str">
        <f>IF(B253="","",IF(F253=0,0,IF(Sheet1!$I$10=6,'Tabla Fijos CAT'!$C$3*'Tabla Fijos CAT'!$F$5,$C$5*$F$5)))</f>
        <v/>
      </c>
      <c r="L253" s="86" t="str">
        <f t="shared" si="67"/>
        <v/>
      </c>
      <c r="M253" s="86"/>
      <c r="N253" s="86"/>
      <c r="O253" s="86" t="str">
        <f t="shared" si="91"/>
        <v/>
      </c>
      <c r="P253" s="86" t="str">
        <f t="shared" si="92"/>
        <v/>
      </c>
      <c r="Q253" s="355"/>
      <c r="R253" s="201" t="e">
        <f t="shared" si="93"/>
        <v>#VALUE!</v>
      </c>
      <c r="S253" s="201" t="e">
        <f t="shared" si="94"/>
        <v>#VALUE!</v>
      </c>
      <c r="T253" s="202" t="e">
        <f t="shared" si="95"/>
        <v>#VALUE!</v>
      </c>
      <c r="U253" s="201" t="e">
        <f t="shared" si="96"/>
        <v>#VALUE!</v>
      </c>
      <c r="V253" s="201" t="e">
        <f t="shared" si="97"/>
        <v>#VALUE!</v>
      </c>
      <c r="W253" s="201">
        <f t="shared" si="82"/>
        <v>10421.884210717653</v>
      </c>
      <c r="X253" s="201" t="e">
        <f t="shared" si="98"/>
        <v>#VALUE!</v>
      </c>
      <c r="Y253" s="201" t="e">
        <f t="shared" si="99"/>
        <v>#VALUE!</v>
      </c>
      <c r="Z253" s="201" t="e">
        <f t="shared" si="100"/>
        <v>#VALUE!</v>
      </c>
      <c r="AA253" s="201"/>
      <c r="AC253" s="257" t="str">
        <f t="shared" si="101"/>
        <v/>
      </c>
    </row>
    <row r="254" spans="2:29" x14ac:dyDescent="0.3">
      <c r="B254" s="84" t="str">
        <f t="shared" si="78"/>
        <v/>
      </c>
      <c r="C254" s="85" t="str">
        <f>IF($B254="","",'Fecha Pago'!K246)</f>
        <v/>
      </c>
      <c r="D254" s="86" t="str">
        <f>IF($B$12="","",'Fecha Pago'!L246)</f>
        <v/>
      </c>
      <c r="E254" s="87" t="str">
        <f t="shared" si="85"/>
        <v/>
      </c>
      <c r="F254" s="86" t="str">
        <f t="shared" si="86"/>
        <v/>
      </c>
      <c r="G254" s="86" t="e">
        <f t="shared" si="87"/>
        <v>#VALUE!</v>
      </c>
      <c r="H254" s="86" t="str">
        <f t="shared" si="88"/>
        <v/>
      </c>
      <c r="I254" s="86" t="str">
        <f t="shared" si="89"/>
        <v/>
      </c>
      <c r="J254" s="86" t="str">
        <f t="shared" si="90"/>
        <v/>
      </c>
      <c r="K254" s="86" t="str">
        <f>IF(B254="","",IF(F254=0,0,IF(Sheet1!$I$10=6,'Tabla Fijos CAT'!$C$3*'Tabla Fijos CAT'!$F$5,$C$5*$F$5)))</f>
        <v/>
      </c>
      <c r="L254" s="86" t="str">
        <f t="shared" si="67"/>
        <v/>
      </c>
      <c r="M254" s="86"/>
      <c r="N254" s="86"/>
      <c r="O254" s="86" t="str">
        <f t="shared" si="91"/>
        <v/>
      </c>
      <c r="P254" s="86" t="str">
        <f t="shared" si="92"/>
        <v/>
      </c>
      <c r="Q254" s="355"/>
      <c r="R254" s="201" t="e">
        <f t="shared" si="93"/>
        <v>#VALUE!</v>
      </c>
      <c r="S254" s="201" t="e">
        <f t="shared" si="94"/>
        <v>#VALUE!</v>
      </c>
      <c r="T254" s="202" t="e">
        <f t="shared" si="95"/>
        <v>#VALUE!</v>
      </c>
      <c r="U254" s="201" t="e">
        <f t="shared" si="96"/>
        <v>#VALUE!</v>
      </c>
      <c r="V254" s="201" t="e">
        <f t="shared" si="97"/>
        <v>#VALUE!</v>
      </c>
      <c r="W254" s="201">
        <f t="shared" si="82"/>
        <v>10421.884210717653</v>
      </c>
      <c r="X254" s="201" t="e">
        <f t="shared" si="98"/>
        <v>#VALUE!</v>
      </c>
      <c r="Y254" s="201" t="e">
        <f t="shared" si="99"/>
        <v>#VALUE!</v>
      </c>
      <c r="Z254" s="201" t="e">
        <f t="shared" si="100"/>
        <v>#VALUE!</v>
      </c>
      <c r="AA254" s="201"/>
      <c r="AC254" s="257" t="str">
        <f t="shared" si="101"/>
        <v/>
      </c>
    </row>
    <row r="255" spans="2:29" x14ac:dyDescent="0.3">
      <c r="B255" s="84" t="str">
        <f t="shared" si="78"/>
        <v/>
      </c>
      <c r="C255" s="85" t="str">
        <f>IF($B255="","",'Fecha Pago'!K247)</f>
        <v/>
      </c>
      <c r="D255" s="86" t="str">
        <f>IF($B$12="","",'Fecha Pago'!L247)</f>
        <v/>
      </c>
      <c r="E255" s="87" t="str">
        <f t="shared" si="85"/>
        <v/>
      </c>
      <c r="F255" s="86" t="str">
        <f t="shared" si="86"/>
        <v/>
      </c>
      <c r="G255" s="86" t="e">
        <f t="shared" si="87"/>
        <v>#VALUE!</v>
      </c>
      <c r="H255" s="86" t="str">
        <f t="shared" si="88"/>
        <v/>
      </c>
      <c r="I255" s="86" t="str">
        <f t="shared" si="89"/>
        <v/>
      </c>
      <c r="J255" s="86" t="str">
        <f t="shared" si="90"/>
        <v/>
      </c>
      <c r="K255" s="86" t="str">
        <f>IF(B255="","",IF(F255=0,0,IF(Sheet1!$I$10=6,'Tabla Fijos CAT'!$C$3*'Tabla Fijos CAT'!$F$5,$C$5*$F$5)))</f>
        <v/>
      </c>
      <c r="L255" s="86" t="str">
        <f t="shared" si="67"/>
        <v/>
      </c>
      <c r="M255" s="86"/>
      <c r="N255" s="86"/>
      <c r="O255" s="86" t="str">
        <f t="shared" si="91"/>
        <v/>
      </c>
      <c r="P255" s="86" t="str">
        <f t="shared" si="92"/>
        <v/>
      </c>
      <c r="Q255" s="355"/>
      <c r="R255" s="201" t="e">
        <f t="shared" si="93"/>
        <v>#VALUE!</v>
      </c>
      <c r="S255" s="201" t="e">
        <f t="shared" si="94"/>
        <v>#VALUE!</v>
      </c>
      <c r="T255" s="202" t="e">
        <f t="shared" si="95"/>
        <v>#VALUE!</v>
      </c>
      <c r="U255" s="201" t="e">
        <f t="shared" si="96"/>
        <v>#VALUE!</v>
      </c>
      <c r="V255" s="201" t="e">
        <f t="shared" si="97"/>
        <v>#VALUE!</v>
      </c>
      <c r="W255" s="201">
        <f t="shared" si="82"/>
        <v>10421.884210717653</v>
      </c>
      <c r="X255" s="201" t="e">
        <f t="shared" si="98"/>
        <v>#VALUE!</v>
      </c>
      <c r="Y255" s="201" t="e">
        <f t="shared" si="99"/>
        <v>#VALUE!</v>
      </c>
      <c r="Z255" s="201" t="e">
        <f t="shared" si="100"/>
        <v>#VALUE!</v>
      </c>
      <c r="AA255" s="201"/>
      <c r="AC255" s="257" t="str">
        <f t="shared" si="101"/>
        <v/>
      </c>
    </row>
    <row r="256" spans="2:29" x14ac:dyDescent="0.3">
      <c r="B256" s="84" t="str">
        <f t="shared" si="78"/>
        <v/>
      </c>
      <c r="C256" s="85" t="str">
        <f>IF($B256="","",'Fecha Pago'!K248)</f>
        <v/>
      </c>
      <c r="D256" s="86" t="str">
        <f>IF($B$12="","",'Fecha Pago'!L248)</f>
        <v/>
      </c>
      <c r="E256" s="87" t="str">
        <f t="shared" si="85"/>
        <v/>
      </c>
      <c r="F256" s="86" t="str">
        <f t="shared" si="86"/>
        <v/>
      </c>
      <c r="G256" s="86" t="e">
        <f t="shared" si="87"/>
        <v>#VALUE!</v>
      </c>
      <c r="H256" s="86" t="str">
        <f t="shared" si="88"/>
        <v/>
      </c>
      <c r="I256" s="86" t="str">
        <f t="shared" si="89"/>
        <v/>
      </c>
      <c r="J256" s="86" t="str">
        <f t="shared" si="90"/>
        <v/>
      </c>
      <c r="K256" s="86" t="str">
        <f>IF(B256="","",IF(F256=0,0,IF(Sheet1!$I$10=6,'Tabla Fijos CAT'!$C$3*'Tabla Fijos CAT'!$F$5,$C$5*$F$5)))</f>
        <v/>
      </c>
      <c r="L256" s="86" t="str">
        <f t="shared" si="67"/>
        <v/>
      </c>
      <c r="M256" s="86"/>
      <c r="N256" s="86"/>
      <c r="O256" s="86" t="str">
        <f t="shared" si="91"/>
        <v/>
      </c>
      <c r="P256" s="86" t="str">
        <f t="shared" si="92"/>
        <v/>
      </c>
      <c r="Q256" s="355"/>
      <c r="R256" s="201" t="e">
        <f t="shared" si="93"/>
        <v>#VALUE!</v>
      </c>
      <c r="S256" s="201" t="e">
        <f t="shared" si="94"/>
        <v>#VALUE!</v>
      </c>
      <c r="T256" s="202" t="e">
        <f t="shared" si="95"/>
        <v>#VALUE!</v>
      </c>
      <c r="U256" s="201" t="e">
        <f t="shared" si="96"/>
        <v>#VALUE!</v>
      </c>
      <c r="V256" s="201" t="e">
        <f t="shared" si="97"/>
        <v>#VALUE!</v>
      </c>
      <c r="W256" s="201">
        <f t="shared" si="82"/>
        <v>10421.884210717653</v>
      </c>
      <c r="X256" s="201" t="e">
        <f t="shared" si="98"/>
        <v>#VALUE!</v>
      </c>
      <c r="Y256" s="201" t="e">
        <f t="shared" si="99"/>
        <v>#VALUE!</v>
      </c>
      <c r="Z256" s="201" t="e">
        <f t="shared" si="100"/>
        <v>#VALUE!</v>
      </c>
      <c r="AA256" s="201"/>
      <c r="AC256" s="257" t="str">
        <f t="shared" si="101"/>
        <v/>
      </c>
    </row>
    <row r="257" spans="2:29" x14ac:dyDescent="0.3">
      <c r="B257" s="84" t="str">
        <f t="shared" si="78"/>
        <v/>
      </c>
      <c r="C257" s="85" t="str">
        <f>IF($B257="","",'Fecha Pago'!K249)</f>
        <v/>
      </c>
      <c r="D257" s="86" t="str">
        <f>IF($B$12="","",'Fecha Pago'!L249)</f>
        <v/>
      </c>
      <c r="E257" s="87" t="str">
        <f t="shared" si="85"/>
        <v/>
      </c>
      <c r="F257" s="86" t="str">
        <f t="shared" si="86"/>
        <v/>
      </c>
      <c r="G257" s="86" t="e">
        <f t="shared" si="87"/>
        <v>#VALUE!</v>
      </c>
      <c r="H257" s="86" t="str">
        <f t="shared" si="88"/>
        <v/>
      </c>
      <c r="I257" s="86" t="str">
        <f t="shared" si="89"/>
        <v/>
      </c>
      <c r="J257" s="86" t="str">
        <f t="shared" si="90"/>
        <v/>
      </c>
      <c r="K257" s="86" t="str">
        <f>IF(B257="","",IF(F257=0,0,IF(Sheet1!$I$10=6,'Tabla Fijos CAT'!$C$3*'Tabla Fijos CAT'!$F$5,$C$5*$F$5)))</f>
        <v/>
      </c>
      <c r="L257" s="86" t="str">
        <f t="shared" si="67"/>
        <v/>
      </c>
      <c r="M257" s="86"/>
      <c r="N257" s="86"/>
      <c r="O257" s="86" t="str">
        <f t="shared" si="91"/>
        <v/>
      </c>
      <c r="P257" s="86" t="str">
        <f t="shared" si="92"/>
        <v/>
      </c>
      <c r="Q257" s="355"/>
      <c r="R257" s="201" t="e">
        <f t="shared" si="93"/>
        <v>#VALUE!</v>
      </c>
      <c r="S257" s="201" t="e">
        <f t="shared" si="94"/>
        <v>#VALUE!</v>
      </c>
      <c r="T257" s="202" t="e">
        <f t="shared" si="95"/>
        <v>#VALUE!</v>
      </c>
      <c r="U257" s="201" t="e">
        <f t="shared" si="96"/>
        <v>#VALUE!</v>
      </c>
      <c r="V257" s="201" t="e">
        <f t="shared" si="97"/>
        <v>#VALUE!</v>
      </c>
      <c r="W257" s="201">
        <f t="shared" si="82"/>
        <v>10421.884210717653</v>
      </c>
      <c r="X257" s="201" t="e">
        <f t="shared" si="98"/>
        <v>#VALUE!</v>
      </c>
      <c r="Y257" s="201" t="e">
        <f t="shared" si="99"/>
        <v>#VALUE!</v>
      </c>
      <c r="Z257" s="201" t="e">
        <f t="shared" si="100"/>
        <v>#VALUE!</v>
      </c>
      <c r="AA257" s="201"/>
      <c r="AC257" s="257" t="str">
        <f t="shared" si="101"/>
        <v/>
      </c>
    </row>
    <row r="258" spans="2:29" x14ac:dyDescent="0.3">
      <c r="B258" s="84" t="str">
        <f t="shared" si="78"/>
        <v/>
      </c>
      <c r="C258" s="85" t="str">
        <f>IF($B258="","",'Fecha Pago'!K250)</f>
        <v/>
      </c>
      <c r="D258" s="86" t="str">
        <f>IF($B$12="","",'Fecha Pago'!L250)</f>
        <v/>
      </c>
      <c r="E258" s="87" t="str">
        <f t="shared" si="85"/>
        <v/>
      </c>
      <c r="F258" s="86" t="str">
        <f t="shared" si="86"/>
        <v/>
      </c>
      <c r="G258" s="86" t="e">
        <f t="shared" si="87"/>
        <v>#VALUE!</v>
      </c>
      <c r="H258" s="86" t="str">
        <f t="shared" si="88"/>
        <v/>
      </c>
      <c r="I258" s="86" t="str">
        <f t="shared" si="89"/>
        <v/>
      </c>
      <c r="J258" s="86" t="str">
        <f t="shared" si="90"/>
        <v/>
      </c>
      <c r="K258" s="86" t="str">
        <f>IF(B258="","",IF(F258=0,0,IF(Sheet1!$I$10=6,'Tabla Fijos CAT'!$C$3*'Tabla Fijos CAT'!$F$5,$C$5*$F$5)))</f>
        <v/>
      </c>
      <c r="L258" s="86" t="str">
        <f t="shared" si="67"/>
        <v/>
      </c>
      <c r="M258" s="86"/>
      <c r="N258" s="86"/>
      <c r="O258" s="86" t="str">
        <f t="shared" si="91"/>
        <v/>
      </c>
      <c r="P258" s="86" t="str">
        <f t="shared" si="92"/>
        <v/>
      </c>
      <c r="Q258" s="355"/>
      <c r="R258" s="201" t="e">
        <f t="shared" si="93"/>
        <v>#VALUE!</v>
      </c>
      <c r="S258" s="201" t="e">
        <f t="shared" si="94"/>
        <v>#VALUE!</v>
      </c>
      <c r="T258" s="202" t="e">
        <f t="shared" si="95"/>
        <v>#VALUE!</v>
      </c>
      <c r="U258" s="201" t="e">
        <f t="shared" si="96"/>
        <v>#VALUE!</v>
      </c>
      <c r="V258" s="201" t="e">
        <f t="shared" si="97"/>
        <v>#VALUE!</v>
      </c>
      <c r="W258" s="201">
        <f t="shared" si="82"/>
        <v>10421.884210717653</v>
      </c>
      <c r="X258" s="201" t="e">
        <f t="shared" si="98"/>
        <v>#VALUE!</v>
      </c>
      <c r="Y258" s="201" t="e">
        <f t="shared" si="99"/>
        <v>#VALUE!</v>
      </c>
      <c r="Z258" s="201" t="e">
        <f t="shared" si="100"/>
        <v>#VALUE!</v>
      </c>
      <c r="AA258" s="201"/>
      <c r="AC258" s="257" t="str">
        <f t="shared" si="101"/>
        <v/>
      </c>
    </row>
    <row r="259" spans="2:29" x14ac:dyDescent="0.3">
      <c r="B259" s="84" t="str">
        <f t="shared" si="78"/>
        <v/>
      </c>
      <c r="C259" s="85" t="str">
        <f>IF($B259="","",'Fecha Pago'!K251)</f>
        <v/>
      </c>
      <c r="D259" s="86" t="str">
        <f>IF($B$12="","",'Fecha Pago'!L251)</f>
        <v/>
      </c>
      <c r="E259" s="87" t="str">
        <f t="shared" si="85"/>
        <v/>
      </c>
      <c r="F259" s="86" t="str">
        <f t="shared" si="86"/>
        <v/>
      </c>
      <c r="G259" s="86" t="e">
        <f t="shared" si="87"/>
        <v>#VALUE!</v>
      </c>
      <c r="H259" s="86" t="str">
        <f t="shared" si="88"/>
        <v/>
      </c>
      <c r="I259" s="86" t="str">
        <f t="shared" si="89"/>
        <v/>
      </c>
      <c r="J259" s="86" t="str">
        <f t="shared" si="90"/>
        <v/>
      </c>
      <c r="K259" s="86" t="str">
        <f>IF(B259="","",IF(F259=0,0,IF(Sheet1!$I$10=6,'Tabla Fijos CAT'!$C$3*'Tabla Fijos CAT'!$F$5,$C$5*$F$5)))</f>
        <v/>
      </c>
      <c r="L259" s="86" t="str">
        <f t="shared" si="67"/>
        <v/>
      </c>
      <c r="M259" s="86"/>
      <c r="N259" s="86"/>
      <c r="O259" s="86" t="str">
        <f t="shared" si="91"/>
        <v/>
      </c>
      <c r="P259" s="86" t="str">
        <f t="shared" si="92"/>
        <v/>
      </c>
      <c r="Q259" s="355"/>
      <c r="R259" s="201" t="e">
        <f t="shared" si="93"/>
        <v>#VALUE!</v>
      </c>
      <c r="S259" s="201" t="e">
        <f t="shared" si="94"/>
        <v>#VALUE!</v>
      </c>
      <c r="T259" s="202" t="e">
        <f t="shared" si="95"/>
        <v>#VALUE!</v>
      </c>
      <c r="U259" s="201" t="e">
        <f t="shared" si="96"/>
        <v>#VALUE!</v>
      </c>
      <c r="V259" s="201" t="e">
        <f t="shared" si="97"/>
        <v>#VALUE!</v>
      </c>
      <c r="W259" s="201">
        <f t="shared" si="82"/>
        <v>10421.884210717653</v>
      </c>
      <c r="X259" s="201" t="e">
        <f t="shared" si="98"/>
        <v>#VALUE!</v>
      </c>
      <c r="Y259" s="201" t="e">
        <f t="shared" si="99"/>
        <v>#VALUE!</v>
      </c>
      <c r="Z259" s="201" t="e">
        <f t="shared" si="100"/>
        <v>#VALUE!</v>
      </c>
      <c r="AA259" s="201"/>
      <c r="AC259" s="257" t="str">
        <f t="shared" si="101"/>
        <v/>
      </c>
    </row>
    <row r="260" spans="2:29" x14ac:dyDescent="0.3">
      <c r="B260" s="84" t="str">
        <f t="shared" si="78"/>
        <v/>
      </c>
      <c r="C260" s="85" t="str">
        <f>IF($B260="","",'Fecha Pago'!K252)</f>
        <v/>
      </c>
      <c r="D260" s="86" t="str">
        <f>IF($B$12="","",'Fecha Pago'!L252)</f>
        <v/>
      </c>
      <c r="E260" s="87" t="str">
        <f t="shared" si="85"/>
        <v/>
      </c>
      <c r="F260" s="86" t="str">
        <f t="shared" si="86"/>
        <v/>
      </c>
      <c r="G260" s="86" t="e">
        <f t="shared" si="87"/>
        <v>#VALUE!</v>
      </c>
      <c r="H260" s="86" t="str">
        <f t="shared" si="88"/>
        <v/>
      </c>
      <c r="I260" s="86" t="str">
        <f t="shared" si="89"/>
        <v/>
      </c>
      <c r="J260" s="86" t="str">
        <f t="shared" si="90"/>
        <v/>
      </c>
      <c r="K260" s="86" t="str">
        <f>IF(B260="","",IF(F260=0,0,IF(Sheet1!$I$10=6,'Tabla Fijos CAT'!$C$3*'Tabla Fijos CAT'!$F$5,$C$5*$F$5)))</f>
        <v/>
      </c>
      <c r="L260" s="86" t="str">
        <f t="shared" si="67"/>
        <v/>
      </c>
      <c r="M260" s="86"/>
      <c r="N260" s="86"/>
      <c r="O260" s="86" t="str">
        <f t="shared" si="91"/>
        <v/>
      </c>
      <c r="P260" s="86" t="str">
        <f t="shared" si="92"/>
        <v/>
      </c>
      <c r="Q260" s="355"/>
      <c r="R260" s="201" t="e">
        <f t="shared" si="93"/>
        <v>#VALUE!</v>
      </c>
      <c r="S260" s="201" t="e">
        <f t="shared" si="94"/>
        <v>#VALUE!</v>
      </c>
      <c r="T260" s="202" t="e">
        <f t="shared" si="95"/>
        <v>#VALUE!</v>
      </c>
      <c r="U260" s="201" t="e">
        <f t="shared" si="96"/>
        <v>#VALUE!</v>
      </c>
      <c r="V260" s="201" t="e">
        <f t="shared" si="97"/>
        <v>#VALUE!</v>
      </c>
      <c r="W260" s="201">
        <f t="shared" si="82"/>
        <v>10421.884210717653</v>
      </c>
      <c r="X260" s="201" t="e">
        <f t="shared" si="98"/>
        <v>#VALUE!</v>
      </c>
      <c r="Y260" s="201" t="e">
        <f t="shared" si="99"/>
        <v>#VALUE!</v>
      </c>
      <c r="Z260" s="201" t="e">
        <f t="shared" si="100"/>
        <v>#VALUE!</v>
      </c>
      <c r="AA260" s="201"/>
      <c r="AC260" s="257" t="str">
        <f t="shared" si="101"/>
        <v/>
      </c>
    </row>
    <row r="261" spans="2:29" x14ac:dyDescent="0.3">
      <c r="B261" s="84" t="str">
        <f t="shared" si="78"/>
        <v/>
      </c>
      <c r="C261" s="85" t="str">
        <f>IF($B261="","",'Fecha Pago'!K253)</f>
        <v/>
      </c>
      <c r="D261" s="86" t="str">
        <f>IF($B$12="","",'Fecha Pago'!L253)</f>
        <v/>
      </c>
      <c r="E261" s="87" t="str">
        <f t="shared" si="85"/>
        <v/>
      </c>
      <c r="F261" s="86" t="str">
        <f t="shared" si="86"/>
        <v/>
      </c>
      <c r="G261" s="86" t="e">
        <f t="shared" si="87"/>
        <v>#VALUE!</v>
      </c>
      <c r="H261" s="86" t="str">
        <f t="shared" si="88"/>
        <v/>
      </c>
      <c r="I261" s="86" t="str">
        <f t="shared" si="89"/>
        <v/>
      </c>
      <c r="J261" s="86" t="str">
        <f t="shared" si="90"/>
        <v/>
      </c>
      <c r="K261" s="86" t="str">
        <f>IF(B261="","",IF(F261=0,0,IF(Sheet1!$I$10=6,'Tabla Fijos CAT'!$C$3*'Tabla Fijos CAT'!$F$5,$C$5*$F$5)))</f>
        <v/>
      </c>
      <c r="L261" s="86" t="str">
        <f t="shared" si="67"/>
        <v/>
      </c>
      <c r="M261" s="86"/>
      <c r="N261" s="86"/>
      <c r="O261" s="86" t="str">
        <f t="shared" si="91"/>
        <v/>
      </c>
      <c r="P261" s="86" t="str">
        <f t="shared" si="92"/>
        <v/>
      </c>
      <c r="Q261" s="355"/>
      <c r="R261" s="201" t="e">
        <f t="shared" si="93"/>
        <v>#VALUE!</v>
      </c>
      <c r="S261" s="201" t="e">
        <f t="shared" si="94"/>
        <v>#VALUE!</v>
      </c>
      <c r="T261" s="202" t="e">
        <f t="shared" si="95"/>
        <v>#VALUE!</v>
      </c>
      <c r="U261" s="201" t="e">
        <f t="shared" si="96"/>
        <v>#VALUE!</v>
      </c>
      <c r="V261" s="201" t="e">
        <f t="shared" si="97"/>
        <v>#VALUE!</v>
      </c>
      <c r="W261" s="201">
        <f t="shared" si="82"/>
        <v>10421.884210717653</v>
      </c>
      <c r="X261" s="201" t="e">
        <f t="shared" si="98"/>
        <v>#VALUE!</v>
      </c>
      <c r="Y261" s="201" t="e">
        <f t="shared" si="99"/>
        <v>#VALUE!</v>
      </c>
      <c r="Z261" s="201" t="e">
        <f t="shared" si="100"/>
        <v>#VALUE!</v>
      </c>
      <c r="AA261" s="201"/>
      <c r="AC261" s="257" t="str">
        <f t="shared" si="101"/>
        <v/>
      </c>
    </row>
    <row r="262" spans="2:29" x14ac:dyDescent="0.3">
      <c r="B262" s="84" t="str">
        <f t="shared" si="78"/>
        <v/>
      </c>
      <c r="C262" s="85" t="str">
        <f>IF($B262="","",'Fecha Pago'!K254)</f>
        <v/>
      </c>
      <c r="D262" s="86" t="str">
        <f>IF($B$12="","",'Fecha Pago'!L254)</f>
        <v/>
      </c>
      <c r="E262" s="87" t="str">
        <f t="shared" si="85"/>
        <v/>
      </c>
      <c r="F262" s="86" t="str">
        <f t="shared" si="86"/>
        <v/>
      </c>
      <c r="G262" s="86" t="e">
        <f t="shared" si="87"/>
        <v>#VALUE!</v>
      </c>
      <c r="H262" s="86" t="str">
        <f t="shared" si="88"/>
        <v/>
      </c>
      <c r="I262" s="86" t="str">
        <f t="shared" si="89"/>
        <v/>
      </c>
      <c r="J262" s="86" t="str">
        <f t="shared" si="90"/>
        <v/>
      </c>
      <c r="K262" s="86" t="str">
        <f>IF(B262="","",IF(F262=0,0,IF(Sheet1!$I$10=6,'Tabla Fijos CAT'!$C$3*'Tabla Fijos CAT'!$F$5,$C$5*$F$5)))</f>
        <v/>
      </c>
      <c r="L262" s="86" t="str">
        <f t="shared" si="67"/>
        <v/>
      </c>
      <c r="M262" s="86"/>
      <c r="N262" s="86"/>
      <c r="O262" s="86" t="str">
        <f t="shared" si="91"/>
        <v/>
      </c>
      <c r="P262" s="86" t="str">
        <f t="shared" si="92"/>
        <v/>
      </c>
      <c r="Q262" s="355"/>
      <c r="R262" s="201" t="e">
        <f t="shared" si="93"/>
        <v>#VALUE!</v>
      </c>
      <c r="S262" s="201" t="e">
        <f t="shared" si="94"/>
        <v>#VALUE!</v>
      </c>
      <c r="T262" s="202" t="e">
        <f t="shared" si="95"/>
        <v>#VALUE!</v>
      </c>
      <c r="U262" s="201" t="e">
        <f t="shared" si="96"/>
        <v>#VALUE!</v>
      </c>
      <c r="V262" s="201" t="e">
        <f t="shared" si="97"/>
        <v>#VALUE!</v>
      </c>
      <c r="W262" s="201">
        <f t="shared" si="82"/>
        <v>10421.884210717653</v>
      </c>
      <c r="X262" s="201" t="e">
        <f t="shared" si="98"/>
        <v>#VALUE!</v>
      </c>
      <c r="Y262" s="201" t="e">
        <f t="shared" si="99"/>
        <v>#VALUE!</v>
      </c>
      <c r="Z262" s="201" t="e">
        <f t="shared" si="100"/>
        <v>#VALUE!</v>
      </c>
      <c r="AA262" s="201"/>
      <c r="AC262" s="257" t="str">
        <f t="shared" si="101"/>
        <v/>
      </c>
    </row>
    <row r="263" spans="2:29" x14ac:dyDescent="0.3">
      <c r="B263" s="84" t="str">
        <f t="shared" si="78"/>
        <v/>
      </c>
      <c r="C263" s="85" t="str">
        <f>IF($B263="","",'Fecha Pago'!K255)</f>
        <v/>
      </c>
      <c r="D263" s="86" t="str">
        <f>IF($B$12="","",'Fecha Pago'!L255)</f>
        <v/>
      </c>
      <c r="E263" s="87" t="str">
        <f t="shared" si="85"/>
        <v/>
      </c>
      <c r="F263" s="86" t="str">
        <f t="shared" si="86"/>
        <v/>
      </c>
      <c r="G263" s="86" t="e">
        <f t="shared" si="87"/>
        <v>#VALUE!</v>
      </c>
      <c r="H263" s="86" t="str">
        <f t="shared" si="88"/>
        <v/>
      </c>
      <c r="I263" s="86" t="str">
        <f t="shared" si="89"/>
        <v/>
      </c>
      <c r="J263" s="86" t="str">
        <f t="shared" si="90"/>
        <v/>
      </c>
      <c r="K263" s="86" t="str">
        <f>IF(B263="","",IF(F263=0,0,IF(Sheet1!$I$10=6,'Tabla Fijos CAT'!$C$3*'Tabla Fijos CAT'!$F$5,$C$5*$F$5)))</f>
        <v/>
      </c>
      <c r="L263" s="86" t="str">
        <f t="shared" si="67"/>
        <v/>
      </c>
      <c r="M263" s="86"/>
      <c r="N263" s="86"/>
      <c r="O263" s="86" t="str">
        <f t="shared" si="91"/>
        <v/>
      </c>
      <c r="P263" s="86" t="str">
        <f t="shared" si="92"/>
        <v/>
      </c>
      <c r="Q263" s="355"/>
      <c r="R263" s="201" t="e">
        <f t="shared" si="93"/>
        <v>#VALUE!</v>
      </c>
      <c r="S263" s="201" t="e">
        <f t="shared" si="94"/>
        <v>#VALUE!</v>
      </c>
      <c r="T263" s="202" t="e">
        <f t="shared" si="95"/>
        <v>#VALUE!</v>
      </c>
      <c r="U263" s="201" t="e">
        <f t="shared" si="96"/>
        <v>#VALUE!</v>
      </c>
      <c r="V263" s="201" t="e">
        <f t="shared" si="97"/>
        <v>#VALUE!</v>
      </c>
      <c r="W263" s="201">
        <f t="shared" si="82"/>
        <v>10421.884210717653</v>
      </c>
      <c r="X263" s="201" t="e">
        <f t="shared" si="98"/>
        <v>#VALUE!</v>
      </c>
      <c r="Y263" s="201" t="e">
        <f t="shared" si="99"/>
        <v>#VALUE!</v>
      </c>
      <c r="Z263" s="201" t="e">
        <f t="shared" si="100"/>
        <v>#VALUE!</v>
      </c>
      <c r="AA263" s="201"/>
      <c r="AC263" s="257" t="str">
        <f t="shared" si="101"/>
        <v/>
      </c>
    </row>
    <row r="264" spans="2:29" x14ac:dyDescent="0.3">
      <c r="B264" s="84" t="str">
        <f t="shared" si="78"/>
        <v/>
      </c>
      <c r="C264" s="85" t="str">
        <f>IF($B264="","",'Fecha Pago'!K256)</f>
        <v/>
      </c>
      <c r="D264" s="86" t="str">
        <f>IF($B$12="","",'Fecha Pago'!L256)</f>
        <v/>
      </c>
      <c r="E264" s="87" t="str">
        <f t="shared" si="85"/>
        <v/>
      </c>
      <c r="F264" s="86" t="str">
        <f t="shared" si="86"/>
        <v/>
      </c>
      <c r="G264" s="86" t="e">
        <f t="shared" si="87"/>
        <v>#VALUE!</v>
      </c>
      <c r="H264" s="86" t="str">
        <f t="shared" si="88"/>
        <v/>
      </c>
      <c r="I264" s="86" t="str">
        <f t="shared" si="89"/>
        <v/>
      </c>
      <c r="J264" s="86" t="str">
        <f t="shared" si="90"/>
        <v/>
      </c>
      <c r="K264" s="86" t="str">
        <f>IF(B264="","",IF(F264=0,0,IF(Sheet1!$I$10=6,'Tabla Fijos CAT'!$C$3*'Tabla Fijos CAT'!$F$5,$C$5*$F$5)))</f>
        <v/>
      </c>
      <c r="L264" s="86" t="str">
        <f t="shared" si="67"/>
        <v/>
      </c>
      <c r="M264" s="86"/>
      <c r="N264" s="86"/>
      <c r="O264" s="86" t="str">
        <f t="shared" si="91"/>
        <v/>
      </c>
      <c r="P264" s="86" t="str">
        <f t="shared" si="92"/>
        <v/>
      </c>
      <c r="Q264" s="355"/>
      <c r="R264" s="201" t="e">
        <f t="shared" si="93"/>
        <v>#VALUE!</v>
      </c>
      <c r="S264" s="201" t="e">
        <f t="shared" si="94"/>
        <v>#VALUE!</v>
      </c>
      <c r="T264" s="202" t="e">
        <f t="shared" si="95"/>
        <v>#VALUE!</v>
      </c>
      <c r="U264" s="201" t="e">
        <f t="shared" si="96"/>
        <v>#VALUE!</v>
      </c>
      <c r="V264" s="201" t="e">
        <f t="shared" si="97"/>
        <v>#VALUE!</v>
      </c>
      <c r="W264" s="201">
        <f t="shared" si="82"/>
        <v>10421.884210717653</v>
      </c>
      <c r="X264" s="201" t="e">
        <f t="shared" si="98"/>
        <v>#VALUE!</v>
      </c>
      <c r="Y264" s="201" t="e">
        <f t="shared" si="99"/>
        <v>#VALUE!</v>
      </c>
      <c r="Z264" s="201" t="e">
        <f t="shared" si="100"/>
        <v>#VALUE!</v>
      </c>
      <c r="AA264" s="201"/>
      <c r="AC264" s="257" t="str">
        <f t="shared" si="101"/>
        <v/>
      </c>
    </row>
    <row r="265" spans="2:29" x14ac:dyDescent="0.3">
      <c r="B265" s="84" t="str">
        <f t="shared" si="78"/>
        <v/>
      </c>
      <c r="C265" s="85" t="str">
        <f>IF($B265="","",'Fecha Pago'!K257)</f>
        <v/>
      </c>
      <c r="D265" s="86" t="str">
        <f>IF($B$12="","",'Fecha Pago'!L257)</f>
        <v/>
      </c>
      <c r="E265" s="87" t="str">
        <f t="shared" si="85"/>
        <v/>
      </c>
      <c r="F265" s="86" t="str">
        <f t="shared" si="86"/>
        <v/>
      </c>
      <c r="G265" s="86" t="e">
        <f t="shared" si="87"/>
        <v>#VALUE!</v>
      </c>
      <c r="H265" s="86" t="str">
        <f t="shared" si="88"/>
        <v/>
      </c>
      <c r="I265" s="86" t="str">
        <f t="shared" si="89"/>
        <v/>
      </c>
      <c r="J265" s="86" t="str">
        <f t="shared" si="90"/>
        <v/>
      </c>
      <c r="K265" s="86" t="str">
        <f>IF(B265="","",IF(F265=0,0,IF(Sheet1!$I$10=6,'Tabla Fijos CAT'!$C$3*'Tabla Fijos CAT'!$F$5,$C$5*$F$5)))</f>
        <v/>
      </c>
      <c r="L265" s="86" t="str">
        <f t="shared" si="67"/>
        <v/>
      </c>
      <c r="M265" s="86"/>
      <c r="N265" s="86"/>
      <c r="O265" s="86" t="str">
        <f t="shared" si="91"/>
        <v/>
      </c>
      <c r="P265" s="86" t="str">
        <f t="shared" si="92"/>
        <v/>
      </c>
      <c r="Q265" s="355"/>
      <c r="R265" s="201" t="e">
        <f t="shared" si="93"/>
        <v>#VALUE!</v>
      </c>
      <c r="S265" s="201" t="e">
        <f t="shared" si="94"/>
        <v>#VALUE!</v>
      </c>
      <c r="T265" s="202" t="e">
        <f t="shared" si="95"/>
        <v>#VALUE!</v>
      </c>
      <c r="U265" s="201" t="e">
        <f t="shared" si="96"/>
        <v>#VALUE!</v>
      </c>
      <c r="V265" s="201" t="e">
        <f t="shared" si="97"/>
        <v>#VALUE!</v>
      </c>
      <c r="W265" s="201">
        <f t="shared" si="82"/>
        <v>10421.884210717653</v>
      </c>
      <c r="X265" s="201" t="e">
        <f t="shared" si="98"/>
        <v>#VALUE!</v>
      </c>
      <c r="Y265" s="201" t="e">
        <f t="shared" si="99"/>
        <v>#VALUE!</v>
      </c>
      <c r="Z265" s="201" t="e">
        <f t="shared" si="100"/>
        <v>#VALUE!</v>
      </c>
      <c r="AA265" s="201"/>
      <c r="AC265" s="257" t="str">
        <f t="shared" si="101"/>
        <v/>
      </c>
    </row>
    <row r="266" spans="2:29" x14ac:dyDescent="0.3">
      <c r="B266" s="84" t="str">
        <f t="shared" si="78"/>
        <v/>
      </c>
      <c r="C266" s="85" t="str">
        <f>IF($B266="","",'Fecha Pago'!K258)</f>
        <v/>
      </c>
      <c r="D266" s="86" t="str">
        <f>IF($B$12="","",'Fecha Pago'!L258)</f>
        <v/>
      </c>
      <c r="E266" s="87" t="str">
        <f t="shared" si="85"/>
        <v/>
      </c>
      <c r="F266" s="86" t="str">
        <f t="shared" si="86"/>
        <v/>
      </c>
      <c r="G266" s="86" t="e">
        <f t="shared" si="87"/>
        <v>#VALUE!</v>
      </c>
      <c r="H266" s="86" t="str">
        <f t="shared" si="88"/>
        <v/>
      </c>
      <c r="I266" s="86" t="str">
        <f t="shared" si="89"/>
        <v/>
      </c>
      <c r="J266" s="86" t="str">
        <f t="shared" si="90"/>
        <v/>
      </c>
      <c r="K266" s="86" t="str">
        <f>IF(B266="","",IF(F266=0,0,IF(Sheet1!$I$10=6,'Tabla Fijos CAT'!$C$3*'Tabla Fijos CAT'!$F$5,$C$5*$F$5)))</f>
        <v/>
      </c>
      <c r="L266" s="86" t="str">
        <f t="shared" si="67"/>
        <v/>
      </c>
      <c r="M266" s="86"/>
      <c r="N266" s="86"/>
      <c r="O266" s="86" t="str">
        <f t="shared" si="91"/>
        <v/>
      </c>
      <c r="P266" s="86" t="str">
        <f t="shared" si="92"/>
        <v/>
      </c>
      <c r="Q266" s="355"/>
      <c r="R266" s="201" t="e">
        <f t="shared" si="93"/>
        <v>#VALUE!</v>
      </c>
      <c r="S266" s="201" t="e">
        <f t="shared" si="94"/>
        <v>#VALUE!</v>
      </c>
      <c r="T266" s="202" t="e">
        <f t="shared" si="95"/>
        <v>#VALUE!</v>
      </c>
      <c r="U266" s="201" t="e">
        <f t="shared" si="96"/>
        <v>#VALUE!</v>
      </c>
      <c r="V266" s="201" t="e">
        <f t="shared" si="97"/>
        <v>#VALUE!</v>
      </c>
      <c r="W266" s="201">
        <f t="shared" si="82"/>
        <v>10421.884210717653</v>
      </c>
      <c r="X266" s="201" t="e">
        <f t="shared" si="98"/>
        <v>#VALUE!</v>
      </c>
      <c r="Y266" s="201" t="e">
        <f t="shared" si="99"/>
        <v>#VALUE!</v>
      </c>
      <c r="Z266" s="201" t="e">
        <f t="shared" si="100"/>
        <v>#VALUE!</v>
      </c>
      <c r="AA266" s="201"/>
      <c r="AC266" s="257" t="str">
        <f t="shared" si="101"/>
        <v/>
      </c>
    </row>
    <row r="267" spans="2:29" x14ac:dyDescent="0.3">
      <c r="B267" s="84" t="str">
        <f t="shared" si="78"/>
        <v/>
      </c>
      <c r="C267" s="85" t="str">
        <f>IF($B267="","",'Fecha Pago'!K259)</f>
        <v/>
      </c>
      <c r="D267" s="86" t="str">
        <f>IF($B$12="","",'Fecha Pago'!L259)</f>
        <v/>
      </c>
      <c r="E267" s="87" t="str">
        <f t="shared" si="85"/>
        <v/>
      </c>
      <c r="F267" s="86" t="str">
        <f t="shared" si="86"/>
        <v/>
      </c>
      <c r="G267" s="86" t="e">
        <f t="shared" si="87"/>
        <v>#VALUE!</v>
      </c>
      <c r="H267" s="86" t="str">
        <f t="shared" si="88"/>
        <v/>
      </c>
      <c r="I267" s="86" t="str">
        <f t="shared" si="89"/>
        <v/>
      </c>
      <c r="J267" s="86" t="str">
        <f t="shared" si="90"/>
        <v/>
      </c>
      <c r="K267" s="86" t="str">
        <f>IF(B267="","",IF(F267=0,0,IF(Sheet1!$I$10=6,'Tabla Fijos CAT'!$C$3*'Tabla Fijos CAT'!$F$5,$C$5*$F$5)))</f>
        <v/>
      </c>
      <c r="L267" s="86" t="str">
        <f t="shared" si="67"/>
        <v/>
      </c>
      <c r="M267" s="86"/>
      <c r="N267" s="86"/>
      <c r="O267" s="86" t="str">
        <f t="shared" si="91"/>
        <v/>
      </c>
      <c r="P267" s="86" t="str">
        <f t="shared" si="92"/>
        <v/>
      </c>
      <c r="Q267" s="355"/>
      <c r="R267" s="201" t="e">
        <f t="shared" si="93"/>
        <v>#VALUE!</v>
      </c>
      <c r="S267" s="201" t="e">
        <f t="shared" si="94"/>
        <v>#VALUE!</v>
      </c>
      <c r="T267" s="202" t="e">
        <f t="shared" si="95"/>
        <v>#VALUE!</v>
      </c>
      <c r="U267" s="201" t="e">
        <f t="shared" si="96"/>
        <v>#VALUE!</v>
      </c>
      <c r="V267" s="201" t="e">
        <f t="shared" si="97"/>
        <v>#VALUE!</v>
      </c>
      <c r="W267" s="201">
        <f t="shared" si="82"/>
        <v>10421.884210717653</v>
      </c>
      <c r="X267" s="201" t="e">
        <f t="shared" si="98"/>
        <v>#VALUE!</v>
      </c>
      <c r="Y267" s="201" t="e">
        <f t="shared" si="99"/>
        <v>#VALUE!</v>
      </c>
      <c r="Z267" s="201" t="e">
        <f t="shared" si="100"/>
        <v>#VALUE!</v>
      </c>
      <c r="AA267" s="201"/>
      <c r="AC267" s="257" t="str">
        <f t="shared" si="101"/>
        <v/>
      </c>
    </row>
    <row r="268" spans="2:29" x14ac:dyDescent="0.3">
      <c r="B268" s="84" t="str">
        <f t="shared" si="78"/>
        <v/>
      </c>
      <c r="C268" s="85" t="str">
        <f>IF($B268="","",'Fecha Pago'!K260)</f>
        <v/>
      </c>
      <c r="D268" s="86" t="str">
        <f>IF($B$12="","",'Fecha Pago'!L260)</f>
        <v/>
      </c>
      <c r="E268" s="87" t="str">
        <f t="shared" si="85"/>
        <v/>
      </c>
      <c r="F268" s="86" t="str">
        <f t="shared" si="86"/>
        <v/>
      </c>
      <c r="G268" s="86" t="e">
        <f t="shared" si="87"/>
        <v>#VALUE!</v>
      </c>
      <c r="H268" s="86" t="str">
        <f t="shared" si="88"/>
        <v/>
      </c>
      <c r="I268" s="86" t="str">
        <f t="shared" si="89"/>
        <v/>
      </c>
      <c r="J268" s="86" t="str">
        <f t="shared" si="90"/>
        <v/>
      </c>
      <c r="K268" s="86" t="str">
        <f>IF(B268="","",IF(F268=0,0,IF(Sheet1!$I$10=6,'Tabla Fijos CAT'!$C$3*'Tabla Fijos CAT'!$F$5,$C$5*$F$5)))</f>
        <v/>
      </c>
      <c r="L268" s="86" t="str">
        <f t="shared" si="67"/>
        <v/>
      </c>
      <c r="M268" s="86"/>
      <c r="N268" s="86"/>
      <c r="O268" s="86" t="str">
        <f t="shared" si="91"/>
        <v/>
      </c>
      <c r="P268" s="86" t="str">
        <f t="shared" si="92"/>
        <v/>
      </c>
      <c r="Q268" s="355"/>
      <c r="R268" s="201" t="e">
        <f t="shared" si="93"/>
        <v>#VALUE!</v>
      </c>
      <c r="S268" s="201" t="e">
        <f t="shared" si="94"/>
        <v>#VALUE!</v>
      </c>
      <c r="T268" s="202" t="e">
        <f t="shared" si="95"/>
        <v>#VALUE!</v>
      </c>
      <c r="U268" s="201" t="e">
        <f t="shared" si="96"/>
        <v>#VALUE!</v>
      </c>
      <c r="V268" s="201" t="e">
        <f t="shared" si="97"/>
        <v>#VALUE!</v>
      </c>
      <c r="W268" s="201">
        <f t="shared" si="82"/>
        <v>10421.884210717653</v>
      </c>
      <c r="X268" s="201" t="e">
        <f t="shared" si="98"/>
        <v>#VALUE!</v>
      </c>
      <c r="Y268" s="201" t="e">
        <f t="shared" si="99"/>
        <v>#VALUE!</v>
      </c>
      <c r="Z268" s="201" t="e">
        <f t="shared" si="100"/>
        <v>#VALUE!</v>
      </c>
      <c r="AA268" s="201"/>
      <c r="AC268" s="257" t="str">
        <f t="shared" si="101"/>
        <v/>
      </c>
    </row>
    <row r="269" spans="2:29" x14ac:dyDescent="0.3">
      <c r="B269" s="84" t="str">
        <f t="shared" si="78"/>
        <v/>
      </c>
      <c r="C269" s="85" t="str">
        <f>IF($B269="","",'Fecha Pago'!K261)</f>
        <v/>
      </c>
      <c r="D269" s="86" t="str">
        <f>IF($B$12="","",'Fecha Pago'!L261)</f>
        <v/>
      </c>
      <c r="E269" s="87" t="str">
        <f t="shared" si="85"/>
        <v/>
      </c>
      <c r="F269" s="86" t="str">
        <f t="shared" si="86"/>
        <v/>
      </c>
      <c r="G269" s="86" t="e">
        <f t="shared" si="87"/>
        <v>#VALUE!</v>
      </c>
      <c r="H269" s="86" t="str">
        <f t="shared" si="88"/>
        <v/>
      </c>
      <c r="I269" s="86" t="str">
        <f t="shared" si="89"/>
        <v/>
      </c>
      <c r="J269" s="86" t="str">
        <f t="shared" si="90"/>
        <v/>
      </c>
      <c r="K269" s="86" t="str">
        <f>IF(B269="","",IF(F269=0,0,IF(Sheet1!$I$10=6,'Tabla Fijos CAT'!$C$3*'Tabla Fijos CAT'!$F$5,$C$5*$F$5)))</f>
        <v/>
      </c>
      <c r="L269" s="86" t="str">
        <f t="shared" ref="L269:L311" si="102">IF(B269="","",IF(F269=0,0,$I$4))</f>
        <v/>
      </c>
      <c r="M269" s="86"/>
      <c r="N269" s="86"/>
      <c r="O269" s="86" t="str">
        <f t="shared" si="91"/>
        <v/>
      </c>
      <c r="P269" s="86" t="str">
        <f t="shared" si="92"/>
        <v/>
      </c>
      <c r="Q269" s="355"/>
      <c r="R269" s="201" t="e">
        <f t="shared" si="93"/>
        <v>#VALUE!</v>
      </c>
      <c r="S269" s="201" t="e">
        <f t="shared" si="94"/>
        <v>#VALUE!</v>
      </c>
      <c r="T269" s="202" t="e">
        <f t="shared" si="95"/>
        <v>#VALUE!</v>
      </c>
      <c r="U269" s="201" t="e">
        <f t="shared" si="96"/>
        <v>#VALUE!</v>
      </c>
      <c r="V269" s="201" t="e">
        <f t="shared" si="97"/>
        <v>#VALUE!</v>
      </c>
      <c r="W269" s="201">
        <f t="shared" si="82"/>
        <v>10421.884210717653</v>
      </c>
      <c r="X269" s="201" t="e">
        <f t="shared" si="98"/>
        <v>#VALUE!</v>
      </c>
      <c r="Y269" s="201" t="e">
        <f t="shared" si="99"/>
        <v>#VALUE!</v>
      </c>
      <c r="Z269" s="201" t="e">
        <f t="shared" si="100"/>
        <v>#VALUE!</v>
      </c>
      <c r="AA269" s="201"/>
      <c r="AC269" s="257" t="str">
        <f t="shared" si="101"/>
        <v/>
      </c>
    </row>
    <row r="270" spans="2:29" x14ac:dyDescent="0.3">
      <c r="B270" s="84" t="str">
        <f t="shared" ref="B270:B311" si="103">IF(B269="","",IF(B269=$C$4,"",B269+1))</f>
        <v/>
      </c>
      <c r="C270" s="85" t="str">
        <f>IF($B270="","",'Fecha Pago'!K262)</f>
        <v/>
      </c>
      <c r="D270" s="86" t="str">
        <f>IF($B$12="","",'Fecha Pago'!L262)</f>
        <v/>
      </c>
      <c r="E270" s="87" t="str">
        <f t="shared" si="85"/>
        <v/>
      </c>
      <c r="F270" s="86" t="str">
        <f t="shared" si="86"/>
        <v/>
      </c>
      <c r="G270" s="86" t="e">
        <f t="shared" si="87"/>
        <v>#VALUE!</v>
      </c>
      <c r="H270" s="86" t="str">
        <f t="shared" si="88"/>
        <v/>
      </c>
      <c r="I270" s="86" t="str">
        <f t="shared" si="89"/>
        <v/>
      </c>
      <c r="J270" s="86" t="str">
        <f t="shared" si="90"/>
        <v/>
      </c>
      <c r="K270" s="86" t="str">
        <f>IF(B270="","",IF(F270=0,0,IF(Sheet1!$I$10=6,'Tabla Fijos CAT'!$C$3*'Tabla Fijos CAT'!$F$5,$C$5*$F$5)))</f>
        <v/>
      </c>
      <c r="L270" s="86" t="str">
        <f t="shared" si="102"/>
        <v/>
      </c>
      <c r="M270" s="86"/>
      <c r="N270" s="86"/>
      <c r="O270" s="86" t="str">
        <f t="shared" si="91"/>
        <v/>
      </c>
      <c r="P270" s="86" t="str">
        <f t="shared" si="92"/>
        <v/>
      </c>
      <c r="Q270" s="355"/>
      <c r="R270" s="201" t="e">
        <f t="shared" si="93"/>
        <v>#VALUE!</v>
      </c>
      <c r="S270" s="201" t="e">
        <f t="shared" si="94"/>
        <v>#VALUE!</v>
      </c>
      <c r="T270" s="202" t="e">
        <f t="shared" si="95"/>
        <v>#VALUE!</v>
      </c>
      <c r="U270" s="201" t="e">
        <f t="shared" si="96"/>
        <v>#VALUE!</v>
      </c>
      <c r="V270" s="201" t="e">
        <f t="shared" si="97"/>
        <v>#VALUE!</v>
      </c>
      <c r="W270" s="201">
        <f t="shared" si="82"/>
        <v>10421.884210717653</v>
      </c>
      <c r="X270" s="201" t="e">
        <f t="shared" si="98"/>
        <v>#VALUE!</v>
      </c>
      <c r="Y270" s="201" t="e">
        <f t="shared" si="99"/>
        <v>#VALUE!</v>
      </c>
      <c r="Z270" s="201" t="e">
        <f t="shared" si="100"/>
        <v>#VALUE!</v>
      </c>
      <c r="AA270" s="201"/>
      <c r="AC270" s="257" t="str">
        <f t="shared" si="101"/>
        <v/>
      </c>
    </row>
    <row r="271" spans="2:29" x14ac:dyDescent="0.3">
      <c r="B271" s="84" t="str">
        <f t="shared" si="103"/>
        <v/>
      </c>
      <c r="C271" s="85" t="str">
        <f>IF($B271="","",'Fecha Pago'!K263)</f>
        <v/>
      </c>
      <c r="D271" s="86" t="str">
        <f>IF($B$12="","",'Fecha Pago'!L263)</f>
        <v/>
      </c>
      <c r="E271" s="87" t="str">
        <f t="shared" si="85"/>
        <v/>
      </c>
      <c r="F271" s="86" t="str">
        <f t="shared" si="86"/>
        <v/>
      </c>
      <c r="G271" s="86" t="e">
        <f t="shared" si="87"/>
        <v>#VALUE!</v>
      </c>
      <c r="H271" s="86" t="str">
        <f t="shared" si="88"/>
        <v/>
      </c>
      <c r="I271" s="86" t="str">
        <f t="shared" si="89"/>
        <v/>
      </c>
      <c r="J271" s="86" t="str">
        <f t="shared" si="90"/>
        <v/>
      </c>
      <c r="K271" s="86" t="str">
        <f>IF(B271="","",IF(F271=0,0,IF(Sheet1!$I$10=6,'Tabla Fijos CAT'!$C$3*'Tabla Fijos CAT'!$F$5,$C$5*$F$5)))</f>
        <v/>
      </c>
      <c r="L271" s="86" t="str">
        <f t="shared" si="102"/>
        <v/>
      </c>
      <c r="M271" s="86"/>
      <c r="N271" s="86"/>
      <c r="O271" s="86" t="str">
        <f t="shared" si="91"/>
        <v/>
      </c>
      <c r="P271" s="86" t="str">
        <f t="shared" si="92"/>
        <v/>
      </c>
      <c r="Q271" s="355"/>
      <c r="R271" s="201" t="e">
        <f t="shared" si="93"/>
        <v>#VALUE!</v>
      </c>
      <c r="S271" s="201" t="e">
        <f t="shared" si="94"/>
        <v>#VALUE!</v>
      </c>
      <c r="T271" s="202" t="e">
        <f t="shared" si="95"/>
        <v>#VALUE!</v>
      </c>
      <c r="U271" s="201" t="e">
        <f t="shared" si="96"/>
        <v>#VALUE!</v>
      </c>
      <c r="V271" s="201" t="e">
        <f t="shared" si="97"/>
        <v>#VALUE!</v>
      </c>
      <c r="W271" s="201">
        <f t="shared" si="82"/>
        <v>10421.884210717653</v>
      </c>
      <c r="X271" s="201" t="e">
        <f t="shared" si="98"/>
        <v>#VALUE!</v>
      </c>
      <c r="Y271" s="201" t="e">
        <f t="shared" si="99"/>
        <v>#VALUE!</v>
      </c>
      <c r="Z271" s="201" t="e">
        <f t="shared" si="100"/>
        <v>#VALUE!</v>
      </c>
      <c r="AA271" s="201"/>
      <c r="AC271" s="257" t="str">
        <f t="shared" si="101"/>
        <v/>
      </c>
    </row>
    <row r="272" spans="2:29" x14ac:dyDescent="0.3">
      <c r="B272" s="84" t="str">
        <f t="shared" si="103"/>
        <v/>
      </c>
      <c r="C272" s="85" t="str">
        <f>IF($B272="","",'Fecha Pago'!K264)</f>
        <v/>
      </c>
      <c r="D272" s="86" t="str">
        <f>IF($B$12="","",'Fecha Pago'!L264)</f>
        <v/>
      </c>
      <c r="E272" s="87" t="str">
        <f t="shared" si="85"/>
        <v/>
      </c>
      <c r="F272" s="86" t="str">
        <f t="shared" si="86"/>
        <v/>
      </c>
      <c r="G272" s="86" t="e">
        <f t="shared" si="87"/>
        <v>#VALUE!</v>
      </c>
      <c r="H272" s="86" t="str">
        <f t="shared" si="88"/>
        <v/>
      </c>
      <c r="I272" s="86" t="str">
        <f t="shared" si="89"/>
        <v/>
      </c>
      <c r="J272" s="86" t="str">
        <f t="shared" si="90"/>
        <v/>
      </c>
      <c r="K272" s="86" t="str">
        <f>IF(B272="","",IF(F272=0,0,IF(Sheet1!$I$10=6,'Tabla Fijos CAT'!$C$3*'Tabla Fijos CAT'!$F$5,$C$5*$F$5)))</f>
        <v/>
      </c>
      <c r="L272" s="86" t="str">
        <f t="shared" si="102"/>
        <v/>
      </c>
      <c r="M272" s="86"/>
      <c r="N272" s="86"/>
      <c r="O272" s="86" t="str">
        <f t="shared" si="91"/>
        <v/>
      </c>
      <c r="P272" s="86" t="str">
        <f t="shared" si="92"/>
        <v/>
      </c>
      <c r="Q272" s="355"/>
      <c r="R272" s="201" t="e">
        <f t="shared" si="93"/>
        <v>#VALUE!</v>
      </c>
      <c r="S272" s="201" t="e">
        <f t="shared" si="94"/>
        <v>#VALUE!</v>
      </c>
      <c r="T272" s="202" t="e">
        <f t="shared" si="95"/>
        <v>#VALUE!</v>
      </c>
      <c r="U272" s="201" t="e">
        <f t="shared" si="96"/>
        <v>#VALUE!</v>
      </c>
      <c r="V272" s="201" t="e">
        <f t="shared" si="97"/>
        <v>#VALUE!</v>
      </c>
      <c r="W272" s="201">
        <f t="shared" si="82"/>
        <v>10421.884210717653</v>
      </c>
      <c r="X272" s="201" t="e">
        <f t="shared" si="98"/>
        <v>#VALUE!</v>
      </c>
      <c r="Y272" s="201" t="e">
        <f t="shared" si="99"/>
        <v>#VALUE!</v>
      </c>
      <c r="Z272" s="201" t="e">
        <f t="shared" si="100"/>
        <v>#VALUE!</v>
      </c>
      <c r="AA272" s="201"/>
      <c r="AC272" s="257" t="str">
        <f t="shared" si="101"/>
        <v/>
      </c>
    </row>
    <row r="273" spans="2:29" x14ac:dyDescent="0.3">
      <c r="B273" s="84" t="str">
        <f t="shared" si="103"/>
        <v/>
      </c>
      <c r="C273" s="85" t="str">
        <f>IF($B273="","",'Fecha Pago'!K265)</f>
        <v/>
      </c>
      <c r="D273" s="86" t="str">
        <f>IF($B$12="","",'Fecha Pago'!L265)</f>
        <v/>
      </c>
      <c r="E273" s="87" t="str">
        <f t="shared" si="85"/>
        <v/>
      </c>
      <c r="F273" s="86" t="str">
        <f t="shared" si="86"/>
        <v/>
      </c>
      <c r="G273" s="86" t="e">
        <f t="shared" si="87"/>
        <v>#VALUE!</v>
      </c>
      <c r="H273" s="86" t="str">
        <f t="shared" si="88"/>
        <v/>
      </c>
      <c r="I273" s="86" t="str">
        <f t="shared" si="89"/>
        <v/>
      </c>
      <c r="J273" s="86" t="str">
        <f t="shared" si="90"/>
        <v/>
      </c>
      <c r="K273" s="86" t="str">
        <f>IF(B273="","",IF(F273=0,0,IF(Sheet1!$I$10=6,'Tabla Fijos CAT'!$C$3*'Tabla Fijos CAT'!$F$5,$C$5*$F$5)))</f>
        <v/>
      </c>
      <c r="L273" s="86" t="str">
        <f t="shared" si="102"/>
        <v/>
      </c>
      <c r="M273" s="86"/>
      <c r="N273" s="86"/>
      <c r="O273" s="86" t="str">
        <f t="shared" si="91"/>
        <v/>
      </c>
      <c r="P273" s="86" t="str">
        <f t="shared" si="92"/>
        <v/>
      </c>
      <c r="Q273" s="355"/>
      <c r="R273" s="201" t="e">
        <f t="shared" si="93"/>
        <v>#VALUE!</v>
      </c>
      <c r="S273" s="201" t="e">
        <f t="shared" si="94"/>
        <v>#VALUE!</v>
      </c>
      <c r="T273" s="202" t="e">
        <f t="shared" si="95"/>
        <v>#VALUE!</v>
      </c>
      <c r="U273" s="201" t="e">
        <f t="shared" si="96"/>
        <v>#VALUE!</v>
      </c>
      <c r="V273" s="201" t="e">
        <f t="shared" si="97"/>
        <v>#VALUE!</v>
      </c>
      <c r="W273" s="201">
        <f t="shared" si="82"/>
        <v>10421.884210717653</v>
      </c>
      <c r="X273" s="201" t="e">
        <f t="shared" si="98"/>
        <v>#VALUE!</v>
      </c>
      <c r="Y273" s="201" t="e">
        <f t="shared" si="99"/>
        <v>#VALUE!</v>
      </c>
      <c r="Z273" s="201" t="e">
        <f t="shared" si="100"/>
        <v>#VALUE!</v>
      </c>
      <c r="AA273" s="201"/>
      <c r="AC273" s="257" t="str">
        <f t="shared" si="101"/>
        <v/>
      </c>
    </row>
    <row r="274" spans="2:29" x14ac:dyDescent="0.3">
      <c r="B274" s="84" t="str">
        <f t="shared" si="103"/>
        <v/>
      </c>
      <c r="C274" s="85" t="str">
        <f>IF($B274="","",'Fecha Pago'!K266)</f>
        <v/>
      </c>
      <c r="D274" s="86" t="str">
        <f>IF($B$12="","",'Fecha Pago'!L266)</f>
        <v/>
      </c>
      <c r="E274" s="87" t="str">
        <f t="shared" si="85"/>
        <v/>
      </c>
      <c r="F274" s="86" t="str">
        <f t="shared" si="86"/>
        <v/>
      </c>
      <c r="G274" s="86" t="e">
        <f t="shared" si="87"/>
        <v>#VALUE!</v>
      </c>
      <c r="H274" s="86" t="str">
        <f t="shared" si="88"/>
        <v/>
      </c>
      <c r="I274" s="86" t="str">
        <f t="shared" si="89"/>
        <v/>
      </c>
      <c r="J274" s="86" t="str">
        <f t="shared" si="90"/>
        <v/>
      </c>
      <c r="K274" s="86" t="str">
        <f>IF(B274="","",IF(F274=0,0,IF(Sheet1!$I$10=6,'Tabla Fijos CAT'!$C$3*'Tabla Fijos CAT'!$F$5,$C$5*$F$5)))</f>
        <v/>
      </c>
      <c r="L274" s="86" t="str">
        <f t="shared" si="102"/>
        <v/>
      </c>
      <c r="M274" s="86"/>
      <c r="N274" s="86"/>
      <c r="O274" s="86" t="str">
        <f t="shared" si="91"/>
        <v/>
      </c>
      <c r="P274" s="86" t="str">
        <f t="shared" si="92"/>
        <v/>
      </c>
      <c r="Q274" s="355"/>
      <c r="R274" s="201" t="e">
        <f t="shared" si="93"/>
        <v>#VALUE!</v>
      </c>
      <c r="S274" s="201" t="e">
        <f t="shared" si="94"/>
        <v>#VALUE!</v>
      </c>
      <c r="T274" s="202" t="e">
        <f t="shared" si="95"/>
        <v>#VALUE!</v>
      </c>
      <c r="U274" s="201" t="e">
        <f t="shared" si="96"/>
        <v>#VALUE!</v>
      </c>
      <c r="V274" s="201" t="e">
        <f t="shared" si="97"/>
        <v>#VALUE!</v>
      </c>
      <c r="W274" s="201">
        <f t="shared" si="82"/>
        <v>10421.884210717653</v>
      </c>
      <c r="X274" s="201" t="e">
        <f t="shared" si="98"/>
        <v>#VALUE!</v>
      </c>
      <c r="Y274" s="201" t="e">
        <f t="shared" si="99"/>
        <v>#VALUE!</v>
      </c>
      <c r="Z274" s="201" t="e">
        <f t="shared" si="100"/>
        <v>#VALUE!</v>
      </c>
      <c r="AA274" s="201"/>
      <c r="AC274" s="257" t="str">
        <f t="shared" si="101"/>
        <v/>
      </c>
    </row>
    <row r="275" spans="2:29" x14ac:dyDescent="0.3">
      <c r="B275" s="84" t="str">
        <f t="shared" si="103"/>
        <v/>
      </c>
      <c r="C275" s="85" t="str">
        <f>IF($B275="","",'Fecha Pago'!K267)</f>
        <v/>
      </c>
      <c r="D275" s="86" t="str">
        <f>IF($B$12="","",'Fecha Pago'!L267)</f>
        <v/>
      </c>
      <c r="E275" s="87" t="str">
        <f t="shared" si="85"/>
        <v/>
      </c>
      <c r="F275" s="86" t="str">
        <f t="shared" si="86"/>
        <v/>
      </c>
      <c r="G275" s="86" t="e">
        <f t="shared" si="87"/>
        <v>#VALUE!</v>
      </c>
      <c r="H275" s="86" t="str">
        <f t="shared" si="88"/>
        <v/>
      </c>
      <c r="I275" s="86" t="str">
        <f t="shared" si="89"/>
        <v/>
      </c>
      <c r="J275" s="86" t="str">
        <f t="shared" si="90"/>
        <v/>
      </c>
      <c r="K275" s="86" t="str">
        <f>IF(B275="","",IF(F275=0,0,IF(Sheet1!$I$10=6,'Tabla Fijos CAT'!$C$3*'Tabla Fijos CAT'!$F$5,$C$5*$F$5)))</f>
        <v/>
      </c>
      <c r="L275" s="86" t="str">
        <f t="shared" si="102"/>
        <v/>
      </c>
      <c r="M275" s="86"/>
      <c r="N275" s="86"/>
      <c r="O275" s="86" t="str">
        <f t="shared" si="91"/>
        <v/>
      </c>
      <c r="P275" s="86" t="str">
        <f t="shared" si="92"/>
        <v/>
      </c>
      <c r="Q275" s="355"/>
      <c r="R275" s="201" t="e">
        <f t="shared" si="93"/>
        <v>#VALUE!</v>
      </c>
      <c r="S275" s="201" t="e">
        <f t="shared" si="94"/>
        <v>#VALUE!</v>
      </c>
      <c r="T275" s="202" t="e">
        <f t="shared" si="95"/>
        <v>#VALUE!</v>
      </c>
      <c r="U275" s="201" t="e">
        <f t="shared" si="96"/>
        <v>#VALUE!</v>
      </c>
      <c r="V275" s="201" t="e">
        <f t="shared" si="97"/>
        <v>#VALUE!</v>
      </c>
      <c r="W275" s="201">
        <f t="shared" si="82"/>
        <v>10421.884210717653</v>
      </c>
      <c r="X275" s="201" t="e">
        <f t="shared" si="98"/>
        <v>#VALUE!</v>
      </c>
      <c r="Y275" s="201" t="e">
        <f t="shared" si="99"/>
        <v>#VALUE!</v>
      </c>
      <c r="Z275" s="201" t="e">
        <f t="shared" si="100"/>
        <v>#VALUE!</v>
      </c>
      <c r="AA275" s="201"/>
      <c r="AC275" s="257" t="str">
        <f t="shared" si="101"/>
        <v/>
      </c>
    </row>
    <row r="276" spans="2:29" x14ac:dyDescent="0.3">
      <c r="B276" s="84" t="str">
        <f t="shared" si="103"/>
        <v/>
      </c>
      <c r="C276" s="85" t="str">
        <f>IF($B276="","",'Fecha Pago'!K268)</f>
        <v/>
      </c>
      <c r="D276" s="86" t="str">
        <f>IF($B$12="","",'Fecha Pago'!L268)</f>
        <v/>
      </c>
      <c r="E276" s="87" t="str">
        <f t="shared" si="85"/>
        <v/>
      </c>
      <c r="F276" s="86" t="str">
        <f t="shared" si="86"/>
        <v/>
      </c>
      <c r="G276" s="86" t="e">
        <f t="shared" si="87"/>
        <v>#VALUE!</v>
      </c>
      <c r="H276" s="86" t="str">
        <f t="shared" si="88"/>
        <v/>
      </c>
      <c r="I276" s="86" t="str">
        <f t="shared" si="89"/>
        <v/>
      </c>
      <c r="J276" s="86" t="str">
        <f t="shared" si="90"/>
        <v/>
      </c>
      <c r="K276" s="86" t="str">
        <f>IF(B276="","",IF(F276=0,0,IF(Sheet1!$I$10=6,'Tabla Fijos CAT'!$C$3*'Tabla Fijos CAT'!$F$5,$C$5*$F$5)))</f>
        <v/>
      </c>
      <c r="L276" s="86" t="str">
        <f t="shared" si="102"/>
        <v/>
      </c>
      <c r="M276" s="86"/>
      <c r="N276" s="86"/>
      <c r="O276" s="86" t="str">
        <f t="shared" si="91"/>
        <v/>
      </c>
      <c r="P276" s="86" t="str">
        <f t="shared" si="92"/>
        <v/>
      </c>
      <c r="Q276" s="355"/>
      <c r="R276" s="201" t="e">
        <f t="shared" si="93"/>
        <v>#VALUE!</v>
      </c>
      <c r="S276" s="201" t="e">
        <f t="shared" si="94"/>
        <v>#VALUE!</v>
      </c>
      <c r="T276" s="202" t="e">
        <f t="shared" si="95"/>
        <v>#VALUE!</v>
      </c>
      <c r="U276" s="201" t="e">
        <f t="shared" si="96"/>
        <v>#VALUE!</v>
      </c>
      <c r="V276" s="201" t="e">
        <f t="shared" si="97"/>
        <v>#VALUE!</v>
      </c>
      <c r="W276" s="201">
        <f t="shared" si="82"/>
        <v>10421.884210717653</v>
      </c>
      <c r="X276" s="201" t="e">
        <f t="shared" si="98"/>
        <v>#VALUE!</v>
      </c>
      <c r="Y276" s="201" t="e">
        <f t="shared" si="99"/>
        <v>#VALUE!</v>
      </c>
      <c r="Z276" s="201" t="e">
        <f t="shared" si="100"/>
        <v>#VALUE!</v>
      </c>
      <c r="AA276" s="201"/>
      <c r="AC276" s="257" t="str">
        <f t="shared" si="101"/>
        <v/>
      </c>
    </row>
    <row r="277" spans="2:29" x14ac:dyDescent="0.3">
      <c r="B277" s="84" t="str">
        <f t="shared" si="103"/>
        <v/>
      </c>
      <c r="C277" s="85" t="str">
        <f>IF($B277="","",'Fecha Pago'!K269)</f>
        <v/>
      </c>
      <c r="D277" s="86" t="str">
        <f>IF($B$12="","",'Fecha Pago'!L269)</f>
        <v/>
      </c>
      <c r="E277" s="87" t="str">
        <f t="shared" si="85"/>
        <v/>
      </c>
      <c r="F277" s="86" t="str">
        <f t="shared" si="86"/>
        <v/>
      </c>
      <c r="G277" s="86" t="e">
        <f t="shared" si="87"/>
        <v>#VALUE!</v>
      </c>
      <c r="H277" s="86" t="str">
        <f t="shared" si="88"/>
        <v/>
      </c>
      <c r="I277" s="86" t="str">
        <f t="shared" si="89"/>
        <v/>
      </c>
      <c r="J277" s="86" t="str">
        <f t="shared" si="90"/>
        <v/>
      </c>
      <c r="K277" s="86" t="str">
        <f>IF(B277="","",IF(F277=0,0,IF(Sheet1!$I$10=6,'Tabla Fijos CAT'!$C$3*'Tabla Fijos CAT'!$F$5,$C$5*$F$5)))</f>
        <v/>
      </c>
      <c r="L277" s="86" t="str">
        <f t="shared" si="102"/>
        <v/>
      </c>
      <c r="M277" s="86"/>
      <c r="N277" s="86"/>
      <c r="O277" s="86" t="str">
        <f t="shared" si="91"/>
        <v/>
      </c>
      <c r="P277" s="86" t="str">
        <f t="shared" si="92"/>
        <v/>
      </c>
      <c r="Q277" s="355"/>
      <c r="R277" s="201" t="e">
        <f t="shared" si="93"/>
        <v>#VALUE!</v>
      </c>
      <c r="S277" s="201" t="e">
        <f t="shared" si="94"/>
        <v>#VALUE!</v>
      </c>
      <c r="T277" s="202" t="e">
        <f t="shared" si="95"/>
        <v>#VALUE!</v>
      </c>
      <c r="U277" s="201" t="e">
        <f t="shared" si="96"/>
        <v>#VALUE!</v>
      </c>
      <c r="V277" s="201" t="e">
        <f t="shared" si="97"/>
        <v>#VALUE!</v>
      </c>
      <c r="W277" s="201">
        <f t="shared" si="82"/>
        <v>10421.884210717653</v>
      </c>
      <c r="X277" s="201" t="e">
        <f t="shared" si="98"/>
        <v>#VALUE!</v>
      </c>
      <c r="Y277" s="201" t="e">
        <f t="shared" si="99"/>
        <v>#VALUE!</v>
      </c>
      <c r="Z277" s="201" t="e">
        <f t="shared" si="100"/>
        <v>#VALUE!</v>
      </c>
      <c r="AA277" s="201"/>
      <c r="AC277" s="257" t="str">
        <f t="shared" si="101"/>
        <v/>
      </c>
    </row>
    <row r="278" spans="2:29" x14ac:dyDescent="0.3">
      <c r="B278" s="84" t="str">
        <f t="shared" si="103"/>
        <v/>
      </c>
      <c r="C278" s="85" t="str">
        <f>IF($B278="","",'Fecha Pago'!K270)</f>
        <v/>
      </c>
      <c r="D278" s="86" t="str">
        <f>IF($B$12="","",'Fecha Pago'!L270)</f>
        <v/>
      </c>
      <c r="E278" s="87" t="str">
        <f t="shared" si="85"/>
        <v/>
      </c>
      <c r="F278" s="86" t="str">
        <f t="shared" si="86"/>
        <v/>
      </c>
      <c r="G278" s="86" t="e">
        <f t="shared" si="87"/>
        <v>#VALUE!</v>
      </c>
      <c r="H278" s="86" t="str">
        <f t="shared" si="88"/>
        <v/>
      </c>
      <c r="I278" s="86" t="str">
        <f t="shared" si="89"/>
        <v/>
      </c>
      <c r="J278" s="86" t="str">
        <f t="shared" si="90"/>
        <v/>
      </c>
      <c r="K278" s="86" t="str">
        <f>IF(B278="","",IF(F278=0,0,IF(Sheet1!$I$10=6,'Tabla Fijos CAT'!$C$3*'Tabla Fijos CAT'!$F$5,$C$5*$F$5)))</f>
        <v/>
      </c>
      <c r="L278" s="86" t="str">
        <f t="shared" si="102"/>
        <v/>
      </c>
      <c r="M278" s="86"/>
      <c r="N278" s="86"/>
      <c r="O278" s="86" t="str">
        <f t="shared" si="91"/>
        <v/>
      </c>
      <c r="P278" s="86" t="str">
        <f t="shared" si="92"/>
        <v/>
      </c>
      <c r="Q278" s="355"/>
      <c r="R278" s="201" t="e">
        <f t="shared" si="93"/>
        <v>#VALUE!</v>
      </c>
      <c r="S278" s="201" t="e">
        <f t="shared" si="94"/>
        <v>#VALUE!</v>
      </c>
      <c r="T278" s="202" t="e">
        <f t="shared" si="95"/>
        <v>#VALUE!</v>
      </c>
      <c r="U278" s="201" t="e">
        <f t="shared" si="96"/>
        <v>#VALUE!</v>
      </c>
      <c r="V278" s="201" t="e">
        <f t="shared" si="97"/>
        <v>#VALUE!</v>
      </c>
      <c r="W278" s="201">
        <f t="shared" si="82"/>
        <v>10421.884210717653</v>
      </c>
      <c r="X278" s="201" t="e">
        <f t="shared" si="98"/>
        <v>#VALUE!</v>
      </c>
      <c r="Y278" s="201" t="e">
        <f t="shared" si="99"/>
        <v>#VALUE!</v>
      </c>
      <c r="Z278" s="201" t="e">
        <f t="shared" si="100"/>
        <v>#VALUE!</v>
      </c>
      <c r="AA278" s="201"/>
      <c r="AC278" s="257" t="str">
        <f t="shared" si="101"/>
        <v/>
      </c>
    </row>
    <row r="279" spans="2:29" x14ac:dyDescent="0.3">
      <c r="B279" s="84" t="str">
        <f t="shared" si="103"/>
        <v/>
      </c>
      <c r="C279" s="85" t="str">
        <f>IF($B279="","",'Fecha Pago'!K271)</f>
        <v/>
      </c>
      <c r="D279" s="86" t="str">
        <f>IF($B$12="","",'Fecha Pago'!L271)</f>
        <v/>
      </c>
      <c r="E279" s="87" t="str">
        <f t="shared" si="85"/>
        <v/>
      </c>
      <c r="F279" s="86" t="str">
        <f t="shared" si="86"/>
        <v/>
      </c>
      <c r="G279" s="86" t="e">
        <f t="shared" si="87"/>
        <v>#VALUE!</v>
      </c>
      <c r="H279" s="86" t="str">
        <f t="shared" si="88"/>
        <v/>
      </c>
      <c r="I279" s="86" t="str">
        <f t="shared" si="89"/>
        <v/>
      </c>
      <c r="J279" s="86" t="str">
        <f t="shared" si="90"/>
        <v/>
      </c>
      <c r="K279" s="86" t="str">
        <f>IF(B279="","",IF(F279=0,0,IF(Sheet1!$I$10=6,'Tabla Fijos CAT'!$C$3*'Tabla Fijos CAT'!$F$5,$C$5*$F$5)))</f>
        <v/>
      </c>
      <c r="L279" s="86" t="str">
        <f t="shared" si="102"/>
        <v/>
      </c>
      <c r="M279" s="86"/>
      <c r="N279" s="86"/>
      <c r="O279" s="86" t="str">
        <f t="shared" si="91"/>
        <v/>
      </c>
      <c r="P279" s="86" t="str">
        <f t="shared" si="92"/>
        <v/>
      </c>
      <c r="Q279" s="355"/>
      <c r="R279" s="201" t="e">
        <f t="shared" si="93"/>
        <v>#VALUE!</v>
      </c>
      <c r="S279" s="201" t="e">
        <f t="shared" si="94"/>
        <v>#VALUE!</v>
      </c>
      <c r="T279" s="202" t="e">
        <f t="shared" si="95"/>
        <v>#VALUE!</v>
      </c>
      <c r="U279" s="201" t="e">
        <f t="shared" si="96"/>
        <v>#VALUE!</v>
      </c>
      <c r="V279" s="201" t="e">
        <f t="shared" si="97"/>
        <v>#VALUE!</v>
      </c>
      <c r="W279" s="201">
        <f t="shared" si="82"/>
        <v>10421.884210717653</v>
      </c>
      <c r="X279" s="201" t="e">
        <f t="shared" si="98"/>
        <v>#VALUE!</v>
      </c>
      <c r="Y279" s="201" t="e">
        <f t="shared" si="99"/>
        <v>#VALUE!</v>
      </c>
      <c r="Z279" s="201" t="e">
        <f t="shared" si="100"/>
        <v>#VALUE!</v>
      </c>
      <c r="AA279" s="201"/>
      <c r="AC279" s="257" t="str">
        <f t="shared" si="101"/>
        <v/>
      </c>
    </row>
    <row r="280" spans="2:29" x14ac:dyDescent="0.3">
      <c r="B280" s="84" t="str">
        <f t="shared" si="103"/>
        <v/>
      </c>
      <c r="C280" s="85" t="str">
        <f>IF($B280="","",'Fecha Pago'!K272)</f>
        <v/>
      </c>
      <c r="D280" s="86" t="str">
        <f>IF($B$12="","",'Fecha Pago'!L272)</f>
        <v/>
      </c>
      <c r="E280" s="87" t="str">
        <f t="shared" si="85"/>
        <v/>
      </c>
      <c r="F280" s="86" t="str">
        <f t="shared" si="86"/>
        <v/>
      </c>
      <c r="G280" s="86" t="e">
        <f t="shared" si="87"/>
        <v>#VALUE!</v>
      </c>
      <c r="H280" s="86" t="str">
        <f t="shared" si="88"/>
        <v/>
      </c>
      <c r="I280" s="86" t="str">
        <f t="shared" si="89"/>
        <v/>
      </c>
      <c r="J280" s="86" t="str">
        <f t="shared" si="90"/>
        <v/>
      </c>
      <c r="K280" s="86" t="str">
        <f>IF(B280="","",IF(F280=0,0,IF(Sheet1!$I$10=6,'Tabla Fijos CAT'!$C$3*'Tabla Fijos CAT'!$F$5,$C$5*$F$5)))</f>
        <v/>
      </c>
      <c r="L280" s="86" t="str">
        <f t="shared" si="102"/>
        <v/>
      </c>
      <c r="M280" s="86"/>
      <c r="N280" s="86"/>
      <c r="O280" s="86" t="str">
        <f t="shared" si="91"/>
        <v/>
      </c>
      <c r="P280" s="86" t="str">
        <f t="shared" si="92"/>
        <v/>
      </c>
      <c r="Q280" s="355"/>
      <c r="R280" s="201" t="e">
        <f t="shared" si="93"/>
        <v>#VALUE!</v>
      </c>
      <c r="S280" s="201" t="e">
        <f t="shared" si="94"/>
        <v>#VALUE!</v>
      </c>
      <c r="T280" s="202" t="e">
        <f t="shared" si="95"/>
        <v>#VALUE!</v>
      </c>
      <c r="U280" s="201" t="e">
        <f t="shared" si="96"/>
        <v>#VALUE!</v>
      </c>
      <c r="V280" s="201" t="e">
        <f t="shared" si="97"/>
        <v>#VALUE!</v>
      </c>
      <c r="W280" s="201">
        <f t="shared" si="82"/>
        <v>10421.884210717653</v>
      </c>
      <c r="X280" s="201" t="e">
        <f t="shared" si="98"/>
        <v>#VALUE!</v>
      </c>
      <c r="Y280" s="201" t="e">
        <f t="shared" si="99"/>
        <v>#VALUE!</v>
      </c>
      <c r="Z280" s="201" t="e">
        <f t="shared" si="100"/>
        <v>#VALUE!</v>
      </c>
      <c r="AA280" s="201"/>
      <c r="AC280" s="257" t="str">
        <f t="shared" si="101"/>
        <v/>
      </c>
    </row>
    <row r="281" spans="2:29" x14ac:dyDescent="0.3">
      <c r="B281" s="84" t="str">
        <f t="shared" si="103"/>
        <v/>
      </c>
      <c r="C281" s="85" t="str">
        <f>IF($B281="","",'Fecha Pago'!K273)</f>
        <v/>
      </c>
      <c r="D281" s="86" t="str">
        <f>IF($B$12="","",'Fecha Pago'!L273)</f>
        <v/>
      </c>
      <c r="E281" s="87" t="str">
        <f t="shared" si="85"/>
        <v/>
      </c>
      <c r="F281" s="86" t="str">
        <f t="shared" si="86"/>
        <v/>
      </c>
      <c r="G281" s="86" t="e">
        <f t="shared" si="87"/>
        <v>#VALUE!</v>
      </c>
      <c r="H281" s="86" t="str">
        <f t="shared" si="88"/>
        <v/>
      </c>
      <c r="I281" s="86" t="str">
        <f t="shared" si="89"/>
        <v/>
      </c>
      <c r="J281" s="86" t="str">
        <f t="shared" si="90"/>
        <v/>
      </c>
      <c r="K281" s="86" t="str">
        <f>IF(B281="","",IF(F281=0,0,IF(Sheet1!$I$10=6,'Tabla Fijos CAT'!$C$3*'Tabla Fijos CAT'!$F$5,$C$5*$F$5)))</f>
        <v/>
      </c>
      <c r="L281" s="86" t="str">
        <f t="shared" si="102"/>
        <v/>
      </c>
      <c r="M281" s="86"/>
      <c r="N281" s="86"/>
      <c r="O281" s="86" t="str">
        <f t="shared" si="91"/>
        <v/>
      </c>
      <c r="P281" s="86" t="str">
        <f t="shared" si="92"/>
        <v/>
      </c>
      <c r="Q281" s="355"/>
      <c r="R281" s="201" t="e">
        <f t="shared" si="93"/>
        <v>#VALUE!</v>
      </c>
      <c r="S281" s="201" t="e">
        <f t="shared" si="94"/>
        <v>#VALUE!</v>
      </c>
      <c r="T281" s="202" t="e">
        <f t="shared" si="95"/>
        <v>#VALUE!</v>
      </c>
      <c r="U281" s="201" t="e">
        <f t="shared" si="96"/>
        <v>#VALUE!</v>
      </c>
      <c r="V281" s="201" t="e">
        <f t="shared" si="97"/>
        <v>#VALUE!</v>
      </c>
      <c r="W281" s="201">
        <f t="shared" si="82"/>
        <v>10421.884210717653</v>
      </c>
      <c r="X281" s="201" t="e">
        <f t="shared" si="98"/>
        <v>#VALUE!</v>
      </c>
      <c r="Y281" s="201" t="e">
        <f t="shared" si="99"/>
        <v>#VALUE!</v>
      </c>
      <c r="Z281" s="201" t="e">
        <f t="shared" si="100"/>
        <v>#VALUE!</v>
      </c>
      <c r="AA281" s="201"/>
      <c r="AC281" s="257" t="str">
        <f t="shared" si="101"/>
        <v/>
      </c>
    </row>
    <row r="282" spans="2:29" x14ac:dyDescent="0.3">
      <c r="B282" s="84" t="str">
        <f t="shared" si="103"/>
        <v/>
      </c>
      <c r="C282" s="85" t="str">
        <f>IF($B282="","",'Fecha Pago'!K274)</f>
        <v/>
      </c>
      <c r="D282" s="86" t="str">
        <f>IF($B$12="","",'Fecha Pago'!L274)</f>
        <v/>
      </c>
      <c r="E282" s="87" t="str">
        <f t="shared" si="85"/>
        <v/>
      </c>
      <c r="F282" s="86" t="str">
        <f t="shared" si="86"/>
        <v/>
      </c>
      <c r="G282" s="86" t="e">
        <f t="shared" si="87"/>
        <v>#VALUE!</v>
      </c>
      <c r="H282" s="86" t="str">
        <f t="shared" si="88"/>
        <v/>
      </c>
      <c r="I282" s="86" t="str">
        <f t="shared" si="89"/>
        <v/>
      </c>
      <c r="J282" s="86" t="str">
        <f t="shared" si="90"/>
        <v/>
      </c>
      <c r="K282" s="86" t="str">
        <f>IF(B282="","",IF(F282=0,0,IF(Sheet1!$I$10=6,'Tabla Fijos CAT'!$C$3*'Tabla Fijos CAT'!$F$5,$C$5*$F$5)))</f>
        <v/>
      </c>
      <c r="L282" s="86" t="str">
        <f t="shared" si="102"/>
        <v/>
      </c>
      <c r="M282" s="86"/>
      <c r="N282" s="86"/>
      <c r="O282" s="86" t="str">
        <f t="shared" si="91"/>
        <v/>
      </c>
      <c r="P282" s="86" t="str">
        <f t="shared" si="92"/>
        <v/>
      </c>
      <c r="Q282" s="355"/>
      <c r="R282" s="201" t="e">
        <f t="shared" si="93"/>
        <v>#VALUE!</v>
      </c>
      <c r="S282" s="201" t="e">
        <f t="shared" si="94"/>
        <v>#VALUE!</v>
      </c>
      <c r="T282" s="202" t="e">
        <f t="shared" si="95"/>
        <v>#VALUE!</v>
      </c>
      <c r="U282" s="201" t="e">
        <f t="shared" si="96"/>
        <v>#VALUE!</v>
      </c>
      <c r="V282" s="201" t="e">
        <f t="shared" si="97"/>
        <v>#VALUE!</v>
      </c>
      <c r="W282" s="201">
        <f t="shared" si="82"/>
        <v>10421.884210717653</v>
      </c>
      <c r="X282" s="201" t="e">
        <f t="shared" si="98"/>
        <v>#VALUE!</v>
      </c>
      <c r="Y282" s="201" t="e">
        <f t="shared" si="99"/>
        <v>#VALUE!</v>
      </c>
      <c r="Z282" s="201" t="e">
        <f t="shared" si="100"/>
        <v>#VALUE!</v>
      </c>
      <c r="AA282" s="201"/>
      <c r="AC282" s="257" t="str">
        <f t="shared" si="101"/>
        <v/>
      </c>
    </row>
    <row r="283" spans="2:29" x14ac:dyDescent="0.3">
      <c r="B283" s="84" t="str">
        <f t="shared" si="103"/>
        <v/>
      </c>
      <c r="C283" s="85" t="str">
        <f>IF($B283="","",'Fecha Pago'!K275)</f>
        <v/>
      </c>
      <c r="D283" s="86" t="str">
        <f>IF($B$12="","",'Fecha Pago'!L275)</f>
        <v/>
      </c>
      <c r="E283" s="87" t="str">
        <f t="shared" si="85"/>
        <v/>
      </c>
      <c r="F283" s="86" t="str">
        <f t="shared" si="86"/>
        <v/>
      </c>
      <c r="G283" s="86" t="e">
        <f t="shared" si="87"/>
        <v>#VALUE!</v>
      </c>
      <c r="H283" s="86" t="str">
        <f t="shared" si="88"/>
        <v/>
      </c>
      <c r="I283" s="86" t="str">
        <f t="shared" si="89"/>
        <v/>
      </c>
      <c r="J283" s="86" t="str">
        <f t="shared" si="90"/>
        <v/>
      </c>
      <c r="K283" s="86" t="str">
        <f>IF(B283="","",IF(F283=0,0,IF(Sheet1!$I$10=6,'Tabla Fijos CAT'!$C$3*'Tabla Fijos CAT'!$F$5,$C$5*$F$5)))</f>
        <v/>
      </c>
      <c r="L283" s="86" t="str">
        <f t="shared" si="102"/>
        <v/>
      </c>
      <c r="M283" s="86"/>
      <c r="N283" s="86"/>
      <c r="O283" s="86" t="str">
        <f t="shared" si="91"/>
        <v/>
      </c>
      <c r="P283" s="86" t="str">
        <f t="shared" si="92"/>
        <v/>
      </c>
      <c r="Q283" s="355"/>
      <c r="R283" s="201" t="e">
        <f t="shared" si="93"/>
        <v>#VALUE!</v>
      </c>
      <c r="S283" s="201" t="e">
        <f t="shared" si="94"/>
        <v>#VALUE!</v>
      </c>
      <c r="T283" s="202" t="e">
        <f t="shared" si="95"/>
        <v>#VALUE!</v>
      </c>
      <c r="U283" s="201" t="e">
        <f t="shared" si="96"/>
        <v>#VALUE!</v>
      </c>
      <c r="V283" s="201" t="e">
        <f t="shared" si="97"/>
        <v>#VALUE!</v>
      </c>
      <c r="W283" s="201">
        <f t="shared" si="82"/>
        <v>10421.884210717653</v>
      </c>
      <c r="X283" s="201" t="e">
        <f t="shared" si="98"/>
        <v>#VALUE!</v>
      </c>
      <c r="Y283" s="201" t="e">
        <f t="shared" si="99"/>
        <v>#VALUE!</v>
      </c>
      <c r="Z283" s="201" t="e">
        <f t="shared" si="100"/>
        <v>#VALUE!</v>
      </c>
      <c r="AA283" s="201"/>
      <c r="AC283" s="257" t="str">
        <f t="shared" si="101"/>
        <v/>
      </c>
    </row>
    <row r="284" spans="2:29" x14ac:dyDescent="0.3">
      <c r="B284" s="84" t="str">
        <f t="shared" si="103"/>
        <v/>
      </c>
      <c r="C284" s="85" t="str">
        <f>IF($B284="","",'Fecha Pago'!K276)</f>
        <v/>
      </c>
      <c r="D284" s="86" t="str">
        <f>IF($B$12="","",'Fecha Pago'!L276)</f>
        <v/>
      </c>
      <c r="E284" s="87" t="str">
        <f t="shared" si="85"/>
        <v/>
      </c>
      <c r="F284" s="86" t="str">
        <f t="shared" si="86"/>
        <v/>
      </c>
      <c r="G284" s="86" t="e">
        <f t="shared" si="87"/>
        <v>#VALUE!</v>
      </c>
      <c r="H284" s="86" t="str">
        <f t="shared" si="88"/>
        <v/>
      </c>
      <c r="I284" s="86" t="str">
        <f t="shared" si="89"/>
        <v/>
      </c>
      <c r="J284" s="86" t="str">
        <f t="shared" si="90"/>
        <v/>
      </c>
      <c r="K284" s="86" t="str">
        <f>IF(B284="","",IF(F284=0,0,IF(Sheet1!$I$10=6,'Tabla Fijos CAT'!$C$3*'Tabla Fijos CAT'!$F$5,$C$5*$F$5)))</f>
        <v/>
      </c>
      <c r="L284" s="86" t="str">
        <f t="shared" si="102"/>
        <v/>
      </c>
      <c r="M284" s="86"/>
      <c r="N284" s="86"/>
      <c r="O284" s="86" t="str">
        <f t="shared" si="91"/>
        <v/>
      </c>
      <c r="P284" s="86" t="str">
        <f t="shared" si="92"/>
        <v/>
      </c>
      <c r="Q284" s="355"/>
      <c r="R284" s="201" t="e">
        <f t="shared" si="93"/>
        <v>#VALUE!</v>
      </c>
      <c r="S284" s="201" t="e">
        <f t="shared" si="94"/>
        <v>#VALUE!</v>
      </c>
      <c r="T284" s="202" t="e">
        <f t="shared" si="95"/>
        <v>#VALUE!</v>
      </c>
      <c r="U284" s="201" t="e">
        <f t="shared" si="96"/>
        <v>#VALUE!</v>
      </c>
      <c r="V284" s="201" t="e">
        <f t="shared" si="97"/>
        <v>#VALUE!</v>
      </c>
      <c r="W284" s="201">
        <f t="shared" si="82"/>
        <v>10421.884210717653</v>
      </c>
      <c r="X284" s="201" t="e">
        <f t="shared" si="98"/>
        <v>#VALUE!</v>
      </c>
      <c r="Y284" s="201" t="e">
        <f t="shared" si="99"/>
        <v>#VALUE!</v>
      </c>
      <c r="Z284" s="201" t="e">
        <f t="shared" si="100"/>
        <v>#VALUE!</v>
      </c>
      <c r="AA284" s="201"/>
      <c r="AC284" s="257" t="str">
        <f t="shared" si="101"/>
        <v/>
      </c>
    </row>
    <row r="285" spans="2:29" x14ac:dyDescent="0.3">
      <c r="B285" s="84" t="str">
        <f t="shared" si="103"/>
        <v/>
      </c>
      <c r="C285" s="85" t="str">
        <f>IF($B285="","",'Fecha Pago'!K277)</f>
        <v/>
      </c>
      <c r="D285" s="86" t="str">
        <f>IF($B$12="","",'Fecha Pago'!L277)</f>
        <v/>
      </c>
      <c r="E285" s="87" t="str">
        <f t="shared" si="85"/>
        <v/>
      </c>
      <c r="F285" s="86" t="str">
        <f t="shared" si="86"/>
        <v/>
      </c>
      <c r="G285" s="86" t="e">
        <f t="shared" si="87"/>
        <v>#VALUE!</v>
      </c>
      <c r="H285" s="86" t="str">
        <f t="shared" si="88"/>
        <v/>
      </c>
      <c r="I285" s="86" t="str">
        <f t="shared" si="89"/>
        <v/>
      </c>
      <c r="J285" s="86" t="str">
        <f t="shared" si="90"/>
        <v/>
      </c>
      <c r="K285" s="86" t="str">
        <f>IF(B285="","",IF(F285=0,0,IF(Sheet1!$I$10=6,'Tabla Fijos CAT'!$C$3*'Tabla Fijos CAT'!$F$5,$C$5*$F$5)))</f>
        <v/>
      </c>
      <c r="L285" s="86" t="str">
        <f t="shared" si="102"/>
        <v/>
      </c>
      <c r="M285" s="86"/>
      <c r="N285" s="86"/>
      <c r="O285" s="86" t="str">
        <f t="shared" si="91"/>
        <v/>
      </c>
      <c r="P285" s="86" t="str">
        <f t="shared" si="92"/>
        <v/>
      </c>
      <c r="Q285" s="355"/>
      <c r="R285" s="201" t="e">
        <f t="shared" si="93"/>
        <v>#VALUE!</v>
      </c>
      <c r="S285" s="201" t="e">
        <f t="shared" si="94"/>
        <v>#VALUE!</v>
      </c>
      <c r="T285" s="202" t="e">
        <f t="shared" si="95"/>
        <v>#VALUE!</v>
      </c>
      <c r="U285" s="201" t="e">
        <f t="shared" si="96"/>
        <v>#VALUE!</v>
      </c>
      <c r="V285" s="201" t="e">
        <f t="shared" si="97"/>
        <v>#VALUE!</v>
      </c>
      <c r="W285" s="201">
        <f t="shared" si="82"/>
        <v>10421.884210717653</v>
      </c>
      <c r="X285" s="201" t="e">
        <f t="shared" si="98"/>
        <v>#VALUE!</v>
      </c>
      <c r="Y285" s="201" t="e">
        <f t="shared" si="99"/>
        <v>#VALUE!</v>
      </c>
      <c r="Z285" s="201" t="e">
        <f t="shared" si="100"/>
        <v>#VALUE!</v>
      </c>
      <c r="AA285" s="201"/>
      <c r="AC285" s="257" t="str">
        <f t="shared" si="101"/>
        <v/>
      </c>
    </row>
    <row r="286" spans="2:29" x14ac:dyDescent="0.3">
      <c r="B286" s="84" t="str">
        <f t="shared" si="103"/>
        <v/>
      </c>
      <c r="C286" s="85" t="str">
        <f>IF($B286="","",'Fecha Pago'!K278)</f>
        <v/>
      </c>
      <c r="D286" s="86" t="str">
        <f>IF($B$12="","",'Fecha Pago'!L278)</f>
        <v/>
      </c>
      <c r="E286" s="87" t="str">
        <f t="shared" si="85"/>
        <v/>
      </c>
      <c r="F286" s="86" t="str">
        <f t="shared" si="86"/>
        <v/>
      </c>
      <c r="G286" s="86" t="e">
        <f t="shared" si="87"/>
        <v>#VALUE!</v>
      </c>
      <c r="H286" s="86" t="str">
        <f t="shared" si="88"/>
        <v/>
      </c>
      <c r="I286" s="86" t="str">
        <f t="shared" si="89"/>
        <v/>
      </c>
      <c r="J286" s="86" t="str">
        <f t="shared" si="90"/>
        <v/>
      </c>
      <c r="K286" s="86" t="str">
        <f>IF(B286="","",IF(F286=0,0,IF(Sheet1!$I$10=6,'Tabla Fijos CAT'!$C$3*'Tabla Fijos CAT'!$F$5,$C$5*$F$5)))</f>
        <v/>
      </c>
      <c r="L286" s="86" t="str">
        <f t="shared" si="102"/>
        <v/>
      </c>
      <c r="M286" s="86"/>
      <c r="N286" s="86"/>
      <c r="O286" s="86" t="str">
        <f t="shared" si="91"/>
        <v/>
      </c>
      <c r="P286" s="86" t="str">
        <f t="shared" si="92"/>
        <v/>
      </c>
      <c r="Q286" s="355"/>
      <c r="R286" s="201" t="e">
        <f t="shared" si="93"/>
        <v>#VALUE!</v>
      </c>
      <c r="S286" s="201" t="e">
        <f t="shared" si="94"/>
        <v>#VALUE!</v>
      </c>
      <c r="T286" s="202" t="e">
        <f t="shared" si="95"/>
        <v>#VALUE!</v>
      </c>
      <c r="U286" s="201" t="e">
        <f t="shared" si="96"/>
        <v>#VALUE!</v>
      </c>
      <c r="V286" s="201" t="e">
        <f t="shared" si="97"/>
        <v>#VALUE!</v>
      </c>
      <c r="W286" s="201">
        <f t="shared" si="82"/>
        <v>10421.884210717653</v>
      </c>
      <c r="X286" s="201" t="e">
        <f t="shared" si="98"/>
        <v>#VALUE!</v>
      </c>
      <c r="Y286" s="201" t="e">
        <f t="shared" si="99"/>
        <v>#VALUE!</v>
      </c>
      <c r="Z286" s="201" t="e">
        <f t="shared" si="100"/>
        <v>#VALUE!</v>
      </c>
      <c r="AA286" s="201"/>
      <c r="AC286" s="257" t="str">
        <f t="shared" si="101"/>
        <v/>
      </c>
    </row>
    <row r="287" spans="2:29" x14ac:dyDescent="0.3">
      <c r="B287" s="84" t="str">
        <f t="shared" si="103"/>
        <v/>
      </c>
      <c r="C287" s="85" t="str">
        <f>IF($B287="","",'Fecha Pago'!K279)</f>
        <v/>
      </c>
      <c r="D287" s="86" t="str">
        <f>IF($B$12="","",'Fecha Pago'!L279)</f>
        <v/>
      </c>
      <c r="E287" s="87" t="str">
        <f t="shared" si="85"/>
        <v/>
      </c>
      <c r="F287" s="86" t="str">
        <f t="shared" si="86"/>
        <v/>
      </c>
      <c r="G287" s="86" t="e">
        <f t="shared" si="87"/>
        <v>#VALUE!</v>
      </c>
      <c r="H287" s="86" t="str">
        <f t="shared" si="88"/>
        <v/>
      </c>
      <c r="I287" s="86" t="str">
        <f t="shared" si="89"/>
        <v/>
      </c>
      <c r="J287" s="86" t="str">
        <f t="shared" si="90"/>
        <v/>
      </c>
      <c r="K287" s="86" t="str">
        <f>IF(B287="","",IF(F287=0,0,IF(Sheet1!$I$10=6,'Tabla Fijos CAT'!$C$3*'Tabla Fijos CAT'!$F$5,$C$5*$F$5)))</f>
        <v/>
      </c>
      <c r="L287" s="86" t="str">
        <f t="shared" si="102"/>
        <v/>
      </c>
      <c r="M287" s="86"/>
      <c r="N287" s="86"/>
      <c r="O287" s="86" t="str">
        <f t="shared" si="91"/>
        <v/>
      </c>
      <c r="P287" s="86" t="str">
        <f t="shared" si="92"/>
        <v/>
      </c>
      <c r="Q287" s="355"/>
      <c r="R287" s="201" t="e">
        <f t="shared" si="93"/>
        <v>#VALUE!</v>
      </c>
      <c r="S287" s="201" t="e">
        <f t="shared" si="94"/>
        <v>#VALUE!</v>
      </c>
      <c r="T287" s="202" t="e">
        <f t="shared" si="95"/>
        <v>#VALUE!</v>
      </c>
      <c r="U287" s="201" t="e">
        <f t="shared" si="96"/>
        <v>#VALUE!</v>
      </c>
      <c r="V287" s="201" t="e">
        <f t="shared" si="97"/>
        <v>#VALUE!</v>
      </c>
      <c r="W287" s="201">
        <f t="shared" si="82"/>
        <v>10421.884210717653</v>
      </c>
      <c r="X287" s="201" t="e">
        <f t="shared" si="98"/>
        <v>#VALUE!</v>
      </c>
      <c r="Y287" s="201" t="e">
        <f t="shared" si="99"/>
        <v>#VALUE!</v>
      </c>
      <c r="Z287" s="201" t="e">
        <f t="shared" si="100"/>
        <v>#VALUE!</v>
      </c>
      <c r="AA287" s="201"/>
      <c r="AC287" s="257" t="str">
        <f t="shared" si="101"/>
        <v/>
      </c>
    </row>
    <row r="288" spans="2:29" x14ac:dyDescent="0.3">
      <c r="B288" s="84" t="str">
        <f t="shared" si="103"/>
        <v/>
      </c>
      <c r="C288" s="85" t="str">
        <f>IF($B288="","",'Fecha Pago'!K280)</f>
        <v/>
      </c>
      <c r="D288" s="86" t="str">
        <f>IF($B$12="","",'Fecha Pago'!L280)</f>
        <v/>
      </c>
      <c r="E288" s="87" t="str">
        <f t="shared" si="85"/>
        <v/>
      </c>
      <c r="F288" s="86" t="str">
        <f t="shared" si="86"/>
        <v/>
      </c>
      <c r="G288" s="86" t="e">
        <f t="shared" si="87"/>
        <v>#VALUE!</v>
      </c>
      <c r="H288" s="86" t="str">
        <f t="shared" si="88"/>
        <v/>
      </c>
      <c r="I288" s="86" t="str">
        <f t="shared" si="89"/>
        <v/>
      </c>
      <c r="J288" s="86" t="str">
        <f t="shared" si="90"/>
        <v/>
      </c>
      <c r="K288" s="86" t="str">
        <f>IF(B288="","",IF(F288=0,0,IF(Sheet1!$I$10=6,'Tabla Fijos CAT'!$C$3*'Tabla Fijos CAT'!$F$5,$C$5*$F$5)))</f>
        <v/>
      </c>
      <c r="L288" s="86" t="str">
        <f t="shared" si="102"/>
        <v/>
      </c>
      <c r="M288" s="86"/>
      <c r="N288" s="86"/>
      <c r="O288" s="86" t="str">
        <f t="shared" si="91"/>
        <v/>
      </c>
      <c r="P288" s="86" t="str">
        <f t="shared" si="92"/>
        <v/>
      </c>
      <c r="Q288" s="355"/>
      <c r="R288" s="201" t="e">
        <f t="shared" si="93"/>
        <v>#VALUE!</v>
      </c>
      <c r="S288" s="201" t="e">
        <f t="shared" si="94"/>
        <v>#VALUE!</v>
      </c>
      <c r="T288" s="202" t="e">
        <f t="shared" si="95"/>
        <v>#VALUE!</v>
      </c>
      <c r="U288" s="201" t="e">
        <f t="shared" si="96"/>
        <v>#VALUE!</v>
      </c>
      <c r="V288" s="201" t="e">
        <f t="shared" si="97"/>
        <v>#VALUE!</v>
      </c>
      <c r="W288" s="201">
        <f t="shared" si="82"/>
        <v>10421.884210717653</v>
      </c>
      <c r="X288" s="201" t="e">
        <f t="shared" si="98"/>
        <v>#VALUE!</v>
      </c>
      <c r="Y288" s="201" t="e">
        <f t="shared" si="99"/>
        <v>#VALUE!</v>
      </c>
      <c r="Z288" s="201" t="e">
        <f t="shared" si="100"/>
        <v>#VALUE!</v>
      </c>
      <c r="AA288" s="201"/>
      <c r="AC288" s="257" t="str">
        <f t="shared" si="101"/>
        <v/>
      </c>
    </row>
    <row r="289" spans="2:29" x14ac:dyDescent="0.3">
      <c r="B289" s="84" t="str">
        <f t="shared" si="103"/>
        <v/>
      </c>
      <c r="C289" s="85" t="str">
        <f>IF($B289="","",'Fecha Pago'!K281)</f>
        <v/>
      </c>
      <c r="D289" s="86" t="str">
        <f>IF($B$12="","",'Fecha Pago'!L281)</f>
        <v/>
      </c>
      <c r="E289" s="87" t="str">
        <f t="shared" si="85"/>
        <v/>
      </c>
      <c r="F289" s="86" t="str">
        <f t="shared" si="86"/>
        <v/>
      </c>
      <c r="G289" s="86" t="e">
        <f t="shared" si="87"/>
        <v>#VALUE!</v>
      </c>
      <c r="H289" s="86" t="str">
        <f t="shared" si="88"/>
        <v/>
      </c>
      <c r="I289" s="86" t="str">
        <f t="shared" si="89"/>
        <v/>
      </c>
      <c r="J289" s="86" t="str">
        <f t="shared" si="90"/>
        <v/>
      </c>
      <c r="K289" s="86" t="str">
        <f>IF(B289="","",IF(F289=0,0,IF(Sheet1!$I$10=6,'Tabla Fijos CAT'!$C$3*'Tabla Fijos CAT'!$F$5,$C$5*$F$5)))</f>
        <v/>
      </c>
      <c r="L289" s="86" t="str">
        <f t="shared" si="102"/>
        <v/>
      </c>
      <c r="M289" s="86"/>
      <c r="N289" s="86"/>
      <c r="O289" s="86" t="str">
        <f t="shared" si="91"/>
        <v/>
      </c>
      <c r="P289" s="86" t="str">
        <f t="shared" si="92"/>
        <v/>
      </c>
      <c r="Q289" s="355"/>
      <c r="R289" s="201" t="e">
        <f t="shared" si="93"/>
        <v>#VALUE!</v>
      </c>
      <c r="S289" s="201" t="e">
        <f t="shared" si="94"/>
        <v>#VALUE!</v>
      </c>
      <c r="T289" s="202" t="e">
        <f t="shared" si="95"/>
        <v>#VALUE!</v>
      </c>
      <c r="U289" s="201" t="e">
        <f t="shared" si="96"/>
        <v>#VALUE!</v>
      </c>
      <c r="V289" s="201" t="e">
        <f t="shared" si="97"/>
        <v>#VALUE!</v>
      </c>
      <c r="W289" s="201">
        <f t="shared" si="82"/>
        <v>10421.884210717653</v>
      </c>
      <c r="X289" s="201" t="e">
        <f t="shared" si="98"/>
        <v>#VALUE!</v>
      </c>
      <c r="Y289" s="201" t="e">
        <f t="shared" si="99"/>
        <v>#VALUE!</v>
      </c>
      <c r="Z289" s="201" t="e">
        <f t="shared" si="100"/>
        <v>#VALUE!</v>
      </c>
      <c r="AA289" s="201"/>
      <c r="AC289" s="257" t="str">
        <f t="shared" si="101"/>
        <v/>
      </c>
    </row>
    <row r="290" spans="2:29" x14ac:dyDescent="0.3">
      <c r="B290" s="84" t="str">
        <f t="shared" si="103"/>
        <v/>
      </c>
      <c r="C290" s="85" t="str">
        <f>IF($B290="","",'Fecha Pago'!K282)</f>
        <v/>
      </c>
      <c r="D290" s="86" t="str">
        <f>IF($B$12="","",'Fecha Pago'!L282)</f>
        <v/>
      </c>
      <c r="E290" s="87" t="str">
        <f t="shared" si="85"/>
        <v/>
      </c>
      <c r="F290" s="86" t="str">
        <f t="shared" si="86"/>
        <v/>
      </c>
      <c r="G290" s="86" t="e">
        <f t="shared" si="87"/>
        <v>#VALUE!</v>
      </c>
      <c r="H290" s="86" t="str">
        <f t="shared" si="88"/>
        <v/>
      </c>
      <c r="I290" s="86" t="str">
        <f t="shared" si="89"/>
        <v/>
      </c>
      <c r="J290" s="86" t="str">
        <f t="shared" si="90"/>
        <v/>
      </c>
      <c r="K290" s="86" t="str">
        <f>IF(B290="","",IF(F290=0,0,IF(Sheet1!$I$10=6,'Tabla Fijos CAT'!$C$3*'Tabla Fijos CAT'!$F$5,$C$5*$F$5)))</f>
        <v/>
      </c>
      <c r="L290" s="86" t="str">
        <f t="shared" si="102"/>
        <v/>
      </c>
      <c r="M290" s="86"/>
      <c r="N290" s="86"/>
      <c r="O290" s="86" t="str">
        <f t="shared" si="91"/>
        <v/>
      </c>
      <c r="P290" s="86" t="str">
        <f t="shared" si="92"/>
        <v/>
      </c>
      <c r="Q290" s="355"/>
      <c r="R290" s="201" t="e">
        <f t="shared" si="93"/>
        <v>#VALUE!</v>
      </c>
      <c r="S290" s="201" t="e">
        <f t="shared" si="94"/>
        <v>#VALUE!</v>
      </c>
      <c r="T290" s="202" t="e">
        <f t="shared" si="95"/>
        <v>#VALUE!</v>
      </c>
      <c r="U290" s="201" t="e">
        <f t="shared" si="96"/>
        <v>#VALUE!</v>
      </c>
      <c r="V290" s="201" t="e">
        <f t="shared" si="97"/>
        <v>#VALUE!</v>
      </c>
      <c r="W290" s="201">
        <f t="shared" si="82"/>
        <v>10421.884210717653</v>
      </c>
      <c r="X290" s="201" t="e">
        <f t="shared" si="98"/>
        <v>#VALUE!</v>
      </c>
      <c r="Y290" s="201" t="e">
        <f t="shared" si="99"/>
        <v>#VALUE!</v>
      </c>
      <c r="Z290" s="201" t="e">
        <f t="shared" si="100"/>
        <v>#VALUE!</v>
      </c>
      <c r="AA290" s="201"/>
      <c r="AC290" s="257" t="str">
        <f t="shared" si="101"/>
        <v/>
      </c>
    </row>
    <row r="291" spans="2:29" x14ac:dyDescent="0.3">
      <c r="B291" s="84" t="str">
        <f t="shared" si="103"/>
        <v/>
      </c>
      <c r="C291" s="85" t="str">
        <f>IF($B291="","",'Fecha Pago'!K283)</f>
        <v/>
      </c>
      <c r="D291" s="86" t="str">
        <f>IF($B$12="","",'Fecha Pago'!L283)</f>
        <v/>
      </c>
      <c r="E291" s="87" t="str">
        <f t="shared" si="85"/>
        <v/>
      </c>
      <c r="F291" s="86" t="str">
        <f t="shared" si="86"/>
        <v/>
      </c>
      <c r="G291" s="86" t="e">
        <f t="shared" si="87"/>
        <v>#VALUE!</v>
      </c>
      <c r="H291" s="86" t="str">
        <f t="shared" si="88"/>
        <v/>
      </c>
      <c r="I291" s="86" t="str">
        <f t="shared" si="89"/>
        <v/>
      </c>
      <c r="J291" s="86" t="str">
        <f t="shared" si="90"/>
        <v/>
      </c>
      <c r="K291" s="86" t="str">
        <f>IF(B291="","",IF(F291=0,0,IF(Sheet1!$I$10=6,'Tabla Fijos CAT'!$C$3*'Tabla Fijos CAT'!$F$5,$C$5*$F$5)))</f>
        <v/>
      </c>
      <c r="L291" s="86" t="str">
        <f t="shared" si="102"/>
        <v/>
      </c>
      <c r="M291" s="86"/>
      <c r="N291" s="86"/>
      <c r="O291" s="86" t="str">
        <f t="shared" si="91"/>
        <v/>
      </c>
      <c r="P291" s="86" t="str">
        <f t="shared" si="92"/>
        <v/>
      </c>
      <c r="Q291" s="355"/>
      <c r="R291" s="201" t="e">
        <f t="shared" si="93"/>
        <v>#VALUE!</v>
      </c>
      <c r="S291" s="201" t="e">
        <f t="shared" si="94"/>
        <v>#VALUE!</v>
      </c>
      <c r="T291" s="202" t="e">
        <f t="shared" si="95"/>
        <v>#VALUE!</v>
      </c>
      <c r="U291" s="201" t="e">
        <f t="shared" si="96"/>
        <v>#VALUE!</v>
      </c>
      <c r="V291" s="201" t="e">
        <f t="shared" si="97"/>
        <v>#VALUE!</v>
      </c>
      <c r="W291" s="201">
        <f t="shared" si="82"/>
        <v>10421.884210717653</v>
      </c>
      <c r="X291" s="201" t="e">
        <f t="shared" si="98"/>
        <v>#VALUE!</v>
      </c>
      <c r="Y291" s="201" t="e">
        <f t="shared" si="99"/>
        <v>#VALUE!</v>
      </c>
      <c r="Z291" s="201" t="e">
        <f t="shared" si="100"/>
        <v>#VALUE!</v>
      </c>
      <c r="AA291" s="201"/>
      <c r="AC291" s="257" t="str">
        <f t="shared" si="101"/>
        <v/>
      </c>
    </row>
    <row r="292" spans="2:29" x14ac:dyDescent="0.3">
      <c r="B292" s="84" t="str">
        <f t="shared" si="103"/>
        <v/>
      </c>
      <c r="C292" s="85" t="str">
        <f>IF($B292="","",'Fecha Pago'!K284)</f>
        <v/>
      </c>
      <c r="D292" s="86" t="str">
        <f>IF($B$12="","",'Fecha Pago'!L284)</f>
        <v/>
      </c>
      <c r="E292" s="87" t="str">
        <f t="shared" si="85"/>
        <v/>
      </c>
      <c r="F292" s="86" t="str">
        <f t="shared" si="86"/>
        <v/>
      </c>
      <c r="G292" s="86" t="e">
        <f t="shared" si="87"/>
        <v>#VALUE!</v>
      </c>
      <c r="H292" s="86" t="str">
        <f t="shared" si="88"/>
        <v/>
      </c>
      <c r="I292" s="86" t="str">
        <f t="shared" si="89"/>
        <v/>
      </c>
      <c r="J292" s="86" t="str">
        <f t="shared" si="90"/>
        <v/>
      </c>
      <c r="K292" s="86" t="str">
        <f>IF(B292="","",IF(F292=0,0,IF(Sheet1!$I$10=6,'Tabla Fijos CAT'!$C$3*'Tabla Fijos CAT'!$F$5,$C$5*$F$5)))</f>
        <v/>
      </c>
      <c r="L292" s="86" t="str">
        <f t="shared" si="102"/>
        <v/>
      </c>
      <c r="M292" s="86"/>
      <c r="N292" s="86"/>
      <c r="O292" s="86" t="str">
        <f t="shared" si="91"/>
        <v/>
      </c>
      <c r="P292" s="86" t="str">
        <f t="shared" si="92"/>
        <v/>
      </c>
      <c r="Q292" s="355"/>
      <c r="R292" s="201" t="e">
        <f t="shared" si="93"/>
        <v>#VALUE!</v>
      </c>
      <c r="S292" s="201" t="e">
        <f t="shared" si="94"/>
        <v>#VALUE!</v>
      </c>
      <c r="T292" s="202" t="e">
        <f t="shared" si="95"/>
        <v>#VALUE!</v>
      </c>
      <c r="U292" s="201" t="e">
        <f t="shared" si="96"/>
        <v>#VALUE!</v>
      </c>
      <c r="V292" s="201" t="e">
        <f t="shared" si="97"/>
        <v>#VALUE!</v>
      </c>
      <c r="W292" s="201">
        <f t="shared" si="82"/>
        <v>10421.884210717653</v>
      </c>
      <c r="X292" s="201" t="e">
        <f t="shared" si="98"/>
        <v>#VALUE!</v>
      </c>
      <c r="Y292" s="201" t="e">
        <f t="shared" si="99"/>
        <v>#VALUE!</v>
      </c>
      <c r="Z292" s="201" t="e">
        <f t="shared" si="100"/>
        <v>#VALUE!</v>
      </c>
      <c r="AA292" s="201"/>
      <c r="AC292" s="257" t="str">
        <f t="shared" si="101"/>
        <v/>
      </c>
    </row>
    <row r="293" spans="2:29" x14ac:dyDescent="0.3">
      <c r="B293" s="84" t="str">
        <f t="shared" si="103"/>
        <v/>
      </c>
      <c r="C293" s="85" t="str">
        <f>IF($B293="","",'Fecha Pago'!K285)</f>
        <v/>
      </c>
      <c r="D293" s="86" t="str">
        <f>IF($B$12="","",'Fecha Pago'!L285)</f>
        <v/>
      </c>
      <c r="E293" s="87" t="str">
        <f t="shared" si="85"/>
        <v/>
      </c>
      <c r="F293" s="86" t="str">
        <f t="shared" si="86"/>
        <v/>
      </c>
      <c r="G293" s="86" t="e">
        <f t="shared" si="87"/>
        <v>#VALUE!</v>
      </c>
      <c r="H293" s="86" t="str">
        <f t="shared" si="88"/>
        <v/>
      </c>
      <c r="I293" s="86" t="str">
        <f t="shared" si="89"/>
        <v/>
      </c>
      <c r="J293" s="86" t="str">
        <f t="shared" si="90"/>
        <v/>
      </c>
      <c r="K293" s="86" t="str">
        <f>IF(B293="","",IF(F293=0,0,IF(Sheet1!$I$10=6,'Tabla Fijos CAT'!$C$3*'Tabla Fijos CAT'!$F$5,$C$5*$F$5)))</f>
        <v/>
      </c>
      <c r="L293" s="86" t="str">
        <f t="shared" si="102"/>
        <v/>
      </c>
      <c r="M293" s="86"/>
      <c r="N293" s="86"/>
      <c r="O293" s="86" t="str">
        <f t="shared" si="91"/>
        <v/>
      </c>
      <c r="P293" s="86" t="str">
        <f t="shared" si="92"/>
        <v/>
      </c>
      <c r="Q293" s="355"/>
      <c r="R293" s="201" t="e">
        <f t="shared" si="93"/>
        <v>#VALUE!</v>
      </c>
      <c r="S293" s="201" t="e">
        <f t="shared" si="94"/>
        <v>#VALUE!</v>
      </c>
      <c r="T293" s="202" t="e">
        <f t="shared" si="95"/>
        <v>#VALUE!</v>
      </c>
      <c r="U293" s="201" t="e">
        <f t="shared" si="96"/>
        <v>#VALUE!</v>
      </c>
      <c r="V293" s="201" t="e">
        <f t="shared" si="97"/>
        <v>#VALUE!</v>
      </c>
      <c r="W293" s="201">
        <f t="shared" si="82"/>
        <v>10421.884210717653</v>
      </c>
      <c r="X293" s="201" t="e">
        <f t="shared" si="98"/>
        <v>#VALUE!</v>
      </c>
      <c r="Y293" s="201" t="e">
        <f t="shared" si="99"/>
        <v>#VALUE!</v>
      </c>
      <c r="Z293" s="201" t="e">
        <f t="shared" si="100"/>
        <v>#VALUE!</v>
      </c>
      <c r="AA293" s="201"/>
      <c r="AC293" s="257" t="str">
        <f t="shared" si="101"/>
        <v/>
      </c>
    </row>
    <row r="294" spans="2:29" x14ac:dyDescent="0.3">
      <c r="B294" s="84" t="str">
        <f t="shared" si="103"/>
        <v/>
      </c>
      <c r="C294" s="85" t="str">
        <f>IF($B294="","",'Fecha Pago'!K286)</f>
        <v/>
      </c>
      <c r="D294" s="86" t="str">
        <f>IF($B$12="","",'Fecha Pago'!L286)</f>
        <v/>
      </c>
      <c r="E294" s="87" t="str">
        <f t="shared" si="85"/>
        <v/>
      </c>
      <c r="F294" s="86" t="str">
        <f t="shared" si="86"/>
        <v/>
      </c>
      <c r="G294" s="86" t="e">
        <f t="shared" si="87"/>
        <v>#VALUE!</v>
      </c>
      <c r="H294" s="86" t="str">
        <f t="shared" si="88"/>
        <v/>
      </c>
      <c r="I294" s="86" t="str">
        <f t="shared" si="89"/>
        <v/>
      </c>
      <c r="J294" s="86" t="str">
        <f t="shared" si="90"/>
        <v/>
      </c>
      <c r="K294" s="86" t="str">
        <f>IF(B294="","",IF(F294=0,0,IF(Sheet1!$I$10=6,'Tabla Fijos CAT'!$C$3*'Tabla Fijos CAT'!$F$5,$C$5*$F$5)))</f>
        <v/>
      </c>
      <c r="L294" s="86" t="str">
        <f t="shared" si="102"/>
        <v/>
      </c>
      <c r="M294" s="86"/>
      <c r="N294" s="86"/>
      <c r="O294" s="86" t="str">
        <f t="shared" si="91"/>
        <v/>
      </c>
      <c r="P294" s="86" t="str">
        <f t="shared" si="92"/>
        <v/>
      </c>
      <c r="Q294" s="355"/>
      <c r="R294" s="201" t="e">
        <f t="shared" si="93"/>
        <v>#VALUE!</v>
      </c>
      <c r="S294" s="201" t="e">
        <f t="shared" si="94"/>
        <v>#VALUE!</v>
      </c>
      <c r="T294" s="202" t="e">
        <f t="shared" si="95"/>
        <v>#VALUE!</v>
      </c>
      <c r="U294" s="201" t="e">
        <f t="shared" si="96"/>
        <v>#VALUE!</v>
      </c>
      <c r="V294" s="201" t="e">
        <f t="shared" si="97"/>
        <v>#VALUE!</v>
      </c>
      <c r="W294" s="201">
        <f t="shared" si="82"/>
        <v>10421.884210717653</v>
      </c>
      <c r="X294" s="201" t="e">
        <f t="shared" si="98"/>
        <v>#VALUE!</v>
      </c>
      <c r="Y294" s="201" t="e">
        <f t="shared" si="99"/>
        <v>#VALUE!</v>
      </c>
      <c r="Z294" s="201" t="e">
        <f t="shared" si="100"/>
        <v>#VALUE!</v>
      </c>
      <c r="AA294" s="201"/>
      <c r="AC294" s="257" t="str">
        <f t="shared" si="101"/>
        <v/>
      </c>
    </row>
    <row r="295" spans="2:29" x14ac:dyDescent="0.3">
      <c r="B295" s="84" t="str">
        <f t="shared" si="103"/>
        <v/>
      </c>
      <c r="C295" s="85" t="str">
        <f>IF($B295="","",'Fecha Pago'!K287)</f>
        <v/>
      </c>
      <c r="D295" s="86" t="str">
        <f>IF($B$12="","",'Fecha Pago'!L287)</f>
        <v/>
      </c>
      <c r="E295" s="87" t="str">
        <f t="shared" si="85"/>
        <v/>
      </c>
      <c r="F295" s="86" t="str">
        <f t="shared" si="86"/>
        <v/>
      </c>
      <c r="G295" s="86" t="e">
        <f t="shared" si="87"/>
        <v>#VALUE!</v>
      </c>
      <c r="H295" s="86" t="str">
        <f t="shared" si="88"/>
        <v/>
      </c>
      <c r="I295" s="86" t="str">
        <f t="shared" si="89"/>
        <v/>
      </c>
      <c r="J295" s="86" t="str">
        <f t="shared" si="90"/>
        <v/>
      </c>
      <c r="K295" s="86" t="str">
        <f>IF(B295="","",IF(F295=0,0,IF(Sheet1!$I$10=6,'Tabla Fijos CAT'!$C$3*'Tabla Fijos CAT'!$F$5,$C$5*$F$5)))</f>
        <v/>
      </c>
      <c r="L295" s="86" t="str">
        <f t="shared" si="102"/>
        <v/>
      </c>
      <c r="M295" s="86"/>
      <c r="N295" s="86"/>
      <c r="O295" s="86" t="str">
        <f t="shared" si="91"/>
        <v/>
      </c>
      <c r="P295" s="86" t="str">
        <f t="shared" si="92"/>
        <v/>
      </c>
      <c r="Q295" s="355"/>
      <c r="R295" s="201" t="e">
        <f t="shared" si="93"/>
        <v>#VALUE!</v>
      </c>
      <c r="S295" s="201" t="e">
        <f t="shared" si="94"/>
        <v>#VALUE!</v>
      </c>
      <c r="T295" s="202" t="e">
        <f t="shared" si="95"/>
        <v>#VALUE!</v>
      </c>
      <c r="U295" s="201" t="e">
        <f t="shared" si="96"/>
        <v>#VALUE!</v>
      </c>
      <c r="V295" s="201" t="e">
        <f t="shared" si="97"/>
        <v>#VALUE!</v>
      </c>
      <c r="W295" s="201">
        <f t="shared" si="82"/>
        <v>10421.884210717653</v>
      </c>
      <c r="X295" s="201" t="e">
        <f t="shared" si="98"/>
        <v>#VALUE!</v>
      </c>
      <c r="Y295" s="201" t="e">
        <f t="shared" si="99"/>
        <v>#VALUE!</v>
      </c>
      <c r="Z295" s="201" t="e">
        <f t="shared" si="100"/>
        <v>#VALUE!</v>
      </c>
      <c r="AA295" s="201"/>
      <c r="AC295" s="257" t="str">
        <f t="shared" si="101"/>
        <v/>
      </c>
    </row>
    <row r="296" spans="2:29" x14ac:dyDescent="0.3">
      <c r="B296" s="84" t="str">
        <f t="shared" si="103"/>
        <v/>
      </c>
      <c r="C296" s="85" t="str">
        <f>IF($B296="","",'Fecha Pago'!K288)</f>
        <v/>
      </c>
      <c r="D296" s="86" t="str">
        <f>IF($B$12="","",'Fecha Pago'!L288)</f>
        <v/>
      </c>
      <c r="E296" s="87" t="str">
        <f t="shared" si="85"/>
        <v/>
      </c>
      <c r="F296" s="86" t="str">
        <f t="shared" si="86"/>
        <v/>
      </c>
      <c r="G296" s="86" t="e">
        <f t="shared" si="87"/>
        <v>#VALUE!</v>
      </c>
      <c r="H296" s="86" t="str">
        <f t="shared" si="88"/>
        <v/>
      </c>
      <c r="I296" s="86" t="str">
        <f t="shared" si="89"/>
        <v/>
      </c>
      <c r="J296" s="86" t="str">
        <f t="shared" si="90"/>
        <v/>
      </c>
      <c r="K296" s="86" t="str">
        <f>IF(B296="","",IF(F296=0,0,IF(Sheet1!$I$10=6,'Tabla Fijos CAT'!$C$3*'Tabla Fijos CAT'!$F$5,$C$5*$F$5)))</f>
        <v/>
      </c>
      <c r="L296" s="86" t="str">
        <f t="shared" si="102"/>
        <v/>
      </c>
      <c r="M296" s="86"/>
      <c r="N296" s="86"/>
      <c r="O296" s="86" t="str">
        <f t="shared" si="91"/>
        <v/>
      </c>
      <c r="P296" s="86" t="str">
        <f t="shared" si="92"/>
        <v/>
      </c>
      <c r="Q296" s="355"/>
      <c r="R296" s="201" t="e">
        <f t="shared" si="93"/>
        <v>#VALUE!</v>
      </c>
      <c r="S296" s="201" t="e">
        <f t="shared" si="94"/>
        <v>#VALUE!</v>
      </c>
      <c r="T296" s="202" t="e">
        <f t="shared" si="95"/>
        <v>#VALUE!</v>
      </c>
      <c r="U296" s="201" t="e">
        <f t="shared" si="96"/>
        <v>#VALUE!</v>
      </c>
      <c r="V296" s="201" t="e">
        <f t="shared" si="97"/>
        <v>#VALUE!</v>
      </c>
      <c r="W296" s="201">
        <f t="shared" si="82"/>
        <v>10421.884210717653</v>
      </c>
      <c r="X296" s="201" t="e">
        <f t="shared" si="98"/>
        <v>#VALUE!</v>
      </c>
      <c r="Y296" s="201" t="e">
        <f t="shared" si="99"/>
        <v>#VALUE!</v>
      </c>
      <c r="Z296" s="201" t="e">
        <f t="shared" si="100"/>
        <v>#VALUE!</v>
      </c>
      <c r="AA296" s="201"/>
      <c r="AC296" s="257" t="str">
        <f t="shared" si="101"/>
        <v/>
      </c>
    </row>
    <row r="297" spans="2:29" x14ac:dyDescent="0.3">
      <c r="B297" s="84" t="str">
        <f t="shared" si="103"/>
        <v/>
      </c>
      <c r="C297" s="85" t="str">
        <f>IF($B297="","",'Fecha Pago'!K289)</f>
        <v/>
      </c>
      <c r="D297" s="86" t="str">
        <f>IF($B$12="","",'Fecha Pago'!L289)</f>
        <v/>
      </c>
      <c r="E297" s="87" t="str">
        <f t="shared" si="85"/>
        <v/>
      </c>
      <c r="F297" s="86" t="str">
        <f t="shared" si="86"/>
        <v/>
      </c>
      <c r="G297" s="86" t="e">
        <f t="shared" si="87"/>
        <v>#VALUE!</v>
      </c>
      <c r="H297" s="86" t="str">
        <f t="shared" si="88"/>
        <v/>
      </c>
      <c r="I297" s="86" t="str">
        <f t="shared" si="89"/>
        <v/>
      </c>
      <c r="J297" s="86" t="str">
        <f t="shared" si="90"/>
        <v/>
      </c>
      <c r="K297" s="86" t="str">
        <f>IF(B297="","",IF(F297=0,0,IF(Sheet1!$I$10=6,'Tabla Fijos CAT'!$C$3*'Tabla Fijos CAT'!$F$5,$C$5*$F$5)))</f>
        <v/>
      </c>
      <c r="L297" s="86" t="str">
        <f t="shared" si="102"/>
        <v/>
      </c>
      <c r="M297" s="86"/>
      <c r="N297" s="86"/>
      <c r="O297" s="86" t="str">
        <f t="shared" si="91"/>
        <v/>
      </c>
      <c r="P297" s="86" t="str">
        <f t="shared" si="92"/>
        <v/>
      </c>
      <c r="Q297" s="355"/>
      <c r="R297" s="201" t="e">
        <f t="shared" si="93"/>
        <v>#VALUE!</v>
      </c>
      <c r="S297" s="201" t="e">
        <f t="shared" si="94"/>
        <v>#VALUE!</v>
      </c>
      <c r="T297" s="202" t="e">
        <f t="shared" si="95"/>
        <v>#VALUE!</v>
      </c>
      <c r="U297" s="201" t="e">
        <f t="shared" si="96"/>
        <v>#VALUE!</v>
      </c>
      <c r="V297" s="201" t="e">
        <f t="shared" si="97"/>
        <v>#VALUE!</v>
      </c>
      <c r="W297" s="201">
        <f t="shared" si="82"/>
        <v>10421.884210717653</v>
      </c>
      <c r="X297" s="201" t="e">
        <f t="shared" si="98"/>
        <v>#VALUE!</v>
      </c>
      <c r="Y297" s="201" t="e">
        <f t="shared" si="99"/>
        <v>#VALUE!</v>
      </c>
      <c r="Z297" s="201" t="e">
        <f t="shared" si="100"/>
        <v>#VALUE!</v>
      </c>
      <c r="AA297" s="201"/>
      <c r="AC297" s="257" t="str">
        <f t="shared" si="101"/>
        <v/>
      </c>
    </row>
    <row r="298" spans="2:29" x14ac:dyDescent="0.3">
      <c r="B298" s="84" t="str">
        <f t="shared" si="103"/>
        <v/>
      </c>
      <c r="C298" s="85" t="str">
        <f>IF($B298="","",'Fecha Pago'!K290)</f>
        <v/>
      </c>
      <c r="D298" s="86" t="str">
        <f>IF($B$12="","",'Fecha Pago'!L290)</f>
        <v/>
      </c>
      <c r="E298" s="87" t="str">
        <f t="shared" si="85"/>
        <v/>
      </c>
      <c r="F298" s="86" t="str">
        <f t="shared" si="86"/>
        <v/>
      </c>
      <c r="G298" s="86" t="e">
        <f t="shared" si="87"/>
        <v>#VALUE!</v>
      </c>
      <c r="H298" s="86" t="str">
        <f t="shared" si="88"/>
        <v/>
      </c>
      <c r="I298" s="86" t="str">
        <f t="shared" si="89"/>
        <v/>
      </c>
      <c r="J298" s="86" t="str">
        <f t="shared" si="90"/>
        <v/>
      </c>
      <c r="K298" s="86" t="str">
        <f>IF(B298="","",IF(F298=0,0,IF(Sheet1!$I$10=6,'Tabla Fijos CAT'!$C$3*'Tabla Fijos CAT'!$F$5,$C$5*$F$5)))</f>
        <v/>
      </c>
      <c r="L298" s="86" t="str">
        <f t="shared" si="102"/>
        <v/>
      </c>
      <c r="M298" s="86"/>
      <c r="N298" s="86"/>
      <c r="O298" s="86" t="str">
        <f t="shared" si="91"/>
        <v/>
      </c>
      <c r="P298" s="86" t="str">
        <f t="shared" si="92"/>
        <v/>
      </c>
      <c r="Q298" s="355"/>
      <c r="R298" s="201" t="e">
        <f t="shared" si="93"/>
        <v>#VALUE!</v>
      </c>
      <c r="S298" s="201" t="e">
        <f t="shared" si="94"/>
        <v>#VALUE!</v>
      </c>
      <c r="T298" s="202" t="e">
        <f t="shared" si="95"/>
        <v>#VALUE!</v>
      </c>
      <c r="U298" s="201" t="e">
        <f t="shared" si="96"/>
        <v>#VALUE!</v>
      </c>
      <c r="V298" s="201" t="e">
        <f t="shared" si="97"/>
        <v>#VALUE!</v>
      </c>
      <c r="W298" s="201">
        <f t="shared" si="82"/>
        <v>10421.884210717653</v>
      </c>
      <c r="X298" s="201" t="e">
        <f t="shared" si="98"/>
        <v>#VALUE!</v>
      </c>
      <c r="Y298" s="201" t="e">
        <f t="shared" si="99"/>
        <v>#VALUE!</v>
      </c>
      <c r="Z298" s="201" t="e">
        <f t="shared" si="100"/>
        <v>#VALUE!</v>
      </c>
      <c r="AA298" s="201"/>
      <c r="AC298" s="257" t="str">
        <f t="shared" si="101"/>
        <v/>
      </c>
    </row>
    <row r="299" spans="2:29" x14ac:dyDescent="0.3">
      <c r="B299" s="84" t="str">
        <f t="shared" si="103"/>
        <v/>
      </c>
      <c r="C299" s="85" t="str">
        <f>IF($B299="","",'Fecha Pago'!K291)</f>
        <v/>
      </c>
      <c r="D299" s="86" t="str">
        <f>IF($B$12="","",'Fecha Pago'!L291)</f>
        <v/>
      </c>
      <c r="E299" s="87" t="str">
        <f t="shared" si="85"/>
        <v/>
      </c>
      <c r="F299" s="86" t="str">
        <f t="shared" si="86"/>
        <v/>
      </c>
      <c r="G299" s="86" t="e">
        <f t="shared" si="87"/>
        <v>#VALUE!</v>
      </c>
      <c r="H299" s="86" t="str">
        <f t="shared" si="88"/>
        <v/>
      </c>
      <c r="I299" s="86" t="str">
        <f t="shared" si="89"/>
        <v/>
      </c>
      <c r="J299" s="86" t="str">
        <f t="shared" si="90"/>
        <v/>
      </c>
      <c r="K299" s="86" t="str">
        <f>IF(B299="","",IF(F299=0,0,IF(Sheet1!$I$10=6,'Tabla Fijos CAT'!$C$3*'Tabla Fijos CAT'!$F$5,$C$5*$F$5)))</f>
        <v/>
      </c>
      <c r="L299" s="86" t="str">
        <f t="shared" si="102"/>
        <v/>
      </c>
      <c r="M299" s="86"/>
      <c r="N299" s="86"/>
      <c r="O299" s="86" t="str">
        <f t="shared" si="91"/>
        <v/>
      </c>
      <c r="P299" s="86" t="str">
        <f t="shared" si="92"/>
        <v/>
      </c>
      <c r="Q299" s="355"/>
      <c r="R299" s="201" t="e">
        <f t="shared" si="93"/>
        <v>#VALUE!</v>
      </c>
      <c r="S299" s="201" t="e">
        <f t="shared" si="94"/>
        <v>#VALUE!</v>
      </c>
      <c r="T299" s="202" t="e">
        <f t="shared" si="95"/>
        <v>#VALUE!</v>
      </c>
      <c r="U299" s="201" t="e">
        <f t="shared" si="96"/>
        <v>#VALUE!</v>
      </c>
      <c r="V299" s="201" t="e">
        <f t="shared" si="97"/>
        <v>#VALUE!</v>
      </c>
      <c r="W299" s="201">
        <f t="shared" si="82"/>
        <v>10421.884210717653</v>
      </c>
      <c r="X299" s="201" t="e">
        <f t="shared" si="98"/>
        <v>#VALUE!</v>
      </c>
      <c r="Y299" s="201" t="e">
        <f t="shared" si="99"/>
        <v>#VALUE!</v>
      </c>
      <c r="Z299" s="201" t="e">
        <f t="shared" si="100"/>
        <v>#VALUE!</v>
      </c>
      <c r="AA299" s="201"/>
      <c r="AC299" s="257" t="str">
        <f t="shared" si="101"/>
        <v/>
      </c>
    </row>
    <row r="300" spans="2:29" x14ac:dyDescent="0.3">
      <c r="B300" s="84" t="str">
        <f t="shared" si="103"/>
        <v/>
      </c>
      <c r="C300" s="85" t="str">
        <f>IF($B300="","",'Fecha Pago'!K292)</f>
        <v/>
      </c>
      <c r="D300" s="86" t="str">
        <f>IF($B$12="","",'Fecha Pago'!L292)</f>
        <v/>
      </c>
      <c r="E300" s="87" t="str">
        <f t="shared" si="85"/>
        <v/>
      </c>
      <c r="F300" s="86" t="str">
        <f t="shared" si="86"/>
        <v/>
      </c>
      <c r="G300" s="86" t="e">
        <f t="shared" si="87"/>
        <v>#VALUE!</v>
      </c>
      <c r="H300" s="86" t="str">
        <f t="shared" si="88"/>
        <v/>
      </c>
      <c r="I300" s="86" t="str">
        <f t="shared" si="89"/>
        <v/>
      </c>
      <c r="J300" s="86" t="str">
        <f t="shared" si="90"/>
        <v/>
      </c>
      <c r="K300" s="86" t="str">
        <f>IF(B300="","",IF(F300=0,0,IF(Sheet1!$I$10=6,'Tabla Fijos CAT'!$C$3*'Tabla Fijos CAT'!$F$5,$C$5*$F$5)))</f>
        <v/>
      </c>
      <c r="L300" s="86" t="str">
        <f t="shared" si="102"/>
        <v/>
      </c>
      <c r="M300" s="86"/>
      <c r="N300" s="86"/>
      <c r="O300" s="86" t="str">
        <f t="shared" si="91"/>
        <v/>
      </c>
      <c r="P300" s="86" t="str">
        <f t="shared" si="92"/>
        <v/>
      </c>
      <c r="Q300" s="355"/>
      <c r="R300" s="201" t="e">
        <f t="shared" si="93"/>
        <v>#VALUE!</v>
      </c>
      <c r="S300" s="201" t="e">
        <f t="shared" si="94"/>
        <v>#VALUE!</v>
      </c>
      <c r="T300" s="202" t="e">
        <f t="shared" si="95"/>
        <v>#VALUE!</v>
      </c>
      <c r="U300" s="201" t="e">
        <f t="shared" si="96"/>
        <v>#VALUE!</v>
      </c>
      <c r="V300" s="201" t="e">
        <f t="shared" si="97"/>
        <v>#VALUE!</v>
      </c>
      <c r="W300" s="201">
        <f t="shared" si="82"/>
        <v>10421.884210717653</v>
      </c>
      <c r="X300" s="201" t="e">
        <f t="shared" si="98"/>
        <v>#VALUE!</v>
      </c>
      <c r="Y300" s="201" t="e">
        <f t="shared" si="99"/>
        <v>#VALUE!</v>
      </c>
      <c r="Z300" s="201" t="e">
        <f t="shared" si="100"/>
        <v>#VALUE!</v>
      </c>
      <c r="AA300" s="201"/>
      <c r="AC300" s="257" t="str">
        <f t="shared" si="101"/>
        <v/>
      </c>
    </row>
    <row r="301" spans="2:29" x14ac:dyDescent="0.3">
      <c r="B301" s="84" t="str">
        <f t="shared" si="103"/>
        <v/>
      </c>
      <c r="C301" s="85" t="str">
        <f>IF($B301="","",'Fecha Pago'!K293)</f>
        <v/>
      </c>
      <c r="D301" s="86" t="str">
        <f>IF($B$12="","",'Fecha Pago'!L293)</f>
        <v/>
      </c>
      <c r="E301" s="87" t="str">
        <f t="shared" si="85"/>
        <v/>
      </c>
      <c r="F301" s="86" t="str">
        <f t="shared" si="86"/>
        <v/>
      </c>
      <c r="G301" s="86" t="e">
        <f t="shared" si="87"/>
        <v>#VALUE!</v>
      </c>
      <c r="H301" s="86" t="str">
        <f t="shared" si="88"/>
        <v/>
      </c>
      <c r="I301" s="86" t="str">
        <f t="shared" si="89"/>
        <v/>
      </c>
      <c r="J301" s="86" t="str">
        <f t="shared" si="90"/>
        <v/>
      </c>
      <c r="K301" s="86" t="str">
        <f>IF(B301="","",IF(F301=0,0,IF(Sheet1!$I$10=6,'Tabla Fijos CAT'!$C$3*'Tabla Fijos CAT'!$F$5,$C$5*$F$5)))</f>
        <v/>
      </c>
      <c r="L301" s="86" t="str">
        <f t="shared" si="102"/>
        <v/>
      </c>
      <c r="M301" s="86"/>
      <c r="N301" s="86"/>
      <c r="O301" s="86" t="str">
        <f t="shared" si="91"/>
        <v/>
      </c>
      <c r="P301" s="86" t="str">
        <f t="shared" si="92"/>
        <v/>
      </c>
      <c r="Q301" s="355"/>
      <c r="R301" s="201" t="e">
        <f t="shared" si="93"/>
        <v>#VALUE!</v>
      </c>
      <c r="S301" s="201" t="e">
        <f t="shared" si="94"/>
        <v>#VALUE!</v>
      </c>
      <c r="T301" s="202" t="e">
        <f t="shared" si="95"/>
        <v>#VALUE!</v>
      </c>
      <c r="U301" s="201" t="e">
        <f t="shared" si="96"/>
        <v>#VALUE!</v>
      </c>
      <c r="V301" s="201" t="e">
        <f t="shared" si="97"/>
        <v>#VALUE!</v>
      </c>
      <c r="W301" s="201">
        <f t="shared" si="82"/>
        <v>10421.884210717653</v>
      </c>
      <c r="X301" s="201" t="e">
        <f t="shared" si="98"/>
        <v>#VALUE!</v>
      </c>
      <c r="Y301" s="201" t="e">
        <f t="shared" si="99"/>
        <v>#VALUE!</v>
      </c>
      <c r="Z301" s="201" t="e">
        <f t="shared" si="100"/>
        <v>#VALUE!</v>
      </c>
      <c r="AA301" s="201"/>
      <c r="AC301" s="257" t="str">
        <f t="shared" si="101"/>
        <v/>
      </c>
    </row>
    <row r="302" spans="2:29" x14ac:dyDescent="0.3">
      <c r="B302" s="84" t="str">
        <f t="shared" si="103"/>
        <v/>
      </c>
      <c r="C302" s="85" t="str">
        <f>IF($B302="","",'Fecha Pago'!K294)</f>
        <v/>
      </c>
      <c r="D302" s="86" t="str">
        <f>IF($B$12="","",'Fecha Pago'!L294)</f>
        <v/>
      </c>
      <c r="E302" s="87" t="str">
        <f t="shared" si="85"/>
        <v/>
      </c>
      <c r="F302" s="86" t="str">
        <f t="shared" si="86"/>
        <v/>
      </c>
      <c r="G302" s="86" t="e">
        <f t="shared" si="87"/>
        <v>#VALUE!</v>
      </c>
      <c r="H302" s="86" t="str">
        <f t="shared" si="88"/>
        <v/>
      </c>
      <c r="I302" s="86" t="str">
        <f t="shared" si="89"/>
        <v/>
      </c>
      <c r="J302" s="86" t="str">
        <f t="shared" si="90"/>
        <v/>
      </c>
      <c r="K302" s="86" t="str">
        <f>IF(B302="","",IF(F302=0,0,IF(Sheet1!$I$10=6,'Tabla Fijos CAT'!$C$3*'Tabla Fijos CAT'!$F$5,$C$5*$F$5)))</f>
        <v/>
      </c>
      <c r="L302" s="86" t="str">
        <f t="shared" si="102"/>
        <v/>
      </c>
      <c r="M302" s="86"/>
      <c r="N302" s="86"/>
      <c r="O302" s="86" t="str">
        <f t="shared" si="91"/>
        <v/>
      </c>
      <c r="P302" s="86" t="str">
        <f t="shared" si="92"/>
        <v/>
      </c>
      <c r="Q302" s="355"/>
      <c r="R302" s="201" t="e">
        <f t="shared" si="93"/>
        <v>#VALUE!</v>
      </c>
      <c r="S302" s="201" t="e">
        <f t="shared" si="94"/>
        <v>#VALUE!</v>
      </c>
      <c r="T302" s="202" t="e">
        <f t="shared" si="95"/>
        <v>#VALUE!</v>
      </c>
      <c r="U302" s="201" t="e">
        <f t="shared" si="96"/>
        <v>#VALUE!</v>
      </c>
      <c r="V302" s="201" t="e">
        <f t="shared" si="97"/>
        <v>#VALUE!</v>
      </c>
      <c r="W302" s="201">
        <f t="shared" si="82"/>
        <v>10421.884210717653</v>
      </c>
      <c r="X302" s="201" t="e">
        <f t="shared" si="98"/>
        <v>#VALUE!</v>
      </c>
      <c r="Y302" s="201" t="e">
        <f t="shared" si="99"/>
        <v>#VALUE!</v>
      </c>
      <c r="Z302" s="201" t="e">
        <f t="shared" si="100"/>
        <v>#VALUE!</v>
      </c>
      <c r="AA302" s="201"/>
      <c r="AC302" s="257" t="str">
        <f t="shared" si="101"/>
        <v/>
      </c>
    </row>
    <row r="303" spans="2:29" x14ac:dyDescent="0.3">
      <c r="B303" s="84" t="str">
        <f t="shared" si="103"/>
        <v/>
      </c>
      <c r="C303" s="85" t="str">
        <f>IF($B303="","",'Fecha Pago'!K295)</f>
        <v/>
      </c>
      <c r="D303" s="86" t="str">
        <f>IF($B$12="","",'Fecha Pago'!L295)</f>
        <v/>
      </c>
      <c r="E303" s="87" t="str">
        <f t="shared" si="85"/>
        <v/>
      </c>
      <c r="F303" s="86" t="str">
        <f t="shared" si="86"/>
        <v/>
      </c>
      <c r="G303" s="86" t="e">
        <f t="shared" si="87"/>
        <v>#VALUE!</v>
      </c>
      <c r="H303" s="86" t="str">
        <f t="shared" si="88"/>
        <v/>
      </c>
      <c r="I303" s="86" t="str">
        <f t="shared" si="89"/>
        <v/>
      </c>
      <c r="J303" s="86" t="str">
        <f t="shared" si="90"/>
        <v/>
      </c>
      <c r="K303" s="86" t="str">
        <f>IF(B303="","",IF(F303=0,0,IF(Sheet1!$I$10=6,'Tabla Fijos CAT'!$C$3*'Tabla Fijos CAT'!$F$5,$C$5*$F$5)))</f>
        <v/>
      </c>
      <c r="L303" s="86" t="str">
        <f t="shared" si="102"/>
        <v/>
      </c>
      <c r="M303" s="86"/>
      <c r="N303" s="86"/>
      <c r="O303" s="86" t="str">
        <f t="shared" si="91"/>
        <v/>
      </c>
      <c r="P303" s="86" t="str">
        <f t="shared" si="92"/>
        <v/>
      </c>
      <c r="Q303" s="355"/>
      <c r="R303" s="201" t="e">
        <f t="shared" si="93"/>
        <v>#VALUE!</v>
      </c>
      <c r="S303" s="201" t="e">
        <f t="shared" si="94"/>
        <v>#VALUE!</v>
      </c>
      <c r="T303" s="202" t="e">
        <f t="shared" si="95"/>
        <v>#VALUE!</v>
      </c>
      <c r="U303" s="201" t="e">
        <f t="shared" si="96"/>
        <v>#VALUE!</v>
      </c>
      <c r="V303" s="201" t="e">
        <f t="shared" si="97"/>
        <v>#VALUE!</v>
      </c>
      <c r="W303" s="201">
        <f t="shared" si="82"/>
        <v>10421.884210717653</v>
      </c>
      <c r="X303" s="201" t="e">
        <f t="shared" si="98"/>
        <v>#VALUE!</v>
      </c>
      <c r="Y303" s="201" t="e">
        <f t="shared" si="99"/>
        <v>#VALUE!</v>
      </c>
      <c r="Z303" s="201" t="e">
        <f t="shared" si="100"/>
        <v>#VALUE!</v>
      </c>
      <c r="AA303" s="201"/>
      <c r="AC303" s="257" t="str">
        <f t="shared" si="101"/>
        <v/>
      </c>
    </row>
    <row r="304" spans="2:29" x14ac:dyDescent="0.3">
      <c r="B304" s="84" t="str">
        <f t="shared" si="103"/>
        <v/>
      </c>
      <c r="C304" s="85" t="str">
        <f>IF($B304="","",'Fecha Pago'!K296)</f>
        <v/>
      </c>
      <c r="D304" s="86" t="str">
        <f>IF($B$12="","",'Fecha Pago'!L296)</f>
        <v/>
      </c>
      <c r="E304" s="87" t="str">
        <f t="shared" si="85"/>
        <v/>
      </c>
      <c r="F304" s="86" t="str">
        <f t="shared" si="86"/>
        <v/>
      </c>
      <c r="G304" s="86" t="e">
        <f t="shared" si="87"/>
        <v>#VALUE!</v>
      </c>
      <c r="H304" s="86" t="str">
        <f t="shared" si="88"/>
        <v/>
      </c>
      <c r="I304" s="86" t="str">
        <f t="shared" si="89"/>
        <v/>
      </c>
      <c r="J304" s="86" t="str">
        <f t="shared" si="90"/>
        <v/>
      </c>
      <c r="K304" s="86" t="str">
        <f>IF(B304="","",IF(F304=0,0,IF(Sheet1!$I$10=6,'Tabla Fijos CAT'!$C$3*'Tabla Fijos CAT'!$F$5,$C$5*$F$5)))</f>
        <v/>
      </c>
      <c r="L304" s="86" t="str">
        <f t="shared" si="102"/>
        <v/>
      </c>
      <c r="M304" s="86"/>
      <c r="N304" s="86"/>
      <c r="O304" s="86" t="str">
        <f t="shared" si="91"/>
        <v/>
      </c>
      <c r="P304" s="86" t="str">
        <f t="shared" si="92"/>
        <v/>
      </c>
      <c r="Q304" s="355"/>
      <c r="R304" s="201" t="e">
        <f t="shared" si="93"/>
        <v>#VALUE!</v>
      </c>
      <c r="S304" s="201" t="e">
        <f t="shared" si="94"/>
        <v>#VALUE!</v>
      </c>
      <c r="T304" s="202" t="e">
        <f t="shared" si="95"/>
        <v>#VALUE!</v>
      </c>
      <c r="U304" s="201" t="e">
        <f t="shared" si="96"/>
        <v>#VALUE!</v>
      </c>
      <c r="V304" s="201" t="e">
        <f t="shared" si="97"/>
        <v>#VALUE!</v>
      </c>
      <c r="W304" s="201">
        <f t="shared" si="82"/>
        <v>10421.884210717653</v>
      </c>
      <c r="X304" s="201" t="e">
        <f t="shared" si="98"/>
        <v>#VALUE!</v>
      </c>
      <c r="Y304" s="201" t="e">
        <f t="shared" si="99"/>
        <v>#VALUE!</v>
      </c>
      <c r="Z304" s="201" t="e">
        <f t="shared" si="100"/>
        <v>#VALUE!</v>
      </c>
      <c r="AA304" s="201"/>
      <c r="AC304" s="257" t="str">
        <f t="shared" si="101"/>
        <v/>
      </c>
    </row>
    <row r="305" spans="2:29" x14ac:dyDescent="0.3">
      <c r="B305" s="84" t="str">
        <f t="shared" si="103"/>
        <v/>
      </c>
      <c r="C305" s="85" t="str">
        <f>IF($B305="","",'Fecha Pago'!K297)</f>
        <v/>
      </c>
      <c r="D305" s="86" t="str">
        <f>IF($B$12="","",'Fecha Pago'!L297)</f>
        <v/>
      </c>
      <c r="E305" s="87" t="str">
        <f t="shared" si="85"/>
        <v/>
      </c>
      <c r="F305" s="86" t="str">
        <f t="shared" si="86"/>
        <v/>
      </c>
      <c r="G305" s="86" t="e">
        <f t="shared" si="87"/>
        <v>#VALUE!</v>
      </c>
      <c r="H305" s="86" t="str">
        <f t="shared" si="88"/>
        <v/>
      </c>
      <c r="I305" s="86" t="str">
        <f t="shared" si="89"/>
        <v/>
      </c>
      <c r="J305" s="86" t="str">
        <f t="shared" si="90"/>
        <v/>
      </c>
      <c r="K305" s="86" t="str">
        <f>IF(B305="","",IF(F305=0,0,IF(Sheet1!$I$10=6,'Tabla Fijos CAT'!$C$3*'Tabla Fijos CAT'!$F$5,$C$5*$F$5)))</f>
        <v/>
      </c>
      <c r="L305" s="86" t="str">
        <f t="shared" si="102"/>
        <v/>
      </c>
      <c r="M305" s="86"/>
      <c r="N305" s="86"/>
      <c r="O305" s="86" t="str">
        <f t="shared" si="91"/>
        <v/>
      </c>
      <c r="P305" s="86" t="str">
        <f t="shared" si="92"/>
        <v/>
      </c>
      <c r="Q305" s="355"/>
      <c r="R305" s="201" t="e">
        <f t="shared" si="93"/>
        <v>#VALUE!</v>
      </c>
      <c r="S305" s="201" t="e">
        <f t="shared" si="94"/>
        <v>#VALUE!</v>
      </c>
      <c r="T305" s="202" t="e">
        <f t="shared" si="95"/>
        <v>#VALUE!</v>
      </c>
      <c r="U305" s="201" t="e">
        <f t="shared" si="96"/>
        <v>#VALUE!</v>
      </c>
      <c r="V305" s="201" t="e">
        <f t="shared" si="97"/>
        <v>#VALUE!</v>
      </c>
      <c r="W305" s="201">
        <f t="shared" si="82"/>
        <v>10421.884210717653</v>
      </c>
      <c r="X305" s="201" t="e">
        <f t="shared" si="98"/>
        <v>#VALUE!</v>
      </c>
      <c r="Y305" s="201" t="e">
        <f t="shared" si="99"/>
        <v>#VALUE!</v>
      </c>
      <c r="Z305" s="201" t="e">
        <f t="shared" si="100"/>
        <v>#VALUE!</v>
      </c>
      <c r="AA305" s="201"/>
      <c r="AC305" s="257" t="str">
        <f t="shared" si="101"/>
        <v/>
      </c>
    </row>
    <row r="306" spans="2:29" x14ac:dyDescent="0.3">
      <c r="B306" s="84" t="str">
        <f t="shared" si="103"/>
        <v/>
      </c>
      <c r="C306" s="85" t="str">
        <f>IF($B306="","",'Fecha Pago'!K298)</f>
        <v/>
      </c>
      <c r="D306" s="86" t="str">
        <f>IF($B$12="","",'Fecha Pago'!L298)</f>
        <v/>
      </c>
      <c r="E306" s="87" t="str">
        <f t="shared" si="85"/>
        <v/>
      </c>
      <c r="F306" s="86" t="str">
        <f t="shared" si="86"/>
        <v/>
      </c>
      <c r="G306" s="86" t="e">
        <f t="shared" si="87"/>
        <v>#VALUE!</v>
      </c>
      <c r="H306" s="86" t="str">
        <f t="shared" si="88"/>
        <v/>
      </c>
      <c r="I306" s="86" t="str">
        <f t="shared" si="89"/>
        <v/>
      </c>
      <c r="J306" s="86" t="str">
        <f t="shared" si="90"/>
        <v/>
      </c>
      <c r="K306" s="86" t="str">
        <f>IF(B306="","",IF(F306=0,0,IF(Sheet1!$I$10=6,'Tabla Fijos CAT'!$C$3*'Tabla Fijos CAT'!$F$5,$C$5*$F$5)))</f>
        <v/>
      </c>
      <c r="L306" s="86" t="str">
        <f t="shared" si="102"/>
        <v/>
      </c>
      <c r="M306" s="86"/>
      <c r="N306" s="86"/>
      <c r="O306" s="86" t="str">
        <f t="shared" si="91"/>
        <v/>
      </c>
      <c r="P306" s="86" t="str">
        <f t="shared" si="92"/>
        <v/>
      </c>
      <c r="Q306" s="355"/>
      <c r="R306" s="201" t="e">
        <f t="shared" si="93"/>
        <v>#VALUE!</v>
      </c>
      <c r="S306" s="201" t="e">
        <f t="shared" si="94"/>
        <v>#VALUE!</v>
      </c>
      <c r="T306" s="202" t="e">
        <f t="shared" si="95"/>
        <v>#VALUE!</v>
      </c>
      <c r="U306" s="201" t="e">
        <f t="shared" si="96"/>
        <v>#VALUE!</v>
      </c>
      <c r="V306" s="201" t="e">
        <f t="shared" si="97"/>
        <v>#VALUE!</v>
      </c>
      <c r="W306" s="201">
        <f t="shared" si="82"/>
        <v>10421.884210717653</v>
      </c>
      <c r="X306" s="201" t="e">
        <f t="shared" si="98"/>
        <v>#VALUE!</v>
      </c>
      <c r="Y306" s="201" t="e">
        <f t="shared" si="99"/>
        <v>#VALUE!</v>
      </c>
      <c r="Z306" s="201" t="e">
        <f t="shared" si="100"/>
        <v>#VALUE!</v>
      </c>
      <c r="AA306" s="201"/>
      <c r="AC306" s="257" t="str">
        <f t="shared" si="101"/>
        <v/>
      </c>
    </row>
    <row r="307" spans="2:29" x14ac:dyDescent="0.3">
      <c r="B307" s="84" t="str">
        <f t="shared" si="103"/>
        <v/>
      </c>
      <c r="C307" s="85" t="str">
        <f>IF($B307="","",'Fecha Pago'!K299)</f>
        <v/>
      </c>
      <c r="D307" s="86" t="str">
        <f>IF($B$12="","",'Fecha Pago'!L299)</f>
        <v/>
      </c>
      <c r="E307" s="87" t="str">
        <f t="shared" si="85"/>
        <v/>
      </c>
      <c r="F307" s="86" t="str">
        <f t="shared" si="86"/>
        <v/>
      </c>
      <c r="G307" s="86" t="e">
        <f t="shared" si="87"/>
        <v>#VALUE!</v>
      </c>
      <c r="H307" s="86" t="str">
        <f t="shared" si="88"/>
        <v/>
      </c>
      <c r="I307" s="86" t="str">
        <f t="shared" si="89"/>
        <v/>
      </c>
      <c r="J307" s="86" t="str">
        <f t="shared" si="90"/>
        <v/>
      </c>
      <c r="K307" s="86" t="str">
        <f>IF(B307="","",IF(F307=0,0,IF(Sheet1!$I$10=6,'Tabla Fijos CAT'!$C$3*'Tabla Fijos CAT'!$F$5,$C$5*$F$5)))</f>
        <v/>
      </c>
      <c r="L307" s="86" t="str">
        <f t="shared" si="102"/>
        <v/>
      </c>
      <c r="M307" s="86"/>
      <c r="N307" s="86"/>
      <c r="O307" s="86" t="str">
        <f t="shared" si="91"/>
        <v/>
      </c>
      <c r="P307" s="86" t="str">
        <f t="shared" si="92"/>
        <v/>
      </c>
      <c r="Q307" s="355"/>
      <c r="R307" s="201" t="e">
        <f t="shared" si="93"/>
        <v>#VALUE!</v>
      </c>
      <c r="S307" s="201" t="e">
        <f t="shared" si="94"/>
        <v>#VALUE!</v>
      </c>
      <c r="T307" s="202" t="e">
        <f t="shared" si="95"/>
        <v>#VALUE!</v>
      </c>
      <c r="U307" s="201" t="e">
        <f t="shared" si="96"/>
        <v>#VALUE!</v>
      </c>
      <c r="V307" s="201" t="e">
        <f t="shared" si="97"/>
        <v>#VALUE!</v>
      </c>
      <c r="W307" s="201">
        <f t="shared" si="82"/>
        <v>10421.884210717653</v>
      </c>
      <c r="X307" s="201" t="e">
        <f t="shared" si="98"/>
        <v>#VALUE!</v>
      </c>
      <c r="Y307" s="201" t="e">
        <f t="shared" si="99"/>
        <v>#VALUE!</v>
      </c>
      <c r="Z307" s="201" t="e">
        <f t="shared" si="100"/>
        <v>#VALUE!</v>
      </c>
      <c r="AA307" s="201"/>
      <c r="AC307" s="257" t="str">
        <f t="shared" si="101"/>
        <v/>
      </c>
    </row>
    <row r="308" spans="2:29" x14ac:dyDescent="0.3">
      <c r="B308" s="84" t="str">
        <f t="shared" si="103"/>
        <v/>
      </c>
      <c r="C308" s="85" t="str">
        <f>IF($B308="","",'Fecha Pago'!K300)</f>
        <v/>
      </c>
      <c r="D308" s="86" t="str">
        <f>IF($B$12="","",'Fecha Pago'!L300)</f>
        <v/>
      </c>
      <c r="E308" s="87" t="str">
        <f t="shared" si="85"/>
        <v/>
      </c>
      <c r="F308" s="86" t="str">
        <f t="shared" si="86"/>
        <v/>
      </c>
      <c r="G308" s="86" t="e">
        <f t="shared" si="87"/>
        <v>#VALUE!</v>
      </c>
      <c r="H308" s="86" t="str">
        <f t="shared" si="88"/>
        <v/>
      </c>
      <c r="I308" s="86" t="str">
        <f t="shared" si="89"/>
        <v/>
      </c>
      <c r="J308" s="86" t="str">
        <f t="shared" si="90"/>
        <v/>
      </c>
      <c r="K308" s="86" t="str">
        <f>IF(B308="","",IF(F308=0,0,IF(Sheet1!$I$10=6,'Tabla Fijos CAT'!$C$3*'Tabla Fijos CAT'!$F$5,$C$5*$F$5)))</f>
        <v/>
      </c>
      <c r="L308" s="86" t="str">
        <f t="shared" si="102"/>
        <v/>
      </c>
      <c r="M308" s="86"/>
      <c r="N308" s="86"/>
      <c r="O308" s="86" t="str">
        <f t="shared" si="91"/>
        <v/>
      </c>
      <c r="P308" s="86" t="str">
        <f t="shared" si="92"/>
        <v/>
      </c>
      <c r="Q308" s="355"/>
      <c r="R308" s="201" t="e">
        <f t="shared" si="93"/>
        <v>#VALUE!</v>
      </c>
      <c r="S308" s="201" t="e">
        <f t="shared" si="94"/>
        <v>#VALUE!</v>
      </c>
      <c r="T308" s="202" t="e">
        <f t="shared" si="95"/>
        <v>#VALUE!</v>
      </c>
      <c r="U308" s="201" t="e">
        <f t="shared" si="96"/>
        <v>#VALUE!</v>
      </c>
      <c r="V308" s="201" t="e">
        <f t="shared" si="97"/>
        <v>#VALUE!</v>
      </c>
      <c r="W308" s="201">
        <f t="shared" si="82"/>
        <v>10421.884210717653</v>
      </c>
      <c r="X308" s="201" t="e">
        <f t="shared" si="98"/>
        <v>#VALUE!</v>
      </c>
      <c r="Y308" s="201" t="e">
        <f t="shared" si="99"/>
        <v>#VALUE!</v>
      </c>
      <c r="Z308" s="201" t="e">
        <f t="shared" si="100"/>
        <v>#VALUE!</v>
      </c>
      <c r="AA308" s="201"/>
      <c r="AC308" s="257" t="str">
        <f t="shared" si="101"/>
        <v/>
      </c>
    </row>
    <row r="309" spans="2:29" x14ac:dyDescent="0.3">
      <c r="B309" s="84" t="str">
        <f t="shared" si="103"/>
        <v/>
      </c>
      <c r="C309" s="85" t="str">
        <f>IF($B309="","",'Fecha Pago'!K301)</f>
        <v/>
      </c>
      <c r="D309" s="86" t="str">
        <f>IF($B$12="","",'Fecha Pago'!L301)</f>
        <v/>
      </c>
      <c r="E309" s="87" t="str">
        <f t="shared" si="85"/>
        <v/>
      </c>
      <c r="F309" s="86" t="str">
        <f t="shared" si="86"/>
        <v/>
      </c>
      <c r="G309" s="86" t="e">
        <f t="shared" si="87"/>
        <v>#VALUE!</v>
      </c>
      <c r="H309" s="86" t="str">
        <f t="shared" si="88"/>
        <v/>
      </c>
      <c r="I309" s="86" t="str">
        <f t="shared" si="89"/>
        <v/>
      </c>
      <c r="J309" s="86" t="str">
        <f t="shared" si="90"/>
        <v/>
      </c>
      <c r="K309" s="86" t="str">
        <f>IF(B309="","",IF(F309=0,0,IF(Sheet1!$I$10=6,'Tabla Fijos CAT'!$C$3*'Tabla Fijos CAT'!$F$5,$C$5*$F$5)))</f>
        <v/>
      </c>
      <c r="L309" s="86" t="str">
        <f t="shared" si="102"/>
        <v/>
      </c>
      <c r="M309" s="86"/>
      <c r="N309" s="86"/>
      <c r="O309" s="86" t="str">
        <f t="shared" si="91"/>
        <v/>
      </c>
      <c r="P309" s="86" t="str">
        <f t="shared" si="92"/>
        <v/>
      </c>
      <c r="Q309" s="355"/>
      <c r="R309" s="201" t="e">
        <f t="shared" si="93"/>
        <v>#VALUE!</v>
      </c>
      <c r="S309" s="201" t="e">
        <f t="shared" si="94"/>
        <v>#VALUE!</v>
      </c>
      <c r="T309" s="202" t="e">
        <f t="shared" si="95"/>
        <v>#VALUE!</v>
      </c>
      <c r="U309" s="201" t="e">
        <f t="shared" si="96"/>
        <v>#VALUE!</v>
      </c>
      <c r="V309" s="201" t="e">
        <f t="shared" si="97"/>
        <v>#VALUE!</v>
      </c>
      <c r="W309" s="201">
        <f t="shared" si="82"/>
        <v>10421.884210717653</v>
      </c>
      <c r="X309" s="201" t="e">
        <f t="shared" si="98"/>
        <v>#VALUE!</v>
      </c>
      <c r="Y309" s="201" t="e">
        <f t="shared" si="99"/>
        <v>#VALUE!</v>
      </c>
      <c r="Z309" s="201" t="e">
        <f t="shared" si="100"/>
        <v>#VALUE!</v>
      </c>
      <c r="AA309" s="201"/>
      <c r="AC309" s="257" t="str">
        <f t="shared" si="101"/>
        <v/>
      </c>
    </row>
    <row r="310" spans="2:29" x14ac:dyDescent="0.3">
      <c r="B310" s="84" t="str">
        <f t="shared" si="103"/>
        <v/>
      </c>
      <c r="C310" s="85" t="str">
        <f>IF($B310="","",'Fecha Pago'!K302)</f>
        <v/>
      </c>
      <c r="D310" s="86" t="str">
        <f>IF($B$12="","",'Fecha Pago'!L302)</f>
        <v/>
      </c>
      <c r="E310" s="87" t="str">
        <f t="shared" si="85"/>
        <v/>
      </c>
      <c r="F310" s="86" t="str">
        <f t="shared" si="86"/>
        <v/>
      </c>
      <c r="G310" s="86" t="e">
        <f t="shared" si="87"/>
        <v>#VALUE!</v>
      </c>
      <c r="H310" s="86" t="str">
        <f t="shared" si="88"/>
        <v/>
      </c>
      <c r="I310" s="86" t="str">
        <f t="shared" si="89"/>
        <v/>
      </c>
      <c r="J310" s="86" t="str">
        <f t="shared" si="90"/>
        <v/>
      </c>
      <c r="K310" s="86" t="str">
        <f>IF(B310="","",IF(F310=0,0,IF(Sheet1!$I$10=6,'Tabla Fijos CAT'!$C$3*'Tabla Fijos CAT'!$F$5,$C$5*$F$5)))</f>
        <v/>
      </c>
      <c r="L310" s="86" t="str">
        <f t="shared" si="102"/>
        <v/>
      </c>
      <c r="M310" s="86"/>
      <c r="N310" s="86"/>
      <c r="O310" s="86" t="str">
        <f t="shared" si="91"/>
        <v/>
      </c>
      <c r="P310" s="86" t="str">
        <f t="shared" si="92"/>
        <v/>
      </c>
      <c r="Q310" s="355"/>
      <c r="R310" s="201" t="e">
        <f t="shared" si="93"/>
        <v>#VALUE!</v>
      </c>
      <c r="S310" s="201" t="e">
        <f t="shared" si="94"/>
        <v>#VALUE!</v>
      </c>
      <c r="T310" s="202" t="e">
        <f t="shared" si="95"/>
        <v>#VALUE!</v>
      </c>
      <c r="U310" s="201" t="e">
        <f t="shared" si="96"/>
        <v>#VALUE!</v>
      </c>
      <c r="V310" s="201" t="e">
        <f t="shared" si="97"/>
        <v>#VALUE!</v>
      </c>
      <c r="W310" s="201">
        <f t="shared" si="82"/>
        <v>10421.884210717653</v>
      </c>
      <c r="X310" s="201" t="e">
        <f t="shared" si="98"/>
        <v>#VALUE!</v>
      </c>
      <c r="Y310" s="201" t="e">
        <f t="shared" si="99"/>
        <v>#VALUE!</v>
      </c>
      <c r="Z310" s="201" t="e">
        <f t="shared" si="100"/>
        <v>#VALUE!</v>
      </c>
      <c r="AA310" s="201"/>
      <c r="AC310" s="257" t="str">
        <f t="shared" si="101"/>
        <v/>
      </c>
    </row>
    <row r="311" spans="2:29" x14ac:dyDescent="0.3">
      <c r="B311" s="84" t="str">
        <f t="shared" si="103"/>
        <v/>
      </c>
      <c r="C311" s="85" t="str">
        <f>IF($B311="","",'Fecha Pago'!K303)</f>
        <v/>
      </c>
      <c r="D311" s="86" t="str">
        <f>IF($B$12="","",'Fecha Pago'!L303)</f>
        <v/>
      </c>
      <c r="E311" s="87" t="str">
        <f t="shared" si="85"/>
        <v/>
      </c>
      <c r="F311" s="86" t="str">
        <f t="shared" si="86"/>
        <v/>
      </c>
      <c r="G311" s="86" t="e">
        <f t="shared" si="87"/>
        <v>#VALUE!</v>
      </c>
      <c r="H311" s="86" t="str">
        <f t="shared" si="88"/>
        <v/>
      </c>
      <c r="I311" s="86" t="str">
        <f t="shared" si="89"/>
        <v/>
      </c>
      <c r="J311" s="86" t="str">
        <f t="shared" si="90"/>
        <v/>
      </c>
      <c r="K311" s="86" t="str">
        <f>IF(B311="","",IF(F311=0,0,IF(Sheet1!$I$10=6,'Tabla Fijos CAT'!$C$3*'Tabla Fijos CAT'!$F$5,$C$5*$F$5)))</f>
        <v/>
      </c>
      <c r="L311" s="86" t="str">
        <f t="shared" si="102"/>
        <v/>
      </c>
      <c r="M311" s="86"/>
      <c r="N311" s="86"/>
      <c r="O311" s="86" t="str">
        <f t="shared" si="91"/>
        <v/>
      </c>
      <c r="P311" s="86" t="str">
        <f t="shared" si="92"/>
        <v/>
      </c>
      <c r="Q311" s="355"/>
      <c r="R311" s="201" t="e">
        <f t="shared" si="93"/>
        <v>#VALUE!</v>
      </c>
      <c r="S311" s="201" t="e">
        <f t="shared" si="94"/>
        <v>#VALUE!</v>
      </c>
      <c r="T311" s="202" t="e">
        <f t="shared" si="95"/>
        <v>#VALUE!</v>
      </c>
      <c r="U311" s="201" t="e">
        <f t="shared" si="96"/>
        <v>#VALUE!</v>
      </c>
      <c r="V311" s="201" t="e">
        <f t="shared" si="97"/>
        <v>#VALUE!</v>
      </c>
      <c r="W311" s="201">
        <f t="shared" si="82"/>
        <v>10421.884210717653</v>
      </c>
      <c r="X311" s="201" t="e">
        <f t="shared" si="98"/>
        <v>#VALUE!</v>
      </c>
      <c r="Y311" s="201" t="e">
        <f t="shared" si="99"/>
        <v>#VALUE!</v>
      </c>
      <c r="Z311" s="201" t="e">
        <f t="shared" si="100"/>
        <v>#VALUE!</v>
      </c>
      <c r="AA311" s="201"/>
      <c r="AC311" s="257" t="str">
        <f t="shared" si="101"/>
        <v/>
      </c>
    </row>
    <row r="312" spans="2:29" x14ac:dyDescent="0.3">
      <c r="B312" s="88"/>
      <c r="C312" s="89"/>
      <c r="D312" s="90"/>
      <c r="E312" s="90"/>
      <c r="F312" s="90"/>
      <c r="G312" s="90"/>
      <c r="H312" s="90"/>
      <c r="I312" s="90"/>
      <c r="J312" s="90"/>
      <c r="K312" s="90"/>
      <c r="L312" s="90"/>
      <c r="M312" s="90"/>
      <c r="N312" s="90"/>
      <c r="O312" s="90"/>
      <c r="P312" s="91"/>
      <c r="AC312" s="257"/>
    </row>
    <row r="313" spans="2:29" x14ac:dyDescent="0.3">
      <c r="B313" s="92" t="s">
        <v>18</v>
      </c>
      <c r="C313" s="93"/>
      <c r="D313" s="94"/>
      <c r="E313" s="94"/>
      <c r="F313" s="94"/>
      <c r="G313" s="94" t="e">
        <f>SUM(G12:G312)</f>
        <v>#VALUE!</v>
      </c>
      <c r="H313" s="94">
        <f ca="1">SUM(H12:H312)</f>
        <v>1501252.2105722383</v>
      </c>
      <c r="I313" s="94"/>
      <c r="J313" s="94">
        <f>SUM(J12:J312)</f>
        <v>0</v>
      </c>
      <c r="K313" s="94">
        <f>SUM(K12:K312)</f>
        <v>0</v>
      </c>
      <c r="L313" s="94">
        <f>SUM(L12:L312)</f>
        <v>0</v>
      </c>
      <c r="M313" s="94"/>
      <c r="N313" s="94"/>
      <c r="O313" s="94">
        <f ca="1">SUM(O12:O312)</f>
        <v>2501252.2105722413</v>
      </c>
      <c r="P313" s="95">
        <v>0</v>
      </c>
      <c r="AC313" s="257"/>
    </row>
    <row r="314" spans="2:29" x14ac:dyDescent="0.3">
      <c r="AC314" s="257" t="str">
        <f t="shared" ref="AC314" si="104">IF(B314="","",I314+J314+(K314/1.16)+L314+N314)</f>
        <v/>
      </c>
    </row>
  </sheetData>
  <mergeCells count="4">
    <mergeCell ref="R10:T10"/>
    <mergeCell ref="U10:W10"/>
    <mergeCell ref="X10:Z10"/>
    <mergeCell ref="AA9:AC9"/>
  </mergeCells>
  <conditionalFormatting sqref="K10">
    <cfRule type="containsBlanks" dxfId="22" priority="7">
      <formula>LEN(TRIM(K10))=0</formula>
    </cfRule>
  </conditionalFormatting>
  <conditionalFormatting sqref="N10">
    <cfRule type="containsBlanks" dxfId="21" priority="6">
      <formula>LEN(TRIM(N10))=0</formula>
    </cfRule>
  </conditionalFormatting>
  <conditionalFormatting sqref="G10">
    <cfRule type="containsBlanks" dxfId="20" priority="5">
      <formula>LEN(TRIM(G10))=0</formula>
    </cfRule>
  </conditionalFormatting>
  <conditionalFormatting sqref="H10:I10">
    <cfRule type="containsBlanks" dxfId="19" priority="4">
      <formula>LEN(TRIM(H10))=0</formula>
    </cfRule>
  </conditionalFormatting>
  <conditionalFormatting sqref="L10:M10">
    <cfRule type="containsBlanks" dxfId="18" priority="3">
      <formula>LEN(TRIM(L10))=0</formula>
    </cfRule>
  </conditionalFormatting>
  <conditionalFormatting sqref="O10">
    <cfRule type="containsBlanks" dxfId="17" priority="2">
      <formula>LEN(TRIM(O10))=0</formula>
    </cfRule>
  </conditionalFormatting>
  <conditionalFormatting sqref="J10">
    <cfRule type="containsBlanks" dxfId="16" priority="1">
      <formula>LEN(TRIM(J10))=0</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dimension ref="B1:AH266"/>
  <sheetViews>
    <sheetView showGridLines="0" topLeftCell="F11" zoomScaleNormal="100" workbookViewId="0">
      <selection activeCell="M14" sqref="M14"/>
    </sheetView>
  </sheetViews>
  <sheetFormatPr baseColWidth="10" defaultColWidth="11.453125" defaultRowHeight="12" x14ac:dyDescent="0.3"/>
  <cols>
    <col min="1" max="1" width="3.7265625" style="82" customWidth="1"/>
    <col min="2" max="2" width="6.453125" style="82" bestFit="1" customWidth="1"/>
    <col min="3" max="3" width="4.7265625" style="82" bestFit="1" customWidth="1"/>
    <col min="4" max="4" width="11.54296875" style="82" bestFit="1" customWidth="1"/>
    <col min="5" max="6" width="12" style="82" bestFit="1" customWidth="1"/>
    <col min="7" max="7" width="9.7265625" style="82" bestFit="1" customWidth="1"/>
    <col min="8" max="8" width="12" style="82" bestFit="1" customWidth="1"/>
    <col min="9" max="9" width="11.7265625" style="82" customWidth="1"/>
    <col min="10" max="11" width="11.54296875" style="82" bestFit="1" customWidth="1"/>
    <col min="12" max="12" width="12" style="82" bestFit="1" customWidth="1"/>
    <col min="13" max="13" width="11.54296875" style="82" bestFit="1" customWidth="1"/>
    <col min="14" max="16" width="11.453125" style="82"/>
    <col min="17" max="17" width="12" style="82" bestFit="1" customWidth="1"/>
    <col min="18" max="18" width="12.54296875" style="82" bestFit="1" customWidth="1"/>
    <col min="19" max="20" width="2.7265625" style="82" customWidth="1"/>
    <col min="21" max="21" width="11.453125" style="82"/>
    <col min="22" max="22" width="11.7265625" style="82" bestFit="1" customWidth="1"/>
    <col min="23" max="23" width="0.81640625" style="82" customWidth="1"/>
    <col min="24" max="24" width="11.453125" style="82"/>
    <col min="25" max="25" width="1.7265625" style="82" customWidth="1"/>
    <col min="26" max="16384" width="11.453125" style="82"/>
  </cols>
  <sheetData>
    <row r="1" spans="2:24" x14ac:dyDescent="0.3">
      <c r="D1" s="82" t="s">
        <v>23</v>
      </c>
      <c r="E1" s="255">
        <f>Simulador!$F$62</f>
        <v>0.11</v>
      </c>
      <c r="G1" s="101" t="s">
        <v>204</v>
      </c>
      <c r="H1" s="101" t="str">
        <f>Simulador!N9</f>
        <v>Básico</v>
      </c>
      <c r="I1" s="101" t="s">
        <v>207</v>
      </c>
      <c r="J1" s="101" t="s">
        <v>208</v>
      </c>
      <c r="K1" s="82" t="s">
        <v>441</v>
      </c>
      <c r="L1" s="260">
        <f>IF(Simulador!$K$13="No",Simulador!$N$13,IF(Simulador!$K$13="Si",Simulador!$O$13,))</f>
        <v>2448600</v>
      </c>
      <c r="U1" s="6"/>
      <c r="V1" s="6"/>
      <c r="W1" s="6"/>
      <c r="X1" s="35" t="s">
        <v>140</v>
      </c>
    </row>
    <row r="2" spans="2:24" x14ac:dyDescent="0.3">
      <c r="D2" s="82" t="s">
        <v>194</v>
      </c>
      <c r="E2" s="82">
        <f>Simulador!F19</f>
        <v>240</v>
      </c>
      <c r="G2" s="101" t="s">
        <v>197</v>
      </c>
      <c r="H2" s="96">
        <f>IF($M$2='Tabla Parámetros'!$N$10,Simulador!$H$48+Simulador!$L$46,IF($M$2='Tabla Parámetros'!$N$11,Simulador!$H$48,))</f>
        <v>1000000</v>
      </c>
      <c r="I2" s="101">
        <f>IF(H1='Tabla Parámetros'!N4,'Tabla Parámetros'!R5,IF(Simulador!N9='Tabla Parámetros'!N3,'Tabla Parámetros'!R10))</f>
        <v>0</v>
      </c>
      <c r="J2" s="101">
        <f>IF(Simulador!N9='Tabla Parámetros'!N4,'Tabla Parámetros'!S5,IF(Simulador!N9='Tabla Parámetros'!N3,'Tabla Parámetros'!T10))</f>
        <v>0</v>
      </c>
      <c r="M2" s="353" t="str">
        <f>Simulador!$N$17</f>
        <v>NO</v>
      </c>
      <c r="Q2" s="98" t="s">
        <v>201</v>
      </c>
      <c r="R2" s="82" t="str">
        <f>Simulador!$N$62</f>
        <v>Reduce Pago</v>
      </c>
      <c r="U2" s="32" t="s">
        <v>135</v>
      </c>
      <c r="V2" s="34">
        <f>H2</f>
        <v>1000000</v>
      </c>
      <c r="W2" s="6"/>
      <c r="X2" s="195">
        <f>-V2+'CAT Flujo Cero'!Flujo_Cero_Parcial</f>
        <v>-1000000</v>
      </c>
    </row>
    <row r="3" spans="2:24" ht="12.5" thickBot="1" x14ac:dyDescent="0.35">
      <c r="K3" s="260">
        <f>$H$2*$I$2</f>
        <v>0</v>
      </c>
      <c r="L3" s="260">
        <f>Simulador!$N$13*$J$2</f>
        <v>0</v>
      </c>
      <c r="U3" s="32" t="s">
        <v>136</v>
      </c>
      <c r="V3" s="14">
        <f>E1</f>
        <v>0.11</v>
      </c>
      <c r="W3" s="6"/>
      <c r="X3" s="29">
        <f>Q5</f>
        <v>0</v>
      </c>
    </row>
    <row r="4" spans="2:24" ht="28.5" customHeight="1" thickBot="1" x14ac:dyDescent="0.35">
      <c r="B4" s="168" t="s">
        <v>16</v>
      </c>
      <c r="C4" s="169" t="s">
        <v>29</v>
      </c>
      <c r="D4" s="169" t="s">
        <v>23</v>
      </c>
      <c r="E4" s="169" t="s">
        <v>0</v>
      </c>
      <c r="F4" s="169" t="s">
        <v>325</v>
      </c>
      <c r="G4" s="169" t="s">
        <v>324</v>
      </c>
      <c r="H4" s="169" t="s">
        <v>31</v>
      </c>
      <c r="I4" s="169" t="s">
        <v>37</v>
      </c>
      <c r="J4" s="169" t="s">
        <v>202</v>
      </c>
      <c r="K4" s="169" t="s">
        <v>20</v>
      </c>
      <c r="L4" s="169" t="s">
        <v>32</v>
      </c>
      <c r="M4" s="169" t="s">
        <v>33</v>
      </c>
      <c r="N4" s="169" t="s">
        <v>6</v>
      </c>
      <c r="O4" s="169" t="s">
        <v>34</v>
      </c>
      <c r="P4" s="169" t="s">
        <v>571</v>
      </c>
      <c r="Q4" s="169" t="s">
        <v>35</v>
      </c>
      <c r="R4" s="170" t="s">
        <v>36</v>
      </c>
      <c r="U4" s="32" t="s">
        <v>137</v>
      </c>
      <c r="V4" s="14" t="e">
        <f>IRR(X3:X261,0)</f>
        <v>#NUM!</v>
      </c>
      <c r="W4" s="6"/>
      <c r="X4" s="29">
        <f>-E6+G6+I6+K6+(L6/1.16)+M6</f>
        <v>0</v>
      </c>
    </row>
    <row r="5" spans="2:24" x14ac:dyDescent="0.3">
      <c r="B5" s="179">
        <v>0</v>
      </c>
      <c r="C5" s="180"/>
      <c r="D5" s="165"/>
      <c r="E5" s="167">
        <f>Simulador!E373</f>
        <v>0</v>
      </c>
      <c r="F5" s="167">
        <f>IF(Simulador!$N$17='Tabla Parámetros'!$N$10,Simulador!$L$46,IF(Simulador!$N$17='Tabla Parámetros'!$N$11,0,))</f>
        <v>0</v>
      </c>
      <c r="G5" s="167">
        <f>E5*'Tabla Parámetros'!$U$10</f>
        <v>0</v>
      </c>
      <c r="H5" s="167">
        <v>0</v>
      </c>
      <c r="I5" s="167">
        <v>0</v>
      </c>
      <c r="J5" s="167">
        <v>0</v>
      </c>
      <c r="K5" s="167">
        <v>0</v>
      </c>
      <c r="L5" s="167">
        <v>0</v>
      </c>
      <c r="M5" s="167">
        <v>0</v>
      </c>
      <c r="N5" s="172"/>
      <c r="O5" s="172"/>
      <c r="P5" s="172"/>
      <c r="Q5" s="167">
        <f>-E5+G5</f>
        <v>0</v>
      </c>
      <c r="R5" s="178"/>
      <c r="U5" s="32" t="s">
        <v>138</v>
      </c>
      <c r="V5" s="36" t="e">
        <f>V4*12</f>
        <v>#NUM!</v>
      </c>
      <c r="W5" s="6"/>
      <c r="X5" s="29">
        <f t="shared" ref="X5:X21" si="0">-E7+G7+I7+K7+(L7/1.16)+M7</f>
        <v>0</v>
      </c>
    </row>
    <row r="6" spans="2:24" x14ac:dyDescent="0.3">
      <c r="B6" s="181">
        <v>1</v>
      </c>
      <c r="C6" s="182">
        <v>30.4</v>
      </c>
      <c r="D6" s="175">
        <f>Simulador!$F$62</f>
        <v>0.11</v>
      </c>
      <c r="E6" s="177">
        <f>Simulador!E374</f>
        <v>0</v>
      </c>
      <c r="F6" s="177">
        <f>E5+F5</f>
        <v>0</v>
      </c>
      <c r="G6" s="177">
        <f>E6*'Tabla Parámetros'!$U$10</f>
        <v>0</v>
      </c>
      <c r="H6" s="167">
        <v>0</v>
      </c>
      <c r="I6" s="167">
        <f>(($E$1/360)*30.4)*F6</f>
        <v>0</v>
      </c>
      <c r="J6" s="167">
        <v>0</v>
      </c>
      <c r="K6" s="167">
        <f>F6*$I$2</f>
        <v>0</v>
      </c>
      <c r="L6" s="167">
        <f>IF(F6=0,0,$L$1*$J$2)</f>
        <v>0</v>
      </c>
      <c r="M6" s="167">
        <f>IF(F6=0,0,IF(Simulador!$F$11='Tabla Parámetros'!$W$1,'Tabla Parámetros'!$W$28,IF(Simulador!$F$11='Tabla Parámetros'!$Y$1,'Tabla Parámetros'!$Y$12)))</f>
        <v>0</v>
      </c>
      <c r="N6" s="172"/>
      <c r="O6" s="172"/>
      <c r="P6" s="172"/>
      <c r="Q6" s="167">
        <f>SUM(G6:O6)-E6</f>
        <v>0</v>
      </c>
      <c r="R6" s="167"/>
      <c r="S6" s="96"/>
      <c r="U6" s="33" t="s">
        <v>139</v>
      </c>
      <c r="V6" s="36" t="e">
        <f>EFFECT(V5,12)</f>
        <v>#NUM!</v>
      </c>
      <c r="W6" s="6"/>
      <c r="X6" s="29">
        <f t="shared" si="0"/>
        <v>0</v>
      </c>
    </row>
    <row r="7" spans="2:24" x14ac:dyDescent="0.3">
      <c r="B7" s="179">
        <v>2</v>
      </c>
      <c r="C7" s="180">
        <v>30.4</v>
      </c>
      <c r="D7" s="176">
        <f>Simulador!$F$62</f>
        <v>0.11</v>
      </c>
      <c r="E7" s="167">
        <f>Simulador!E375</f>
        <v>0</v>
      </c>
      <c r="F7" s="167">
        <f>E6+F6</f>
        <v>0</v>
      </c>
      <c r="G7" s="167">
        <f>E7*'Tabla Parámetros'!$U$10</f>
        <v>0</v>
      </c>
      <c r="H7" s="167">
        <v>0</v>
      </c>
      <c r="I7" s="167">
        <f t="shared" ref="I7:I17" si="1">(($E$1/360)*30.4)*F7</f>
        <v>0</v>
      </c>
      <c r="J7" s="167">
        <v>0</v>
      </c>
      <c r="K7" s="167">
        <f>F7*$I$2</f>
        <v>0</v>
      </c>
      <c r="L7" s="167">
        <f t="shared" ref="L7:L23" si="2">IF(F7=0,0,$L$1*$J$2)</f>
        <v>0</v>
      </c>
      <c r="M7" s="167">
        <f>IF(F7=0,0,IF(Simulador!$F$11='Tabla Parámetros'!$W$1,'Tabla Parámetros'!$W$28,IF(Simulador!$F$11='Tabla Parámetros'!$Y$1,'Tabla Parámetros'!$Y$12)))</f>
        <v>0</v>
      </c>
      <c r="N7" s="172"/>
      <c r="O7" s="172"/>
      <c r="P7" s="172"/>
      <c r="Q7" s="167">
        <f t="shared" ref="Q7:Q17" si="3">SUM(G7:O7)-E7</f>
        <v>0</v>
      </c>
      <c r="R7" s="167"/>
      <c r="U7" s="37"/>
      <c r="V7" s="38"/>
      <c r="W7" s="6"/>
      <c r="X7" s="29">
        <f t="shared" si="0"/>
        <v>0</v>
      </c>
    </row>
    <row r="8" spans="2:24" x14ac:dyDescent="0.3">
      <c r="B8" s="179">
        <v>3</v>
      </c>
      <c r="C8" s="180">
        <v>30.4</v>
      </c>
      <c r="D8" s="176">
        <f>Simulador!$F$62</f>
        <v>0.11</v>
      </c>
      <c r="E8" s="167">
        <f>Simulador!E376</f>
        <v>0</v>
      </c>
      <c r="F8" s="167">
        <f>E7+F7</f>
        <v>0</v>
      </c>
      <c r="G8" s="167">
        <f>E8*'Tabla Parámetros'!$U$10</f>
        <v>0</v>
      </c>
      <c r="H8" s="167">
        <v>0</v>
      </c>
      <c r="I8" s="167">
        <f t="shared" si="1"/>
        <v>0</v>
      </c>
      <c r="J8" s="167">
        <v>0</v>
      </c>
      <c r="K8" s="167">
        <f t="shared" ref="K8:K23" si="4">F8*$I$2</f>
        <v>0</v>
      </c>
      <c r="L8" s="167">
        <f t="shared" si="2"/>
        <v>0</v>
      </c>
      <c r="M8" s="167">
        <f>IF(F8=0,0,IF(Simulador!$F$11='Tabla Parámetros'!$W$1,'Tabla Parámetros'!$W$28,IF(Simulador!$F$11='Tabla Parámetros'!$Y$1,'Tabla Parámetros'!$Y$12)))</f>
        <v>0</v>
      </c>
      <c r="N8" s="172"/>
      <c r="O8" s="172"/>
      <c r="P8" s="172"/>
      <c r="Q8" s="167">
        <f t="shared" si="3"/>
        <v>0</v>
      </c>
      <c r="R8" s="167"/>
      <c r="U8" s="6"/>
      <c r="V8" s="6"/>
      <c r="W8" s="6"/>
      <c r="X8" s="29">
        <f t="shared" si="0"/>
        <v>0</v>
      </c>
    </row>
    <row r="9" spans="2:24" x14ac:dyDescent="0.3">
      <c r="B9" s="179">
        <v>4</v>
      </c>
      <c r="C9" s="180">
        <v>30.4</v>
      </c>
      <c r="D9" s="176">
        <f>Simulador!$F$62</f>
        <v>0.11</v>
      </c>
      <c r="E9" s="167">
        <f>Simulador!E377</f>
        <v>0</v>
      </c>
      <c r="F9" s="167">
        <f>E8+F8</f>
        <v>0</v>
      </c>
      <c r="G9" s="167">
        <f>E9*'Tabla Parámetros'!$U$10</f>
        <v>0</v>
      </c>
      <c r="H9" s="167">
        <v>0</v>
      </c>
      <c r="I9" s="167">
        <f t="shared" si="1"/>
        <v>0</v>
      </c>
      <c r="J9" s="167">
        <v>0</v>
      </c>
      <c r="K9" s="167">
        <f t="shared" si="4"/>
        <v>0</v>
      </c>
      <c r="L9" s="167">
        <f t="shared" si="2"/>
        <v>0</v>
      </c>
      <c r="M9" s="167">
        <f>IF(F9=0,0,IF(Simulador!$F$11='Tabla Parámetros'!$W$1,'Tabla Parámetros'!$W$28,IF(Simulador!$F$11='Tabla Parámetros'!$Y$1,'Tabla Parámetros'!$Y$12)))</f>
        <v>0</v>
      </c>
      <c r="N9" s="172"/>
      <c r="O9" s="172"/>
      <c r="P9" s="172"/>
      <c r="Q9" s="167">
        <f t="shared" si="3"/>
        <v>0</v>
      </c>
      <c r="R9" s="167"/>
      <c r="U9" s="6"/>
      <c r="V9" s="6"/>
      <c r="W9" s="6"/>
      <c r="X9" s="29">
        <f t="shared" si="0"/>
        <v>0</v>
      </c>
    </row>
    <row r="10" spans="2:24" x14ac:dyDescent="0.3">
      <c r="B10" s="181">
        <v>5</v>
      </c>
      <c r="C10" s="180">
        <v>30.4</v>
      </c>
      <c r="D10" s="176">
        <f>Simulador!$F$62</f>
        <v>0.11</v>
      </c>
      <c r="E10" s="167">
        <f>Simulador!E378</f>
        <v>0</v>
      </c>
      <c r="F10" s="167">
        <f t="shared" ref="F10:F23" si="5">E9+F9</f>
        <v>0</v>
      </c>
      <c r="G10" s="167">
        <f>E10*'Tabla Parámetros'!$U$10</f>
        <v>0</v>
      </c>
      <c r="H10" s="167">
        <v>0</v>
      </c>
      <c r="I10" s="167">
        <f t="shared" si="1"/>
        <v>0</v>
      </c>
      <c r="J10" s="167">
        <v>0</v>
      </c>
      <c r="K10" s="167">
        <f t="shared" si="4"/>
        <v>0</v>
      </c>
      <c r="L10" s="167">
        <f t="shared" si="2"/>
        <v>0</v>
      </c>
      <c r="M10" s="167">
        <f>IF(F10=0,0,IF(Simulador!$F$11='Tabla Parámetros'!$W$1,'Tabla Parámetros'!$W$28,IF(Simulador!$F$11='Tabla Parámetros'!$Y$1,'Tabla Parámetros'!$Y$12)))</f>
        <v>0</v>
      </c>
      <c r="N10" s="172"/>
      <c r="O10" s="172"/>
      <c r="P10" s="172"/>
      <c r="Q10" s="167">
        <f t="shared" si="3"/>
        <v>0</v>
      </c>
      <c r="R10" s="167"/>
      <c r="U10" s="6"/>
      <c r="V10" s="6"/>
      <c r="W10" s="6"/>
      <c r="X10" s="29">
        <f t="shared" si="0"/>
        <v>0</v>
      </c>
    </row>
    <row r="11" spans="2:24" x14ac:dyDescent="0.3">
      <c r="B11" s="179">
        <v>6</v>
      </c>
      <c r="C11" s="180">
        <v>30.4</v>
      </c>
      <c r="D11" s="165">
        <f>Simulador!$F$62</f>
        <v>0.11</v>
      </c>
      <c r="E11" s="167">
        <f>Simulador!E379</f>
        <v>0</v>
      </c>
      <c r="F11" s="167">
        <f t="shared" si="5"/>
        <v>0</v>
      </c>
      <c r="G11" s="167">
        <f>E11*'Tabla Parámetros'!$U$10</f>
        <v>0</v>
      </c>
      <c r="H11" s="167">
        <v>0</v>
      </c>
      <c r="I11" s="167">
        <f t="shared" si="1"/>
        <v>0</v>
      </c>
      <c r="J11" s="167">
        <v>0</v>
      </c>
      <c r="K11" s="167">
        <f t="shared" si="4"/>
        <v>0</v>
      </c>
      <c r="L11" s="167">
        <f t="shared" si="2"/>
        <v>0</v>
      </c>
      <c r="M11" s="167">
        <f>IF(F11=0,0,IF(Simulador!$F$11='Tabla Parámetros'!$W$1,'Tabla Parámetros'!$W$28,IF(Simulador!$F$11='Tabla Parámetros'!$Y$1,'Tabla Parámetros'!$Y$12)))</f>
        <v>0</v>
      </c>
      <c r="N11" s="172"/>
      <c r="O11" s="172"/>
      <c r="P11" s="172"/>
      <c r="Q11" s="167">
        <f t="shared" si="3"/>
        <v>0</v>
      </c>
      <c r="R11" s="167"/>
      <c r="U11" s="6"/>
      <c r="V11" s="6"/>
      <c r="W11" s="6"/>
      <c r="X11" s="29">
        <f t="shared" si="0"/>
        <v>0</v>
      </c>
    </row>
    <row r="12" spans="2:24" x14ac:dyDescent="0.3">
      <c r="B12" s="179">
        <v>7</v>
      </c>
      <c r="C12" s="180">
        <v>30.4</v>
      </c>
      <c r="D12" s="165">
        <f>Simulador!$F$62</f>
        <v>0.11</v>
      </c>
      <c r="E12" s="167">
        <f>Simulador!E380</f>
        <v>0</v>
      </c>
      <c r="F12" s="167">
        <f t="shared" si="5"/>
        <v>0</v>
      </c>
      <c r="G12" s="167">
        <f>E12*'Tabla Parámetros'!$U$10</f>
        <v>0</v>
      </c>
      <c r="H12" s="167">
        <v>0</v>
      </c>
      <c r="I12" s="167">
        <f t="shared" si="1"/>
        <v>0</v>
      </c>
      <c r="J12" s="167">
        <v>0</v>
      </c>
      <c r="K12" s="167">
        <f t="shared" si="4"/>
        <v>0</v>
      </c>
      <c r="L12" s="167">
        <f t="shared" si="2"/>
        <v>0</v>
      </c>
      <c r="M12" s="167">
        <f>IF(F12=0,0,IF(Simulador!$F$11='Tabla Parámetros'!$W$1,'Tabla Parámetros'!$W$28,IF(Simulador!$F$11='Tabla Parámetros'!$Y$1,'Tabla Parámetros'!$Y$12)))</f>
        <v>0</v>
      </c>
      <c r="N12" s="172"/>
      <c r="O12" s="172"/>
      <c r="P12" s="172"/>
      <c r="Q12" s="167">
        <f t="shared" si="3"/>
        <v>0</v>
      </c>
      <c r="R12" s="167"/>
      <c r="U12" s="6"/>
      <c r="V12" s="6"/>
      <c r="W12" s="6"/>
      <c r="X12" s="29">
        <f t="shared" si="0"/>
        <v>0</v>
      </c>
    </row>
    <row r="13" spans="2:24" x14ac:dyDescent="0.3">
      <c r="B13" s="179">
        <v>8</v>
      </c>
      <c r="C13" s="180">
        <v>30.4</v>
      </c>
      <c r="D13" s="165">
        <f>Simulador!$F$62</f>
        <v>0.11</v>
      </c>
      <c r="E13" s="167">
        <f>Simulador!E381</f>
        <v>0</v>
      </c>
      <c r="F13" s="167">
        <f t="shared" si="5"/>
        <v>0</v>
      </c>
      <c r="G13" s="167">
        <f>E13*'Tabla Parámetros'!$U$10</f>
        <v>0</v>
      </c>
      <c r="H13" s="167">
        <v>0</v>
      </c>
      <c r="I13" s="167">
        <f t="shared" si="1"/>
        <v>0</v>
      </c>
      <c r="J13" s="167">
        <v>0</v>
      </c>
      <c r="K13" s="167">
        <f t="shared" si="4"/>
        <v>0</v>
      </c>
      <c r="L13" s="167">
        <f t="shared" si="2"/>
        <v>0</v>
      </c>
      <c r="M13" s="167">
        <f>IF(F13=0,0,IF(Simulador!$F$11='Tabla Parámetros'!$W$1,'Tabla Parámetros'!$W$28,IF(Simulador!$F$11='Tabla Parámetros'!$Y$1,'Tabla Parámetros'!$Y$12)))</f>
        <v>0</v>
      </c>
      <c r="N13" s="172"/>
      <c r="O13" s="172"/>
      <c r="P13" s="172"/>
      <c r="Q13" s="167">
        <f t="shared" si="3"/>
        <v>0</v>
      </c>
      <c r="R13" s="167"/>
      <c r="U13" s="6"/>
      <c r="V13" s="6"/>
      <c r="W13" s="6"/>
      <c r="X13" s="29">
        <f t="shared" si="0"/>
        <v>0</v>
      </c>
    </row>
    <row r="14" spans="2:24" x14ac:dyDescent="0.3">
      <c r="B14" s="181">
        <v>9</v>
      </c>
      <c r="C14" s="180">
        <v>30.4</v>
      </c>
      <c r="D14" s="165">
        <f>Simulador!$F$62</f>
        <v>0.11</v>
      </c>
      <c r="E14" s="167">
        <f>Simulador!E382</f>
        <v>0</v>
      </c>
      <c r="F14" s="167">
        <f t="shared" si="5"/>
        <v>0</v>
      </c>
      <c r="G14" s="167">
        <f>E14*'Tabla Parámetros'!$U$10</f>
        <v>0</v>
      </c>
      <c r="H14" s="167">
        <v>0</v>
      </c>
      <c r="I14" s="167">
        <f t="shared" si="1"/>
        <v>0</v>
      </c>
      <c r="J14" s="167">
        <v>0</v>
      </c>
      <c r="K14" s="167">
        <f t="shared" si="4"/>
        <v>0</v>
      </c>
      <c r="L14" s="167">
        <f t="shared" si="2"/>
        <v>0</v>
      </c>
      <c r="M14" s="167">
        <f>IF(F14=0,0,IF(Simulador!$F$11='Tabla Parámetros'!$W$1,'Tabla Parámetros'!$W$28,IF(Simulador!$F$11='Tabla Parámetros'!$Y$1,'Tabla Parámetros'!$Y$12)))</f>
        <v>0</v>
      </c>
      <c r="N14" s="172"/>
      <c r="O14" s="172"/>
      <c r="P14" s="172"/>
      <c r="Q14" s="167">
        <f t="shared" si="3"/>
        <v>0</v>
      </c>
      <c r="R14" s="167"/>
      <c r="U14" s="6"/>
      <c r="V14" s="6"/>
      <c r="W14" s="6"/>
      <c r="X14" s="29">
        <f t="shared" si="0"/>
        <v>0</v>
      </c>
    </row>
    <row r="15" spans="2:24" x14ac:dyDescent="0.3">
      <c r="B15" s="179">
        <v>10</v>
      </c>
      <c r="C15" s="180">
        <v>30.4</v>
      </c>
      <c r="D15" s="165">
        <f>Simulador!$F$62</f>
        <v>0.11</v>
      </c>
      <c r="E15" s="167">
        <f>Simulador!E383</f>
        <v>0</v>
      </c>
      <c r="F15" s="167">
        <f t="shared" si="5"/>
        <v>0</v>
      </c>
      <c r="G15" s="167">
        <f>E15*'Tabla Parámetros'!$U$10</f>
        <v>0</v>
      </c>
      <c r="H15" s="167">
        <v>0</v>
      </c>
      <c r="I15" s="167">
        <f t="shared" si="1"/>
        <v>0</v>
      </c>
      <c r="J15" s="167">
        <v>0</v>
      </c>
      <c r="K15" s="167">
        <f t="shared" si="4"/>
        <v>0</v>
      </c>
      <c r="L15" s="167">
        <f t="shared" si="2"/>
        <v>0</v>
      </c>
      <c r="M15" s="167">
        <f>IF(F15=0,0,IF(Simulador!$F$11='Tabla Parámetros'!$W$1,'Tabla Parámetros'!$W$28,IF(Simulador!$F$11='Tabla Parámetros'!$Y$1,'Tabla Parámetros'!$Y$12)))</f>
        <v>0</v>
      </c>
      <c r="N15" s="172"/>
      <c r="O15" s="172"/>
      <c r="P15" s="172"/>
      <c r="Q15" s="167">
        <f t="shared" si="3"/>
        <v>0</v>
      </c>
      <c r="R15" s="167"/>
      <c r="U15" s="6"/>
      <c r="V15" s="6"/>
      <c r="W15" s="6"/>
      <c r="X15" s="29">
        <f t="shared" si="0"/>
        <v>0</v>
      </c>
    </row>
    <row r="16" spans="2:24" x14ac:dyDescent="0.3">
      <c r="B16" s="179">
        <v>11</v>
      </c>
      <c r="C16" s="180">
        <v>30.4</v>
      </c>
      <c r="D16" s="165">
        <f>Simulador!$F$62</f>
        <v>0.11</v>
      </c>
      <c r="E16" s="167">
        <f>Simulador!E384</f>
        <v>0</v>
      </c>
      <c r="F16" s="167">
        <f t="shared" si="5"/>
        <v>0</v>
      </c>
      <c r="G16" s="167">
        <f>E16*'Tabla Parámetros'!$U$10</f>
        <v>0</v>
      </c>
      <c r="H16" s="167">
        <v>0</v>
      </c>
      <c r="I16" s="167">
        <f t="shared" si="1"/>
        <v>0</v>
      </c>
      <c r="J16" s="167">
        <v>0</v>
      </c>
      <c r="K16" s="167">
        <f t="shared" si="4"/>
        <v>0</v>
      </c>
      <c r="L16" s="167">
        <f t="shared" si="2"/>
        <v>0</v>
      </c>
      <c r="M16" s="167">
        <f>IF(F16=0,0,IF(Simulador!$F$11='Tabla Parámetros'!$W$1,'Tabla Parámetros'!$W$28,IF(Simulador!$F$11='Tabla Parámetros'!$Y$1,'Tabla Parámetros'!$Y$12)))</f>
        <v>0</v>
      </c>
      <c r="N16" s="172"/>
      <c r="O16" s="172"/>
      <c r="P16" s="172"/>
      <c r="Q16" s="167">
        <f t="shared" si="3"/>
        <v>0</v>
      </c>
      <c r="R16" s="167"/>
      <c r="U16" s="6"/>
      <c r="V16" s="6"/>
      <c r="W16" s="6"/>
      <c r="X16" s="29">
        <f t="shared" si="0"/>
        <v>0</v>
      </c>
    </row>
    <row r="17" spans="2:34" x14ac:dyDescent="0.3">
      <c r="B17" s="179">
        <v>12</v>
      </c>
      <c r="C17" s="180">
        <v>30.4</v>
      </c>
      <c r="D17" s="165">
        <f>Simulador!$F$62</f>
        <v>0.11</v>
      </c>
      <c r="E17" s="167">
        <f>Simulador!E385</f>
        <v>0</v>
      </c>
      <c r="F17" s="167">
        <f t="shared" si="5"/>
        <v>0</v>
      </c>
      <c r="G17" s="167">
        <f>E17*'Tabla Parámetros'!$U$10</f>
        <v>0</v>
      </c>
      <c r="H17" s="167">
        <v>0</v>
      </c>
      <c r="I17" s="167">
        <f t="shared" si="1"/>
        <v>0</v>
      </c>
      <c r="J17" s="167">
        <v>0</v>
      </c>
      <c r="K17" s="167">
        <f t="shared" si="4"/>
        <v>0</v>
      </c>
      <c r="L17" s="167">
        <f t="shared" si="2"/>
        <v>0</v>
      </c>
      <c r="M17" s="167">
        <f>IF(F17=0,0,IF(Simulador!$F$11='Tabla Parámetros'!$W$1,'Tabla Parámetros'!$W$28,IF(Simulador!$F$11='Tabla Parámetros'!$Y$1,'Tabla Parámetros'!$Y$12)))</f>
        <v>0</v>
      </c>
      <c r="N17" s="172"/>
      <c r="O17" s="172"/>
      <c r="P17" s="172"/>
      <c r="Q17" s="167">
        <f t="shared" si="3"/>
        <v>0</v>
      </c>
      <c r="R17" s="167"/>
      <c r="U17" s="6"/>
      <c r="V17" s="6"/>
      <c r="W17" s="6"/>
      <c r="X17" s="29">
        <f t="shared" si="0"/>
        <v>0</v>
      </c>
    </row>
    <row r="18" spans="2:34" x14ac:dyDescent="0.3">
      <c r="B18" s="181">
        <v>13</v>
      </c>
      <c r="C18" s="180">
        <v>30.4</v>
      </c>
      <c r="D18" s="165">
        <f>Simulador!$F$62</f>
        <v>0.11</v>
      </c>
      <c r="E18" s="167">
        <f>Simulador!E386</f>
        <v>0</v>
      </c>
      <c r="F18" s="167">
        <f t="shared" si="5"/>
        <v>0</v>
      </c>
      <c r="G18" s="167">
        <f>E18*'Tabla Parámetros'!$U$10</f>
        <v>0</v>
      </c>
      <c r="H18" s="167">
        <v>0</v>
      </c>
      <c r="I18" s="167">
        <f t="shared" ref="I18:I23" si="6">(($E$1/360)*30.4)*F18</f>
        <v>0</v>
      </c>
      <c r="J18" s="167">
        <v>0</v>
      </c>
      <c r="K18" s="167">
        <f t="shared" si="4"/>
        <v>0</v>
      </c>
      <c r="L18" s="167">
        <f t="shared" si="2"/>
        <v>0</v>
      </c>
      <c r="M18" s="167">
        <f>IF(F18=0,0,IF(Simulador!$F$11='Tabla Parámetros'!$W$1,'Tabla Parámetros'!$W$28,IF(Simulador!$F$11='Tabla Parámetros'!$Y$1,'Tabla Parámetros'!$Y$12)))</f>
        <v>0</v>
      </c>
      <c r="N18" s="172"/>
      <c r="O18" s="172"/>
      <c r="P18" s="172"/>
      <c r="Q18" s="167">
        <f t="shared" ref="Q18:Q23" si="7">SUM(G18:O18)-E18</f>
        <v>0</v>
      </c>
      <c r="R18" s="167"/>
      <c r="U18" s="6"/>
      <c r="V18" s="6"/>
      <c r="W18" s="6"/>
      <c r="X18" s="29">
        <f t="shared" si="0"/>
        <v>0</v>
      </c>
    </row>
    <row r="19" spans="2:34" x14ac:dyDescent="0.3">
      <c r="B19" s="179">
        <v>14</v>
      </c>
      <c r="C19" s="180">
        <v>30.4</v>
      </c>
      <c r="D19" s="165">
        <f>Simulador!$F$62</f>
        <v>0.11</v>
      </c>
      <c r="E19" s="167">
        <f>Simulador!E387</f>
        <v>0</v>
      </c>
      <c r="F19" s="167">
        <f t="shared" si="5"/>
        <v>0</v>
      </c>
      <c r="G19" s="167">
        <f>E19*'Tabla Parámetros'!$U$10</f>
        <v>0</v>
      </c>
      <c r="H19" s="167">
        <v>0</v>
      </c>
      <c r="I19" s="167">
        <f t="shared" si="6"/>
        <v>0</v>
      </c>
      <c r="J19" s="167">
        <v>0</v>
      </c>
      <c r="K19" s="167">
        <f t="shared" si="4"/>
        <v>0</v>
      </c>
      <c r="L19" s="167">
        <f t="shared" si="2"/>
        <v>0</v>
      </c>
      <c r="M19" s="167">
        <f>IF(F19=0,0,IF(Simulador!$F$11='Tabla Parámetros'!$W$1,'Tabla Parámetros'!$W$28,IF(Simulador!$F$11='Tabla Parámetros'!$Y$1,'Tabla Parámetros'!$Y$12)))</f>
        <v>0</v>
      </c>
      <c r="N19" s="172"/>
      <c r="O19" s="172"/>
      <c r="P19" s="172"/>
      <c r="Q19" s="167">
        <f t="shared" si="7"/>
        <v>0</v>
      </c>
      <c r="R19" s="167"/>
      <c r="U19" s="6"/>
      <c r="V19" s="6"/>
      <c r="W19" s="6"/>
      <c r="X19" s="29">
        <f t="shared" si="0"/>
        <v>0</v>
      </c>
    </row>
    <row r="20" spans="2:34" x14ac:dyDescent="0.3">
      <c r="B20" s="179">
        <v>15</v>
      </c>
      <c r="C20" s="180">
        <v>30.4</v>
      </c>
      <c r="D20" s="165">
        <f>Simulador!$F$62</f>
        <v>0.11</v>
      </c>
      <c r="E20" s="167">
        <f>Simulador!E388</f>
        <v>0</v>
      </c>
      <c r="F20" s="167">
        <f t="shared" si="5"/>
        <v>0</v>
      </c>
      <c r="G20" s="167">
        <f>E20*'Tabla Parámetros'!$U$10</f>
        <v>0</v>
      </c>
      <c r="H20" s="167">
        <v>0</v>
      </c>
      <c r="I20" s="167">
        <f t="shared" si="6"/>
        <v>0</v>
      </c>
      <c r="J20" s="167">
        <v>0</v>
      </c>
      <c r="K20" s="167">
        <f t="shared" si="4"/>
        <v>0</v>
      </c>
      <c r="L20" s="167">
        <f t="shared" si="2"/>
        <v>0</v>
      </c>
      <c r="M20" s="167">
        <f>IF(F20=0,0,IF(Simulador!$F$11='Tabla Parámetros'!$W$1,'Tabla Parámetros'!$W$28,IF(Simulador!$F$11='Tabla Parámetros'!$Y$1,'Tabla Parámetros'!$Y$12)))</f>
        <v>0</v>
      </c>
      <c r="N20" s="172"/>
      <c r="O20" s="172"/>
      <c r="P20" s="172"/>
      <c r="Q20" s="167">
        <f t="shared" si="7"/>
        <v>0</v>
      </c>
      <c r="R20" s="167"/>
      <c r="U20" s="6"/>
      <c r="V20" s="6"/>
      <c r="W20" s="6"/>
      <c r="X20" s="29">
        <f t="shared" si="0"/>
        <v>0</v>
      </c>
    </row>
    <row r="21" spans="2:34" x14ac:dyDescent="0.3">
      <c r="B21" s="179">
        <v>16</v>
      </c>
      <c r="C21" s="180">
        <v>30.4</v>
      </c>
      <c r="D21" s="165">
        <f>Simulador!$F$62</f>
        <v>0.11</v>
      </c>
      <c r="E21" s="167">
        <f>Simulador!E389</f>
        <v>0</v>
      </c>
      <c r="F21" s="167">
        <f t="shared" si="5"/>
        <v>0</v>
      </c>
      <c r="G21" s="167">
        <f>E21*'Tabla Parámetros'!$U$10</f>
        <v>0</v>
      </c>
      <c r="H21" s="167">
        <v>0</v>
      </c>
      <c r="I21" s="167">
        <f t="shared" si="6"/>
        <v>0</v>
      </c>
      <c r="J21" s="167">
        <v>0</v>
      </c>
      <c r="K21" s="167">
        <f t="shared" si="4"/>
        <v>0</v>
      </c>
      <c r="L21" s="167">
        <f t="shared" si="2"/>
        <v>0</v>
      </c>
      <c r="M21" s="167">
        <f>IF(F21=0,0,IF(Simulador!$F$11='Tabla Parámetros'!$W$1,'Tabla Parámetros'!$W$28,IF(Simulador!$F$11='Tabla Parámetros'!$Y$1,'Tabla Parámetros'!$Y$12)))</f>
        <v>0</v>
      </c>
      <c r="N21" s="172"/>
      <c r="O21" s="172"/>
      <c r="P21" s="172"/>
      <c r="Q21" s="167">
        <f t="shared" si="7"/>
        <v>0</v>
      </c>
      <c r="R21" s="167"/>
      <c r="U21" s="6"/>
      <c r="V21" s="6"/>
      <c r="W21" s="6"/>
      <c r="X21" s="29">
        <f t="shared" si="0"/>
        <v>0</v>
      </c>
    </row>
    <row r="22" spans="2:34" x14ac:dyDescent="0.3">
      <c r="B22" s="181">
        <v>17</v>
      </c>
      <c r="C22" s="180">
        <v>30.4</v>
      </c>
      <c r="D22" s="165">
        <f>Simulador!$F$62</f>
        <v>0.11</v>
      </c>
      <c r="E22" s="167">
        <f>Simulador!E390</f>
        <v>0</v>
      </c>
      <c r="F22" s="167">
        <f t="shared" si="5"/>
        <v>0</v>
      </c>
      <c r="G22" s="167">
        <f>E22*'Tabla Parámetros'!$U$10</f>
        <v>0</v>
      </c>
      <c r="H22" s="167">
        <v>0</v>
      </c>
      <c r="I22" s="167">
        <f t="shared" si="6"/>
        <v>0</v>
      </c>
      <c r="J22" s="167">
        <v>0</v>
      </c>
      <c r="K22" s="167">
        <f t="shared" si="4"/>
        <v>0</v>
      </c>
      <c r="L22" s="167">
        <f t="shared" si="2"/>
        <v>0</v>
      </c>
      <c r="M22" s="167">
        <f>IF(F22=0,0,IF(Simulador!$F$11='Tabla Parámetros'!$W$1,'Tabla Parámetros'!$W$28,IF(Simulador!$F$11='Tabla Parámetros'!$Y$1,'Tabla Parámetros'!$Y$12)))</f>
        <v>0</v>
      </c>
      <c r="N22" s="172"/>
      <c r="O22" s="172"/>
      <c r="P22" s="172"/>
      <c r="Q22" s="167">
        <f t="shared" si="7"/>
        <v>0</v>
      </c>
      <c r="R22" s="167"/>
      <c r="U22" s="6"/>
      <c r="V22" s="6"/>
      <c r="W22" s="6"/>
      <c r="X22" s="256">
        <f>IF(B24="","",IF(F24=0,0,PMT($E$1/360*C24,$E$2,-$H$2)+K24+(L24/1.16)+M24+O24))</f>
        <v>10720.884210717653</v>
      </c>
      <c r="Z22" s="911" t="s">
        <v>28</v>
      </c>
      <c r="AA22" s="911"/>
      <c r="AB22" s="911"/>
      <c r="AC22" s="911" t="s">
        <v>309</v>
      </c>
      <c r="AD22" s="911"/>
      <c r="AE22" s="911"/>
      <c r="AF22" s="911" t="s">
        <v>308</v>
      </c>
      <c r="AG22" s="911"/>
      <c r="AH22" s="911"/>
    </row>
    <row r="23" spans="2:34" x14ac:dyDescent="0.3">
      <c r="B23" s="179">
        <v>18</v>
      </c>
      <c r="C23" s="180">
        <v>30.4</v>
      </c>
      <c r="D23" s="165">
        <f>Simulador!$F$62</f>
        <v>0.11</v>
      </c>
      <c r="E23" s="167">
        <f>Simulador!E391</f>
        <v>0</v>
      </c>
      <c r="F23" s="167">
        <f t="shared" si="5"/>
        <v>0</v>
      </c>
      <c r="G23" s="167">
        <f>E23*'Tabla Parámetros'!$U$10</f>
        <v>0</v>
      </c>
      <c r="H23" s="167">
        <v>0</v>
      </c>
      <c r="I23" s="167">
        <f t="shared" si="6"/>
        <v>0</v>
      </c>
      <c r="J23" s="167">
        <v>0</v>
      </c>
      <c r="K23" s="167">
        <f t="shared" si="4"/>
        <v>0</v>
      </c>
      <c r="L23" s="167">
        <f t="shared" si="2"/>
        <v>0</v>
      </c>
      <c r="M23" s="167">
        <f>IF(F23=0,0,IF(Simulador!$F$11='Tabla Parámetros'!$W$1,'Tabla Parámetros'!$W$28,IF(Simulador!$F$11='Tabla Parámetros'!$Y$1,'Tabla Parámetros'!$Y$12)))</f>
        <v>0</v>
      </c>
      <c r="N23" s="172"/>
      <c r="O23" s="172"/>
      <c r="P23" s="172"/>
      <c r="Q23" s="167">
        <f t="shared" si="7"/>
        <v>0</v>
      </c>
      <c r="R23" s="167"/>
      <c r="U23" s="6"/>
      <c r="V23" s="6"/>
      <c r="W23" s="6"/>
      <c r="X23" s="256">
        <f t="shared" ref="X23:X86" si="8">IF(B25="","",IF(F25=0,0,PMT($E$1/360*C25,$E$2,-$H$2)+K25+(L25/1.16)+M25+O25))</f>
        <v>10720.884210717653</v>
      </c>
      <c r="Z23" s="101" t="s">
        <v>31</v>
      </c>
      <c r="AA23" s="101" t="s">
        <v>37</v>
      </c>
      <c r="AB23" s="101" t="s">
        <v>202</v>
      </c>
      <c r="AC23" s="101" t="s">
        <v>31</v>
      </c>
      <c r="AD23" s="101" t="s">
        <v>37</v>
      </c>
      <c r="AE23" s="101" t="s">
        <v>202</v>
      </c>
      <c r="AF23" s="101" t="s">
        <v>31</v>
      </c>
      <c r="AG23" s="101" t="s">
        <v>37</v>
      </c>
      <c r="AH23" s="101" t="s">
        <v>202</v>
      </c>
    </row>
    <row r="24" spans="2:34" x14ac:dyDescent="0.3">
      <c r="B24" s="183">
        <v>1</v>
      </c>
      <c r="C24" s="184">
        <v>30.4</v>
      </c>
      <c r="D24" s="171">
        <f>Simulador!$F$62</f>
        <v>0.11</v>
      </c>
      <c r="E24" s="172"/>
      <c r="F24" s="174">
        <f>IF(($E$23+$F$23)&gt;H2,"ERROR",$H$2)</f>
        <v>1000000</v>
      </c>
      <c r="G24" s="173"/>
      <c r="H24" s="172">
        <f>IF(B24="","",IF((J24-I24)&gt;F24,F24,IF($R$2=$Z$22,Z24,IF($R$2=$AC$22,AC24,IF($R$2=$AF$22,AF24,)))))</f>
        <v>1132.9953218287653</v>
      </c>
      <c r="I24" s="172">
        <f>IF(C24="","",IF($R$2=$Z$22,AA24,IF($R$2=$AC$22,AD24,IF($R$2=$AF$22,AG24,))))</f>
        <v>9288.8888888888887</v>
      </c>
      <c r="J24" s="172">
        <f t="shared" ref="J24:J87" si="9">IF(D24="","",IF(F24=0,0,IF($R$2=$Z$22,AB24,IF($R$2=$AC$22,AE24,IF($R$2=$AF$22,AH24,)))))</f>
        <v>10421.884210717653</v>
      </c>
      <c r="K24" s="172">
        <f>IF(B24="","",F24*$I$2)</f>
        <v>0</v>
      </c>
      <c r="L24" s="172">
        <f>IF(B24="","",$L$1*$J$2)</f>
        <v>0</v>
      </c>
      <c r="M24" s="172">
        <f>IF(B24="","",IF(F24=0,0,IF(Simulador!$F$11='Tabla Parámetros'!$W$1,'Tabla Parámetros'!$W$28,IF(Simulador!$F$11='Tabla Parámetros'!$Y$1,'Tabla Parámetros'!$Y$12))))</f>
        <v>299</v>
      </c>
      <c r="N24" s="172">
        <f>IF(B24="","",IF(Simulador!$N$7='Tabla Parámetros'!$C$31,AportPat!L4,0))</f>
        <v>0</v>
      </c>
      <c r="O24" s="172">
        <f>Simulador!O392</f>
        <v>0</v>
      </c>
      <c r="P24" s="172">
        <f>IF(O24&gt;0,(O24*Sheet1!$AD$13)*1.16,0)</f>
        <v>0</v>
      </c>
      <c r="Q24" s="172">
        <f>IF(B24="","",H24+I24+K24+L24+M24)</f>
        <v>10720.884210717653</v>
      </c>
      <c r="R24" s="185">
        <f>IF(B24="","",F24-H24)</f>
        <v>998867.00467817124</v>
      </c>
      <c r="U24" s="6"/>
      <c r="V24" s="6"/>
      <c r="W24" s="6"/>
      <c r="X24" s="256">
        <f t="shared" si="8"/>
        <v>10720.884210717653</v>
      </c>
      <c r="Z24" s="201">
        <f>IF(F24=0,0,PPMT(D24/360*30.4,B24,$E$2,-$F$24)+N24+(O24-P24))</f>
        <v>1132.9953218287653</v>
      </c>
      <c r="AA24" s="201">
        <f>(D24/360*C24)*F24</f>
        <v>9288.8888888888887</v>
      </c>
      <c r="AB24" s="202">
        <f>Z24+AA24</f>
        <v>10421.884210717653</v>
      </c>
      <c r="AC24" s="201">
        <f>PPMT(D24/360*30.4,B24,$E$2,-$F$24)+N24+(O24-P24)</f>
        <v>1132.9953218287653</v>
      </c>
      <c r="AD24" s="201">
        <f>(D24/360*C24)*F24</f>
        <v>9288.8888888888887</v>
      </c>
      <c r="AE24" s="201">
        <f>AC24+AD24</f>
        <v>10421.884210717653</v>
      </c>
      <c r="AF24" s="201">
        <f>PPMT(D24/360*30.4,B24,$E$2,-$F$24)+N24+(O24-P24)</f>
        <v>1132.9953218287653</v>
      </c>
      <c r="AG24" s="201">
        <f>(D24/360*C24)*F24</f>
        <v>9288.8888888888887</v>
      </c>
      <c r="AH24" s="201">
        <f>AF24+AG24</f>
        <v>10421.884210717653</v>
      </c>
    </row>
    <row r="25" spans="2:34" x14ac:dyDescent="0.3">
      <c r="B25" s="179">
        <f t="shared" ref="B25:B89" si="10">IF(B24="","",IF(B24=$E$2,"",B24+1))</f>
        <v>2</v>
      </c>
      <c r="C25" s="180">
        <f>IF(B25="","",30.4)</f>
        <v>30.4</v>
      </c>
      <c r="D25" s="165">
        <f>IF(B25="","",Simulador!$F$62)</f>
        <v>0.11</v>
      </c>
      <c r="E25" s="167"/>
      <c r="F25" s="167">
        <f>IF(B25="","",F24-H24)</f>
        <v>998867.00467817124</v>
      </c>
      <c r="G25" s="166"/>
      <c r="H25" s="167">
        <f t="shared" ref="H25:H88" si="11">IF(B25="","",IF((J25-I25)&gt;F25,F25,IF($R$2=$Z$22,Z25,IF($R$2=$AC$22,AC25,IF($R$2=$AF$22,AF25,)))))</f>
        <v>1143.5195894848639</v>
      </c>
      <c r="I25" s="167">
        <f>IF(C25="","",IF($R$2=$Z$22,AA25,IF($R$2=$AC$22,AD25,IF($R$2=$AF$22,AG25,))))</f>
        <v>9278.3646212327894</v>
      </c>
      <c r="J25" s="167">
        <f t="shared" si="9"/>
        <v>10421.884210717653</v>
      </c>
      <c r="K25" s="167">
        <f t="shared" ref="K25:K88" si="12">IF(B25="","",F25*$I$2)</f>
        <v>0</v>
      </c>
      <c r="L25" s="167">
        <f>IF(B25="","",IF(F25=0,0,$L$1*$J$2))</f>
        <v>0</v>
      </c>
      <c r="M25" s="167">
        <f>IF(B25="","",IF(F25=0,0,IF(Simulador!$F$11='Tabla Parámetros'!$W$1,'Tabla Parámetros'!$W$28,IF(Simulador!$F$11='Tabla Parámetros'!$Y$1,'Tabla Parámetros'!$Y$12))))</f>
        <v>299</v>
      </c>
      <c r="N25" s="167">
        <f>IF(B25="","",IF(F25=0,0,IF(Simulador!$N$7='Tabla Parámetros'!$C$31,AportPat!L5,0)))</f>
        <v>0</v>
      </c>
      <c r="O25" s="167">
        <f>Simulador!O393</f>
        <v>0</v>
      </c>
      <c r="P25" s="167">
        <f>IF(O25&gt;0,(O25*Sheet1!$AD$13)*1.16,0)</f>
        <v>0</v>
      </c>
      <c r="Q25" s="167">
        <f t="shared" ref="Q25:Q88" si="13">IF(B25="","",H25+I25+K25+L25+M25)</f>
        <v>10720.884210717653</v>
      </c>
      <c r="R25" s="167">
        <f t="shared" ref="R25:R88" si="14">IF(B25="","",F25-H25)</f>
        <v>997723.48508868634</v>
      </c>
      <c r="U25" s="6"/>
      <c r="V25" s="6"/>
      <c r="W25" s="6"/>
      <c r="X25" s="256">
        <f t="shared" si="8"/>
        <v>10720.884210717653</v>
      </c>
      <c r="Z25" s="201">
        <f>IF(F25=0,0,PPMT(D25/360*30.4,B25,$E$2,-$F$24)+N25+(O25-P25))</f>
        <v>1143.5195894848641</v>
      </c>
      <c r="AA25" s="201">
        <f t="shared" ref="AA25:AA88" si="15">(D25/360*C25)*F25</f>
        <v>9278.3646212327894</v>
      </c>
      <c r="AB25" s="202">
        <f t="shared" ref="AB25:AB88" si="16">Z25+AA25</f>
        <v>10421.884210717653</v>
      </c>
      <c r="AC25" s="201">
        <f t="shared" ref="AC25:AC88" si="17">AE25-AD25</f>
        <v>1143.5195894848639</v>
      </c>
      <c r="AD25" s="201">
        <f t="shared" ref="AD25:AD88" si="18">(D25/360*C25)*F25</f>
        <v>9278.3646212327894</v>
      </c>
      <c r="AE25" s="201">
        <f>IF(F25=0,0,PMT($E$1/360*30.4,$E$2,-$H$2)+N25+(O25-P25))</f>
        <v>10421.884210717653</v>
      </c>
      <c r="AF25" s="201">
        <f t="shared" ref="AF25:AF88" si="19">AH25-AG25</f>
        <v>1143.5195894848639</v>
      </c>
      <c r="AG25" s="201">
        <f t="shared" ref="AG25:AG88" si="20">(D25/360*C25)*F25</f>
        <v>9278.3646212327894</v>
      </c>
      <c r="AH25" s="201">
        <f>PMT($E$1/360*30.4,$E$2-B24,-F25)+N25+(O25-P25)</f>
        <v>10421.884210717653</v>
      </c>
    </row>
    <row r="26" spans="2:34" x14ac:dyDescent="0.3">
      <c r="B26" s="179">
        <f t="shared" si="10"/>
        <v>3</v>
      </c>
      <c r="C26" s="180">
        <f t="shared" ref="C26:C89" si="21">IF(B26="","",30.4)</f>
        <v>30.4</v>
      </c>
      <c r="D26" s="165">
        <f>IF(B26="","",Simulador!$F$62)</f>
        <v>0.11</v>
      </c>
      <c r="E26" s="167"/>
      <c r="F26" s="167">
        <f t="shared" ref="F26:F89" si="22">IF(B26="","",F25-H25)</f>
        <v>997723.48508868634</v>
      </c>
      <c r="G26" s="166"/>
      <c r="H26" s="167">
        <f t="shared" si="11"/>
        <v>1154.1416158938555</v>
      </c>
      <c r="I26" s="167">
        <f t="shared" ref="I26:I89" si="23">IF(C26="","",IF($R$2=$Z$22,AA26,IF($R$2=$AC$22,AD26,IF($R$2=$AF$22,AG26,))))</f>
        <v>9267.742594823796</v>
      </c>
      <c r="J26" s="167">
        <f t="shared" si="9"/>
        <v>10421.884210717652</v>
      </c>
      <c r="K26" s="167">
        <f t="shared" si="12"/>
        <v>0</v>
      </c>
      <c r="L26" s="167">
        <f t="shared" ref="L26:L89" si="24">IF(B26="","",IF(F26=0,0,$L$1*$J$2))</f>
        <v>0</v>
      </c>
      <c r="M26" s="167">
        <f>IF(B26="","",IF(F26=0,0,IF(Simulador!$F$11='Tabla Parámetros'!$W$1,'Tabla Parámetros'!$W$28,IF(Simulador!$F$11='Tabla Parámetros'!$Y$1,'Tabla Parámetros'!$Y$12))))</f>
        <v>299</v>
      </c>
      <c r="N26" s="167">
        <f>IF(B26="","",IF(F26=0,0,IF(Simulador!$N$7='Tabla Parámetros'!$C$31,AportPat!L6,0)))</f>
        <v>0</v>
      </c>
      <c r="O26" s="167">
        <f>Simulador!O394</f>
        <v>0</v>
      </c>
      <c r="P26" s="167">
        <f>IF(O26&gt;0,(O26*Sheet1!$AD$13)*1.16,0)</f>
        <v>0</v>
      </c>
      <c r="Q26" s="167">
        <f t="shared" si="13"/>
        <v>10720.884210717652</v>
      </c>
      <c r="R26" s="167">
        <f t="shared" si="14"/>
        <v>996569.34347279253</v>
      </c>
      <c r="U26" s="6"/>
      <c r="V26" s="6"/>
      <c r="W26" s="6"/>
      <c r="X26" s="256">
        <f t="shared" si="8"/>
        <v>10720.884210717653</v>
      </c>
      <c r="Z26" s="201">
        <f t="shared" ref="Z26:Z59" si="25">IF(F26=0,0,PPMT(D26/360*30.4,B26,$E$2,-$F$24)+N26+(O26-P26))</f>
        <v>1154.1416158938564</v>
      </c>
      <c r="AA26" s="201">
        <f t="shared" si="15"/>
        <v>9267.742594823796</v>
      </c>
      <c r="AB26" s="202">
        <f t="shared" si="16"/>
        <v>10421.884210717653</v>
      </c>
      <c r="AC26" s="201">
        <f t="shared" si="17"/>
        <v>1154.1416158938573</v>
      </c>
      <c r="AD26" s="201">
        <f t="shared" si="18"/>
        <v>9267.742594823796</v>
      </c>
      <c r="AE26" s="201">
        <f t="shared" ref="AE26:AE59" si="26">IF(F26=0,0,PMT($E$1/360*30.4,$E$2,-$H$2)+N26+(O26-P26))</f>
        <v>10421.884210717653</v>
      </c>
      <c r="AF26" s="201">
        <f t="shared" si="19"/>
        <v>1154.1416158938555</v>
      </c>
      <c r="AG26" s="201">
        <f t="shared" si="20"/>
        <v>9267.742594823796</v>
      </c>
      <c r="AH26" s="201">
        <f t="shared" ref="AH26:AH59" si="27">PMT($E$1/360*30.4,$E$2-B25,-F26)+N26+(O26-P26)</f>
        <v>10421.884210717652</v>
      </c>
    </row>
    <row r="27" spans="2:34" x14ac:dyDescent="0.3">
      <c r="B27" s="179">
        <f t="shared" si="10"/>
        <v>4</v>
      </c>
      <c r="C27" s="180">
        <f t="shared" si="21"/>
        <v>30.4</v>
      </c>
      <c r="D27" s="165">
        <f>IF(B27="","",Simulador!$F$62)</f>
        <v>0.11</v>
      </c>
      <c r="E27" s="167"/>
      <c r="F27" s="167">
        <f t="shared" si="22"/>
        <v>996569.34347279253</v>
      </c>
      <c r="G27" s="166"/>
      <c r="H27" s="167">
        <f t="shared" si="11"/>
        <v>1164.862309125936</v>
      </c>
      <c r="I27" s="167">
        <f t="shared" si="23"/>
        <v>9257.0219015917173</v>
      </c>
      <c r="J27" s="167">
        <f t="shared" si="9"/>
        <v>10421.884210717653</v>
      </c>
      <c r="K27" s="167">
        <f t="shared" si="12"/>
        <v>0</v>
      </c>
      <c r="L27" s="167">
        <f t="shared" si="24"/>
        <v>0</v>
      </c>
      <c r="M27" s="167">
        <f>IF(B27="","",IF(F27=0,0,IF(Simulador!$F$11='Tabla Parámetros'!$W$1,'Tabla Parámetros'!$W$28,IF(Simulador!$F$11='Tabla Parámetros'!$Y$1,'Tabla Parámetros'!$Y$12))))</f>
        <v>299</v>
      </c>
      <c r="N27" s="167">
        <f>IF(B27="","",IF(F27=0,0,IF(Simulador!$N$7='Tabla Parámetros'!$C$31,AportPat!L7,0)))</f>
        <v>0</v>
      </c>
      <c r="O27" s="167">
        <f>Simulador!O395</f>
        <v>0</v>
      </c>
      <c r="P27" s="167">
        <f>IF(O27&gt;0,(O27*Sheet1!$AD$13)*1.16,0)</f>
        <v>0</v>
      </c>
      <c r="Q27" s="167">
        <f t="shared" si="13"/>
        <v>10720.884210717653</v>
      </c>
      <c r="R27" s="167">
        <f t="shared" si="14"/>
        <v>995404.48116366658</v>
      </c>
      <c r="U27" s="6"/>
      <c r="V27" s="6"/>
      <c r="W27" s="6"/>
      <c r="X27" s="256">
        <f t="shared" si="8"/>
        <v>10720.884210717653</v>
      </c>
      <c r="Z27" s="201">
        <f t="shared" si="25"/>
        <v>1164.8623091259374</v>
      </c>
      <c r="AA27" s="201">
        <f t="shared" si="15"/>
        <v>9257.0219015917173</v>
      </c>
      <c r="AB27" s="202">
        <f t="shared" si="16"/>
        <v>10421.884210717655</v>
      </c>
      <c r="AC27" s="201">
        <f t="shared" si="17"/>
        <v>1164.862309125936</v>
      </c>
      <c r="AD27" s="201">
        <f t="shared" si="18"/>
        <v>9257.0219015917173</v>
      </c>
      <c r="AE27" s="201">
        <f t="shared" si="26"/>
        <v>10421.884210717653</v>
      </c>
      <c r="AF27" s="201">
        <f t="shared" si="19"/>
        <v>1164.862309125936</v>
      </c>
      <c r="AG27" s="201">
        <f t="shared" si="20"/>
        <v>9257.0219015917173</v>
      </c>
      <c r="AH27" s="201">
        <f t="shared" si="27"/>
        <v>10421.884210717653</v>
      </c>
    </row>
    <row r="28" spans="2:34" x14ac:dyDescent="0.3">
      <c r="B28" s="181">
        <f t="shared" si="10"/>
        <v>5</v>
      </c>
      <c r="C28" s="180">
        <f t="shared" si="21"/>
        <v>30.4</v>
      </c>
      <c r="D28" s="165">
        <f>IF(B28="","",Simulador!$F$62)</f>
        <v>0.11</v>
      </c>
      <c r="E28" s="167"/>
      <c r="F28" s="167">
        <f t="shared" si="22"/>
        <v>995404.48116366658</v>
      </c>
      <c r="G28" s="166"/>
      <c r="H28" s="167">
        <f t="shared" si="11"/>
        <v>1175.6825856862615</v>
      </c>
      <c r="I28" s="167">
        <f t="shared" si="23"/>
        <v>9246.2016250313918</v>
      </c>
      <c r="J28" s="167">
        <f t="shared" si="9"/>
        <v>10421.884210717653</v>
      </c>
      <c r="K28" s="167">
        <f t="shared" si="12"/>
        <v>0</v>
      </c>
      <c r="L28" s="167">
        <f t="shared" si="24"/>
        <v>0</v>
      </c>
      <c r="M28" s="167">
        <f>IF(B28="","",IF(F28=0,0,IF(Simulador!$F$11='Tabla Parámetros'!$W$1,'Tabla Parámetros'!$W$28,IF(Simulador!$F$11='Tabla Parámetros'!$Y$1,'Tabla Parámetros'!$Y$12))))</f>
        <v>299</v>
      </c>
      <c r="N28" s="167">
        <f>IF(B28="","",IF(F28=0,0,IF(Simulador!$N$7='Tabla Parámetros'!$C$31,AportPat!L8,0)))</f>
        <v>0</v>
      </c>
      <c r="O28" s="167">
        <f>Simulador!O396</f>
        <v>0</v>
      </c>
      <c r="P28" s="167">
        <f>IF(O28&gt;0,(O28*Sheet1!$AD$13)*1.16,0)</f>
        <v>0</v>
      </c>
      <c r="Q28" s="167">
        <f t="shared" si="13"/>
        <v>10720.884210717653</v>
      </c>
      <c r="R28" s="167">
        <f t="shared" si="14"/>
        <v>994228.79857798037</v>
      </c>
      <c r="U28" s="6"/>
      <c r="V28" s="6"/>
      <c r="W28" s="6"/>
      <c r="X28" s="256">
        <f t="shared" si="8"/>
        <v>10720.884210717653</v>
      </c>
      <c r="Z28" s="201">
        <f t="shared" si="25"/>
        <v>1175.6825856862624</v>
      </c>
      <c r="AA28" s="201">
        <f t="shared" si="15"/>
        <v>9246.2016250313918</v>
      </c>
      <c r="AB28" s="202">
        <f t="shared" si="16"/>
        <v>10421.884210717653</v>
      </c>
      <c r="AC28" s="201">
        <f t="shared" si="17"/>
        <v>1175.6825856862615</v>
      </c>
      <c r="AD28" s="201">
        <f t="shared" si="18"/>
        <v>9246.2016250313918</v>
      </c>
      <c r="AE28" s="201">
        <f t="shared" si="26"/>
        <v>10421.884210717653</v>
      </c>
      <c r="AF28" s="201">
        <f t="shared" si="19"/>
        <v>1175.6825856862615</v>
      </c>
      <c r="AG28" s="201">
        <f t="shared" si="20"/>
        <v>9246.2016250313918</v>
      </c>
      <c r="AH28" s="201">
        <f t="shared" si="27"/>
        <v>10421.884210717653</v>
      </c>
    </row>
    <row r="29" spans="2:34" x14ac:dyDescent="0.3">
      <c r="B29" s="179">
        <f t="shared" si="10"/>
        <v>6</v>
      </c>
      <c r="C29" s="180">
        <f t="shared" si="21"/>
        <v>30.4</v>
      </c>
      <c r="D29" s="165">
        <f>IF(B29="","",Simulador!$F$62)</f>
        <v>0.11</v>
      </c>
      <c r="E29" s="167"/>
      <c r="F29" s="167">
        <f t="shared" si="22"/>
        <v>994228.79857798037</v>
      </c>
      <c r="G29" s="166"/>
      <c r="H29" s="167">
        <f t="shared" si="11"/>
        <v>1186.6033705933023</v>
      </c>
      <c r="I29" s="167">
        <f t="shared" si="23"/>
        <v>9235.280840124351</v>
      </c>
      <c r="J29" s="167">
        <f t="shared" si="9"/>
        <v>10421.884210717653</v>
      </c>
      <c r="K29" s="167">
        <f t="shared" si="12"/>
        <v>0</v>
      </c>
      <c r="L29" s="167">
        <f t="shared" si="24"/>
        <v>0</v>
      </c>
      <c r="M29" s="167">
        <f>IF(B29="","",IF(F29=0,0,IF(Simulador!$F$11='Tabla Parámetros'!$W$1,'Tabla Parámetros'!$W$28,IF(Simulador!$F$11='Tabla Parámetros'!$Y$1,'Tabla Parámetros'!$Y$12))))</f>
        <v>299</v>
      </c>
      <c r="N29" s="167">
        <f>IF(B29="","",IF(F29=0,0,IF(Simulador!$N$7='Tabla Parámetros'!$C$31,AportPat!L9,0)))</f>
        <v>0</v>
      </c>
      <c r="O29" s="167">
        <f>Simulador!O397</f>
        <v>0</v>
      </c>
      <c r="P29" s="167">
        <f>IF(O29&gt;0,(O29*Sheet1!$AD$13)*1.16,0)</f>
        <v>0</v>
      </c>
      <c r="Q29" s="167">
        <f t="shared" si="13"/>
        <v>10720.884210717653</v>
      </c>
      <c r="R29" s="167">
        <f t="shared" si="14"/>
        <v>993042.19520738709</v>
      </c>
      <c r="U29" s="6"/>
      <c r="V29" s="6"/>
      <c r="W29" s="6"/>
      <c r="X29" s="256">
        <f t="shared" si="8"/>
        <v>10720.884210717653</v>
      </c>
      <c r="Z29" s="201">
        <f t="shared" si="25"/>
        <v>1186.6033705933039</v>
      </c>
      <c r="AA29" s="201">
        <f t="shared" si="15"/>
        <v>9235.280840124351</v>
      </c>
      <c r="AB29" s="202">
        <f t="shared" si="16"/>
        <v>10421.884210717655</v>
      </c>
      <c r="AC29" s="201">
        <f t="shared" si="17"/>
        <v>1186.6033705933023</v>
      </c>
      <c r="AD29" s="201">
        <f t="shared" si="18"/>
        <v>9235.280840124351</v>
      </c>
      <c r="AE29" s="201">
        <f t="shared" si="26"/>
        <v>10421.884210717653</v>
      </c>
      <c r="AF29" s="201">
        <f t="shared" si="19"/>
        <v>1186.6033705933023</v>
      </c>
      <c r="AG29" s="201">
        <f t="shared" si="20"/>
        <v>9235.280840124351</v>
      </c>
      <c r="AH29" s="201">
        <f t="shared" si="27"/>
        <v>10421.884210717653</v>
      </c>
    </row>
    <row r="30" spans="2:34" x14ac:dyDescent="0.3">
      <c r="B30" s="179">
        <f t="shared" si="10"/>
        <v>7</v>
      </c>
      <c r="C30" s="180">
        <f t="shared" si="21"/>
        <v>30.4</v>
      </c>
      <c r="D30" s="165">
        <f>IF(B30="","",Simulador!$F$62)</f>
        <v>0.11</v>
      </c>
      <c r="E30" s="167"/>
      <c r="F30" s="167">
        <f t="shared" si="22"/>
        <v>993042.19520738709</v>
      </c>
      <c r="G30" s="166"/>
      <c r="H30" s="167">
        <f t="shared" si="11"/>
        <v>1197.6255974579253</v>
      </c>
      <c r="I30" s="167">
        <f t="shared" si="23"/>
        <v>9224.258613259728</v>
      </c>
      <c r="J30" s="167">
        <f t="shared" si="9"/>
        <v>10421.884210717653</v>
      </c>
      <c r="K30" s="167">
        <f t="shared" si="12"/>
        <v>0</v>
      </c>
      <c r="L30" s="167">
        <f t="shared" si="24"/>
        <v>0</v>
      </c>
      <c r="M30" s="167">
        <f>IF(B30="","",IF(F30=0,0,IF(Simulador!$F$11='Tabla Parámetros'!$W$1,'Tabla Parámetros'!$W$28,IF(Simulador!$F$11='Tabla Parámetros'!$Y$1,'Tabla Parámetros'!$Y$12))))</f>
        <v>299</v>
      </c>
      <c r="N30" s="167">
        <f>IF(B30="","",IF(F30=0,0,IF(Simulador!$N$7='Tabla Parámetros'!$C$31,AportPat!L10,0)))</f>
        <v>0</v>
      </c>
      <c r="O30" s="167">
        <f>Simulador!O398</f>
        <v>0</v>
      </c>
      <c r="P30" s="167">
        <f>IF(O30&gt;0,(O30*Sheet1!$AD$13)*1.16,0)</f>
        <v>0</v>
      </c>
      <c r="Q30" s="167">
        <f t="shared" si="13"/>
        <v>10720.884210717653</v>
      </c>
      <c r="R30" s="167">
        <f t="shared" si="14"/>
        <v>991844.56960992911</v>
      </c>
      <c r="U30" s="6"/>
      <c r="V30" s="6"/>
      <c r="W30" s="6"/>
      <c r="X30" s="256">
        <f t="shared" si="8"/>
        <v>10720.884210717653</v>
      </c>
      <c r="Z30" s="201">
        <f t="shared" si="25"/>
        <v>1197.625597457926</v>
      </c>
      <c r="AA30" s="201">
        <f t="shared" si="15"/>
        <v>9224.258613259728</v>
      </c>
      <c r="AB30" s="202">
        <f t="shared" si="16"/>
        <v>10421.884210717653</v>
      </c>
      <c r="AC30" s="201">
        <f t="shared" si="17"/>
        <v>1197.6255974579253</v>
      </c>
      <c r="AD30" s="201">
        <f t="shared" si="18"/>
        <v>9224.258613259728</v>
      </c>
      <c r="AE30" s="201">
        <f t="shared" si="26"/>
        <v>10421.884210717653</v>
      </c>
      <c r="AF30" s="201">
        <f t="shared" si="19"/>
        <v>1197.6255974579253</v>
      </c>
      <c r="AG30" s="201">
        <f t="shared" si="20"/>
        <v>9224.258613259728</v>
      </c>
      <c r="AH30" s="201">
        <f t="shared" si="27"/>
        <v>10421.884210717653</v>
      </c>
    </row>
    <row r="31" spans="2:34" x14ac:dyDescent="0.3">
      <c r="B31" s="179">
        <f t="shared" si="10"/>
        <v>8</v>
      </c>
      <c r="C31" s="180">
        <f t="shared" si="21"/>
        <v>30.4</v>
      </c>
      <c r="D31" s="165">
        <f>IF(B31="","",Simulador!$F$62)</f>
        <v>0.11</v>
      </c>
      <c r="E31" s="167"/>
      <c r="F31" s="167">
        <f t="shared" si="22"/>
        <v>991844.56960992911</v>
      </c>
      <c r="G31" s="166"/>
      <c r="H31" s="167">
        <f t="shared" si="11"/>
        <v>1208.7502085632022</v>
      </c>
      <c r="I31" s="167">
        <f t="shared" si="23"/>
        <v>9213.1340021544511</v>
      </c>
      <c r="J31" s="167">
        <f t="shared" si="9"/>
        <v>10421.884210717653</v>
      </c>
      <c r="K31" s="167">
        <f t="shared" si="12"/>
        <v>0</v>
      </c>
      <c r="L31" s="167">
        <f t="shared" si="24"/>
        <v>0</v>
      </c>
      <c r="M31" s="167">
        <f>IF(B31="","",IF(F31=0,0,IF(Simulador!$F$11='Tabla Parámetros'!$W$1,'Tabla Parámetros'!$W$28,IF(Simulador!$F$11='Tabla Parámetros'!$Y$1,'Tabla Parámetros'!$Y$12))))</f>
        <v>299</v>
      </c>
      <c r="N31" s="167">
        <f>IF(B31="","",IF(F31=0,0,IF(Simulador!$N$7='Tabla Parámetros'!$C$31,AportPat!L11,0)))</f>
        <v>0</v>
      </c>
      <c r="O31" s="167">
        <f>Simulador!O399</f>
        <v>0</v>
      </c>
      <c r="P31" s="167">
        <f>IF(O31&gt;0,(O31*Sheet1!$AD$13)*1.16,0)</f>
        <v>0</v>
      </c>
      <c r="Q31" s="167">
        <f t="shared" si="13"/>
        <v>10720.884210717653</v>
      </c>
      <c r="R31" s="167">
        <f t="shared" si="14"/>
        <v>990635.81940136594</v>
      </c>
      <c r="U31" s="6"/>
      <c r="V31" s="6"/>
      <c r="W31" s="6"/>
      <c r="X31" s="256">
        <f t="shared" si="8"/>
        <v>10720.884210717653</v>
      </c>
      <c r="Z31" s="201">
        <f t="shared" si="25"/>
        <v>1208.750208563202</v>
      </c>
      <c r="AA31" s="201">
        <f t="shared" si="15"/>
        <v>9213.1340021544511</v>
      </c>
      <c r="AB31" s="202">
        <f t="shared" si="16"/>
        <v>10421.884210717653</v>
      </c>
      <c r="AC31" s="201">
        <f t="shared" si="17"/>
        <v>1208.7502085632022</v>
      </c>
      <c r="AD31" s="201">
        <f t="shared" si="18"/>
        <v>9213.1340021544511</v>
      </c>
      <c r="AE31" s="201">
        <f t="shared" si="26"/>
        <v>10421.884210717653</v>
      </c>
      <c r="AF31" s="201">
        <f t="shared" si="19"/>
        <v>1208.7502085632022</v>
      </c>
      <c r="AG31" s="201">
        <f t="shared" si="20"/>
        <v>9213.1340021544511</v>
      </c>
      <c r="AH31" s="201">
        <f t="shared" si="27"/>
        <v>10421.884210717653</v>
      </c>
    </row>
    <row r="32" spans="2:34" x14ac:dyDescent="0.3">
      <c r="B32" s="181">
        <f t="shared" si="10"/>
        <v>9</v>
      </c>
      <c r="C32" s="180">
        <f t="shared" si="21"/>
        <v>30.4</v>
      </c>
      <c r="D32" s="165">
        <f>IF(B32="","",Simulador!$F$62)</f>
        <v>0.11</v>
      </c>
      <c r="E32" s="167"/>
      <c r="F32" s="167">
        <f t="shared" si="22"/>
        <v>990635.81940136594</v>
      </c>
      <c r="G32" s="166"/>
      <c r="H32" s="167">
        <f t="shared" si="11"/>
        <v>1219.9781549449654</v>
      </c>
      <c r="I32" s="167">
        <f t="shared" si="23"/>
        <v>9201.906055772688</v>
      </c>
      <c r="J32" s="167">
        <f t="shared" si="9"/>
        <v>10421.884210717653</v>
      </c>
      <c r="K32" s="167">
        <f t="shared" si="12"/>
        <v>0</v>
      </c>
      <c r="L32" s="167">
        <f t="shared" si="24"/>
        <v>0</v>
      </c>
      <c r="M32" s="167">
        <f>IF(B32="","",IF(F32=0,0,IF(Simulador!$F$11='Tabla Parámetros'!$W$1,'Tabla Parámetros'!$W$28,IF(Simulador!$F$11='Tabla Parámetros'!$Y$1,'Tabla Parámetros'!$Y$12))))</f>
        <v>299</v>
      </c>
      <c r="N32" s="167">
        <f>IF(B32="","",IF(F32=0,0,IF(Simulador!$N$7='Tabla Parámetros'!$C$31,AportPat!L12,0)))</f>
        <v>0</v>
      </c>
      <c r="O32" s="167">
        <f>Simulador!O400</f>
        <v>0</v>
      </c>
      <c r="P32" s="167">
        <f>IF(O32&gt;0,(O32*Sheet1!$AD$13)*1.16,0)</f>
        <v>0</v>
      </c>
      <c r="Q32" s="167">
        <f t="shared" si="13"/>
        <v>10720.884210717653</v>
      </c>
      <c r="R32" s="167">
        <f t="shared" si="14"/>
        <v>989415.84124642098</v>
      </c>
      <c r="U32" s="6"/>
      <c r="V32" s="6"/>
      <c r="W32" s="6"/>
      <c r="X32" s="256">
        <f t="shared" si="8"/>
        <v>10720.884210717653</v>
      </c>
      <c r="Z32" s="201">
        <f t="shared" si="25"/>
        <v>1219.9781549449669</v>
      </c>
      <c r="AA32" s="201">
        <f t="shared" si="15"/>
        <v>9201.906055772688</v>
      </c>
      <c r="AB32" s="202">
        <f t="shared" si="16"/>
        <v>10421.884210717655</v>
      </c>
      <c r="AC32" s="201">
        <f t="shared" si="17"/>
        <v>1219.9781549449654</v>
      </c>
      <c r="AD32" s="201">
        <f t="shared" si="18"/>
        <v>9201.906055772688</v>
      </c>
      <c r="AE32" s="201">
        <f t="shared" si="26"/>
        <v>10421.884210717653</v>
      </c>
      <c r="AF32" s="201">
        <f t="shared" si="19"/>
        <v>1219.9781549449654</v>
      </c>
      <c r="AG32" s="201">
        <f t="shared" si="20"/>
        <v>9201.906055772688</v>
      </c>
      <c r="AH32" s="201">
        <f t="shared" si="27"/>
        <v>10421.884210717653</v>
      </c>
    </row>
    <row r="33" spans="2:34" x14ac:dyDescent="0.3">
      <c r="B33" s="179">
        <f t="shared" si="10"/>
        <v>10</v>
      </c>
      <c r="C33" s="180">
        <f t="shared" si="21"/>
        <v>30.4</v>
      </c>
      <c r="D33" s="165">
        <f>IF(B33="","",Simulador!$F$62)</f>
        <v>0.11</v>
      </c>
      <c r="E33" s="167"/>
      <c r="F33" s="167">
        <f t="shared" si="22"/>
        <v>989415.84124642098</v>
      </c>
      <c r="G33" s="166"/>
      <c r="H33" s="167">
        <f t="shared" si="11"/>
        <v>1231.3103964731217</v>
      </c>
      <c r="I33" s="167">
        <f t="shared" si="23"/>
        <v>9190.5738142445316</v>
      </c>
      <c r="J33" s="167">
        <f t="shared" si="9"/>
        <v>10421.884210717653</v>
      </c>
      <c r="K33" s="167">
        <f t="shared" si="12"/>
        <v>0</v>
      </c>
      <c r="L33" s="167">
        <f t="shared" si="24"/>
        <v>0</v>
      </c>
      <c r="M33" s="167">
        <f>IF(B33="","",IF(F33=0,0,IF(Simulador!$F$11='Tabla Parámetros'!$W$1,'Tabla Parámetros'!$W$28,IF(Simulador!$F$11='Tabla Parámetros'!$Y$1,'Tabla Parámetros'!$Y$12))))</f>
        <v>299</v>
      </c>
      <c r="N33" s="167">
        <f>IF(B33="","",IF(F33=0,0,IF(Simulador!$N$7='Tabla Parámetros'!$C$31,AportPat!L13,0)))</f>
        <v>0</v>
      </c>
      <c r="O33" s="167">
        <f>Simulador!O401</f>
        <v>0</v>
      </c>
      <c r="P33" s="167">
        <f>IF(O33&gt;0,(O33*Sheet1!$AD$13)*1.16,0)</f>
        <v>0</v>
      </c>
      <c r="Q33" s="167">
        <f t="shared" si="13"/>
        <v>10720.884210717653</v>
      </c>
      <c r="R33" s="167">
        <f t="shared" si="14"/>
        <v>988184.53084994783</v>
      </c>
      <c r="U33" s="6"/>
      <c r="V33" s="6"/>
      <c r="W33" s="6"/>
      <c r="X33" s="256">
        <f t="shared" si="8"/>
        <v>10720.884210717653</v>
      </c>
      <c r="Z33" s="201">
        <f t="shared" si="25"/>
        <v>1231.3103964731222</v>
      </c>
      <c r="AA33" s="201">
        <f t="shared" si="15"/>
        <v>9190.5738142445316</v>
      </c>
      <c r="AB33" s="202">
        <f t="shared" si="16"/>
        <v>10421.884210717653</v>
      </c>
      <c r="AC33" s="201">
        <f t="shared" si="17"/>
        <v>1231.3103964731217</v>
      </c>
      <c r="AD33" s="201">
        <f t="shared" si="18"/>
        <v>9190.5738142445316</v>
      </c>
      <c r="AE33" s="201">
        <f t="shared" si="26"/>
        <v>10421.884210717653</v>
      </c>
      <c r="AF33" s="201">
        <f t="shared" si="19"/>
        <v>1231.3103964731217</v>
      </c>
      <c r="AG33" s="201">
        <f t="shared" si="20"/>
        <v>9190.5738142445316</v>
      </c>
      <c r="AH33" s="201">
        <f t="shared" si="27"/>
        <v>10421.884210717653</v>
      </c>
    </row>
    <row r="34" spans="2:34" x14ac:dyDescent="0.3">
      <c r="B34" s="179">
        <f t="shared" si="10"/>
        <v>11</v>
      </c>
      <c r="C34" s="180">
        <f t="shared" si="21"/>
        <v>30.4</v>
      </c>
      <c r="D34" s="165">
        <f>IF(B34="","",Simulador!$F$62)</f>
        <v>0.11</v>
      </c>
      <c r="E34" s="167"/>
      <c r="F34" s="167">
        <f t="shared" si="22"/>
        <v>988184.53084994783</v>
      </c>
      <c r="G34" s="166"/>
      <c r="H34" s="167">
        <f t="shared" si="11"/>
        <v>1242.7479019336934</v>
      </c>
      <c r="I34" s="167">
        <f t="shared" si="23"/>
        <v>9179.13630878396</v>
      </c>
      <c r="J34" s="167">
        <f t="shared" si="9"/>
        <v>10421.884210717653</v>
      </c>
      <c r="K34" s="167">
        <f t="shared" si="12"/>
        <v>0</v>
      </c>
      <c r="L34" s="167">
        <f t="shared" si="24"/>
        <v>0</v>
      </c>
      <c r="M34" s="167">
        <f>IF(B34="","",IF(F34=0,0,IF(Simulador!$F$11='Tabla Parámetros'!$W$1,'Tabla Parámetros'!$W$28,IF(Simulador!$F$11='Tabla Parámetros'!$Y$1,'Tabla Parámetros'!$Y$12))))</f>
        <v>299</v>
      </c>
      <c r="N34" s="167">
        <f>IF(B34="","",IF(F34=0,0,IF(Simulador!$N$7='Tabla Parámetros'!$C$31,AportPat!L14,0)))</f>
        <v>0</v>
      </c>
      <c r="O34" s="167">
        <f>Simulador!O402</f>
        <v>0</v>
      </c>
      <c r="P34" s="167">
        <f>IF(O34&gt;0,(O34*Sheet1!$AD$13)*1.16,0)</f>
        <v>0</v>
      </c>
      <c r="Q34" s="167">
        <f t="shared" si="13"/>
        <v>10720.884210717653</v>
      </c>
      <c r="R34" s="167">
        <f t="shared" si="14"/>
        <v>986941.78294801409</v>
      </c>
      <c r="U34" s="6"/>
      <c r="V34" s="6"/>
      <c r="W34" s="6"/>
      <c r="X34" s="256">
        <f t="shared" si="8"/>
        <v>10720.884210717653</v>
      </c>
      <c r="Z34" s="201">
        <f t="shared" si="25"/>
        <v>1242.7479019336949</v>
      </c>
      <c r="AA34" s="201">
        <f t="shared" si="15"/>
        <v>9179.13630878396</v>
      </c>
      <c r="AB34" s="202">
        <f t="shared" si="16"/>
        <v>10421.884210717655</v>
      </c>
      <c r="AC34" s="201">
        <f t="shared" si="17"/>
        <v>1242.7479019336934</v>
      </c>
      <c r="AD34" s="201">
        <f t="shared" si="18"/>
        <v>9179.13630878396</v>
      </c>
      <c r="AE34" s="201">
        <f t="shared" si="26"/>
        <v>10421.884210717653</v>
      </c>
      <c r="AF34" s="201">
        <f t="shared" si="19"/>
        <v>1242.7479019336934</v>
      </c>
      <c r="AG34" s="201">
        <f t="shared" si="20"/>
        <v>9179.13630878396</v>
      </c>
      <c r="AH34" s="201">
        <f t="shared" si="27"/>
        <v>10421.884210717653</v>
      </c>
    </row>
    <row r="35" spans="2:34" x14ac:dyDescent="0.3">
      <c r="B35" s="179">
        <f t="shared" si="10"/>
        <v>12</v>
      </c>
      <c r="C35" s="180">
        <f t="shared" si="21"/>
        <v>30.4</v>
      </c>
      <c r="D35" s="165">
        <f>IF(B35="","",Simulador!$F$62)</f>
        <v>0.11</v>
      </c>
      <c r="E35" s="167"/>
      <c r="F35" s="167">
        <f t="shared" si="22"/>
        <v>986941.78294801409</v>
      </c>
      <c r="G35" s="166"/>
      <c r="H35" s="167">
        <f t="shared" si="11"/>
        <v>1254.2916491116539</v>
      </c>
      <c r="I35" s="167">
        <f t="shared" si="23"/>
        <v>9167.5925616059976</v>
      </c>
      <c r="J35" s="167">
        <f t="shared" si="9"/>
        <v>10421.884210717652</v>
      </c>
      <c r="K35" s="167">
        <f t="shared" si="12"/>
        <v>0</v>
      </c>
      <c r="L35" s="167">
        <f t="shared" si="24"/>
        <v>0</v>
      </c>
      <c r="M35" s="167">
        <f>IF(B35="","",IF(F35=0,0,IF(Simulador!$F$11='Tabla Parámetros'!$W$1,'Tabla Parámetros'!$W$28,IF(Simulador!$F$11='Tabla Parámetros'!$Y$1,'Tabla Parámetros'!$Y$12))))</f>
        <v>299</v>
      </c>
      <c r="N35" s="167">
        <f>IF(B35="","",IF(F35=0,0,IF(Simulador!$N$7='Tabla Parámetros'!$C$31,AportPat!L15,0)))</f>
        <v>0</v>
      </c>
      <c r="O35" s="167">
        <f>Simulador!O403</f>
        <v>0</v>
      </c>
      <c r="P35" s="167">
        <f>IF(O35&gt;0,(O35*Sheet1!$AD$13)*1.16,0)</f>
        <v>0</v>
      </c>
      <c r="Q35" s="167">
        <f t="shared" si="13"/>
        <v>10720.884210717652</v>
      </c>
      <c r="R35" s="167">
        <f t="shared" si="14"/>
        <v>985687.49129890243</v>
      </c>
      <c r="U35" s="6"/>
      <c r="V35" s="6"/>
      <c r="W35" s="6"/>
      <c r="X35" s="256">
        <f t="shared" si="8"/>
        <v>10720.884210717653</v>
      </c>
      <c r="Z35" s="201">
        <f t="shared" si="25"/>
        <v>1254.2916491116566</v>
      </c>
      <c r="AA35" s="201">
        <f t="shared" si="15"/>
        <v>9167.5925616059976</v>
      </c>
      <c r="AB35" s="202">
        <f t="shared" si="16"/>
        <v>10421.884210717653</v>
      </c>
      <c r="AC35" s="201">
        <f t="shared" si="17"/>
        <v>1254.2916491116557</v>
      </c>
      <c r="AD35" s="201">
        <f t="shared" si="18"/>
        <v>9167.5925616059976</v>
      </c>
      <c r="AE35" s="201">
        <f t="shared" si="26"/>
        <v>10421.884210717653</v>
      </c>
      <c r="AF35" s="201">
        <f t="shared" si="19"/>
        <v>1254.2916491116539</v>
      </c>
      <c r="AG35" s="201">
        <f t="shared" si="20"/>
        <v>9167.5925616059976</v>
      </c>
      <c r="AH35" s="201">
        <f t="shared" si="27"/>
        <v>10421.884210717652</v>
      </c>
    </row>
    <row r="36" spans="2:34" x14ac:dyDescent="0.3">
      <c r="B36" s="181">
        <f t="shared" si="10"/>
        <v>13</v>
      </c>
      <c r="C36" s="180">
        <f t="shared" si="21"/>
        <v>30.4</v>
      </c>
      <c r="D36" s="165">
        <f>IF(B36="","",Simulador!$F$62)</f>
        <v>0.11</v>
      </c>
      <c r="E36" s="167"/>
      <c r="F36" s="167">
        <f t="shared" si="22"/>
        <v>985687.49129890243</v>
      </c>
      <c r="G36" s="166"/>
      <c r="H36" s="167">
        <f t="shared" si="11"/>
        <v>1265.9426248745167</v>
      </c>
      <c r="I36" s="167">
        <f t="shared" si="23"/>
        <v>9155.9415858431366</v>
      </c>
      <c r="J36" s="167">
        <f t="shared" si="9"/>
        <v>10421.884210717653</v>
      </c>
      <c r="K36" s="167">
        <f t="shared" si="12"/>
        <v>0</v>
      </c>
      <c r="L36" s="167">
        <f t="shared" si="24"/>
        <v>0</v>
      </c>
      <c r="M36" s="167">
        <f>IF(B36="","",IF(F36=0,0,IF(Simulador!$F$11='Tabla Parámetros'!$W$1,'Tabla Parámetros'!$W$28,IF(Simulador!$F$11='Tabla Parámetros'!$Y$1,'Tabla Parámetros'!$Y$12))))</f>
        <v>299</v>
      </c>
      <c r="N36" s="167">
        <f>IF(B36="","",IF(F36=0,0,IF(Simulador!$N$7='Tabla Parámetros'!$C$31,AportPat!L16,0)))</f>
        <v>0</v>
      </c>
      <c r="O36" s="167">
        <f>Simulador!O404</f>
        <v>0</v>
      </c>
      <c r="P36" s="167">
        <f>IF(O36&gt;0,(O36*Sheet1!$AD$13)*1.16,0)</f>
        <v>0</v>
      </c>
      <c r="Q36" s="167">
        <f t="shared" si="13"/>
        <v>10720.884210717653</v>
      </c>
      <c r="R36" s="167">
        <f t="shared" si="14"/>
        <v>984421.5486740279</v>
      </c>
      <c r="U36" s="6"/>
      <c r="V36" s="6"/>
      <c r="W36" s="6"/>
      <c r="X36" s="256">
        <f t="shared" si="8"/>
        <v>10720.884210717653</v>
      </c>
      <c r="Z36" s="201">
        <f t="shared" si="25"/>
        <v>1265.9426248745165</v>
      </c>
      <c r="AA36" s="201">
        <f t="shared" si="15"/>
        <v>9155.9415858431366</v>
      </c>
      <c r="AB36" s="202">
        <f t="shared" si="16"/>
        <v>10421.884210717653</v>
      </c>
      <c r="AC36" s="201">
        <f t="shared" si="17"/>
        <v>1265.9426248745167</v>
      </c>
      <c r="AD36" s="201">
        <f t="shared" si="18"/>
        <v>9155.9415858431366</v>
      </c>
      <c r="AE36" s="201">
        <f t="shared" si="26"/>
        <v>10421.884210717653</v>
      </c>
      <c r="AF36" s="201">
        <f t="shared" si="19"/>
        <v>1265.9426248745167</v>
      </c>
      <c r="AG36" s="201">
        <f t="shared" si="20"/>
        <v>9155.9415858431366</v>
      </c>
      <c r="AH36" s="201">
        <f t="shared" si="27"/>
        <v>10421.884210717653</v>
      </c>
    </row>
    <row r="37" spans="2:34" x14ac:dyDescent="0.3">
      <c r="B37" s="179">
        <f t="shared" si="10"/>
        <v>14</v>
      </c>
      <c r="C37" s="180">
        <f t="shared" si="21"/>
        <v>30.4</v>
      </c>
      <c r="D37" s="165">
        <f>IF(B37="","",Simulador!$F$62)</f>
        <v>0.11</v>
      </c>
      <c r="E37" s="167"/>
      <c r="F37" s="167">
        <f t="shared" si="22"/>
        <v>984421.5486740279</v>
      </c>
      <c r="G37" s="166"/>
      <c r="H37" s="167">
        <f t="shared" si="11"/>
        <v>1277.7018252566832</v>
      </c>
      <c r="I37" s="167">
        <f t="shared" si="23"/>
        <v>9144.1823854609702</v>
      </c>
      <c r="J37" s="167">
        <f t="shared" si="9"/>
        <v>10421.884210717653</v>
      </c>
      <c r="K37" s="167">
        <f t="shared" si="12"/>
        <v>0</v>
      </c>
      <c r="L37" s="167">
        <f t="shared" si="24"/>
        <v>0</v>
      </c>
      <c r="M37" s="167">
        <f>IF(B37="","",IF(F37=0,0,IF(Simulador!$F$11='Tabla Parámetros'!$W$1,'Tabla Parámetros'!$W$28,IF(Simulador!$F$11='Tabla Parámetros'!$Y$1,'Tabla Parámetros'!$Y$12))))</f>
        <v>299</v>
      </c>
      <c r="N37" s="167">
        <f>IF(B37="","",IF(F37=0,0,IF(Simulador!$N$7='Tabla Parámetros'!$C$31,AportPat!L17,0)))</f>
        <v>0</v>
      </c>
      <c r="O37" s="167">
        <f>Simulador!O405</f>
        <v>0</v>
      </c>
      <c r="P37" s="167">
        <f>IF(O37&gt;0,(O37*Sheet1!$AD$13)*1.16,0)</f>
        <v>0</v>
      </c>
      <c r="Q37" s="167">
        <f t="shared" si="13"/>
        <v>10720.884210717653</v>
      </c>
      <c r="R37" s="167">
        <f t="shared" si="14"/>
        <v>983143.84684877121</v>
      </c>
      <c r="U37" s="6"/>
      <c r="V37" s="6"/>
      <c r="W37" s="6"/>
      <c r="X37" s="256">
        <f t="shared" si="8"/>
        <v>10720.884210717653</v>
      </c>
      <c r="Z37" s="201">
        <f t="shared" si="25"/>
        <v>1277.7018252566838</v>
      </c>
      <c r="AA37" s="201">
        <f t="shared" si="15"/>
        <v>9144.1823854609702</v>
      </c>
      <c r="AB37" s="202">
        <f t="shared" si="16"/>
        <v>10421.884210717653</v>
      </c>
      <c r="AC37" s="201">
        <f t="shared" si="17"/>
        <v>1277.7018252566832</v>
      </c>
      <c r="AD37" s="201">
        <f t="shared" si="18"/>
        <v>9144.1823854609702</v>
      </c>
      <c r="AE37" s="201">
        <f t="shared" si="26"/>
        <v>10421.884210717653</v>
      </c>
      <c r="AF37" s="201">
        <f t="shared" si="19"/>
        <v>1277.7018252566832</v>
      </c>
      <c r="AG37" s="201">
        <f t="shared" si="20"/>
        <v>9144.1823854609702</v>
      </c>
      <c r="AH37" s="201">
        <f t="shared" si="27"/>
        <v>10421.884210717653</v>
      </c>
    </row>
    <row r="38" spans="2:34" x14ac:dyDescent="0.3">
      <c r="B38" s="179">
        <f t="shared" si="10"/>
        <v>15</v>
      </c>
      <c r="C38" s="180">
        <f t="shared" si="21"/>
        <v>30.4</v>
      </c>
      <c r="D38" s="165">
        <f>IF(B38="","",Simulador!$F$62)</f>
        <v>0.11</v>
      </c>
      <c r="E38" s="167"/>
      <c r="F38" s="167">
        <f t="shared" si="22"/>
        <v>983143.84684877121</v>
      </c>
      <c r="G38" s="166"/>
      <c r="H38" s="167">
        <f t="shared" si="11"/>
        <v>1289.5702555446242</v>
      </c>
      <c r="I38" s="167">
        <f t="shared" si="23"/>
        <v>9132.3139551730292</v>
      </c>
      <c r="J38" s="167">
        <f t="shared" si="9"/>
        <v>10421.884210717653</v>
      </c>
      <c r="K38" s="167">
        <f t="shared" si="12"/>
        <v>0</v>
      </c>
      <c r="L38" s="167">
        <f t="shared" si="24"/>
        <v>0</v>
      </c>
      <c r="M38" s="167">
        <f>IF(B38="","",IF(F38=0,0,IF(Simulador!$F$11='Tabla Parámetros'!$W$1,'Tabla Parámetros'!$W$28,IF(Simulador!$F$11='Tabla Parámetros'!$Y$1,'Tabla Parámetros'!$Y$12))))</f>
        <v>299</v>
      </c>
      <c r="N38" s="167">
        <f>IF(B38="","",IF(F38=0,0,IF(Simulador!$N$7='Tabla Parámetros'!$C$31,AportPat!L18,0)))</f>
        <v>0</v>
      </c>
      <c r="O38" s="167">
        <f>Simulador!O406</f>
        <v>0</v>
      </c>
      <c r="P38" s="167">
        <f>IF(O38&gt;0,(O38*Sheet1!$AD$13)*1.16,0)</f>
        <v>0</v>
      </c>
      <c r="Q38" s="167">
        <f t="shared" si="13"/>
        <v>10720.884210717653</v>
      </c>
      <c r="R38" s="167">
        <f t="shared" si="14"/>
        <v>981854.27659322659</v>
      </c>
      <c r="U38" s="6"/>
      <c r="V38" s="6"/>
      <c r="W38" s="6"/>
      <c r="X38" s="256">
        <f t="shared" si="8"/>
        <v>10720.884210717653</v>
      </c>
      <c r="Z38" s="201">
        <f t="shared" si="25"/>
        <v>1289.5702555446237</v>
      </c>
      <c r="AA38" s="201">
        <f t="shared" si="15"/>
        <v>9132.3139551730292</v>
      </c>
      <c r="AB38" s="202">
        <f t="shared" si="16"/>
        <v>10421.884210717653</v>
      </c>
      <c r="AC38" s="201">
        <f t="shared" si="17"/>
        <v>1289.5702555446242</v>
      </c>
      <c r="AD38" s="201">
        <f t="shared" si="18"/>
        <v>9132.3139551730292</v>
      </c>
      <c r="AE38" s="201">
        <f t="shared" si="26"/>
        <v>10421.884210717653</v>
      </c>
      <c r="AF38" s="201">
        <f t="shared" si="19"/>
        <v>1289.5702555446242</v>
      </c>
      <c r="AG38" s="201">
        <f t="shared" si="20"/>
        <v>9132.3139551730292</v>
      </c>
      <c r="AH38" s="201">
        <f t="shared" si="27"/>
        <v>10421.884210717653</v>
      </c>
    </row>
    <row r="39" spans="2:34" x14ac:dyDescent="0.3">
      <c r="B39" s="179">
        <f t="shared" si="10"/>
        <v>16</v>
      </c>
      <c r="C39" s="180">
        <f t="shared" si="21"/>
        <v>30.4</v>
      </c>
      <c r="D39" s="165">
        <f>IF(B39="","",Simulador!$F$62)</f>
        <v>0.11</v>
      </c>
      <c r="E39" s="167"/>
      <c r="F39" s="167">
        <f t="shared" si="22"/>
        <v>981854.27659322659</v>
      </c>
      <c r="G39" s="166"/>
      <c r="H39" s="167">
        <f t="shared" si="11"/>
        <v>1301.548930362791</v>
      </c>
      <c r="I39" s="167">
        <f t="shared" si="23"/>
        <v>9120.3352803548605</v>
      </c>
      <c r="J39" s="167">
        <f t="shared" si="9"/>
        <v>10421.884210717652</v>
      </c>
      <c r="K39" s="167">
        <f t="shared" si="12"/>
        <v>0</v>
      </c>
      <c r="L39" s="167">
        <f t="shared" si="24"/>
        <v>0</v>
      </c>
      <c r="M39" s="167">
        <f>IF(B39="","",IF(F39=0,0,IF(Simulador!$F$11='Tabla Parámetros'!$W$1,'Tabla Parámetros'!$W$28,IF(Simulador!$F$11='Tabla Parámetros'!$Y$1,'Tabla Parámetros'!$Y$12))))</f>
        <v>299</v>
      </c>
      <c r="N39" s="167">
        <f>IF(B39="","",IF(F39=0,0,IF(Simulador!$N$7='Tabla Parámetros'!$C$31,AportPat!L19,0)))</f>
        <v>0</v>
      </c>
      <c r="O39" s="167">
        <f>Simulador!O407</f>
        <v>0</v>
      </c>
      <c r="P39" s="167">
        <f>IF(O39&gt;0,(O39*Sheet1!$AD$13)*1.16,0)</f>
        <v>0</v>
      </c>
      <c r="Q39" s="167">
        <f t="shared" si="13"/>
        <v>10720.884210717652</v>
      </c>
      <c r="R39" s="167">
        <f t="shared" si="14"/>
        <v>980552.72766286379</v>
      </c>
      <c r="U39" s="6"/>
      <c r="V39" s="6"/>
      <c r="W39" s="6"/>
      <c r="X39" s="256">
        <f t="shared" si="8"/>
        <v>10720.884210717653</v>
      </c>
      <c r="Z39" s="201">
        <f t="shared" si="25"/>
        <v>1301.5489303627935</v>
      </c>
      <c r="AA39" s="201">
        <f t="shared" si="15"/>
        <v>9120.3352803548605</v>
      </c>
      <c r="AB39" s="202">
        <f t="shared" si="16"/>
        <v>10421.884210717653</v>
      </c>
      <c r="AC39" s="201">
        <f t="shared" si="17"/>
        <v>1301.5489303627928</v>
      </c>
      <c r="AD39" s="201">
        <f t="shared" si="18"/>
        <v>9120.3352803548605</v>
      </c>
      <c r="AE39" s="201">
        <f t="shared" si="26"/>
        <v>10421.884210717653</v>
      </c>
      <c r="AF39" s="201">
        <f t="shared" si="19"/>
        <v>1301.548930362791</v>
      </c>
      <c r="AG39" s="201">
        <f t="shared" si="20"/>
        <v>9120.3352803548605</v>
      </c>
      <c r="AH39" s="201">
        <f t="shared" si="27"/>
        <v>10421.884210717652</v>
      </c>
    </row>
    <row r="40" spans="2:34" x14ac:dyDescent="0.3">
      <c r="B40" s="181">
        <f t="shared" si="10"/>
        <v>17</v>
      </c>
      <c r="C40" s="180">
        <f t="shared" si="21"/>
        <v>30.4</v>
      </c>
      <c r="D40" s="165">
        <f>IF(B40="","",Simulador!$F$62)</f>
        <v>0.11</v>
      </c>
      <c r="E40" s="167"/>
      <c r="F40" s="167">
        <f t="shared" si="22"/>
        <v>980552.72766286379</v>
      </c>
      <c r="G40" s="166"/>
      <c r="H40" s="167">
        <f t="shared" si="11"/>
        <v>1313.6388737603866</v>
      </c>
      <c r="I40" s="167">
        <f t="shared" si="23"/>
        <v>9108.2453369572668</v>
      </c>
      <c r="J40" s="167">
        <f t="shared" si="9"/>
        <v>10421.884210717653</v>
      </c>
      <c r="K40" s="167">
        <f t="shared" si="12"/>
        <v>0</v>
      </c>
      <c r="L40" s="167">
        <f t="shared" si="24"/>
        <v>0</v>
      </c>
      <c r="M40" s="167">
        <f>IF(B40="","",IF(F40=0,0,IF(Simulador!$F$11='Tabla Parámetros'!$W$1,'Tabla Parámetros'!$W$28,IF(Simulador!$F$11='Tabla Parámetros'!$Y$1,'Tabla Parámetros'!$Y$12))))</f>
        <v>299</v>
      </c>
      <c r="N40" s="167">
        <f>IF(B40="","",IF(F40=0,0,IF(Simulador!$N$7='Tabla Parámetros'!$C$31,AportPat!L20,0)))</f>
        <v>0</v>
      </c>
      <c r="O40" s="167">
        <f>Simulador!O408</f>
        <v>0</v>
      </c>
      <c r="P40" s="167">
        <f>IF(O40&gt;0,(O40*Sheet1!$AD$13)*1.16,0)</f>
        <v>0</v>
      </c>
      <c r="Q40" s="167">
        <f t="shared" si="13"/>
        <v>10720.884210717653</v>
      </c>
      <c r="R40" s="167">
        <f t="shared" si="14"/>
        <v>979239.08878910344</v>
      </c>
      <c r="U40" s="6"/>
      <c r="V40" s="6"/>
      <c r="W40" s="6"/>
      <c r="X40" s="256">
        <f t="shared" si="8"/>
        <v>10720.884210717653</v>
      </c>
      <c r="Z40" s="201">
        <f t="shared" si="25"/>
        <v>1313.6388737603859</v>
      </c>
      <c r="AA40" s="201">
        <f t="shared" si="15"/>
        <v>9108.2453369572668</v>
      </c>
      <c r="AB40" s="202">
        <f t="shared" si="16"/>
        <v>10421.884210717653</v>
      </c>
      <c r="AC40" s="201">
        <f t="shared" si="17"/>
        <v>1313.6388737603866</v>
      </c>
      <c r="AD40" s="201">
        <f t="shared" si="18"/>
        <v>9108.2453369572668</v>
      </c>
      <c r="AE40" s="201">
        <f t="shared" si="26"/>
        <v>10421.884210717653</v>
      </c>
      <c r="AF40" s="201">
        <f t="shared" si="19"/>
        <v>1313.6388737603866</v>
      </c>
      <c r="AG40" s="201">
        <f t="shared" si="20"/>
        <v>9108.2453369572668</v>
      </c>
      <c r="AH40" s="201">
        <f t="shared" si="27"/>
        <v>10421.884210717653</v>
      </c>
    </row>
    <row r="41" spans="2:34" x14ac:dyDescent="0.3">
      <c r="B41" s="179">
        <f t="shared" si="10"/>
        <v>18</v>
      </c>
      <c r="C41" s="180">
        <f t="shared" si="21"/>
        <v>30.4</v>
      </c>
      <c r="D41" s="165">
        <f>IF(B41="","",Simulador!$F$62)</f>
        <v>0.11</v>
      </c>
      <c r="E41" s="167"/>
      <c r="F41" s="167">
        <f t="shared" si="22"/>
        <v>979239.08878910344</v>
      </c>
      <c r="G41" s="166"/>
      <c r="H41" s="167">
        <f t="shared" si="11"/>
        <v>1325.8411192988715</v>
      </c>
      <c r="I41" s="167">
        <f t="shared" si="23"/>
        <v>9096.0430914187818</v>
      </c>
      <c r="J41" s="167">
        <f t="shared" si="9"/>
        <v>10421.884210717653</v>
      </c>
      <c r="K41" s="167">
        <f t="shared" si="12"/>
        <v>0</v>
      </c>
      <c r="L41" s="167">
        <f t="shared" si="24"/>
        <v>0</v>
      </c>
      <c r="M41" s="167">
        <f>IF(B41="","",IF(F41=0,0,IF(Simulador!$F$11='Tabla Parámetros'!$W$1,'Tabla Parámetros'!$W$28,IF(Simulador!$F$11='Tabla Parámetros'!$Y$1,'Tabla Parámetros'!$Y$12))))</f>
        <v>299</v>
      </c>
      <c r="N41" s="167">
        <f>IF(B41="","",IF(F41=0,0,IF(Simulador!$N$7='Tabla Parámetros'!$C$31,AportPat!L21,0)))</f>
        <v>0</v>
      </c>
      <c r="O41" s="167">
        <f>Simulador!O409</f>
        <v>0</v>
      </c>
      <c r="P41" s="167">
        <f>IF(O41&gt;0,(O41*Sheet1!$AD$13)*1.16,0)</f>
        <v>0</v>
      </c>
      <c r="Q41" s="167">
        <f t="shared" si="13"/>
        <v>10720.884210717653</v>
      </c>
      <c r="R41" s="167">
        <f t="shared" si="14"/>
        <v>977913.24766980461</v>
      </c>
      <c r="U41" s="6"/>
      <c r="V41" s="6"/>
      <c r="W41" s="6"/>
      <c r="X41" s="256">
        <f t="shared" si="8"/>
        <v>10720.884210717653</v>
      </c>
      <c r="Z41" s="201">
        <f t="shared" si="25"/>
        <v>1325.8411192988717</v>
      </c>
      <c r="AA41" s="201">
        <f t="shared" si="15"/>
        <v>9096.0430914187818</v>
      </c>
      <c r="AB41" s="202">
        <f t="shared" si="16"/>
        <v>10421.884210717653</v>
      </c>
      <c r="AC41" s="201">
        <f t="shared" si="17"/>
        <v>1325.8411192988715</v>
      </c>
      <c r="AD41" s="201">
        <f t="shared" si="18"/>
        <v>9096.0430914187818</v>
      </c>
      <c r="AE41" s="201">
        <f t="shared" si="26"/>
        <v>10421.884210717653</v>
      </c>
      <c r="AF41" s="201">
        <f t="shared" si="19"/>
        <v>1325.8411192988715</v>
      </c>
      <c r="AG41" s="201">
        <f t="shared" si="20"/>
        <v>9096.0430914187818</v>
      </c>
      <c r="AH41" s="201">
        <f t="shared" si="27"/>
        <v>10421.884210717653</v>
      </c>
    </row>
    <row r="42" spans="2:34" x14ac:dyDescent="0.3">
      <c r="B42" s="179">
        <f t="shared" si="10"/>
        <v>19</v>
      </c>
      <c r="C42" s="180">
        <f t="shared" si="21"/>
        <v>30.4</v>
      </c>
      <c r="D42" s="165">
        <f>IF(B42="","",Simulador!$F$62)</f>
        <v>0.11</v>
      </c>
      <c r="E42" s="167"/>
      <c r="F42" s="167">
        <f t="shared" si="22"/>
        <v>977913.24766980461</v>
      </c>
      <c r="G42" s="166"/>
      <c r="H42" s="167">
        <f t="shared" si="11"/>
        <v>1338.156710140358</v>
      </c>
      <c r="I42" s="167">
        <f t="shared" si="23"/>
        <v>9083.7275005772954</v>
      </c>
      <c r="J42" s="167">
        <f t="shared" si="9"/>
        <v>10421.884210717653</v>
      </c>
      <c r="K42" s="167">
        <f t="shared" si="12"/>
        <v>0</v>
      </c>
      <c r="L42" s="167">
        <f t="shared" si="24"/>
        <v>0</v>
      </c>
      <c r="M42" s="167">
        <f>IF(B42="","",IF(F42=0,0,IF(Simulador!$F$11='Tabla Parámetros'!$W$1,'Tabla Parámetros'!$W$28,IF(Simulador!$F$11='Tabla Parámetros'!$Y$1,'Tabla Parámetros'!$Y$12))))</f>
        <v>299</v>
      </c>
      <c r="N42" s="167">
        <f>IF(B42="","",IF(F42=0,0,IF(Simulador!$N$7='Tabla Parámetros'!$C$31,AportPat!L22,0)))</f>
        <v>0</v>
      </c>
      <c r="O42" s="167">
        <f>Simulador!O410</f>
        <v>0</v>
      </c>
      <c r="P42" s="167">
        <f>IF(O42&gt;0,(O42*Sheet1!$AD$13)*1.16,0)</f>
        <v>0</v>
      </c>
      <c r="Q42" s="167">
        <f t="shared" si="13"/>
        <v>10720.884210717653</v>
      </c>
      <c r="R42" s="167">
        <f t="shared" si="14"/>
        <v>976575.0909596642</v>
      </c>
      <c r="U42" s="6"/>
      <c r="V42" s="6"/>
      <c r="W42" s="6"/>
      <c r="X42" s="256">
        <f t="shared" si="8"/>
        <v>10720.884210717653</v>
      </c>
      <c r="Z42" s="201">
        <f t="shared" si="25"/>
        <v>1338.1567101403587</v>
      </c>
      <c r="AA42" s="201">
        <f t="shared" si="15"/>
        <v>9083.7275005772954</v>
      </c>
      <c r="AB42" s="202">
        <f t="shared" si="16"/>
        <v>10421.884210717653</v>
      </c>
      <c r="AC42" s="201">
        <f t="shared" si="17"/>
        <v>1338.156710140358</v>
      </c>
      <c r="AD42" s="201">
        <f t="shared" si="18"/>
        <v>9083.7275005772954</v>
      </c>
      <c r="AE42" s="201">
        <f t="shared" si="26"/>
        <v>10421.884210717653</v>
      </c>
      <c r="AF42" s="201">
        <f t="shared" si="19"/>
        <v>1338.156710140358</v>
      </c>
      <c r="AG42" s="201">
        <f t="shared" si="20"/>
        <v>9083.7275005772954</v>
      </c>
      <c r="AH42" s="201">
        <f t="shared" si="27"/>
        <v>10421.884210717653</v>
      </c>
    </row>
    <row r="43" spans="2:34" x14ac:dyDescent="0.3">
      <c r="B43" s="179">
        <f t="shared" si="10"/>
        <v>20</v>
      </c>
      <c r="C43" s="180">
        <f t="shared" si="21"/>
        <v>30.4</v>
      </c>
      <c r="D43" s="165">
        <f>IF(B43="","",Simulador!$F$62)</f>
        <v>0.11</v>
      </c>
      <c r="E43" s="167"/>
      <c r="F43" s="167">
        <f t="shared" si="22"/>
        <v>976575.0909596642</v>
      </c>
      <c r="G43" s="166"/>
      <c r="H43" s="167">
        <f t="shared" si="11"/>
        <v>1350.5866991367729</v>
      </c>
      <c r="I43" s="167">
        <f t="shared" si="23"/>
        <v>9071.2975115808804</v>
      </c>
      <c r="J43" s="167">
        <f t="shared" si="9"/>
        <v>10421.884210717653</v>
      </c>
      <c r="K43" s="167">
        <f t="shared" si="12"/>
        <v>0</v>
      </c>
      <c r="L43" s="167">
        <f t="shared" si="24"/>
        <v>0</v>
      </c>
      <c r="M43" s="167">
        <f>IF(B43="","",IF(F43=0,0,IF(Simulador!$F$11='Tabla Parámetros'!$W$1,'Tabla Parámetros'!$W$28,IF(Simulador!$F$11='Tabla Parámetros'!$Y$1,'Tabla Parámetros'!$Y$12))))</f>
        <v>299</v>
      </c>
      <c r="N43" s="167">
        <f>IF(B43="","",IF(F43=0,0,IF(Simulador!$N$7='Tabla Parámetros'!$C$31,AportPat!L23,0)))</f>
        <v>0</v>
      </c>
      <c r="O43" s="167">
        <f>Simulador!O411</f>
        <v>0</v>
      </c>
      <c r="P43" s="167">
        <f>IF(O43&gt;0,(O43*Sheet1!$AD$13)*1.16,0)</f>
        <v>0</v>
      </c>
      <c r="Q43" s="167">
        <f t="shared" si="13"/>
        <v>10720.884210717653</v>
      </c>
      <c r="R43" s="167">
        <f t="shared" si="14"/>
        <v>975224.50426052744</v>
      </c>
      <c r="U43" s="6"/>
      <c r="V43" s="6"/>
      <c r="W43" s="6"/>
      <c r="X43" s="256">
        <f t="shared" si="8"/>
        <v>10720.884210717653</v>
      </c>
      <c r="Z43" s="201">
        <f t="shared" si="25"/>
        <v>1350.5866991367739</v>
      </c>
      <c r="AA43" s="201">
        <f t="shared" si="15"/>
        <v>9071.2975115808804</v>
      </c>
      <c r="AB43" s="202">
        <f t="shared" si="16"/>
        <v>10421.884210717653</v>
      </c>
      <c r="AC43" s="201">
        <f t="shared" si="17"/>
        <v>1350.5866991367729</v>
      </c>
      <c r="AD43" s="201">
        <f t="shared" si="18"/>
        <v>9071.2975115808804</v>
      </c>
      <c r="AE43" s="201">
        <f t="shared" si="26"/>
        <v>10421.884210717653</v>
      </c>
      <c r="AF43" s="201">
        <f t="shared" si="19"/>
        <v>1350.5866991367729</v>
      </c>
      <c r="AG43" s="201">
        <f t="shared" si="20"/>
        <v>9071.2975115808804</v>
      </c>
      <c r="AH43" s="201">
        <f t="shared" si="27"/>
        <v>10421.884210717653</v>
      </c>
    </row>
    <row r="44" spans="2:34" x14ac:dyDescent="0.3">
      <c r="B44" s="181">
        <f t="shared" si="10"/>
        <v>21</v>
      </c>
      <c r="C44" s="180">
        <f t="shared" si="21"/>
        <v>30.4</v>
      </c>
      <c r="D44" s="165">
        <f>IF(B44="","",Simulador!$F$62)</f>
        <v>0.11</v>
      </c>
      <c r="E44" s="167"/>
      <c r="F44" s="167">
        <f t="shared" si="22"/>
        <v>975224.50426052744</v>
      </c>
      <c r="G44" s="166"/>
      <c r="H44" s="167">
        <f t="shared" si="11"/>
        <v>1363.1321489198654</v>
      </c>
      <c r="I44" s="167">
        <f t="shared" si="23"/>
        <v>9058.752061797788</v>
      </c>
      <c r="J44" s="167">
        <f t="shared" si="9"/>
        <v>10421.884210717653</v>
      </c>
      <c r="K44" s="167">
        <f t="shared" si="12"/>
        <v>0</v>
      </c>
      <c r="L44" s="167">
        <f t="shared" si="24"/>
        <v>0</v>
      </c>
      <c r="M44" s="167">
        <f>IF(B44="","",IF(F44=0,0,IF(Simulador!$F$11='Tabla Parámetros'!$W$1,'Tabla Parámetros'!$W$28,IF(Simulador!$F$11='Tabla Parámetros'!$Y$1,'Tabla Parámetros'!$Y$12))))</f>
        <v>299</v>
      </c>
      <c r="N44" s="167">
        <f>IF(B44="","",IF(F44=0,0,IF(Simulador!$N$7='Tabla Parámetros'!$C$31,AportPat!L24,0)))</f>
        <v>0</v>
      </c>
      <c r="O44" s="167">
        <f>Simulador!O412</f>
        <v>0</v>
      </c>
      <c r="P44" s="167">
        <f>IF(O44&gt;0,(O44*Sheet1!$AD$13)*1.16,0)</f>
        <v>0</v>
      </c>
      <c r="Q44" s="167">
        <f t="shared" si="13"/>
        <v>10720.884210717653</v>
      </c>
      <c r="R44" s="167">
        <f t="shared" si="14"/>
        <v>973861.37211160758</v>
      </c>
      <c r="U44" s="6"/>
      <c r="V44" s="6"/>
      <c r="W44" s="6"/>
      <c r="X44" s="256">
        <f t="shared" si="8"/>
        <v>10720.884210717653</v>
      </c>
      <c r="Z44" s="201">
        <f t="shared" si="25"/>
        <v>1363.132148919866</v>
      </c>
      <c r="AA44" s="201">
        <f t="shared" si="15"/>
        <v>9058.752061797788</v>
      </c>
      <c r="AB44" s="202">
        <f t="shared" si="16"/>
        <v>10421.884210717653</v>
      </c>
      <c r="AC44" s="201">
        <f t="shared" si="17"/>
        <v>1363.1321489198654</v>
      </c>
      <c r="AD44" s="201">
        <f t="shared" si="18"/>
        <v>9058.752061797788</v>
      </c>
      <c r="AE44" s="201">
        <f t="shared" si="26"/>
        <v>10421.884210717653</v>
      </c>
      <c r="AF44" s="201">
        <f t="shared" si="19"/>
        <v>1363.1321489198654</v>
      </c>
      <c r="AG44" s="201">
        <f t="shared" si="20"/>
        <v>9058.752061797788</v>
      </c>
      <c r="AH44" s="201">
        <f t="shared" si="27"/>
        <v>10421.884210717653</v>
      </c>
    </row>
    <row r="45" spans="2:34" x14ac:dyDescent="0.3">
      <c r="B45" s="179">
        <f t="shared" si="10"/>
        <v>22</v>
      </c>
      <c r="C45" s="180">
        <f t="shared" si="21"/>
        <v>30.4</v>
      </c>
      <c r="D45" s="165">
        <f>IF(B45="","",Simulador!$F$62)</f>
        <v>0.11</v>
      </c>
      <c r="E45" s="167"/>
      <c r="F45" s="167">
        <f t="shared" si="22"/>
        <v>973861.37211160758</v>
      </c>
      <c r="G45" s="166"/>
      <c r="H45" s="167">
        <f t="shared" si="11"/>
        <v>1375.7941319920556</v>
      </c>
      <c r="I45" s="167">
        <f t="shared" si="23"/>
        <v>9046.0900787255978</v>
      </c>
      <c r="J45" s="167">
        <f t="shared" si="9"/>
        <v>10421.884210717653</v>
      </c>
      <c r="K45" s="167">
        <f t="shared" si="12"/>
        <v>0</v>
      </c>
      <c r="L45" s="167">
        <f t="shared" si="24"/>
        <v>0</v>
      </c>
      <c r="M45" s="167">
        <f>IF(B45="","",IF(F45=0,0,IF(Simulador!$F$11='Tabla Parámetros'!$W$1,'Tabla Parámetros'!$W$28,IF(Simulador!$F$11='Tabla Parámetros'!$Y$1,'Tabla Parámetros'!$Y$12))))</f>
        <v>299</v>
      </c>
      <c r="N45" s="167">
        <f>IF(B45="","",IF(F45=0,0,IF(Simulador!$N$7='Tabla Parámetros'!$C$31,AportPat!L25,0)))</f>
        <v>0</v>
      </c>
      <c r="O45" s="167">
        <f>Simulador!O413</f>
        <v>0</v>
      </c>
      <c r="P45" s="167">
        <f>IF(O45&gt;0,(O45*Sheet1!$AD$13)*1.16,0)</f>
        <v>0</v>
      </c>
      <c r="Q45" s="167">
        <f t="shared" si="13"/>
        <v>10720.884210717653</v>
      </c>
      <c r="R45" s="167">
        <f t="shared" si="14"/>
        <v>972485.57797961554</v>
      </c>
      <c r="U45" s="6"/>
      <c r="V45" s="6"/>
      <c r="W45" s="6"/>
      <c r="X45" s="256">
        <f t="shared" si="8"/>
        <v>10720.884210717653</v>
      </c>
      <c r="Z45" s="201">
        <f t="shared" si="25"/>
        <v>1375.7941319920553</v>
      </c>
      <c r="AA45" s="201">
        <f t="shared" si="15"/>
        <v>9046.0900787255978</v>
      </c>
      <c r="AB45" s="202">
        <f t="shared" si="16"/>
        <v>10421.884210717653</v>
      </c>
      <c r="AC45" s="201">
        <f t="shared" si="17"/>
        <v>1375.7941319920556</v>
      </c>
      <c r="AD45" s="201">
        <f t="shared" si="18"/>
        <v>9046.0900787255978</v>
      </c>
      <c r="AE45" s="201">
        <f t="shared" si="26"/>
        <v>10421.884210717653</v>
      </c>
      <c r="AF45" s="201">
        <f t="shared" si="19"/>
        <v>1375.7941319920556</v>
      </c>
      <c r="AG45" s="201">
        <f t="shared" si="20"/>
        <v>9046.0900787255978</v>
      </c>
      <c r="AH45" s="201">
        <f t="shared" si="27"/>
        <v>10421.884210717653</v>
      </c>
    </row>
    <row r="46" spans="2:34" x14ac:dyDescent="0.3">
      <c r="B46" s="179">
        <f t="shared" si="10"/>
        <v>23</v>
      </c>
      <c r="C46" s="180">
        <f t="shared" si="21"/>
        <v>30.4</v>
      </c>
      <c r="D46" s="165">
        <f>IF(B46="","",Simulador!$F$62)</f>
        <v>0.11</v>
      </c>
      <c r="E46" s="167"/>
      <c r="F46" s="167">
        <f t="shared" si="22"/>
        <v>972485.57797961554</v>
      </c>
      <c r="G46" s="166"/>
      <c r="H46" s="167">
        <f t="shared" si="11"/>
        <v>1388.5737308181142</v>
      </c>
      <c r="I46" s="167">
        <f t="shared" si="23"/>
        <v>9033.3104798995391</v>
      </c>
      <c r="J46" s="167">
        <f t="shared" si="9"/>
        <v>10421.884210717653</v>
      </c>
      <c r="K46" s="167">
        <f t="shared" si="12"/>
        <v>0</v>
      </c>
      <c r="L46" s="167">
        <f t="shared" si="24"/>
        <v>0</v>
      </c>
      <c r="M46" s="167">
        <f>IF(B46="","",IF(F46=0,0,IF(Simulador!$F$11='Tabla Parámetros'!$W$1,'Tabla Parámetros'!$W$28,IF(Simulador!$F$11='Tabla Parámetros'!$Y$1,'Tabla Parámetros'!$Y$12))))</f>
        <v>299</v>
      </c>
      <c r="N46" s="167">
        <f>IF(B46="","",IF(F46=0,0,IF(Simulador!$N$7='Tabla Parámetros'!$C$31,AportPat!L26,0)))</f>
        <v>0</v>
      </c>
      <c r="O46" s="167">
        <f>Simulador!O414</f>
        <v>0</v>
      </c>
      <c r="P46" s="167">
        <f>IF(O46&gt;0,(O46*Sheet1!$AD$13)*1.16,0)</f>
        <v>0</v>
      </c>
      <c r="Q46" s="167">
        <f t="shared" si="13"/>
        <v>10720.884210717653</v>
      </c>
      <c r="R46" s="167">
        <f t="shared" si="14"/>
        <v>971097.00424879743</v>
      </c>
      <c r="U46" s="6"/>
      <c r="V46" s="6"/>
      <c r="W46" s="6"/>
      <c r="X46" s="256">
        <f t="shared" si="8"/>
        <v>10720.884210717653</v>
      </c>
      <c r="Z46" s="201">
        <f t="shared" si="25"/>
        <v>1388.5737308181147</v>
      </c>
      <c r="AA46" s="201">
        <f t="shared" si="15"/>
        <v>9033.3104798995391</v>
      </c>
      <c r="AB46" s="202">
        <f t="shared" si="16"/>
        <v>10421.884210717653</v>
      </c>
      <c r="AC46" s="201">
        <f t="shared" si="17"/>
        <v>1388.5737308181142</v>
      </c>
      <c r="AD46" s="201">
        <f t="shared" si="18"/>
        <v>9033.3104798995391</v>
      </c>
      <c r="AE46" s="201">
        <f t="shared" si="26"/>
        <v>10421.884210717653</v>
      </c>
      <c r="AF46" s="201">
        <f t="shared" si="19"/>
        <v>1388.5737308181142</v>
      </c>
      <c r="AG46" s="201">
        <f t="shared" si="20"/>
        <v>9033.3104798995391</v>
      </c>
      <c r="AH46" s="201">
        <f t="shared" si="27"/>
        <v>10421.884210717653</v>
      </c>
    </row>
    <row r="47" spans="2:34" x14ac:dyDescent="0.3">
      <c r="B47" s="179">
        <f t="shared" si="10"/>
        <v>24</v>
      </c>
      <c r="C47" s="180">
        <f t="shared" si="21"/>
        <v>30.4</v>
      </c>
      <c r="D47" s="165">
        <f>IF(B47="","",Simulador!$F$62)</f>
        <v>0.11</v>
      </c>
      <c r="E47" s="167"/>
      <c r="F47" s="167">
        <f t="shared" si="22"/>
        <v>971097.00424879743</v>
      </c>
      <c r="G47" s="166"/>
      <c r="H47" s="167">
        <f t="shared" si="11"/>
        <v>1401.4720379177143</v>
      </c>
      <c r="I47" s="167">
        <f t="shared" si="23"/>
        <v>9020.4121727999391</v>
      </c>
      <c r="J47" s="167">
        <f t="shared" si="9"/>
        <v>10421.884210717653</v>
      </c>
      <c r="K47" s="167">
        <f t="shared" si="12"/>
        <v>0</v>
      </c>
      <c r="L47" s="167">
        <f t="shared" si="24"/>
        <v>0</v>
      </c>
      <c r="M47" s="167">
        <f>IF(B47="","",IF(F47=0,0,IF(Simulador!$F$11='Tabla Parámetros'!$W$1,'Tabla Parámetros'!$W$28,IF(Simulador!$F$11='Tabla Parámetros'!$Y$1,'Tabla Parámetros'!$Y$12))))</f>
        <v>299</v>
      </c>
      <c r="N47" s="167">
        <f>IF(B47="","",IF(F47=0,0,IF(Simulador!$N$7='Tabla Parámetros'!$C$31,AportPat!L27,0)))</f>
        <v>0</v>
      </c>
      <c r="O47" s="167">
        <f>Simulador!O415</f>
        <v>0</v>
      </c>
      <c r="P47" s="167">
        <f>IF(O47&gt;0,(O47*Sheet1!$AD$13)*1.16,0)</f>
        <v>0</v>
      </c>
      <c r="Q47" s="167">
        <f t="shared" si="13"/>
        <v>10720.884210717653</v>
      </c>
      <c r="R47" s="167">
        <f t="shared" si="14"/>
        <v>969695.53221087973</v>
      </c>
      <c r="U47" s="6"/>
      <c r="V47" s="6"/>
      <c r="W47" s="6"/>
      <c r="X47" s="256">
        <f t="shared" si="8"/>
        <v>10720.884210717653</v>
      </c>
      <c r="Z47" s="201">
        <f t="shared" si="25"/>
        <v>1401.4720379177143</v>
      </c>
      <c r="AA47" s="201">
        <f t="shared" si="15"/>
        <v>9020.4121727999391</v>
      </c>
      <c r="AB47" s="202">
        <f t="shared" si="16"/>
        <v>10421.884210717653</v>
      </c>
      <c r="AC47" s="201">
        <f t="shared" si="17"/>
        <v>1401.4720379177143</v>
      </c>
      <c r="AD47" s="201">
        <f t="shared" si="18"/>
        <v>9020.4121727999391</v>
      </c>
      <c r="AE47" s="201">
        <f t="shared" si="26"/>
        <v>10421.884210717653</v>
      </c>
      <c r="AF47" s="201">
        <f t="shared" si="19"/>
        <v>1401.4720379177143</v>
      </c>
      <c r="AG47" s="201">
        <f t="shared" si="20"/>
        <v>9020.4121727999391</v>
      </c>
      <c r="AH47" s="201">
        <f t="shared" si="27"/>
        <v>10421.884210717653</v>
      </c>
    </row>
    <row r="48" spans="2:34" x14ac:dyDescent="0.3">
      <c r="B48" s="181">
        <f t="shared" si="10"/>
        <v>25</v>
      </c>
      <c r="C48" s="180">
        <f t="shared" si="21"/>
        <v>30.4</v>
      </c>
      <c r="D48" s="165">
        <f>IF(B48="","",Simulador!$F$62)</f>
        <v>0.11</v>
      </c>
      <c r="E48" s="167"/>
      <c r="F48" s="167">
        <f t="shared" si="22"/>
        <v>969695.53221087973</v>
      </c>
      <c r="G48" s="166"/>
      <c r="H48" s="167">
        <f t="shared" si="11"/>
        <v>1414.4901559588161</v>
      </c>
      <c r="I48" s="167">
        <f t="shared" si="23"/>
        <v>9007.3940547588372</v>
      </c>
      <c r="J48" s="167">
        <f t="shared" si="9"/>
        <v>10421.884210717653</v>
      </c>
      <c r="K48" s="167">
        <f t="shared" si="12"/>
        <v>0</v>
      </c>
      <c r="L48" s="167">
        <f t="shared" si="24"/>
        <v>0</v>
      </c>
      <c r="M48" s="167">
        <f>IF(B48="","",IF(F48=0,0,IF(Simulador!$F$11='Tabla Parámetros'!$W$1,'Tabla Parámetros'!$W$28,IF(Simulador!$F$11='Tabla Parámetros'!$Y$1,'Tabla Parámetros'!$Y$12))))</f>
        <v>299</v>
      </c>
      <c r="N48" s="167">
        <f>IF(B48="","",IF(F48=0,0,IF(Simulador!$N$7='Tabla Parámetros'!$C$31,AportPat!L28,0)))</f>
        <v>0</v>
      </c>
      <c r="O48" s="167">
        <f>Simulador!O416</f>
        <v>0</v>
      </c>
      <c r="P48" s="167">
        <f>IF(O48&gt;0,(O48*Sheet1!$AD$13)*1.16,0)</f>
        <v>0</v>
      </c>
      <c r="Q48" s="167">
        <f t="shared" si="13"/>
        <v>10720.884210717653</v>
      </c>
      <c r="R48" s="167">
        <f t="shared" si="14"/>
        <v>968281.04205492092</v>
      </c>
      <c r="U48" s="6"/>
      <c r="V48" s="6"/>
      <c r="W48" s="6"/>
      <c r="X48" s="256">
        <f t="shared" si="8"/>
        <v>10720.884210717653</v>
      </c>
      <c r="Z48" s="201">
        <f t="shared" si="25"/>
        <v>1414.4901559588161</v>
      </c>
      <c r="AA48" s="201">
        <f t="shared" si="15"/>
        <v>9007.3940547588372</v>
      </c>
      <c r="AB48" s="202">
        <f t="shared" si="16"/>
        <v>10421.884210717653</v>
      </c>
      <c r="AC48" s="201">
        <f t="shared" si="17"/>
        <v>1414.4901559588161</v>
      </c>
      <c r="AD48" s="201">
        <f t="shared" si="18"/>
        <v>9007.3940547588372</v>
      </c>
      <c r="AE48" s="201">
        <f t="shared" si="26"/>
        <v>10421.884210717653</v>
      </c>
      <c r="AF48" s="201">
        <f t="shared" si="19"/>
        <v>1414.4901559588161</v>
      </c>
      <c r="AG48" s="201">
        <f t="shared" si="20"/>
        <v>9007.3940547588372</v>
      </c>
      <c r="AH48" s="201">
        <f t="shared" si="27"/>
        <v>10421.884210717653</v>
      </c>
    </row>
    <row r="49" spans="2:34" x14ac:dyDescent="0.3">
      <c r="B49" s="179">
        <f t="shared" si="10"/>
        <v>26</v>
      </c>
      <c r="C49" s="180">
        <f t="shared" si="21"/>
        <v>30.4</v>
      </c>
      <c r="D49" s="165">
        <f>IF(B49="","",Simulador!$F$62)</f>
        <v>0.11</v>
      </c>
      <c r="E49" s="167"/>
      <c r="F49" s="167">
        <f t="shared" si="22"/>
        <v>968281.04205492092</v>
      </c>
      <c r="G49" s="166"/>
      <c r="H49" s="167">
        <f t="shared" si="11"/>
        <v>1427.6291978519439</v>
      </c>
      <c r="I49" s="167">
        <f t="shared" si="23"/>
        <v>8994.2550128657094</v>
      </c>
      <c r="J49" s="167">
        <f t="shared" si="9"/>
        <v>10421.884210717653</v>
      </c>
      <c r="K49" s="167">
        <f t="shared" si="12"/>
        <v>0</v>
      </c>
      <c r="L49" s="167">
        <f t="shared" si="24"/>
        <v>0</v>
      </c>
      <c r="M49" s="167">
        <f>IF(B49="","",IF(F49=0,0,IF(Simulador!$F$11='Tabla Parámetros'!$W$1,'Tabla Parámetros'!$W$28,IF(Simulador!$F$11='Tabla Parámetros'!$Y$1,'Tabla Parámetros'!$Y$12))))</f>
        <v>299</v>
      </c>
      <c r="N49" s="167">
        <f>IF(B49="","",IF(F49=0,0,IF(Simulador!$N$7='Tabla Parámetros'!$C$31,AportPat!L29,0)))</f>
        <v>0</v>
      </c>
      <c r="O49" s="167">
        <f>Simulador!O417</f>
        <v>0</v>
      </c>
      <c r="P49" s="167">
        <f>IF(O49&gt;0,(O49*Sheet1!$AD$13)*1.16,0)</f>
        <v>0</v>
      </c>
      <c r="Q49" s="167">
        <f t="shared" si="13"/>
        <v>10720.884210717653</v>
      </c>
      <c r="R49" s="167">
        <f t="shared" si="14"/>
        <v>966853.41285706894</v>
      </c>
      <c r="U49" s="6"/>
      <c r="V49" s="6"/>
      <c r="W49" s="6"/>
      <c r="X49" s="256">
        <f t="shared" si="8"/>
        <v>10720.884210717653</v>
      </c>
      <c r="Z49" s="201">
        <f t="shared" si="25"/>
        <v>1427.6291978519448</v>
      </c>
      <c r="AA49" s="201">
        <f t="shared" si="15"/>
        <v>8994.2550128657094</v>
      </c>
      <c r="AB49" s="202">
        <f t="shared" si="16"/>
        <v>10421.884210717653</v>
      </c>
      <c r="AC49" s="201">
        <f t="shared" si="17"/>
        <v>1427.6291978519439</v>
      </c>
      <c r="AD49" s="201">
        <f t="shared" si="18"/>
        <v>8994.2550128657094</v>
      </c>
      <c r="AE49" s="201">
        <f t="shared" si="26"/>
        <v>10421.884210717653</v>
      </c>
      <c r="AF49" s="201">
        <f t="shared" si="19"/>
        <v>1427.6291978519439</v>
      </c>
      <c r="AG49" s="201">
        <f t="shared" si="20"/>
        <v>8994.2550128657094</v>
      </c>
      <c r="AH49" s="201">
        <f t="shared" si="27"/>
        <v>10421.884210717653</v>
      </c>
    </row>
    <row r="50" spans="2:34" x14ac:dyDescent="0.3">
      <c r="B50" s="179">
        <f t="shared" si="10"/>
        <v>27</v>
      </c>
      <c r="C50" s="180">
        <f t="shared" si="21"/>
        <v>30.4</v>
      </c>
      <c r="D50" s="165">
        <f>IF(B50="","",Simulador!$F$62)</f>
        <v>0.11</v>
      </c>
      <c r="E50" s="167"/>
      <c r="F50" s="167">
        <f t="shared" si="22"/>
        <v>966853.41285706894</v>
      </c>
      <c r="G50" s="166"/>
      <c r="H50" s="167">
        <f t="shared" si="11"/>
        <v>1440.8902868453242</v>
      </c>
      <c r="I50" s="167">
        <f t="shared" si="23"/>
        <v>8980.9939238723291</v>
      </c>
      <c r="J50" s="167">
        <f t="shared" si="9"/>
        <v>10421.884210717653</v>
      </c>
      <c r="K50" s="167">
        <f t="shared" si="12"/>
        <v>0</v>
      </c>
      <c r="L50" s="167">
        <f t="shared" si="24"/>
        <v>0</v>
      </c>
      <c r="M50" s="167">
        <f>IF(B50="","",IF(F50=0,0,IF(Simulador!$F$11='Tabla Parámetros'!$W$1,'Tabla Parámetros'!$W$28,IF(Simulador!$F$11='Tabla Parámetros'!$Y$1,'Tabla Parámetros'!$Y$12))))</f>
        <v>299</v>
      </c>
      <c r="N50" s="167">
        <f>IF(B50="","",IF(F50=0,0,IF(Simulador!$N$7='Tabla Parámetros'!$C$31,AportPat!L30,0)))</f>
        <v>0</v>
      </c>
      <c r="O50" s="167">
        <f>Simulador!O418</f>
        <v>0</v>
      </c>
      <c r="P50" s="167">
        <f>IF(O50&gt;0,(O50*Sheet1!$AD$13)*1.16,0)</f>
        <v>0</v>
      </c>
      <c r="Q50" s="167">
        <f t="shared" si="13"/>
        <v>10720.884210717653</v>
      </c>
      <c r="R50" s="167">
        <f t="shared" si="14"/>
        <v>965412.52257022366</v>
      </c>
      <c r="U50" s="6"/>
      <c r="V50" s="6"/>
      <c r="W50" s="6"/>
      <c r="X50" s="256">
        <f t="shared" si="8"/>
        <v>10720.884210717653</v>
      </c>
      <c r="Z50" s="201">
        <f t="shared" si="25"/>
        <v>1440.8902868453254</v>
      </c>
      <c r="AA50" s="201">
        <f t="shared" si="15"/>
        <v>8980.9939238723291</v>
      </c>
      <c r="AB50" s="202">
        <f t="shared" si="16"/>
        <v>10421.884210717655</v>
      </c>
      <c r="AC50" s="201">
        <f t="shared" si="17"/>
        <v>1440.8902868453242</v>
      </c>
      <c r="AD50" s="201">
        <f t="shared" si="18"/>
        <v>8980.9939238723291</v>
      </c>
      <c r="AE50" s="201">
        <f t="shared" si="26"/>
        <v>10421.884210717653</v>
      </c>
      <c r="AF50" s="201">
        <f t="shared" si="19"/>
        <v>1440.8902868453242</v>
      </c>
      <c r="AG50" s="201">
        <f t="shared" si="20"/>
        <v>8980.9939238723291</v>
      </c>
      <c r="AH50" s="201">
        <f t="shared" si="27"/>
        <v>10421.884210717653</v>
      </c>
    </row>
    <row r="51" spans="2:34" x14ac:dyDescent="0.3">
      <c r="B51" s="179">
        <f t="shared" si="10"/>
        <v>28</v>
      </c>
      <c r="C51" s="180">
        <f t="shared" si="21"/>
        <v>30.4</v>
      </c>
      <c r="D51" s="165">
        <f>IF(B51="","",Simulador!$F$62)</f>
        <v>0.11</v>
      </c>
      <c r="E51" s="167"/>
      <c r="F51" s="167">
        <f t="shared" si="22"/>
        <v>965412.52257022366</v>
      </c>
      <c r="G51" s="166"/>
      <c r="H51" s="167">
        <f t="shared" si="11"/>
        <v>1454.2745566209105</v>
      </c>
      <c r="I51" s="167">
        <f t="shared" si="23"/>
        <v>8967.6096540967428</v>
      </c>
      <c r="J51" s="167">
        <f t="shared" si="9"/>
        <v>10421.884210717653</v>
      </c>
      <c r="K51" s="167">
        <f t="shared" si="12"/>
        <v>0</v>
      </c>
      <c r="L51" s="167">
        <f t="shared" si="24"/>
        <v>0</v>
      </c>
      <c r="M51" s="167">
        <f>IF(B51="","",IF(F51=0,0,IF(Simulador!$F$11='Tabla Parámetros'!$W$1,'Tabla Parámetros'!$W$28,IF(Simulador!$F$11='Tabla Parámetros'!$Y$1,'Tabla Parámetros'!$Y$12))))</f>
        <v>299</v>
      </c>
      <c r="N51" s="167">
        <f>IF(B51="","",IF(F51=0,0,IF(Simulador!$N$7='Tabla Parámetros'!$C$31,AportPat!L31,0)))</f>
        <v>0</v>
      </c>
      <c r="O51" s="167">
        <f>Simulador!O419</f>
        <v>0</v>
      </c>
      <c r="P51" s="167">
        <f>IF(O51&gt;0,(O51*Sheet1!$AD$13)*1.16,0)</f>
        <v>0</v>
      </c>
      <c r="Q51" s="167">
        <f t="shared" si="13"/>
        <v>10720.884210717653</v>
      </c>
      <c r="R51" s="167">
        <f t="shared" si="14"/>
        <v>963958.2480136028</v>
      </c>
      <c r="U51" s="6"/>
      <c r="V51" s="6"/>
      <c r="W51" s="6"/>
      <c r="X51" s="256">
        <f t="shared" si="8"/>
        <v>10720.884210717653</v>
      </c>
      <c r="Z51" s="201">
        <f t="shared" si="25"/>
        <v>1454.2745566209105</v>
      </c>
      <c r="AA51" s="201">
        <f t="shared" si="15"/>
        <v>8967.6096540967428</v>
      </c>
      <c r="AB51" s="202">
        <f t="shared" si="16"/>
        <v>10421.884210717653</v>
      </c>
      <c r="AC51" s="201">
        <f t="shared" si="17"/>
        <v>1454.2745566209105</v>
      </c>
      <c r="AD51" s="201">
        <f t="shared" si="18"/>
        <v>8967.6096540967428</v>
      </c>
      <c r="AE51" s="201">
        <f t="shared" si="26"/>
        <v>10421.884210717653</v>
      </c>
      <c r="AF51" s="201">
        <f t="shared" si="19"/>
        <v>1454.2745566209105</v>
      </c>
      <c r="AG51" s="201">
        <f t="shared" si="20"/>
        <v>8967.6096540967428</v>
      </c>
      <c r="AH51" s="201">
        <f t="shared" si="27"/>
        <v>10421.884210717653</v>
      </c>
    </row>
    <row r="52" spans="2:34" x14ac:dyDescent="0.3">
      <c r="B52" s="181">
        <f t="shared" si="10"/>
        <v>29</v>
      </c>
      <c r="C52" s="180">
        <f t="shared" si="21"/>
        <v>30.4</v>
      </c>
      <c r="D52" s="165">
        <f>IF(B52="","",Simulador!$F$62)</f>
        <v>0.11</v>
      </c>
      <c r="E52" s="167"/>
      <c r="F52" s="167">
        <f t="shared" si="22"/>
        <v>963958.2480136028</v>
      </c>
      <c r="G52" s="166"/>
      <c r="H52" s="167">
        <f t="shared" si="11"/>
        <v>1467.7831513912988</v>
      </c>
      <c r="I52" s="167">
        <f t="shared" si="23"/>
        <v>8954.1010593263545</v>
      </c>
      <c r="J52" s="167">
        <f t="shared" si="9"/>
        <v>10421.884210717653</v>
      </c>
      <c r="K52" s="167">
        <f t="shared" si="12"/>
        <v>0</v>
      </c>
      <c r="L52" s="167">
        <f t="shared" si="24"/>
        <v>0</v>
      </c>
      <c r="M52" s="167">
        <f>IF(B52="","",IF(F52=0,0,IF(Simulador!$F$11='Tabla Parámetros'!$W$1,'Tabla Parámetros'!$W$28,IF(Simulador!$F$11='Tabla Parámetros'!$Y$1,'Tabla Parámetros'!$Y$12))))</f>
        <v>299</v>
      </c>
      <c r="N52" s="167">
        <f>IF(B52="","",IF(F52=0,0,IF(Simulador!$N$7='Tabla Parámetros'!$C$31,AportPat!L32,0)))</f>
        <v>0</v>
      </c>
      <c r="O52" s="167">
        <f>Simulador!O420</f>
        <v>0</v>
      </c>
      <c r="P52" s="167">
        <f>IF(O52&gt;0,(O52*Sheet1!$AD$13)*1.16,0)</f>
        <v>0</v>
      </c>
      <c r="Q52" s="167">
        <f t="shared" si="13"/>
        <v>10720.884210717653</v>
      </c>
      <c r="R52" s="167">
        <f t="shared" si="14"/>
        <v>962490.46486221149</v>
      </c>
      <c r="U52" s="6"/>
      <c r="V52" s="6"/>
      <c r="W52" s="6"/>
      <c r="X52" s="256">
        <f t="shared" si="8"/>
        <v>10720.884210717653</v>
      </c>
      <c r="Z52" s="201">
        <f t="shared" si="25"/>
        <v>1467.7831513913006</v>
      </c>
      <c r="AA52" s="201">
        <f t="shared" si="15"/>
        <v>8954.1010593263545</v>
      </c>
      <c r="AB52" s="202">
        <f t="shared" si="16"/>
        <v>10421.884210717655</v>
      </c>
      <c r="AC52" s="201">
        <f t="shared" si="17"/>
        <v>1467.7831513912988</v>
      </c>
      <c r="AD52" s="201">
        <f t="shared" si="18"/>
        <v>8954.1010593263545</v>
      </c>
      <c r="AE52" s="201">
        <f t="shared" si="26"/>
        <v>10421.884210717653</v>
      </c>
      <c r="AF52" s="201">
        <f t="shared" si="19"/>
        <v>1467.7831513912988</v>
      </c>
      <c r="AG52" s="201">
        <f t="shared" si="20"/>
        <v>8954.1010593263545</v>
      </c>
      <c r="AH52" s="201">
        <f t="shared" si="27"/>
        <v>10421.884210717653</v>
      </c>
    </row>
    <row r="53" spans="2:34" x14ac:dyDescent="0.3">
      <c r="B53" s="179">
        <f t="shared" si="10"/>
        <v>30</v>
      </c>
      <c r="C53" s="180">
        <f t="shared" si="21"/>
        <v>30.4</v>
      </c>
      <c r="D53" s="165">
        <f>IF(B53="","",Simulador!$F$62)</f>
        <v>0.11</v>
      </c>
      <c r="E53" s="167"/>
      <c r="F53" s="167">
        <f t="shared" si="22"/>
        <v>962490.46486221149</v>
      </c>
      <c r="G53" s="166"/>
      <c r="H53" s="167">
        <f t="shared" si="11"/>
        <v>1481.4172259975567</v>
      </c>
      <c r="I53" s="167">
        <f t="shared" si="23"/>
        <v>8940.4669847200967</v>
      </c>
      <c r="J53" s="167">
        <f t="shared" si="9"/>
        <v>10421.884210717653</v>
      </c>
      <c r="K53" s="167">
        <f t="shared" si="12"/>
        <v>0</v>
      </c>
      <c r="L53" s="167">
        <f t="shared" si="24"/>
        <v>0</v>
      </c>
      <c r="M53" s="167">
        <f>IF(B53="","",IF(F53=0,0,IF(Simulador!$F$11='Tabla Parámetros'!$W$1,'Tabla Parámetros'!$W$28,IF(Simulador!$F$11='Tabla Parámetros'!$Y$1,'Tabla Parámetros'!$Y$12))))</f>
        <v>299</v>
      </c>
      <c r="N53" s="167">
        <f>IF(B53="","",IF(F53=0,0,IF(Simulador!$N$7='Tabla Parámetros'!$C$31,AportPat!L33,0)))</f>
        <v>0</v>
      </c>
      <c r="O53" s="167">
        <f>Simulador!O421</f>
        <v>0</v>
      </c>
      <c r="P53" s="167">
        <f>IF(O53&gt;0,(O53*Sheet1!$AD$13)*1.16,0)</f>
        <v>0</v>
      </c>
      <c r="Q53" s="167">
        <f t="shared" si="13"/>
        <v>10720.884210717653</v>
      </c>
      <c r="R53" s="167">
        <f t="shared" si="14"/>
        <v>961009.04763621395</v>
      </c>
      <c r="U53" s="6"/>
      <c r="V53" s="6"/>
      <c r="W53" s="6"/>
      <c r="X53" s="256">
        <f t="shared" si="8"/>
        <v>10720.884210717653</v>
      </c>
      <c r="Z53" s="201">
        <f t="shared" si="25"/>
        <v>1481.4172259975576</v>
      </c>
      <c r="AA53" s="201">
        <f t="shared" si="15"/>
        <v>8940.4669847200967</v>
      </c>
      <c r="AB53" s="202">
        <f t="shared" si="16"/>
        <v>10421.884210717653</v>
      </c>
      <c r="AC53" s="201">
        <f t="shared" si="17"/>
        <v>1481.4172259975567</v>
      </c>
      <c r="AD53" s="201">
        <f t="shared" si="18"/>
        <v>8940.4669847200967</v>
      </c>
      <c r="AE53" s="201">
        <f t="shared" si="26"/>
        <v>10421.884210717653</v>
      </c>
      <c r="AF53" s="201">
        <f t="shared" si="19"/>
        <v>1481.4172259975567</v>
      </c>
      <c r="AG53" s="201">
        <f t="shared" si="20"/>
        <v>8940.4669847200967</v>
      </c>
      <c r="AH53" s="201">
        <f t="shared" si="27"/>
        <v>10421.884210717653</v>
      </c>
    </row>
    <row r="54" spans="2:34" x14ac:dyDescent="0.3">
      <c r="B54" s="179">
        <f t="shared" si="10"/>
        <v>31</v>
      </c>
      <c r="C54" s="180">
        <f t="shared" si="21"/>
        <v>30.4</v>
      </c>
      <c r="D54" s="165">
        <f>IF(B54="","",Simulador!$F$62)</f>
        <v>0.11</v>
      </c>
      <c r="E54" s="167"/>
      <c r="F54" s="167">
        <f t="shared" si="22"/>
        <v>961009.04763621395</v>
      </c>
      <c r="G54" s="166"/>
      <c r="H54" s="167">
        <f t="shared" si="11"/>
        <v>1495.1779460079342</v>
      </c>
      <c r="I54" s="167">
        <f t="shared" si="23"/>
        <v>8926.7062647097191</v>
      </c>
      <c r="J54" s="167">
        <f t="shared" si="9"/>
        <v>10421.884210717653</v>
      </c>
      <c r="K54" s="167">
        <f t="shared" si="12"/>
        <v>0</v>
      </c>
      <c r="L54" s="167">
        <f t="shared" si="24"/>
        <v>0</v>
      </c>
      <c r="M54" s="167">
        <f>IF(B54="","",IF(F54=0,0,IF(Simulador!$F$11='Tabla Parámetros'!$W$1,'Tabla Parámetros'!$W$28,IF(Simulador!$F$11='Tabla Parámetros'!$Y$1,'Tabla Parámetros'!$Y$12))))</f>
        <v>299</v>
      </c>
      <c r="N54" s="167">
        <f>IF(B54="","",IF(F54=0,0,IF(Simulador!$N$7='Tabla Parámetros'!$C$31,AportPat!L34,0)))</f>
        <v>0</v>
      </c>
      <c r="O54" s="167">
        <f>Simulador!O422</f>
        <v>0</v>
      </c>
      <c r="P54" s="167">
        <f>IF(O54&gt;0,(O54*Sheet1!$AD$13)*1.16,0)</f>
        <v>0</v>
      </c>
      <c r="Q54" s="167">
        <f t="shared" si="13"/>
        <v>10720.884210717653</v>
      </c>
      <c r="R54" s="167">
        <f t="shared" si="14"/>
        <v>959513.86969020602</v>
      </c>
      <c r="U54" s="6"/>
      <c r="V54" s="6"/>
      <c r="W54" s="6"/>
      <c r="X54" s="256">
        <f t="shared" si="8"/>
        <v>10720.884210717653</v>
      </c>
      <c r="Z54" s="201">
        <f t="shared" si="25"/>
        <v>1495.1779460079349</v>
      </c>
      <c r="AA54" s="201">
        <f t="shared" si="15"/>
        <v>8926.7062647097191</v>
      </c>
      <c r="AB54" s="202">
        <f t="shared" si="16"/>
        <v>10421.884210717653</v>
      </c>
      <c r="AC54" s="201">
        <f t="shared" si="17"/>
        <v>1495.1779460079342</v>
      </c>
      <c r="AD54" s="201">
        <f t="shared" si="18"/>
        <v>8926.7062647097191</v>
      </c>
      <c r="AE54" s="201">
        <f t="shared" si="26"/>
        <v>10421.884210717653</v>
      </c>
      <c r="AF54" s="201">
        <f t="shared" si="19"/>
        <v>1495.1779460079342</v>
      </c>
      <c r="AG54" s="201">
        <f t="shared" si="20"/>
        <v>8926.7062647097191</v>
      </c>
      <c r="AH54" s="201">
        <f t="shared" si="27"/>
        <v>10421.884210717653</v>
      </c>
    </row>
    <row r="55" spans="2:34" x14ac:dyDescent="0.3">
      <c r="B55" s="179">
        <f t="shared" si="10"/>
        <v>32</v>
      </c>
      <c r="C55" s="180">
        <f t="shared" si="21"/>
        <v>30.4</v>
      </c>
      <c r="D55" s="165">
        <f>IF(B55="","",Simulador!$F$62)</f>
        <v>0.11</v>
      </c>
      <c r="E55" s="167"/>
      <c r="F55" s="167">
        <f t="shared" si="22"/>
        <v>959513.86969020602</v>
      </c>
      <c r="G55" s="166"/>
      <c r="H55" s="167">
        <f t="shared" si="11"/>
        <v>1509.0664878175176</v>
      </c>
      <c r="I55" s="167">
        <f t="shared" si="23"/>
        <v>8912.8177229001358</v>
      </c>
      <c r="J55" s="167">
        <f t="shared" si="9"/>
        <v>10421.884210717653</v>
      </c>
      <c r="K55" s="167">
        <f t="shared" si="12"/>
        <v>0</v>
      </c>
      <c r="L55" s="167">
        <f t="shared" si="24"/>
        <v>0</v>
      </c>
      <c r="M55" s="167">
        <f>IF(B55="","",IF(F55=0,0,IF(Simulador!$F$11='Tabla Parámetros'!$W$1,'Tabla Parámetros'!$W$28,IF(Simulador!$F$11='Tabla Parámetros'!$Y$1,'Tabla Parámetros'!$Y$12))))</f>
        <v>299</v>
      </c>
      <c r="N55" s="167">
        <f>IF(B55="","",IF(F55=0,0,IF(Simulador!$N$7='Tabla Parámetros'!$C$31,AportPat!L35,0)))</f>
        <v>0</v>
      </c>
      <c r="O55" s="167">
        <f>Simulador!O423</f>
        <v>0</v>
      </c>
      <c r="P55" s="167">
        <f>IF(O55&gt;0,(O55*Sheet1!$AD$13)*1.16,0)</f>
        <v>0</v>
      </c>
      <c r="Q55" s="167">
        <f t="shared" si="13"/>
        <v>10720.884210717653</v>
      </c>
      <c r="R55" s="167">
        <f t="shared" si="14"/>
        <v>958004.80320238846</v>
      </c>
      <c r="U55" s="6"/>
      <c r="V55" s="6"/>
      <c r="W55" s="6"/>
      <c r="X55" s="256">
        <f t="shared" si="8"/>
        <v>10720.884210717653</v>
      </c>
      <c r="Z55" s="201">
        <f t="shared" si="25"/>
        <v>1509.0664878175194</v>
      </c>
      <c r="AA55" s="201">
        <f t="shared" si="15"/>
        <v>8912.8177229001358</v>
      </c>
      <c r="AB55" s="202">
        <f t="shared" si="16"/>
        <v>10421.884210717655</v>
      </c>
      <c r="AC55" s="201">
        <f t="shared" si="17"/>
        <v>1509.0664878175176</v>
      </c>
      <c r="AD55" s="201">
        <f t="shared" si="18"/>
        <v>8912.8177229001358</v>
      </c>
      <c r="AE55" s="201">
        <f t="shared" si="26"/>
        <v>10421.884210717653</v>
      </c>
      <c r="AF55" s="201">
        <f t="shared" si="19"/>
        <v>1509.0664878175176</v>
      </c>
      <c r="AG55" s="201">
        <f t="shared" si="20"/>
        <v>8912.8177229001358</v>
      </c>
      <c r="AH55" s="201">
        <f t="shared" si="27"/>
        <v>10421.884210717653</v>
      </c>
    </row>
    <row r="56" spans="2:34" x14ac:dyDescent="0.3">
      <c r="B56" s="181">
        <f t="shared" si="10"/>
        <v>33</v>
      </c>
      <c r="C56" s="180">
        <f t="shared" si="21"/>
        <v>30.4</v>
      </c>
      <c r="D56" s="165">
        <f>IF(B56="","",Simulador!$F$62)</f>
        <v>0.11</v>
      </c>
      <c r="E56" s="167"/>
      <c r="F56" s="167">
        <f t="shared" si="22"/>
        <v>958004.80320238846</v>
      </c>
      <c r="G56" s="166"/>
      <c r="H56" s="167">
        <f t="shared" si="11"/>
        <v>1523.0840387488006</v>
      </c>
      <c r="I56" s="167">
        <f t="shared" si="23"/>
        <v>8898.8001719688527</v>
      </c>
      <c r="J56" s="167">
        <f t="shared" si="9"/>
        <v>10421.884210717653</v>
      </c>
      <c r="K56" s="167">
        <f t="shared" si="12"/>
        <v>0</v>
      </c>
      <c r="L56" s="167">
        <f t="shared" si="24"/>
        <v>0</v>
      </c>
      <c r="M56" s="167">
        <f>IF(B56="","",IF(F56=0,0,IF(Simulador!$F$11='Tabla Parámetros'!$W$1,'Tabla Parámetros'!$W$28,IF(Simulador!$F$11='Tabla Parámetros'!$Y$1,'Tabla Parámetros'!$Y$12))))</f>
        <v>299</v>
      </c>
      <c r="N56" s="167">
        <f>IF(B56="","",IF(F56=0,0,IF(Simulador!$N$7='Tabla Parámetros'!$C$31,AportPat!L36,0)))</f>
        <v>0</v>
      </c>
      <c r="O56" s="167">
        <f>Simulador!O424</f>
        <v>0</v>
      </c>
      <c r="P56" s="167">
        <f>IF(O56&gt;0,(O56*Sheet1!$AD$13)*1.16,0)</f>
        <v>0</v>
      </c>
      <c r="Q56" s="167">
        <f t="shared" si="13"/>
        <v>10720.884210717653</v>
      </c>
      <c r="R56" s="167">
        <f t="shared" si="14"/>
        <v>956481.7191636397</v>
      </c>
      <c r="U56" s="6"/>
      <c r="V56" s="6"/>
      <c r="W56" s="6"/>
      <c r="X56" s="256">
        <f t="shared" si="8"/>
        <v>10720.884210717653</v>
      </c>
      <c r="Z56" s="201">
        <f t="shared" si="25"/>
        <v>1523.0840387488022</v>
      </c>
      <c r="AA56" s="201">
        <f t="shared" si="15"/>
        <v>8898.8001719688527</v>
      </c>
      <c r="AB56" s="202">
        <f t="shared" si="16"/>
        <v>10421.884210717655</v>
      </c>
      <c r="AC56" s="201">
        <f t="shared" si="17"/>
        <v>1523.0840387488006</v>
      </c>
      <c r="AD56" s="201">
        <f t="shared" si="18"/>
        <v>8898.8001719688527</v>
      </c>
      <c r="AE56" s="201">
        <f t="shared" si="26"/>
        <v>10421.884210717653</v>
      </c>
      <c r="AF56" s="201">
        <f t="shared" si="19"/>
        <v>1523.0840387488006</v>
      </c>
      <c r="AG56" s="201">
        <f t="shared" si="20"/>
        <v>8898.8001719688527</v>
      </c>
      <c r="AH56" s="201">
        <f t="shared" si="27"/>
        <v>10421.884210717653</v>
      </c>
    </row>
    <row r="57" spans="2:34" x14ac:dyDescent="0.3">
      <c r="B57" s="179">
        <f t="shared" si="10"/>
        <v>34</v>
      </c>
      <c r="C57" s="180">
        <f t="shared" si="21"/>
        <v>30.4</v>
      </c>
      <c r="D57" s="165">
        <f>IF(B57="","",Simulador!$F$62)</f>
        <v>0.11</v>
      </c>
      <c r="E57" s="167"/>
      <c r="F57" s="167">
        <f t="shared" si="22"/>
        <v>956481.7191636397</v>
      </c>
      <c r="G57" s="166"/>
      <c r="H57" s="167">
        <f t="shared" si="11"/>
        <v>1537.2317971531793</v>
      </c>
      <c r="I57" s="167">
        <f t="shared" si="23"/>
        <v>8884.652413564474</v>
      </c>
      <c r="J57" s="167">
        <f t="shared" si="9"/>
        <v>10421.884210717653</v>
      </c>
      <c r="K57" s="167">
        <f t="shared" si="12"/>
        <v>0</v>
      </c>
      <c r="L57" s="167">
        <f t="shared" si="24"/>
        <v>0</v>
      </c>
      <c r="M57" s="167">
        <f>IF(B57="","",IF(F57=0,0,IF(Simulador!$F$11='Tabla Parámetros'!$W$1,'Tabla Parámetros'!$W$28,IF(Simulador!$F$11='Tabla Parámetros'!$Y$1,'Tabla Parámetros'!$Y$12))))</f>
        <v>299</v>
      </c>
      <c r="N57" s="167">
        <f>IF(B57="","",IF(F57=0,0,IF(Simulador!$N$7='Tabla Parámetros'!$C$31,AportPat!L37,0)))</f>
        <v>0</v>
      </c>
      <c r="O57" s="167">
        <f>Simulador!O425</f>
        <v>0</v>
      </c>
      <c r="P57" s="167">
        <f>IF(O57&gt;0,(O57*Sheet1!$AD$13)*1.16,0)</f>
        <v>0</v>
      </c>
      <c r="Q57" s="167">
        <f t="shared" si="13"/>
        <v>10720.884210717653</v>
      </c>
      <c r="R57" s="167">
        <f t="shared" si="14"/>
        <v>954944.48736648657</v>
      </c>
      <c r="U57" s="6"/>
      <c r="V57" s="6"/>
      <c r="W57" s="6"/>
      <c r="X57" s="256">
        <f t="shared" si="8"/>
        <v>10720.884210717653</v>
      </c>
      <c r="Z57" s="201">
        <f t="shared" si="25"/>
        <v>1537.23179715318</v>
      </c>
      <c r="AA57" s="201">
        <f t="shared" si="15"/>
        <v>8884.652413564474</v>
      </c>
      <c r="AB57" s="202">
        <f t="shared" si="16"/>
        <v>10421.884210717653</v>
      </c>
      <c r="AC57" s="201">
        <f t="shared" si="17"/>
        <v>1537.2317971531793</v>
      </c>
      <c r="AD57" s="201">
        <f t="shared" si="18"/>
        <v>8884.652413564474</v>
      </c>
      <c r="AE57" s="201">
        <f t="shared" si="26"/>
        <v>10421.884210717653</v>
      </c>
      <c r="AF57" s="201">
        <f t="shared" si="19"/>
        <v>1537.2317971531793</v>
      </c>
      <c r="AG57" s="201">
        <f t="shared" si="20"/>
        <v>8884.652413564474</v>
      </c>
      <c r="AH57" s="201">
        <f t="shared" si="27"/>
        <v>10421.884210717653</v>
      </c>
    </row>
    <row r="58" spans="2:34" x14ac:dyDescent="0.3">
      <c r="B58" s="179">
        <f t="shared" si="10"/>
        <v>35</v>
      </c>
      <c r="C58" s="180">
        <f t="shared" si="21"/>
        <v>30.4</v>
      </c>
      <c r="D58" s="165">
        <f>IF(B58="","",Simulador!$F$62)</f>
        <v>0.11</v>
      </c>
      <c r="E58" s="167"/>
      <c r="F58" s="167">
        <f t="shared" si="22"/>
        <v>954944.48736648657</v>
      </c>
      <c r="G58" s="166"/>
      <c r="H58" s="167">
        <f t="shared" si="11"/>
        <v>1551.5109725134043</v>
      </c>
      <c r="I58" s="167">
        <f t="shared" si="23"/>
        <v>8870.3732382042526</v>
      </c>
      <c r="J58" s="167">
        <f t="shared" si="9"/>
        <v>10421.884210717657</v>
      </c>
      <c r="K58" s="167">
        <f t="shared" si="12"/>
        <v>0</v>
      </c>
      <c r="L58" s="167">
        <f t="shared" si="24"/>
        <v>0</v>
      </c>
      <c r="M58" s="167">
        <f>IF(B58="","",IF(F58=0,0,IF(Simulador!$F$11='Tabla Parámetros'!$W$1,'Tabla Parámetros'!$W$28,IF(Simulador!$F$11='Tabla Parámetros'!$Y$1,'Tabla Parámetros'!$Y$12))))</f>
        <v>299</v>
      </c>
      <c r="N58" s="167">
        <f>IF(B58="","",IF(F58=0,0,IF(Simulador!$N$7='Tabla Parámetros'!$C$31,AportPat!L38,0)))</f>
        <v>0</v>
      </c>
      <c r="O58" s="167">
        <f>Simulador!O426</f>
        <v>0</v>
      </c>
      <c r="P58" s="167">
        <f>IF(O58&gt;0,(O58*Sheet1!$AD$13)*1.16,0)</f>
        <v>0</v>
      </c>
      <c r="Q58" s="167">
        <f t="shared" si="13"/>
        <v>10720.884210717657</v>
      </c>
      <c r="R58" s="167">
        <f t="shared" si="14"/>
        <v>953392.97639397322</v>
      </c>
      <c r="U58" s="6"/>
      <c r="V58" s="6"/>
      <c r="W58" s="6"/>
      <c r="X58" s="256">
        <f t="shared" si="8"/>
        <v>10720.884210717653</v>
      </c>
      <c r="Z58" s="201">
        <f t="shared" si="25"/>
        <v>1551.5109725134027</v>
      </c>
      <c r="AA58" s="201">
        <f t="shared" si="15"/>
        <v>8870.3732382042526</v>
      </c>
      <c r="AB58" s="202">
        <f t="shared" si="16"/>
        <v>10421.884210717655</v>
      </c>
      <c r="AC58" s="201">
        <f t="shared" si="17"/>
        <v>1551.5109725134007</v>
      </c>
      <c r="AD58" s="201">
        <f t="shared" si="18"/>
        <v>8870.3732382042526</v>
      </c>
      <c r="AE58" s="201">
        <f t="shared" si="26"/>
        <v>10421.884210717653</v>
      </c>
      <c r="AF58" s="201">
        <f t="shared" si="19"/>
        <v>1551.5109725134043</v>
      </c>
      <c r="AG58" s="201">
        <f t="shared" si="20"/>
        <v>8870.3732382042526</v>
      </c>
      <c r="AH58" s="201">
        <f t="shared" si="27"/>
        <v>10421.884210717657</v>
      </c>
    </row>
    <row r="59" spans="2:34" x14ac:dyDescent="0.3">
      <c r="B59" s="179">
        <f t="shared" si="10"/>
        <v>36</v>
      </c>
      <c r="C59" s="180">
        <f t="shared" si="21"/>
        <v>30.4</v>
      </c>
      <c r="D59" s="165">
        <f>IF(B59="","",Simulador!$F$62)</f>
        <v>0.11</v>
      </c>
      <c r="E59" s="167"/>
      <c r="F59" s="167">
        <f t="shared" si="22"/>
        <v>953392.97639397322</v>
      </c>
      <c r="G59" s="166"/>
      <c r="H59" s="167">
        <f t="shared" si="11"/>
        <v>1565.922785546969</v>
      </c>
      <c r="I59" s="167">
        <f t="shared" si="23"/>
        <v>8855.9614251706844</v>
      </c>
      <c r="J59" s="167">
        <f t="shared" si="9"/>
        <v>10421.884210717653</v>
      </c>
      <c r="K59" s="167">
        <f t="shared" si="12"/>
        <v>0</v>
      </c>
      <c r="L59" s="167">
        <f t="shared" si="24"/>
        <v>0</v>
      </c>
      <c r="M59" s="167">
        <f>IF(B59="","",IF(F59=0,0,IF(Simulador!$F$11='Tabla Parámetros'!$W$1,'Tabla Parámetros'!$W$28,IF(Simulador!$F$11='Tabla Parámetros'!$Y$1,'Tabla Parámetros'!$Y$12))))</f>
        <v>299</v>
      </c>
      <c r="N59" s="167">
        <f>IF(B59="","",IF(F59=0,0,IF(Simulador!$N$7='Tabla Parámetros'!$C$31,AportPat!L39,0)))</f>
        <v>0</v>
      </c>
      <c r="O59" s="167">
        <f>Simulador!O427</f>
        <v>0</v>
      </c>
      <c r="P59" s="167">
        <f>IF(O59&gt;0,(O59*Sheet1!$AD$13)*1.16,0)</f>
        <v>0</v>
      </c>
      <c r="Q59" s="167">
        <f t="shared" si="13"/>
        <v>10720.884210717653</v>
      </c>
      <c r="R59" s="167">
        <f t="shared" si="14"/>
        <v>951827.05360842624</v>
      </c>
      <c r="U59" s="6"/>
      <c r="V59" s="6"/>
      <c r="W59" s="6"/>
      <c r="X59" s="256">
        <f t="shared" si="8"/>
        <v>10720.884210717653</v>
      </c>
      <c r="Z59" s="201">
        <f t="shared" si="25"/>
        <v>1565.9227855469715</v>
      </c>
      <c r="AA59" s="201">
        <f t="shared" si="15"/>
        <v>8855.9614251706844</v>
      </c>
      <c r="AB59" s="202">
        <f t="shared" si="16"/>
        <v>10421.884210717655</v>
      </c>
      <c r="AC59" s="201">
        <f t="shared" si="17"/>
        <v>1565.922785546969</v>
      </c>
      <c r="AD59" s="201">
        <f t="shared" si="18"/>
        <v>8855.9614251706844</v>
      </c>
      <c r="AE59" s="201">
        <f t="shared" si="26"/>
        <v>10421.884210717653</v>
      </c>
      <c r="AF59" s="201">
        <f t="shared" si="19"/>
        <v>1565.922785546969</v>
      </c>
      <c r="AG59" s="201">
        <f t="shared" si="20"/>
        <v>8855.9614251706844</v>
      </c>
      <c r="AH59" s="201">
        <f t="shared" si="27"/>
        <v>10421.884210717653</v>
      </c>
    </row>
    <row r="60" spans="2:34" x14ac:dyDescent="0.3">
      <c r="B60" s="181">
        <f t="shared" si="10"/>
        <v>37</v>
      </c>
      <c r="C60" s="180">
        <f t="shared" si="21"/>
        <v>30.4</v>
      </c>
      <c r="D60" s="165">
        <f>IF(B60="","",Simulador!$F$62)</f>
        <v>0.11</v>
      </c>
      <c r="E60" s="167"/>
      <c r="F60" s="167">
        <f t="shared" si="22"/>
        <v>951827.05360842624</v>
      </c>
      <c r="G60" s="166"/>
      <c r="H60" s="167">
        <f t="shared" si="11"/>
        <v>1580.4684683104988</v>
      </c>
      <c r="I60" s="167">
        <f t="shared" si="23"/>
        <v>8841.4157424071582</v>
      </c>
      <c r="J60" s="167">
        <f t="shared" si="9"/>
        <v>10421.884210717657</v>
      </c>
      <c r="K60" s="167">
        <f t="shared" si="12"/>
        <v>0</v>
      </c>
      <c r="L60" s="167">
        <f t="shared" si="24"/>
        <v>0</v>
      </c>
      <c r="M60" s="167">
        <f>IF(B60="","",IF(F60=0,0,IF(Simulador!$F$11='Tabla Parámetros'!$W$1,'Tabla Parámetros'!$W$28,IF(Simulador!$F$11='Tabla Parámetros'!$Y$1,'Tabla Parámetros'!$Y$12))))</f>
        <v>299</v>
      </c>
      <c r="N60" s="167">
        <f>IF(B60="","",IF(F60=0,0,IF(Simulador!$N$7='Tabla Parámetros'!$C$31,AportPat!L40,0)))</f>
        <v>0</v>
      </c>
      <c r="O60" s="167">
        <f>Simulador!O428</f>
        <v>0</v>
      </c>
      <c r="P60" s="167">
        <v>0</v>
      </c>
      <c r="Q60" s="167">
        <f t="shared" si="13"/>
        <v>10720.884210717657</v>
      </c>
      <c r="R60" s="167">
        <f t="shared" si="14"/>
        <v>950246.5851401157</v>
      </c>
      <c r="U60" s="6"/>
      <c r="V60" s="6"/>
      <c r="W60" s="6"/>
      <c r="X60" s="256">
        <f t="shared" si="8"/>
        <v>10720.884210717653</v>
      </c>
      <c r="Z60" s="201">
        <f t="shared" ref="Z60:Z88" si="28">IF(F60=0,0,PPMT(D60/360*30.4,B60,$E$2,-$F$24)+N60+O60)</f>
        <v>1580.4684683104972</v>
      </c>
      <c r="AA60" s="201">
        <f t="shared" si="15"/>
        <v>8841.4157424071582</v>
      </c>
      <c r="AB60" s="202">
        <f t="shared" si="16"/>
        <v>10421.884210717655</v>
      </c>
      <c r="AC60" s="201">
        <f t="shared" si="17"/>
        <v>1580.4684683104952</v>
      </c>
      <c r="AD60" s="201">
        <f t="shared" si="18"/>
        <v>8841.4157424071582</v>
      </c>
      <c r="AE60" s="201">
        <f t="shared" ref="AE60:AE88" si="29">IF(F60=0,0,PMT($E$1/360*30.4,$E$2,-$H$2)+N60+O60)</f>
        <v>10421.884210717653</v>
      </c>
      <c r="AF60" s="201">
        <f t="shared" si="19"/>
        <v>1580.4684683104988</v>
      </c>
      <c r="AG60" s="201">
        <f t="shared" si="20"/>
        <v>8841.4157424071582</v>
      </c>
      <c r="AH60" s="201">
        <f t="shared" ref="AH60:AH89" si="30">PMT($E$1/360*30.4,$E$2-B59,-F60)+N60+O60</f>
        <v>10421.884210717657</v>
      </c>
    </row>
    <row r="61" spans="2:34" x14ac:dyDescent="0.3">
      <c r="B61" s="179">
        <f t="shared" si="10"/>
        <v>38</v>
      </c>
      <c r="C61" s="180">
        <f t="shared" si="21"/>
        <v>30.4</v>
      </c>
      <c r="D61" s="165">
        <f>IF(B61="","",Simulador!$F$62)</f>
        <v>0.11</v>
      </c>
      <c r="E61" s="167"/>
      <c r="F61" s="167">
        <f t="shared" si="22"/>
        <v>950246.5851401157</v>
      </c>
      <c r="G61" s="166"/>
      <c r="H61" s="167">
        <f t="shared" si="11"/>
        <v>1595.1492643050242</v>
      </c>
      <c r="I61" s="167">
        <f t="shared" si="23"/>
        <v>8826.7349464126291</v>
      </c>
      <c r="J61" s="167">
        <f t="shared" si="9"/>
        <v>10421.884210717653</v>
      </c>
      <c r="K61" s="167">
        <f t="shared" si="12"/>
        <v>0</v>
      </c>
      <c r="L61" s="167">
        <f t="shared" si="24"/>
        <v>0</v>
      </c>
      <c r="M61" s="167">
        <f>IF(B61="","",IF(F61=0,0,IF(Simulador!$F$11='Tabla Parámetros'!$W$1,'Tabla Parámetros'!$W$28,IF(Simulador!$F$11='Tabla Parámetros'!$Y$1,'Tabla Parámetros'!$Y$12))))</f>
        <v>299</v>
      </c>
      <c r="N61" s="167">
        <f>IF(B61="","",IF(F61=0,0,IF(Simulador!$N$7='Tabla Parámetros'!$C$31,AportPat!L41,0)))</f>
        <v>0</v>
      </c>
      <c r="O61" s="167">
        <f>Simulador!O429</f>
        <v>0</v>
      </c>
      <c r="P61" s="167">
        <v>0</v>
      </c>
      <c r="Q61" s="167">
        <f t="shared" si="13"/>
        <v>10720.884210717653</v>
      </c>
      <c r="R61" s="167">
        <f t="shared" si="14"/>
        <v>948651.43587581068</v>
      </c>
      <c r="U61" s="6"/>
      <c r="V61" s="6"/>
      <c r="W61" s="6"/>
      <c r="X61" s="256">
        <f t="shared" si="8"/>
        <v>10720.884210717653</v>
      </c>
      <c r="Z61" s="201">
        <f t="shared" si="28"/>
        <v>1595.1492643050258</v>
      </c>
      <c r="AA61" s="201">
        <f t="shared" si="15"/>
        <v>8826.7349464126291</v>
      </c>
      <c r="AB61" s="202">
        <f t="shared" si="16"/>
        <v>10421.884210717655</v>
      </c>
      <c r="AC61" s="201">
        <f t="shared" si="17"/>
        <v>1595.1492643050242</v>
      </c>
      <c r="AD61" s="201">
        <f t="shared" si="18"/>
        <v>8826.7349464126291</v>
      </c>
      <c r="AE61" s="201">
        <f t="shared" si="29"/>
        <v>10421.884210717653</v>
      </c>
      <c r="AF61" s="201">
        <f t="shared" si="19"/>
        <v>1595.1492643050242</v>
      </c>
      <c r="AG61" s="201">
        <f t="shared" si="20"/>
        <v>8826.7349464126291</v>
      </c>
      <c r="AH61" s="201">
        <f t="shared" si="30"/>
        <v>10421.884210717653</v>
      </c>
    </row>
    <row r="62" spans="2:34" x14ac:dyDescent="0.3">
      <c r="B62" s="179">
        <f t="shared" si="10"/>
        <v>39</v>
      </c>
      <c r="C62" s="180">
        <f t="shared" si="21"/>
        <v>30.4</v>
      </c>
      <c r="D62" s="165">
        <f>IF(B62="","",Simulador!$F$62)</f>
        <v>0.11</v>
      </c>
      <c r="E62" s="167"/>
      <c r="F62" s="167">
        <f t="shared" si="22"/>
        <v>948651.43587581068</v>
      </c>
      <c r="G62" s="166"/>
      <c r="H62" s="167">
        <f t="shared" si="11"/>
        <v>1609.9664285823492</v>
      </c>
      <c r="I62" s="167">
        <f t="shared" si="23"/>
        <v>8811.9177821353078</v>
      </c>
      <c r="J62" s="167">
        <f t="shared" si="9"/>
        <v>10421.884210717657</v>
      </c>
      <c r="K62" s="167">
        <f t="shared" si="12"/>
        <v>0</v>
      </c>
      <c r="L62" s="167">
        <f t="shared" si="24"/>
        <v>0</v>
      </c>
      <c r="M62" s="167">
        <f>IF(B62="","",IF(F62=0,0,IF(Simulador!$F$11='Tabla Parámetros'!$W$1,'Tabla Parámetros'!$W$28,IF(Simulador!$F$11='Tabla Parámetros'!$Y$1,'Tabla Parámetros'!$Y$12))))</f>
        <v>299</v>
      </c>
      <c r="N62" s="167">
        <f>IF(B62="","",IF(F62=0,0,IF(Simulador!$N$7='Tabla Parámetros'!$C$31,AportPat!L42,0)))</f>
        <v>0</v>
      </c>
      <c r="O62" s="167">
        <f>Simulador!O430</f>
        <v>0</v>
      </c>
      <c r="P62" s="167">
        <v>0</v>
      </c>
      <c r="Q62" s="167">
        <f t="shared" si="13"/>
        <v>10720.884210717657</v>
      </c>
      <c r="R62" s="167">
        <f t="shared" si="14"/>
        <v>947041.46944722836</v>
      </c>
      <c r="U62" s="6"/>
      <c r="V62" s="6"/>
      <c r="W62" s="6"/>
      <c r="X62" s="256">
        <f t="shared" si="8"/>
        <v>10720.884210717653</v>
      </c>
      <c r="Z62" s="201">
        <f t="shared" si="28"/>
        <v>1609.966428582348</v>
      </c>
      <c r="AA62" s="201">
        <f t="shared" si="15"/>
        <v>8811.9177821353078</v>
      </c>
      <c r="AB62" s="202">
        <f t="shared" si="16"/>
        <v>10421.884210717655</v>
      </c>
      <c r="AC62" s="201">
        <f t="shared" si="17"/>
        <v>1609.9664285823455</v>
      </c>
      <c r="AD62" s="201">
        <f t="shared" si="18"/>
        <v>8811.9177821353078</v>
      </c>
      <c r="AE62" s="201">
        <f t="shared" si="29"/>
        <v>10421.884210717653</v>
      </c>
      <c r="AF62" s="201">
        <f t="shared" si="19"/>
        <v>1609.9664285823492</v>
      </c>
      <c r="AG62" s="201">
        <f t="shared" si="20"/>
        <v>8811.9177821353078</v>
      </c>
      <c r="AH62" s="201">
        <f t="shared" si="30"/>
        <v>10421.884210717657</v>
      </c>
    </row>
    <row r="63" spans="2:34" x14ac:dyDescent="0.3">
      <c r="B63" s="179">
        <f t="shared" si="10"/>
        <v>40</v>
      </c>
      <c r="C63" s="180">
        <f t="shared" si="21"/>
        <v>30.4</v>
      </c>
      <c r="D63" s="165">
        <f>IF(B63="","",Simulador!$F$62)</f>
        <v>0.11</v>
      </c>
      <c r="E63" s="167"/>
      <c r="F63" s="167">
        <f t="shared" si="22"/>
        <v>947041.46944722836</v>
      </c>
      <c r="G63" s="166"/>
      <c r="H63" s="167">
        <f t="shared" si="11"/>
        <v>1624.9212278522918</v>
      </c>
      <c r="I63" s="167">
        <f t="shared" si="23"/>
        <v>8796.9629828653651</v>
      </c>
      <c r="J63" s="167">
        <f t="shared" si="9"/>
        <v>10421.884210717657</v>
      </c>
      <c r="K63" s="167">
        <f t="shared" si="12"/>
        <v>0</v>
      </c>
      <c r="L63" s="167">
        <f t="shared" si="24"/>
        <v>0</v>
      </c>
      <c r="M63" s="167">
        <f>IF(B63="","",IF(F63=0,0,IF(Simulador!$F$11='Tabla Parámetros'!$W$1,'Tabla Parámetros'!$W$28,IF(Simulador!$F$11='Tabla Parámetros'!$Y$1,'Tabla Parámetros'!$Y$12))))</f>
        <v>299</v>
      </c>
      <c r="N63" s="167">
        <f>IF(B63="","",IF(F63=0,0,IF(Simulador!$N$7='Tabla Parámetros'!$C$31,AportPat!L43,0)))</f>
        <v>0</v>
      </c>
      <c r="O63" s="167">
        <f>Simulador!O431</f>
        <v>0</v>
      </c>
      <c r="P63" s="167">
        <v>0</v>
      </c>
      <c r="Q63" s="167">
        <f t="shared" si="13"/>
        <v>10720.884210717657</v>
      </c>
      <c r="R63" s="167">
        <f t="shared" si="14"/>
        <v>945416.54821937601</v>
      </c>
      <c r="U63" s="6"/>
      <c r="V63" s="6"/>
      <c r="W63" s="6"/>
      <c r="X63" s="256">
        <f t="shared" si="8"/>
        <v>10720.884210717653</v>
      </c>
      <c r="Z63" s="201">
        <f t="shared" si="28"/>
        <v>1624.9212278522907</v>
      </c>
      <c r="AA63" s="201">
        <f t="shared" si="15"/>
        <v>8796.9629828653651</v>
      </c>
      <c r="AB63" s="202">
        <f t="shared" si="16"/>
        <v>10421.884210717655</v>
      </c>
      <c r="AC63" s="201">
        <f t="shared" si="17"/>
        <v>1624.9212278522882</v>
      </c>
      <c r="AD63" s="201">
        <f t="shared" si="18"/>
        <v>8796.9629828653651</v>
      </c>
      <c r="AE63" s="201">
        <f t="shared" si="29"/>
        <v>10421.884210717653</v>
      </c>
      <c r="AF63" s="201">
        <f t="shared" si="19"/>
        <v>1624.9212278522918</v>
      </c>
      <c r="AG63" s="201">
        <f t="shared" si="20"/>
        <v>8796.9629828653651</v>
      </c>
      <c r="AH63" s="201">
        <f t="shared" si="30"/>
        <v>10421.884210717657</v>
      </c>
    </row>
    <row r="64" spans="2:34" x14ac:dyDescent="0.3">
      <c r="B64" s="181">
        <f t="shared" si="10"/>
        <v>41</v>
      </c>
      <c r="C64" s="180">
        <f t="shared" si="21"/>
        <v>30.4</v>
      </c>
      <c r="D64" s="165">
        <f>IF(B64="","",Simulador!$F$62)</f>
        <v>0.11</v>
      </c>
      <c r="E64" s="167"/>
      <c r="F64" s="167">
        <f t="shared" si="22"/>
        <v>945416.54821937601</v>
      </c>
      <c r="G64" s="166"/>
      <c r="H64" s="167">
        <f t="shared" si="11"/>
        <v>1640.0149405910088</v>
      </c>
      <c r="I64" s="167">
        <f t="shared" si="23"/>
        <v>8781.8692701266482</v>
      </c>
      <c r="J64" s="167">
        <f t="shared" si="9"/>
        <v>10421.884210717657</v>
      </c>
      <c r="K64" s="167">
        <f t="shared" si="12"/>
        <v>0</v>
      </c>
      <c r="L64" s="167">
        <f t="shared" si="24"/>
        <v>0</v>
      </c>
      <c r="M64" s="167">
        <f>IF(B64="","",IF(F64=0,0,IF(Simulador!$F$11='Tabla Parámetros'!$W$1,'Tabla Parámetros'!$W$28,IF(Simulador!$F$11='Tabla Parámetros'!$Y$1,'Tabla Parámetros'!$Y$12))))</f>
        <v>299</v>
      </c>
      <c r="N64" s="167">
        <f>IF(B64="","",IF(F64=0,0,IF(Simulador!$N$7='Tabla Parámetros'!$C$31,AportPat!L44,0)))</f>
        <v>0</v>
      </c>
      <c r="O64" s="167">
        <f>Simulador!O432</f>
        <v>0</v>
      </c>
      <c r="P64" s="167">
        <v>0</v>
      </c>
      <c r="Q64" s="167">
        <f t="shared" si="13"/>
        <v>10720.884210717657</v>
      </c>
      <c r="R64" s="167">
        <f t="shared" si="14"/>
        <v>943776.53327878495</v>
      </c>
      <c r="U64" s="6"/>
      <c r="V64" s="6"/>
      <c r="W64" s="6"/>
      <c r="X64" s="256">
        <f t="shared" si="8"/>
        <v>10720.884210717653</v>
      </c>
      <c r="Z64" s="201">
        <f t="shared" si="28"/>
        <v>1640.0149405910074</v>
      </c>
      <c r="AA64" s="201">
        <f t="shared" si="15"/>
        <v>8781.8692701266482</v>
      </c>
      <c r="AB64" s="202">
        <f t="shared" si="16"/>
        <v>10421.884210717655</v>
      </c>
      <c r="AC64" s="201">
        <f t="shared" si="17"/>
        <v>1640.0149405910051</v>
      </c>
      <c r="AD64" s="201">
        <f t="shared" si="18"/>
        <v>8781.8692701266482</v>
      </c>
      <c r="AE64" s="201">
        <f t="shared" si="29"/>
        <v>10421.884210717653</v>
      </c>
      <c r="AF64" s="201">
        <f t="shared" si="19"/>
        <v>1640.0149405910088</v>
      </c>
      <c r="AG64" s="201">
        <f t="shared" si="20"/>
        <v>8781.8692701266482</v>
      </c>
      <c r="AH64" s="201">
        <f t="shared" si="30"/>
        <v>10421.884210717657</v>
      </c>
    </row>
    <row r="65" spans="2:34" x14ac:dyDescent="0.3">
      <c r="B65" s="179">
        <f t="shared" si="10"/>
        <v>42</v>
      </c>
      <c r="C65" s="180">
        <f t="shared" si="21"/>
        <v>30.4</v>
      </c>
      <c r="D65" s="165">
        <f>IF(B65="","",Simulador!$F$62)</f>
        <v>0.11</v>
      </c>
      <c r="E65" s="167"/>
      <c r="F65" s="167">
        <f t="shared" si="22"/>
        <v>943776.53327878495</v>
      </c>
      <c r="G65" s="166"/>
      <c r="H65" s="167">
        <f t="shared" si="11"/>
        <v>1655.2488571502781</v>
      </c>
      <c r="I65" s="167">
        <f t="shared" si="23"/>
        <v>8766.6353535673788</v>
      </c>
      <c r="J65" s="167">
        <f t="shared" si="9"/>
        <v>10421.884210717657</v>
      </c>
      <c r="K65" s="167">
        <f t="shared" si="12"/>
        <v>0</v>
      </c>
      <c r="L65" s="167">
        <f t="shared" si="24"/>
        <v>0</v>
      </c>
      <c r="M65" s="167">
        <f>IF(B65="","",IF(F65=0,0,IF(Simulador!$F$11='Tabla Parámetros'!$W$1,'Tabla Parámetros'!$W$28,IF(Simulador!$F$11='Tabla Parámetros'!$Y$1,'Tabla Parámetros'!$Y$12))))</f>
        <v>299</v>
      </c>
      <c r="N65" s="167">
        <f>IF(B65="","",IF(F65=0,0,IF(Simulador!$N$7='Tabla Parámetros'!$C$31,AportPat!L45,0)))</f>
        <v>0</v>
      </c>
      <c r="O65" s="167">
        <f>Simulador!O433</f>
        <v>0</v>
      </c>
      <c r="P65" s="167">
        <v>0</v>
      </c>
      <c r="Q65" s="167">
        <f t="shared" si="13"/>
        <v>10720.884210717657</v>
      </c>
      <c r="R65" s="167">
        <f t="shared" si="14"/>
        <v>942121.28442163463</v>
      </c>
      <c r="U65" s="6"/>
      <c r="V65" s="6"/>
      <c r="W65" s="6"/>
      <c r="X65" s="256">
        <f t="shared" si="8"/>
        <v>10720.884210717653</v>
      </c>
      <c r="Z65" s="201">
        <f t="shared" si="28"/>
        <v>1655.2488571502749</v>
      </c>
      <c r="AA65" s="201">
        <f t="shared" si="15"/>
        <v>8766.6353535673788</v>
      </c>
      <c r="AB65" s="202">
        <f t="shared" si="16"/>
        <v>10421.884210717653</v>
      </c>
      <c r="AC65" s="201">
        <f t="shared" si="17"/>
        <v>1655.2488571502745</v>
      </c>
      <c r="AD65" s="201">
        <f t="shared" si="18"/>
        <v>8766.6353535673788</v>
      </c>
      <c r="AE65" s="201">
        <f t="shared" si="29"/>
        <v>10421.884210717653</v>
      </c>
      <c r="AF65" s="201">
        <f t="shared" si="19"/>
        <v>1655.2488571502781</v>
      </c>
      <c r="AG65" s="201">
        <f t="shared" si="20"/>
        <v>8766.6353535673788</v>
      </c>
      <c r="AH65" s="201">
        <f t="shared" si="30"/>
        <v>10421.884210717657</v>
      </c>
    </row>
    <row r="66" spans="2:34" x14ac:dyDescent="0.3">
      <c r="B66" s="179">
        <f t="shared" si="10"/>
        <v>43</v>
      </c>
      <c r="C66" s="180">
        <f t="shared" si="21"/>
        <v>30.4</v>
      </c>
      <c r="D66" s="165">
        <f>IF(B66="","",Simulador!$F$62)</f>
        <v>0.11</v>
      </c>
      <c r="E66" s="167"/>
      <c r="F66" s="167">
        <f t="shared" si="22"/>
        <v>942121.28442163463</v>
      </c>
      <c r="G66" s="166"/>
      <c r="H66" s="167">
        <f t="shared" si="11"/>
        <v>1670.6242798678031</v>
      </c>
      <c r="I66" s="167">
        <f t="shared" si="23"/>
        <v>8751.2599308498502</v>
      </c>
      <c r="J66" s="167">
        <f t="shared" si="9"/>
        <v>10421.884210717653</v>
      </c>
      <c r="K66" s="167">
        <f t="shared" si="12"/>
        <v>0</v>
      </c>
      <c r="L66" s="167">
        <f t="shared" si="24"/>
        <v>0</v>
      </c>
      <c r="M66" s="167">
        <f>IF(B66="","",IF(F66=0,0,IF(Simulador!$F$11='Tabla Parámetros'!$W$1,'Tabla Parámetros'!$W$28,IF(Simulador!$F$11='Tabla Parámetros'!$Y$1,'Tabla Parámetros'!$Y$12))))</f>
        <v>299</v>
      </c>
      <c r="N66" s="167">
        <f>IF(B66="","",IF(F66=0,0,IF(Simulador!$N$7='Tabla Parámetros'!$C$31,AportPat!L46,0)))</f>
        <v>0</v>
      </c>
      <c r="O66" s="167">
        <f>Simulador!O434</f>
        <v>0</v>
      </c>
      <c r="P66" s="167">
        <v>0</v>
      </c>
      <c r="Q66" s="167">
        <f t="shared" si="13"/>
        <v>10720.884210717653</v>
      </c>
      <c r="R66" s="167">
        <f t="shared" si="14"/>
        <v>940450.66014176677</v>
      </c>
      <c r="U66" s="6"/>
      <c r="V66" s="6"/>
      <c r="W66" s="6"/>
      <c r="X66" s="256">
        <f t="shared" si="8"/>
        <v>10720.884210717653</v>
      </c>
      <c r="Z66" s="201">
        <f t="shared" si="28"/>
        <v>1670.6242798678043</v>
      </c>
      <c r="AA66" s="201">
        <f t="shared" si="15"/>
        <v>8751.2599308498502</v>
      </c>
      <c r="AB66" s="202">
        <f t="shared" si="16"/>
        <v>10421.884210717655</v>
      </c>
      <c r="AC66" s="201">
        <f t="shared" si="17"/>
        <v>1670.6242798678031</v>
      </c>
      <c r="AD66" s="201">
        <f t="shared" si="18"/>
        <v>8751.2599308498502</v>
      </c>
      <c r="AE66" s="201">
        <f t="shared" si="29"/>
        <v>10421.884210717653</v>
      </c>
      <c r="AF66" s="201">
        <f t="shared" si="19"/>
        <v>1670.6242798678031</v>
      </c>
      <c r="AG66" s="201">
        <f t="shared" si="20"/>
        <v>8751.2599308498502</v>
      </c>
      <c r="AH66" s="201">
        <f t="shared" si="30"/>
        <v>10421.884210717653</v>
      </c>
    </row>
    <row r="67" spans="2:34" x14ac:dyDescent="0.3">
      <c r="B67" s="179">
        <f t="shared" si="10"/>
        <v>44</v>
      </c>
      <c r="C67" s="180">
        <f t="shared" si="21"/>
        <v>30.4</v>
      </c>
      <c r="D67" s="165">
        <f>IF(B67="","",Simulador!$F$62)</f>
        <v>0.11</v>
      </c>
      <c r="E67" s="167"/>
      <c r="F67" s="167">
        <f t="shared" si="22"/>
        <v>940450.66014176677</v>
      </c>
      <c r="G67" s="166"/>
      <c r="H67" s="167">
        <f t="shared" si="11"/>
        <v>1686.1425231785761</v>
      </c>
      <c r="I67" s="167">
        <f t="shared" si="23"/>
        <v>8735.7416875390772</v>
      </c>
      <c r="J67" s="167">
        <f t="shared" si="9"/>
        <v>10421.884210717653</v>
      </c>
      <c r="K67" s="167">
        <f t="shared" si="12"/>
        <v>0</v>
      </c>
      <c r="L67" s="167">
        <f t="shared" si="24"/>
        <v>0</v>
      </c>
      <c r="M67" s="167">
        <f>IF(B67="","",IF(F67=0,0,IF(Simulador!$F$11='Tabla Parámetros'!$W$1,'Tabla Parámetros'!$W$28,IF(Simulador!$F$11='Tabla Parámetros'!$Y$1,'Tabla Parámetros'!$Y$12))))</f>
        <v>299</v>
      </c>
      <c r="N67" s="167">
        <f>IF(B67="","",IF(F67=0,0,IF(Simulador!$N$7='Tabla Parámetros'!$C$31,AportPat!L47,0)))</f>
        <v>0</v>
      </c>
      <c r="O67" s="167">
        <f>Simulador!O435</f>
        <v>0</v>
      </c>
      <c r="P67" s="167">
        <v>0</v>
      </c>
      <c r="Q67" s="167">
        <f t="shared" si="13"/>
        <v>10720.884210717653</v>
      </c>
      <c r="R67" s="167">
        <f t="shared" si="14"/>
        <v>938764.51761858817</v>
      </c>
      <c r="U67" s="6"/>
      <c r="V67" s="6"/>
      <c r="W67" s="6"/>
      <c r="X67" s="256">
        <f t="shared" si="8"/>
        <v>10720.884210717653</v>
      </c>
      <c r="Z67" s="201">
        <f t="shared" si="28"/>
        <v>1686.1425231785763</v>
      </c>
      <c r="AA67" s="201">
        <f t="shared" si="15"/>
        <v>8735.7416875390772</v>
      </c>
      <c r="AB67" s="202">
        <f t="shared" si="16"/>
        <v>10421.884210717653</v>
      </c>
      <c r="AC67" s="201">
        <f t="shared" si="17"/>
        <v>1686.1425231785761</v>
      </c>
      <c r="AD67" s="201">
        <f t="shared" si="18"/>
        <v>8735.7416875390772</v>
      </c>
      <c r="AE67" s="201">
        <f t="shared" si="29"/>
        <v>10421.884210717653</v>
      </c>
      <c r="AF67" s="201">
        <f t="shared" si="19"/>
        <v>1686.1425231785761</v>
      </c>
      <c r="AG67" s="201">
        <f t="shared" si="20"/>
        <v>8735.7416875390772</v>
      </c>
      <c r="AH67" s="201">
        <f t="shared" si="30"/>
        <v>10421.884210717653</v>
      </c>
    </row>
    <row r="68" spans="2:34" x14ac:dyDescent="0.3">
      <c r="B68" s="181">
        <f t="shared" si="10"/>
        <v>45</v>
      </c>
      <c r="C68" s="180">
        <f t="shared" si="21"/>
        <v>30.4</v>
      </c>
      <c r="D68" s="165">
        <f>IF(B68="","",Simulador!$F$62)</f>
        <v>0.11</v>
      </c>
      <c r="E68" s="167"/>
      <c r="F68" s="167">
        <f t="shared" si="22"/>
        <v>938764.51761858817</v>
      </c>
      <c r="G68" s="166"/>
      <c r="H68" s="167">
        <f t="shared" si="11"/>
        <v>1701.8049137272119</v>
      </c>
      <c r="I68" s="167">
        <f t="shared" si="23"/>
        <v>8720.0792969904414</v>
      </c>
      <c r="J68" s="167">
        <f t="shared" si="9"/>
        <v>10421.884210717653</v>
      </c>
      <c r="K68" s="167">
        <f t="shared" si="12"/>
        <v>0</v>
      </c>
      <c r="L68" s="167">
        <f t="shared" si="24"/>
        <v>0</v>
      </c>
      <c r="M68" s="167">
        <f>IF(B68="","",IF(F68=0,0,IF(Simulador!$F$11='Tabla Parámetros'!$W$1,'Tabla Parámetros'!$W$28,IF(Simulador!$F$11='Tabla Parámetros'!$Y$1,'Tabla Parámetros'!$Y$12))))</f>
        <v>299</v>
      </c>
      <c r="N68" s="167">
        <f>IF(B68="","",IF(F68=0,0,IF(Simulador!$N$7='Tabla Parámetros'!$C$31,AportPat!L48,0)))</f>
        <v>0</v>
      </c>
      <c r="O68" s="167">
        <f>Simulador!O436</f>
        <v>0</v>
      </c>
      <c r="P68" s="167">
        <v>0</v>
      </c>
      <c r="Q68" s="167">
        <f t="shared" si="13"/>
        <v>10720.884210717653</v>
      </c>
      <c r="R68" s="167">
        <f t="shared" si="14"/>
        <v>937062.71270486095</v>
      </c>
      <c r="U68" s="6"/>
      <c r="V68" s="6"/>
      <c r="W68" s="6"/>
      <c r="X68" s="256">
        <f t="shared" si="8"/>
        <v>10720.884210717653</v>
      </c>
      <c r="Z68" s="201">
        <f t="shared" si="28"/>
        <v>1701.804913727213</v>
      </c>
      <c r="AA68" s="201">
        <f t="shared" si="15"/>
        <v>8720.0792969904414</v>
      </c>
      <c r="AB68" s="202">
        <f t="shared" si="16"/>
        <v>10421.884210717655</v>
      </c>
      <c r="AC68" s="201">
        <f t="shared" si="17"/>
        <v>1701.8049137272119</v>
      </c>
      <c r="AD68" s="201">
        <f t="shared" si="18"/>
        <v>8720.0792969904414</v>
      </c>
      <c r="AE68" s="201">
        <f t="shared" si="29"/>
        <v>10421.884210717653</v>
      </c>
      <c r="AF68" s="201">
        <f t="shared" si="19"/>
        <v>1701.8049137272119</v>
      </c>
      <c r="AG68" s="201">
        <f t="shared" si="20"/>
        <v>8720.0792969904414</v>
      </c>
      <c r="AH68" s="201">
        <f t="shared" si="30"/>
        <v>10421.884210717653</v>
      </c>
    </row>
    <row r="69" spans="2:34" x14ac:dyDescent="0.3">
      <c r="B69" s="179">
        <f t="shared" si="10"/>
        <v>46</v>
      </c>
      <c r="C69" s="180">
        <f t="shared" si="21"/>
        <v>30.4</v>
      </c>
      <c r="D69" s="165">
        <f>IF(B69="","",Simulador!$F$62)</f>
        <v>0.11</v>
      </c>
      <c r="E69" s="167"/>
      <c r="F69" s="167">
        <f t="shared" si="22"/>
        <v>937062.71270486095</v>
      </c>
      <c r="G69" s="166"/>
      <c r="H69" s="167">
        <f t="shared" si="11"/>
        <v>1717.6127904813893</v>
      </c>
      <c r="I69" s="167">
        <f t="shared" si="23"/>
        <v>8704.271420236264</v>
      </c>
      <c r="J69" s="167">
        <f t="shared" si="9"/>
        <v>10421.884210717653</v>
      </c>
      <c r="K69" s="167">
        <f t="shared" si="12"/>
        <v>0</v>
      </c>
      <c r="L69" s="167">
        <f t="shared" si="24"/>
        <v>0</v>
      </c>
      <c r="M69" s="167">
        <f>IF(B69="","",IF(F69=0,0,IF(Simulador!$F$11='Tabla Parámetros'!$W$1,'Tabla Parámetros'!$W$28,IF(Simulador!$F$11='Tabla Parámetros'!$Y$1,'Tabla Parámetros'!$Y$12))))</f>
        <v>299</v>
      </c>
      <c r="N69" s="167">
        <f>IF(B69="","",IF(F69=0,0,IF(Simulador!$N$7='Tabla Parámetros'!$C$31,AportPat!L49,0)))</f>
        <v>0</v>
      </c>
      <c r="O69" s="167">
        <f>Simulador!O437</f>
        <v>0</v>
      </c>
      <c r="P69" s="167">
        <v>0</v>
      </c>
      <c r="Q69" s="167">
        <f t="shared" si="13"/>
        <v>10720.884210717653</v>
      </c>
      <c r="R69" s="167">
        <f t="shared" si="14"/>
        <v>935345.09991437953</v>
      </c>
      <c r="U69" s="6"/>
      <c r="V69" s="6"/>
      <c r="W69" s="6"/>
      <c r="X69" s="256">
        <f t="shared" si="8"/>
        <v>10720.884210717653</v>
      </c>
      <c r="Z69" s="201">
        <f t="shared" si="28"/>
        <v>1717.61279048139</v>
      </c>
      <c r="AA69" s="201">
        <f t="shared" si="15"/>
        <v>8704.271420236264</v>
      </c>
      <c r="AB69" s="202">
        <f t="shared" si="16"/>
        <v>10421.884210717653</v>
      </c>
      <c r="AC69" s="201">
        <f t="shared" si="17"/>
        <v>1717.6127904813893</v>
      </c>
      <c r="AD69" s="201">
        <f t="shared" si="18"/>
        <v>8704.271420236264</v>
      </c>
      <c r="AE69" s="201">
        <f t="shared" si="29"/>
        <v>10421.884210717653</v>
      </c>
      <c r="AF69" s="201">
        <f t="shared" si="19"/>
        <v>1717.6127904813893</v>
      </c>
      <c r="AG69" s="201">
        <f t="shared" si="20"/>
        <v>8704.271420236264</v>
      </c>
      <c r="AH69" s="201">
        <f t="shared" si="30"/>
        <v>10421.884210717653</v>
      </c>
    </row>
    <row r="70" spans="2:34" x14ac:dyDescent="0.3">
      <c r="B70" s="179">
        <f t="shared" si="10"/>
        <v>47</v>
      </c>
      <c r="C70" s="180">
        <f t="shared" si="21"/>
        <v>30.4</v>
      </c>
      <c r="D70" s="165">
        <f>IF(B70="","",Simulador!$F$62)</f>
        <v>0.11</v>
      </c>
      <c r="E70" s="167"/>
      <c r="F70" s="167">
        <f t="shared" si="22"/>
        <v>935345.09991437953</v>
      </c>
      <c r="G70" s="166"/>
      <c r="H70" s="167">
        <f t="shared" si="11"/>
        <v>1733.5675048463072</v>
      </c>
      <c r="I70" s="167">
        <f t="shared" si="23"/>
        <v>8688.3167058713461</v>
      </c>
      <c r="J70" s="167">
        <f t="shared" si="9"/>
        <v>10421.884210717653</v>
      </c>
      <c r="K70" s="167">
        <f t="shared" si="12"/>
        <v>0</v>
      </c>
      <c r="L70" s="167">
        <f t="shared" si="24"/>
        <v>0</v>
      </c>
      <c r="M70" s="167">
        <f>IF(B70="","",IF(F70=0,0,IF(Simulador!$F$11='Tabla Parámetros'!$W$1,'Tabla Parámetros'!$W$28,IF(Simulador!$F$11='Tabla Parámetros'!$Y$1,'Tabla Parámetros'!$Y$12))))</f>
        <v>299</v>
      </c>
      <c r="N70" s="167">
        <f>IF(B70="","",IF(F70=0,0,IF(Simulador!$N$7='Tabla Parámetros'!$C$31,AportPat!L50,0)))</f>
        <v>0</v>
      </c>
      <c r="O70" s="167">
        <f>Simulador!O438</f>
        <v>0</v>
      </c>
      <c r="P70" s="167">
        <v>0</v>
      </c>
      <c r="Q70" s="167">
        <f t="shared" si="13"/>
        <v>10720.884210717653</v>
      </c>
      <c r="R70" s="167">
        <f t="shared" si="14"/>
        <v>933611.53240953328</v>
      </c>
      <c r="U70" s="6"/>
      <c r="V70" s="6"/>
      <c r="W70" s="6"/>
      <c r="X70" s="256">
        <f t="shared" si="8"/>
        <v>10720.884210717653</v>
      </c>
      <c r="Z70" s="201">
        <f t="shared" si="28"/>
        <v>1733.5675048463061</v>
      </c>
      <c r="AA70" s="201">
        <f t="shared" si="15"/>
        <v>8688.3167058713461</v>
      </c>
      <c r="AB70" s="202">
        <f t="shared" si="16"/>
        <v>10421.884210717652</v>
      </c>
      <c r="AC70" s="201">
        <f t="shared" si="17"/>
        <v>1733.5675048463072</v>
      </c>
      <c r="AD70" s="201">
        <f t="shared" si="18"/>
        <v>8688.3167058713461</v>
      </c>
      <c r="AE70" s="201">
        <f t="shared" si="29"/>
        <v>10421.884210717653</v>
      </c>
      <c r="AF70" s="201">
        <f t="shared" si="19"/>
        <v>1733.5675048463072</v>
      </c>
      <c r="AG70" s="201">
        <f t="shared" si="20"/>
        <v>8688.3167058713461</v>
      </c>
      <c r="AH70" s="201">
        <f t="shared" si="30"/>
        <v>10421.884210717653</v>
      </c>
    </row>
    <row r="71" spans="2:34" x14ac:dyDescent="0.3">
      <c r="B71" s="179">
        <f t="shared" si="10"/>
        <v>48</v>
      </c>
      <c r="C71" s="180">
        <f t="shared" si="21"/>
        <v>30.4</v>
      </c>
      <c r="D71" s="165">
        <f>IF(B71="","",Simulador!$F$62)</f>
        <v>0.11</v>
      </c>
      <c r="E71" s="167"/>
      <c r="F71" s="167">
        <f t="shared" si="22"/>
        <v>933611.53240953328</v>
      </c>
      <c r="G71" s="166"/>
      <c r="H71" s="167">
        <f t="shared" si="11"/>
        <v>1749.6704207802122</v>
      </c>
      <c r="I71" s="167">
        <f t="shared" si="23"/>
        <v>8672.2137899374411</v>
      </c>
      <c r="J71" s="167">
        <f t="shared" si="9"/>
        <v>10421.884210717653</v>
      </c>
      <c r="K71" s="167">
        <f t="shared" si="12"/>
        <v>0</v>
      </c>
      <c r="L71" s="167">
        <f t="shared" si="24"/>
        <v>0</v>
      </c>
      <c r="M71" s="167">
        <f>IF(B71="","",IF(F71=0,0,IF(Simulador!$F$11='Tabla Parámetros'!$W$1,'Tabla Parámetros'!$W$28,IF(Simulador!$F$11='Tabla Parámetros'!$Y$1,'Tabla Parámetros'!$Y$12))))</f>
        <v>299</v>
      </c>
      <c r="N71" s="167">
        <f>IF(B71="","",IF(F71=0,0,IF(Simulador!$N$7='Tabla Parámetros'!$C$31,AportPat!L51,0)))</f>
        <v>0</v>
      </c>
      <c r="O71" s="167">
        <f>Simulador!O439</f>
        <v>0</v>
      </c>
      <c r="P71" s="167">
        <v>0</v>
      </c>
      <c r="Q71" s="167">
        <f t="shared" si="13"/>
        <v>10720.884210717653</v>
      </c>
      <c r="R71" s="167">
        <f t="shared" si="14"/>
        <v>931861.86198875308</v>
      </c>
      <c r="U71" s="6"/>
      <c r="V71" s="6"/>
      <c r="W71" s="6"/>
      <c r="X71" s="256">
        <f t="shared" si="8"/>
        <v>10720.884210717653</v>
      </c>
      <c r="Z71" s="201">
        <f t="shared" si="28"/>
        <v>1749.6704207802118</v>
      </c>
      <c r="AA71" s="201">
        <f t="shared" si="15"/>
        <v>8672.2137899374411</v>
      </c>
      <c r="AB71" s="202">
        <f t="shared" si="16"/>
        <v>10421.884210717653</v>
      </c>
      <c r="AC71" s="201">
        <f t="shared" si="17"/>
        <v>1749.6704207802122</v>
      </c>
      <c r="AD71" s="201">
        <f t="shared" si="18"/>
        <v>8672.2137899374411</v>
      </c>
      <c r="AE71" s="201">
        <f t="shared" si="29"/>
        <v>10421.884210717653</v>
      </c>
      <c r="AF71" s="201">
        <f t="shared" si="19"/>
        <v>1749.6704207802122</v>
      </c>
      <c r="AG71" s="201">
        <f t="shared" si="20"/>
        <v>8672.2137899374411</v>
      </c>
      <c r="AH71" s="201">
        <f t="shared" si="30"/>
        <v>10421.884210717653</v>
      </c>
    </row>
    <row r="72" spans="2:34" x14ac:dyDescent="0.3">
      <c r="B72" s="181">
        <f t="shared" si="10"/>
        <v>49</v>
      </c>
      <c r="C72" s="180">
        <f t="shared" si="21"/>
        <v>30.4</v>
      </c>
      <c r="D72" s="165">
        <f>IF(B72="","",Simulador!$F$62)</f>
        <v>0.11</v>
      </c>
      <c r="E72" s="167"/>
      <c r="F72" s="167">
        <f t="shared" si="22"/>
        <v>931861.86198875308</v>
      </c>
      <c r="G72" s="166"/>
      <c r="H72" s="167">
        <f t="shared" si="11"/>
        <v>1765.9229149110142</v>
      </c>
      <c r="I72" s="167">
        <f t="shared" si="23"/>
        <v>8655.9612958066391</v>
      </c>
      <c r="J72" s="167">
        <f t="shared" si="9"/>
        <v>10421.884210717653</v>
      </c>
      <c r="K72" s="167">
        <f t="shared" si="12"/>
        <v>0</v>
      </c>
      <c r="L72" s="167">
        <f t="shared" si="24"/>
        <v>0</v>
      </c>
      <c r="M72" s="167">
        <f>IF(B72="","",IF(F72=0,0,IF(Simulador!$F$11='Tabla Parámetros'!$W$1,'Tabla Parámetros'!$W$28,IF(Simulador!$F$11='Tabla Parámetros'!$Y$1,'Tabla Parámetros'!$Y$12))))</f>
        <v>299</v>
      </c>
      <c r="N72" s="167">
        <f>IF(B72="","",IF(F72=0,0,IF(Simulador!$N$7='Tabla Parámetros'!$C$31,AportPat!L52,0)))</f>
        <v>0</v>
      </c>
      <c r="O72" s="167">
        <f>Simulador!O440</f>
        <v>0</v>
      </c>
      <c r="P72" s="167">
        <v>0</v>
      </c>
      <c r="Q72" s="167">
        <f t="shared" si="13"/>
        <v>10720.884210717653</v>
      </c>
      <c r="R72" s="167">
        <f t="shared" si="14"/>
        <v>930095.93907384202</v>
      </c>
      <c r="U72" s="6"/>
      <c r="V72" s="6"/>
      <c r="W72" s="6"/>
      <c r="X72" s="256">
        <f t="shared" si="8"/>
        <v>10720.884210717653</v>
      </c>
      <c r="Z72" s="201">
        <f t="shared" si="28"/>
        <v>1765.9229149110147</v>
      </c>
      <c r="AA72" s="201">
        <f t="shared" si="15"/>
        <v>8655.9612958066391</v>
      </c>
      <c r="AB72" s="202">
        <f t="shared" si="16"/>
        <v>10421.884210717653</v>
      </c>
      <c r="AC72" s="201">
        <f t="shared" si="17"/>
        <v>1765.9229149110142</v>
      </c>
      <c r="AD72" s="201">
        <f t="shared" si="18"/>
        <v>8655.9612958066391</v>
      </c>
      <c r="AE72" s="201">
        <f t="shared" si="29"/>
        <v>10421.884210717653</v>
      </c>
      <c r="AF72" s="201">
        <f t="shared" si="19"/>
        <v>1765.9229149110142</v>
      </c>
      <c r="AG72" s="201">
        <f t="shared" si="20"/>
        <v>8655.9612958066391</v>
      </c>
      <c r="AH72" s="201">
        <f t="shared" si="30"/>
        <v>10421.884210717653</v>
      </c>
    </row>
    <row r="73" spans="2:34" x14ac:dyDescent="0.3">
      <c r="B73" s="179">
        <f t="shared" si="10"/>
        <v>50</v>
      </c>
      <c r="C73" s="180">
        <f t="shared" si="21"/>
        <v>30.4</v>
      </c>
      <c r="D73" s="165">
        <f>IF(B73="","",Simulador!$F$62)</f>
        <v>0.11</v>
      </c>
      <c r="E73" s="167"/>
      <c r="F73" s="167">
        <f t="shared" si="22"/>
        <v>930095.93907384202</v>
      </c>
      <c r="G73" s="166"/>
      <c r="H73" s="167">
        <f t="shared" si="11"/>
        <v>1782.3263766539658</v>
      </c>
      <c r="I73" s="167">
        <f t="shared" si="23"/>
        <v>8639.5578340636876</v>
      </c>
      <c r="J73" s="167">
        <f t="shared" si="9"/>
        <v>10421.884210717653</v>
      </c>
      <c r="K73" s="167">
        <f t="shared" si="12"/>
        <v>0</v>
      </c>
      <c r="L73" s="167">
        <f t="shared" si="24"/>
        <v>0</v>
      </c>
      <c r="M73" s="167">
        <f>IF(B73="","",IF(F73=0,0,IF(Simulador!$F$11='Tabla Parámetros'!$W$1,'Tabla Parámetros'!$W$28,IF(Simulador!$F$11='Tabla Parámetros'!$Y$1,'Tabla Parámetros'!$Y$12))))</f>
        <v>299</v>
      </c>
      <c r="N73" s="167">
        <f>IF(B73="","",IF(F73=0,0,IF(Simulador!$N$7='Tabla Parámetros'!$C$31,AportPat!L53,0)))</f>
        <v>0</v>
      </c>
      <c r="O73" s="167">
        <f>Simulador!O441</f>
        <v>0</v>
      </c>
      <c r="P73" s="167">
        <v>0</v>
      </c>
      <c r="Q73" s="167">
        <f t="shared" si="13"/>
        <v>10720.884210717653</v>
      </c>
      <c r="R73" s="167">
        <f t="shared" si="14"/>
        <v>928313.61269718804</v>
      </c>
      <c r="U73" s="6"/>
      <c r="V73" s="6"/>
      <c r="W73" s="6"/>
      <c r="X73" s="256">
        <f t="shared" si="8"/>
        <v>10720.884210717653</v>
      </c>
      <c r="Z73" s="201">
        <f t="shared" si="28"/>
        <v>1782.3263766539658</v>
      </c>
      <c r="AA73" s="201">
        <f t="shared" si="15"/>
        <v>8639.5578340636876</v>
      </c>
      <c r="AB73" s="202">
        <f t="shared" si="16"/>
        <v>10421.884210717653</v>
      </c>
      <c r="AC73" s="201">
        <f t="shared" si="17"/>
        <v>1782.3263766539658</v>
      </c>
      <c r="AD73" s="201">
        <f t="shared" si="18"/>
        <v>8639.5578340636876</v>
      </c>
      <c r="AE73" s="201">
        <f t="shared" si="29"/>
        <v>10421.884210717653</v>
      </c>
      <c r="AF73" s="201">
        <f t="shared" si="19"/>
        <v>1782.3263766539658</v>
      </c>
      <c r="AG73" s="201">
        <f t="shared" si="20"/>
        <v>8639.5578340636876</v>
      </c>
      <c r="AH73" s="201">
        <f t="shared" si="30"/>
        <v>10421.884210717653</v>
      </c>
    </row>
    <row r="74" spans="2:34" x14ac:dyDescent="0.3">
      <c r="B74" s="179">
        <f t="shared" si="10"/>
        <v>51</v>
      </c>
      <c r="C74" s="180">
        <f t="shared" si="21"/>
        <v>30.4</v>
      </c>
      <c r="D74" s="165">
        <f>IF(B74="","",Simulador!$F$62)</f>
        <v>0.11</v>
      </c>
      <c r="E74" s="167"/>
      <c r="F74" s="167">
        <f t="shared" si="22"/>
        <v>928313.61269718804</v>
      </c>
      <c r="G74" s="166"/>
      <c r="H74" s="167">
        <f t="shared" si="11"/>
        <v>1798.8822083304403</v>
      </c>
      <c r="I74" s="167">
        <f t="shared" si="23"/>
        <v>8623.002002387213</v>
      </c>
      <c r="J74" s="167">
        <f t="shared" si="9"/>
        <v>10421.884210717653</v>
      </c>
      <c r="K74" s="167">
        <f t="shared" si="12"/>
        <v>0</v>
      </c>
      <c r="L74" s="167">
        <f t="shared" si="24"/>
        <v>0</v>
      </c>
      <c r="M74" s="167">
        <f>IF(B74="","",IF(F74=0,0,IF(Simulador!$F$11='Tabla Parámetros'!$W$1,'Tabla Parámetros'!$W$28,IF(Simulador!$F$11='Tabla Parámetros'!$Y$1,'Tabla Parámetros'!$Y$12))))</f>
        <v>299</v>
      </c>
      <c r="N74" s="167">
        <f>IF(B74="","",IF(F74=0,0,IF(Simulador!$N$7='Tabla Parámetros'!$C$31,AportPat!L54,0)))</f>
        <v>0</v>
      </c>
      <c r="O74" s="167">
        <f>Simulador!O442</f>
        <v>0</v>
      </c>
      <c r="P74" s="167">
        <v>0</v>
      </c>
      <c r="Q74" s="167">
        <f t="shared" si="13"/>
        <v>10720.884210717653</v>
      </c>
      <c r="R74" s="167">
        <f t="shared" si="14"/>
        <v>926514.7304888576</v>
      </c>
      <c r="U74" s="6"/>
      <c r="V74" s="6"/>
      <c r="W74" s="6"/>
      <c r="X74" s="256">
        <f t="shared" si="8"/>
        <v>10720.884210717653</v>
      </c>
      <c r="Z74" s="201">
        <f t="shared" si="28"/>
        <v>1798.8822083304403</v>
      </c>
      <c r="AA74" s="201">
        <f t="shared" si="15"/>
        <v>8623.002002387213</v>
      </c>
      <c r="AB74" s="202">
        <f t="shared" si="16"/>
        <v>10421.884210717653</v>
      </c>
      <c r="AC74" s="201">
        <f t="shared" si="17"/>
        <v>1798.8822083304403</v>
      </c>
      <c r="AD74" s="201">
        <f t="shared" si="18"/>
        <v>8623.002002387213</v>
      </c>
      <c r="AE74" s="201">
        <f t="shared" si="29"/>
        <v>10421.884210717653</v>
      </c>
      <c r="AF74" s="201">
        <f t="shared" si="19"/>
        <v>1798.8822083304403</v>
      </c>
      <c r="AG74" s="201">
        <f t="shared" si="20"/>
        <v>8623.002002387213</v>
      </c>
      <c r="AH74" s="201">
        <f t="shared" si="30"/>
        <v>10421.884210717653</v>
      </c>
    </row>
    <row r="75" spans="2:34" x14ac:dyDescent="0.3">
      <c r="B75" s="179">
        <f t="shared" si="10"/>
        <v>52</v>
      </c>
      <c r="C75" s="180">
        <f t="shared" si="21"/>
        <v>30.4</v>
      </c>
      <c r="D75" s="165">
        <f>IF(B75="","",Simulador!$F$62)</f>
        <v>0.11</v>
      </c>
      <c r="E75" s="167"/>
      <c r="F75" s="167">
        <f t="shared" si="22"/>
        <v>926514.7304888576</v>
      </c>
      <c r="G75" s="166"/>
      <c r="H75" s="167">
        <f t="shared" si="11"/>
        <v>1815.5918252878218</v>
      </c>
      <c r="I75" s="167">
        <f t="shared" si="23"/>
        <v>8606.2923854298315</v>
      </c>
      <c r="J75" s="167">
        <f t="shared" si="9"/>
        <v>10421.884210717653</v>
      </c>
      <c r="K75" s="167">
        <f t="shared" si="12"/>
        <v>0</v>
      </c>
      <c r="L75" s="167">
        <f t="shared" si="24"/>
        <v>0</v>
      </c>
      <c r="M75" s="167">
        <f>IF(B75="","",IF(F75=0,0,IF(Simulador!$F$11='Tabla Parámetros'!$W$1,'Tabla Parámetros'!$W$28,IF(Simulador!$F$11='Tabla Parámetros'!$Y$1,'Tabla Parámetros'!$Y$12))))</f>
        <v>299</v>
      </c>
      <c r="N75" s="167">
        <f>IF(B75="","",IF(F75=0,0,IF(Simulador!$N$7='Tabla Parámetros'!$C$31,AportPat!L55,0)))</f>
        <v>0</v>
      </c>
      <c r="O75" s="167">
        <f>Simulador!O443</f>
        <v>0</v>
      </c>
      <c r="P75" s="167">
        <v>0</v>
      </c>
      <c r="Q75" s="167">
        <f t="shared" si="13"/>
        <v>10720.884210717653</v>
      </c>
      <c r="R75" s="167">
        <f t="shared" si="14"/>
        <v>924699.13866356981</v>
      </c>
      <c r="U75" s="6"/>
      <c r="V75" s="6"/>
      <c r="W75" s="6"/>
      <c r="X75" s="256">
        <f t="shared" si="8"/>
        <v>10720.884210717653</v>
      </c>
      <c r="Z75" s="201">
        <f t="shared" si="28"/>
        <v>1815.5918252878209</v>
      </c>
      <c r="AA75" s="201">
        <f t="shared" si="15"/>
        <v>8606.2923854298315</v>
      </c>
      <c r="AB75" s="202">
        <f t="shared" si="16"/>
        <v>10421.884210717653</v>
      </c>
      <c r="AC75" s="201">
        <f t="shared" si="17"/>
        <v>1815.5918252878218</v>
      </c>
      <c r="AD75" s="201">
        <f t="shared" si="18"/>
        <v>8606.2923854298315</v>
      </c>
      <c r="AE75" s="201">
        <f t="shared" si="29"/>
        <v>10421.884210717653</v>
      </c>
      <c r="AF75" s="201">
        <f t="shared" si="19"/>
        <v>1815.5918252878218</v>
      </c>
      <c r="AG75" s="201">
        <f t="shared" si="20"/>
        <v>8606.2923854298315</v>
      </c>
      <c r="AH75" s="201">
        <f t="shared" si="30"/>
        <v>10421.884210717653</v>
      </c>
    </row>
    <row r="76" spans="2:34" x14ac:dyDescent="0.3">
      <c r="B76" s="181">
        <f t="shared" si="10"/>
        <v>53</v>
      </c>
      <c r="C76" s="180">
        <f t="shared" si="21"/>
        <v>30.4</v>
      </c>
      <c r="D76" s="165">
        <f>IF(B76="","",Simulador!$F$62)</f>
        <v>0.11</v>
      </c>
      <c r="E76" s="167"/>
      <c r="F76" s="167">
        <f t="shared" si="22"/>
        <v>924699.13866356981</v>
      </c>
      <c r="G76" s="166"/>
      <c r="H76" s="167">
        <f t="shared" si="11"/>
        <v>1832.4566560204948</v>
      </c>
      <c r="I76" s="167">
        <f t="shared" si="23"/>
        <v>8589.4275546971585</v>
      </c>
      <c r="J76" s="167">
        <f t="shared" si="9"/>
        <v>10421.884210717653</v>
      </c>
      <c r="K76" s="167">
        <f t="shared" si="12"/>
        <v>0</v>
      </c>
      <c r="L76" s="167">
        <f t="shared" si="24"/>
        <v>0</v>
      </c>
      <c r="M76" s="167">
        <f>IF(B76="","",IF(F76=0,0,IF(Simulador!$F$11='Tabla Parámetros'!$W$1,'Tabla Parámetros'!$W$28,IF(Simulador!$F$11='Tabla Parámetros'!$Y$1,'Tabla Parámetros'!$Y$12))))</f>
        <v>299</v>
      </c>
      <c r="N76" s="167">
        <f>IF(B76="","",IF(F76=0,0,IF(Simulador!$N$7='Tabla Parámetros'!$C$31,AportPat!L56,0)))</f>
        <v>0</v>
      </c>
      <c r="O76" s="167">
        <f>Simulador!O444</f>
        <v>0</v>
      </c>
      <c r="P76" s="167">
        <v>0</v>
      </c>
      <c r="Q76" s="167">
        <f t="shared" si="13"/>
        <v>10720.884210717653</v>
      </c>
      <c r="R76" s="167">
        <f t="shared" si="14"/>
        <v>922866.68200754933</v>
      </c>
      <c r="U76" s="6"/>
      <c r="V76" s="6"/>
      <c r="W76" s="6"/>
      <c r="X76" s="256">
        <f t="shared" si="8"/>
        <v>10720.884210717653</v>
      </c>
      <c r="Z76" s="201">
        <f t="shared" si="28"/>
        <v>1832.4566560204944</v>
      </c>
      <c r="AA76" s="201">
        <f t="shared" si="15"/>
        <v>8589.4275546971585</v>
      </c>
      <c r="AB76" s="202">
        <f t="shared" si="16"/>
        <v>10421.884210717653</v>
      </c>
      <c r="AC76" s="201">
        <f t="shared" si="17"/>
        <v>1832.4566560204948</v>
      </c>
      <c r="AD76" s="201">
        <f t="shared" si="18"/>
        <v>8589.4275546971585</v>
      </c>
      <c r="AE76" s="201">
        <f t="shared" si="29"/>
        <v>10421.884210717653</v>
      </c>
      <c r="AF76" s="201">
        <f t="shared" si="19"/>
        <v>1832.4566560204948</v>
      </c>
      <c r="AG76" s="201">
        <f t="shared" si="20"/>
        <v>8589.4275546971585</v>
      </c>
      <c r="AH76" s="201">
        <f t="shared" si="30"/>
        <v>10421.884210717653</v>
      </c>
    </row>
    <row r="77" spans="2:34" x14ac:dyDescent="0.3">
      <c r="B77" s="179">
        <f t="shared" si="10"/>
        <v>54</v>
      </c>
      <c r="C77" s="180">
        <f t="shared" si="21"/>
        <v>30.4</v>
      </c>
      <c r="D77" s="165">
        <f>IF(B77="","",Simulador!$F$62)</f>
        <v>0.11</v>
      </c>
      <c r="E77" s="167"/>
      <c r="F77" s="167">
        <f t="shared" si="22"/>
        <v>922866.68200754933</v>
      </c>
      <c r="G77" s="166"/>
      <c r="H77" s="167">
        <f t="shared" si="11"/>
        <v>1849.4781422919732</v>
      </c>
      <c r="I77" s="167">
        <f t="shared" si="23"/>
        <v>8572.4060684256801</v>
      </c>
      <c r="J77" s="167">
        <f t="shared" si="9"/>
        <v>10421.884210717653</v>
      </c>
      <c r="K77" s="167">
        <f t="shared" si="12"/>
        <v>0</v>
      </c>
      <c r="L77" s="167">
        <f t="shared" si="24"/>
        <v>0</v>
      </c>
      <c r="M77" s="167">
        <f>IF(B77="","",IF(F77=0,0,IF(Simulador!$F$11='Tabla Parámetros'!$W$1,'Tabla Parámetros'!$W$28,IF(Simulador!$F$11='Tabla Parámetros'!$Y$1,'Tabla Parámetros'!$Y$12))))</f>
        <v>299</v>
      </c>
      <c r="N77" s="167">
        <f>IF(B77="","",IF(F77=0,0,IF(Simulador!$N$7='Tabla Parámetros'!$C$31,AportPat!L57,0)))</f>
        <v>0</v>
      </c>
      <c r="O77" s="167">
        <f>Simulador!O445</f>
        <v>0</v>
      </c>
      <c r="P77" s="167">
        <v>0</v>
      </c>
      <c r="Q77" s="167">
        <f t="shared" si="13"/>
        <v>10720.884210717653</v>
      </c>
      <c r="R77" s="167">
        <f t="shared" si="14"/>
        <v>921017.20386525732</v>
      </c>
      <c r="U77" s="6"/>
      <c r="V77" s="6"/>
      <c r="W77" s="6"/>
      <c r="X77" s="256">
        <f t="shared" si="8"/>
        <v>10720.884210717653</v>
      </c>
      <c r="Z77" s="201">
        <f t="shared" si="28"/>
        <v>1849.4781422919741</v>
      </c>
      <c r="AA77" s="201">
        <f t="shared" si="15"/>
        <v>8572.4060684256801</v>
      </c>
      <c r="AB77" s="202">
        <f t="shared" si="16"/>
        <v>10421.884210717653</v>
      </c>
      <c r="AC77" s="201">
        <f t="shared" si="17"/>
        <v>1849.4781422919732</v>
      </c>
      <c r="AD77" s="201">
        <f t="shared" si="18"/>
        <v>8572.4060684256801</v>
      </c>
      <c r="AE77" s="201">
        <f t="shared" si="29"/>
        <v>10421.884210717653</v>
      </c>
      <c r="AF77" s="201">
        <f t="shared" si="19"/>
        <v>1849.4781422919732</v>
      </c>
      <c r="AG77" s="201">
        <f t="shared" si="20"/>
        <v>8572.4060684256801</v>
      </c>
      <c r="AH77" s="201">
        <f t="shared" si="30"/>
        <v>10421.884210717653</v>
      </c>
    </row>
    <row r="78" spans="2:34" x14ac:dyDescent="0.3">
      <c r="B78" s="179">
        <f t="shared" si="10"/>
        <v>55</v>
      </c>
      <c r="C78" s="180">
        <f t="shared" si="21"/>
        <v>30.4</v>
      </c>
      <c r="D78" s="165">
        <f>IF(B78="","",Simulador!$F$62)</f>
        <v>0.11</v>
      </c>
      <c r="E78" s="167"/>
      <c r="F78" s="167">
        <f t="shared" si="22"/>
        <v>921017.20386525732</v>
      </c>
      <c r="G78" s="166"/>
      <c r="H78" s="167">
        <f t="shared" si="11"/>
        <v>1866.657739258153</v>
      </c>
      <c r="I78" s="167">
        <f t="shared" si="23"/>
        <v>8555.2264714595003</v>
      </c>
      <c r="J78" s="167">
        <f t="shared" si="9"/>
        <v>10421.884210717653</v>
      </c>
      <c r="K78" s="167">
        <f t="shared" si="12"/>
        <v>0</v>
      </c>
      <c r="L78" s="167">
        <f t="shared" si="24"/>
        <v>0</v>
      </c>
      <c r="M78" s="167">
        <f>IF(B78="","",IF(F78=0,0,IF(Simulador!$F$11='Tabla Parámetros'!$W$1,'Tabla Parámetros'!$W$28,IF(Simulador!$F$11='Tabla Parámetros'!$Y$1,'Tabla Parámetros'!$Y$12))))</f>
        <v>299</v>
      </c>
      <c r="N78" s="167">
        <f>IF(B78="","",IF(F78=0,0,IF(Simulador!$N$7='Tabla Parámetros'!$C$31,AportPat!L58,0)))</f>
        <v>0</v>
      </c>
      <c r="O78" s="167">
        <f>Simulador!O446</f>
        <v>0</v>
      </c>
      <c r="P78" s="167">
        <v>0</v>
      </c>
      <c r="Q78" s="167">
        <f t="shared" si="13"/>
        <v>10720.884210717653</v>
      </c>
      <c r="R78" s="167">
        <f t="shared" si="14"/>
        <v>919150.54612599919</v>
      </c>
      <c r="U78" s="6"/>
      <c r="V78" s="6"/>
      <c r="W78" s="6"/>
      <c r="X78" s="256">
        <f t="shared" si="8"/>
        <v>10720.884210717653</v>
      </c>
      <c r="Z78" s="201">
        <f t="shared" si="28"/>
        <v>1866.6577392581528</v>
      </c>
      <c r="AA78" s="201">
        <f t="shared" si="15"/>
        <v>8555.2264714595003</v>
      </c>
      <c r="AB78" s="202">
        <f t="shared" si="16"/>
        <v>10421.884210717653</v>
      </c>
      <c r="AC78" s="201">
        <f t="shared" si="17"/>
        <v>1866.657739258153</v>
      </c>
      <c r="AD78" s="201">
        <f t="shared" si="18"/>
        <v>8555.2264714595003</v>
      </c>
      <c r="AE78" s="201">
        <f t="shared" si="29"/>
        <v>10421.884210717653</v>
      </c>
      <c r="AF78" s="201">
        <f t="shared" si="19"/>
        <v>1866.657739258153</v>
      </c>
      <c r="AG78" s="201">
        <f t="shared" si="20"/>
        <v>8555.2264714595003</v>
      </c>
      <c r="AH78" s="201">
        <f t="shared" si="30"/>
        <v>10421.884210717653</v>
      </c>
    </row>
    <row r="79" spans="2:34" x14ac:dyDescent="0.3">
      <c r="B79" s="179">
        <f t="shared" si="10"/>
        <v>56</v>
      </c>
      <c r="C79" s="180">
        <f t="shared" si="21"/>
        <v>30.4</v>
      </c>
      <c r="D79" s="165">
        <f>IF(B79="","",Simulador!$F$62)</f>
        <v>0.11</v>
      </c>
      <c r="E79" s="167"/>
      <c r="F79" s="167">
        <f t="shared" si="22"/>
        <v>919150.54612599919</v>
      </c>
      <c r="G79" s="166"/>
      <c r="H79" s="167">
        <f t="shared" si="11"/>
        <v>1883.9969155917061</v>
      </c>
      <c r="I79" s="167">
        <f t="shared" si="23"/>
        <v>8537.8872951259473</v>
      </c>
      <c r="J79" s="167">
        <f t="shared" si="9"/>
        <v>10421.884210717653</v>
      </c>
      <c r="K79" s="167">
        <f t="shared" si="12"/>
        <v>0</v>
      </c>
      <c r="L79" s="167">
        <f t="shared" si="24"/>
        <v>0</v>
      </c>
      <c r="M79" s="167">
        <f>IF(B79="","",IF(F79=0,0,IF(Simulador!$F$11='Tabla Parámetros'!$W$1,'Tabla Parámetros'!$W$28,IF(Simulador!$F$11='Tabla Parámetros'!$Y$1,'Tabla Parámetros'!$Y$12))))</f>
        <v>299</v>
      </c>
      <c r="N79" s="167">
        <f>IF(B79="","",IF(F79=0,0,IF(Simulador!$N$7='Tabla Parámetros'!$C$31,AportPat!L59,0)))</f>
        <v>0</v>
      </c>
      <c r="O79" s="167">
        <f>Simulador!O447</f>
        <v>0</v>
      </c>
      <c r="P79" s="167">
        <v>0</v>
      </c>
      <c r="Q79" s="167">
        <f t="shared" si="13"/>
        <v>10720.884210717653</v>
      </c>
      <c r="R79" s="167">
        <f t="shared" si="14"/>
        <v>917266.54921040754</v>
      </c>
      <c r="U79" s="6"/>
      <c r="V79" s="6"/>
      <c r="W79" s="6"/>
      <c r="X79" s="256">
        <f t="shared" si="8"/>
        <v>10720.884210717653</v>
      </c>
      <c r="Z79" s="201">
        <f t="shared" si="28"/>
        <v>1883.9969155917063</v>
      </c>
      <c r="AA79" s="201">
        <f t="shared" si="15"/>
        <v>8537.8872951259473</v>
      </c>
      <c r="AB79" s="202">
        <f t="shared" si="16"/>
        <v>10421.884210717653</v>
      </c>
      <c r="AC79" s="201">
        <f t="shared" si="17"/>
        <v>1883.9969155917061</v>
      </c>
      <c r="AD79" s="201">
        <f t="shared" si="18"/>
        <v>8537.8872951259473</v>
      </c>
      <c r="AE79" s="201">
        <f t="shared" si="29"/>
        <v>10421.884210717653</v>
      </c>
      <c r="AF79" s="201">
        <f t="shared" si="19"/>
        <v>1883.9969155917061</v>
      </c>
      <c r="AG79" s="201">
        <f t="shared" si="20"/>
        <v>8537.8872951259473</v>
      </c>
      <c r="AH79" s="201">
        <f t="shared" si="30"/>
        <v>10421.884210717653</v>
      </c>
    </row>
    <row r="80" spans="2:34" x14ac:dyDescent="0.3">
      <c r="B80" s="181">
        <f t="shared" si="10"/>
        <v>57</v>
      </c>
      <c r="C80" s="180">
        <f t="shared" si="21"/>
        <v>30.4</v>
      </c>
      <c r="D80" s="165">
        <f>IF(B80="","",Simulador!$F$62)</f>
        <v>0.11</v>
      </c>
      <c r="E80" s="167"/>
      <c r="F80" s="167">
        <f t="shared" si="22"/>
        <v>917266.54921040754</v>
      </c>
      <c r="G80" s="166"/>
      <c r="H80" s="167">
        <f t="shared" si="11"/>
        <v>1901.4971536076464</v>
      </c>
      <c r="I80" s="167">
        <f t="shared" si="23"/>
        <v>8520.3870571100069</v>
      </c>
      <c r="J80" s="167">
        <f t="shared" si="9"/>
        <v>10421.884210717653</v>
      </c>
      <c r="K80" s="167">
        <f t="shared" si="12"/>
        <v>0</v>
      </c>
      <c r="L80" s="167">
        <f t="shared" si="24"/>
        <v>0</v>
      </c>
      <c r="M80" s="167">
        <f>IF(B80="","",IF(F80=0,0,IF(Simulador!$F$11='Tabla Parámetros'!$W$1,'Tabla Parámetros'!$W$28,IF(Simulador!$F$11='Tabla Parámetros'!$Y$1,'Tabla Parámetros'!$Y$12))))</f>
        <v>299</v>
      </c>
      <c r="N80" s="167">
        <f>IF(B80="","",IF(F80=0,0,IF(Simulador!$N$7='Tabla Parámetros'!$C$31,AportPat!L60,0)))</f>
        <v>0</v>
      </c>
      <c r="O80" s="167">
        <f>Simulador!O448</f>
        <v>0</v>
      </c>
      <c r="P80" s="167">
        <v>0</v>
      </c>
      <c r="Q80" s="167">
        <f t="shared" si="13"/>
        <v>10720.884210717653</v>
      </c>
      <c r="R80" s="167">
        <f t="shared" si="14"/>
        <v>915365.05205679988</v>
      </c>
      <c r="U80" s="6"/>
      <c r="V80" s="6"/>
      <c r="W80" s="6"/>
      <c r="X80" s="256">
        <f t="shared" si="8"/>
        <v>10720.884210717653</v>
      </c>
      <c r="Z80" s="201">
        <f t="shared" si="28"/>
        <v>1901.4971536076466</v>
      </c>
      <c r="AA80" s="201">
        <f t="shared" si="15"/>
        <v>8520.3870571100069</v>
      </c>
      <c r="AB80" s="202">
        <f t="shared" si="16"/>
        <v>10421.884210717653</v>
      </c>
      <c r="AC80" s="201">
        <f t="shared" si="17"/>
        <v>1901.4971536076464</v>
      </c>
      <c r="AD80" s="201">
        <f t="shared" si="18"/>
        <v>8520.3870571100069</v>
      </c>
      <c r="AE80" s="201">
        <f t="shared" si="29"/>
        <v>10421.884210717653</v>
      </c>
      <c r="AF80" s="201">
        <f t="shared" si="19"/>
        <v>1901.4971536076464</v>
      </c>
      <c r="AG80" s="201">
        <f t="shared" si="20"/>
        <v>8520.3870571100069</v>
      </c>
      <c r="AH80" s="201">
        <f t="shared" si="30"/>
        <v>10421.884210717653</v>
      </c>
    </row>
    <row r="81" spans="2:34" x14ac:dyDescent="0.3">
      <c r="B81" s="179">
        <f t="shared" si="10"/>
        <v>58</v>
      </c>
      <c r="C81" s="180">
        <f t="shared" si="21"/>
        <v>30.4</v>
      </c>
      <c r="D81" s="165">
        <f>IF(B81="","",Simulador!$F$62)</f>
        <v>0.11</v>
      </c>
      <c r="E81" s="167"/>
      <c r="F81" s="167">
        <f t="shared" si="22"/>
        <v>915365.05205679988</v>
      </c>
      <c r="G81" s="166"/>
      <c r="H81" s="167">
        <f t="shared" si="11"/>
        <v>1919.1599493900467</v>
      </c>
      <c r="I81" s="167">
        <f t="shared" si="23"/>
        <v>8502.7242613276067</v>
      </c>
      <c r="J81" s="167">
        <f t="shared" si="9"/>
        <v>10421.884210717653</v>
      </c>
      <c r="K81" s="167">
        <f t="shared" si="12"/>
        <v>0</v>
      </c>
      <c r="L81" s="167">
        <f t="shared" si="24"/>
        <v>0</v>
      </c>
      <c r="M81" s="167">
        <f>IF(B81="","",IF(F81=0,0,IF(Simulador!$F$11='Tabla Parámetros'!$W$1,'Tabla Parámetros'!$W$28,IF(Simulador!$F$11='Tabla Parámetros'!$Y$1,'Tabla Parámetros'!$Y$12))))</f>
        <v>299</v>
      </c>
      <c r="N81" s="167">
        <f>IF(B81="","",IF(F81=0,0,IF(Simulador!$N$7='Tabla Parámetros'!$C$31,AportPat!L61,0)))</f>
        <v>0</v>
      </c>
      <c r="O81" s="167">
        <f>Simulador!O449</f>
        <v>0</v>
      </c>
      <c r="P81" s="167">
        <v>0</v>
      </c>
      <c r="Q81" s="167">
        <f t="shared" si="13"/>
        <v>10720.884210717653</v>
      </c>
      <c r="R81" s="167">
        <f t="shared" si="14"/>
        <v>913445.89210740977</v>
      </c>
      <c r="U81" s="6"/>
      <c r="V81" s="6"/>
      <c r="W81" s="6"/>
      <c r="X81" s="256">
        <f t="shared" si="8"/>
        <v>10720.884210717653</v>
      </c>
      <c r="Z81" s="201">
        <f t="shared" si="28"/>
        <v>1919.1599493900464</v>
      </c>
      <c r="AA81" s="201">
        <f t="shared" si="15"/>
        <v>8502.7242613276067</v>
      </c>
      <c r="AB81" s="202">
        <f t="shared" si="16"/>
        <v>10421.884210717653</v>
      </c>
      <c r="AC81" s="201">
        <f t="shared" si="17"/>
        <v>1919.1599493900467</v>
      </c>
      <c r="AD81" s="201">
        <f t="shared" si="18"/>
        <v>8502.7242613276067</v>
      </c>
      <c r="AE81" s="201">
        <f t="shared" si="29"/>
        <v>10421.884210717653</v>
      </c>
      <c r="AF81" s="201">
        <f t="shared" si="19"/>
        <v>1919.1599493900467</v>
      </c>
      <c r="AG81" s="201">
        <f t="shared" si="20"/>
        <v>8502.7242613276067</v>
      </c>
      <c r="AH81" s="201">
        <f t="shared" si="30"/>
        <v>10421.884210717653</v>
      </c>
    </row>
    <row r="82" spans="2:34" x14ac:dyDescent="0.3">
      <c r="B82" s="179">
        <f t="shared" si="10"/>
        <v>59</v>
      </c>
      <c r="C82" s="180">
        <f t="shared" si="21"/>
        <v>30.4</v>
      </c>
      <c r="D82" s="165">
        <f>IF(B82="","",Simulador!$F$62)</f>
        <v>0.11</v>
      </c>
      <c r="E82" s="167"/>
      <c r="F82" s="167">
        <f t="shared" si="22"/>
        <v>913445.89210740977</v>
      </c>
      <c r="G82" s="166"/>
      <c r="H82" s="167">
        <f t="shared" si="11"/>
        <v>1936.9868129199349</v>
      </c>
      <c r="I82" s="167">
        <f t="shared" si="23"/>
        <v>8484.8973977977166</v>
      </c>
      <c r="J82" s="167">
        <f t="shared" si="9"/>
        <v>10421.884210717652</v>
      </c>
      <c r="K82" s="167">
        <f t="shared" si="12"/>
        <v>0</v>
      </c>
      <c r="L82" s="167">
        <f t="shared" si="24"/>
        <v>0</v>
      </c>
      <c r="M82" s="167">
        <f>IF(B82="","",IF(F82=0,0,IF(Simulador!$F$11='Tabla Parámetros'!$W$1,'Tabla Parámetros'!$W$28,IF(Simulador!$F$11='Tabla Parámetros'!$Y$1,'Tabla Parámetros'!$Y$12))))</f>
        <v>299</v>
      </c>
      <c r="N82" s="167">
        <f>IF(B82="","",IF(F82=0,0,IF(Simulador!$N$7='Tabla Parámetros'!$C$31,AportPat!L62,0)))</f>
        <v>0</v>
      </c>
      <c r="O82" s="167">
        <f>Simulador!O450</f>
        <v>0</v>
      </c>
      <c r="P82" s="167">
        <v>0</v>
      </c>
      <c r="Q82" s="167">
        <f t="shared" si="13"/>
        <v>10720.884210717652</v>
      </c>
      <c r="R82" s="167">
        <f t="shared" si="14"/>
        <v>911508.90529448981</v>
      </c>
      <c r="U82" s="6"/>
      <c r="V82" s="6"/>
      <c r="W82" s="6"/>
      <c r="X82" s="256">
        <f t="shared" si="8"/>
        <v>10720.884210717653</v>
      </c>
      <c r="Z82" s="201">
        <f t="shared" si="28"/>
        <v>1936.9868129199363</v>
      </c>
      <c r="AA82" s="201">
        <f t="shared" si="15"/>
        <v>8484.8973977977166</v>
      </c>
      <c r="AB82" s="202">
        <f t="shared" si="16"/>
        <v>10421.884210717653</v>
      </c>
      <c r="AC82" s="201">
        <f t="shared" si="17"/>
        <v>1936.9868129199367</v>
      </c>
      <c r="AD82" s="201">
        <f t="shared" si="18"/>
        <v>8484.8973977977166</v>
      </c>
      <c r="AE82" s="201">
        <f t="shared" si="29"/>
        <v>10421.884210717653</v>
      </c>
      <c r="AF82" s="201">
        <f t="shared" si="19"/>
        <v>1936.9868129199349</v>
      </c>
      <c r="AG82" s="201">
        <f t="shared" si="20"/>
        <v>8484.8973977977166</v>
      </c>
      <c r="AH82" s="201">
        <f t="shared" si="30"/>
        <v>10421.884210717652</v>
      </c>
    </row>
    <row r="83" spans="2:34" x14ac:dyDescent="0.3">
      <c r="B83" s="179">
        <f t="shared" si="10"/>
        <v>60</v>
      </c>
      <c r="C83" s="180">
        <f t="shared" si="21"/>
        <v>30.4</v>
      </c>
      <c r="D83" s="165">
        <f>IF(B83="","",Simulador!$F$62)</f>
        <v>0.11</v>
      </c>
      <c r="E83" s="167"/>
      <c r="F83" s="167">
        <f t="shared" si="22"/>
        <v>911508.90529448981</v>
      </c>
      <c r="G83" s="166"/>
      <c r="H83" s="167">
        <f t="shared" si="11"/>
        <v>1954.9792682043917</v>
      </c>
      <c r="I83" s="167">
        <f t="shared" si="23"/>
        <v>8466.9049425132598</v>
      </c>
      <c r="J83" s="167">
        <f t="shared" si="9"/>
        <v>10421.884210717652</v>
      </c>
      <c r="K83" s="167">
        <f t="shared" si="12"/>
        <v>0</v>
      </c>
      <c r="L83" s="167">
        <f t="shared" si="24"/>
        <v>0</v>
      </c>
      <c r="M83" s="167">
        <f>IF(B83="","",IF(F83=0,0,IF(Simulador!$F$11='Tabla Parámetros'!$W$1,'Tabla Parámetros'!$W$28,IF(Simulador!$F$11='Tabla Parámetros'!$Y$1,'Tabla Parámetros'!$Y$12))))</f>
        <v>299</v>
      </c>
      <c r="N83" s="167">
        <f>IF(B83="","",IF(F83=0,0,IF(Simulador!$N$7='Tabla Parámetros'!$C$31,AportPat!L63,0)))</f>
        <v>0</v>
      </c>
      <c r="O83" s="167">
        <f>Simulador!O451</f>
        <v>0</v>
      </c>
      <c r="P83" s="167">
        <v>0</v>
      </c>
      <c r="Q83" s="167">
        <f t="shared" si="13"/>
        <v>10720.884210717652</v>
      </c>
      <c r="R83" s="167">
        <f t="shared" si="14"/>
        <v>909553.92602628539</v>
      </c>
      <c r="U83" s="6"/>
      <c r="V83" s="6"/>
      <c r="W83" s="6"/>
      <c r="X83" s="256">
        <f t="shared" si="8"/>
        <v>10720.884210717653</v>
      </c>
      <c r="Z83" s="201">
        <f t="shared" si="28"/>
        <v>1954.9792682043928</v>
      </c>
      <c r="AA83" s="201">
        <f t="shared" si="15"/>
        <v>8466.9049425132598</v>
      </c>
      <c r="AB83" s="202">
        <f t="shared" si="16"/>
        <v>10421.884210717653</v>
      </c>
      <c r="AC83" s="201">
        <f t="shared" si="17"/>
        <v>1954.9792682043935</v>
      </c>
      <c r="AD83" s="201">
        <f t="shared" si="18"/>
        <v>8466.9049425132598</v>
      </c>
      <c r="AE83" s="201">
        <f t="shared" si="29"/>
        <v>10421.884210717653</v>
      </c>
      <c r="AF83" s="201">
        <f t="shared" si="19"/>
        <v>1954.9792682043917</v>
      </c>
      <c r="AG83" s="201">
        <f t="shared" si="20"/>
        <v>8466.9049425132598</v>
      </c>
      <c r="AH83" s="201">
        <f t="shared" si="30"/>
        <v>10421.884210717652</v>
      </c>
    </row>
    <row r="84" spans="2:34" x14ac:dyDescent="0.3">
      <c r="B84" s="181">
        <f t="shared" si="10"/>
        <v>61</v>
      </c>
      <c r="C84" s="180">
        <f t="shared" si="21"/>
        <v>30.4</v>
      </c>
      <c r="D84" s="165">
        <f>IF(B84="","",Simulador!$F$62)</f>
        <v>0.11</v>
      </c>
      <c r="E84" s="167"/>
      <c r="F84" s="167">
        <f t="shared" si="22"/>
        <v>909553.92602628539</v>
      </c>
      <c r="G84" s="166"/>
      <c r="H84" s="167">
        <f t="shared" si="11"/>
        <v>1973.1388534068228</v>
      </c>
      <c r="I84" s="167">
        <f t="shared" si="23"/>
        <v>8448.7453573108287</v>
      </c>
      <c r="J84" s="167">
        <f t="shared" si="9"/>
        <v>10421.884210717652</v>
      </c>
      <c r="K84" s="167">
        <f t="shared" si="12"/>
        <v>0</v>
      </c>
      <c r="L84" s="167">
        <f t="shared" si="24"/>
        <v>0</v>
      </c>
      <c r="M84" s="167">
        <f>IF(B84="","",IF(F84=0,0,IF(Simulador!$F$11='Tabla Parámetros'!$W$1,'Tabla Parámetros'!$W$28,IF(Simulador!$F$11='Tabla Parámetros'!$Y$1,'Tabla Parámetros'!$Y$12))))</f>
        <v>299</v>
      </c>
      <c r="N84" s="167">
        <f>IF(B84="","",IF(F84=0,0,IF(Simulador!$N$7='Tabla Parámetros'!$C$31,AportPat!L64,0)))</f>
        <v>0</v>
      </c>
      <c r="O84" s="167">
        <f>Simulador!O452</f>
        <v>0</v>
      </c>
      <c r="P84" s="167">
        <v>0</v>
      </c>
      <c r="Q84" s="167">
        <f t="shared" si="13"/>
        <v>10720.884210717652</v>
      </c>
      <c r="R84" s="167">
        <f t="shared" si="14"/>
        <v>907580.78717287863</v>
      </c>
      <c r="U84" s="6"/>
      <c r="V84" s="6"/>
      <c r="W84" s="6"/>
      <c r="X84" s="256">
        <f t="shared" si="8"/>
        <v>10720.884210717653</v>
      </c>
      <c r="Z84" s="201">
        <f t="shared" si="28"/>
        <v>1973.1388534068249</v>
      </c>
      <c r="AA84" s="201">
        <f t="shared" si="15"/>
        <v>8448.7453573108287</v>
      </c>
      <c r="AB84" s="202">
        <f t="shared" si="16"/>
        <v>10421.884210717653</v>
      </c>
      <c r="AC84" s="201">
        <f t="shared" si="17"/>
        <v>1973.1388534068246</v>
      </c>
      <c r="AD84" s="201">
        <f t="shared" si="18"/>
        <v>8448.7453573108287</v>
      </c>
      <c r="AE84" s="201">
        <f t="shared" si="29"/>
        <v>10421.884210717653</v>
      </c>
      <c r="AF84" s="201">
        <f t="shared" si="19"/>
        <v>1973.1388534068228</v>
      </c>
      <c r="AG84" s="201">
        <f t="shared" si="20"/>
        <v>8448.7453573108287</v>
      </c>
      <c r="AH84" s="201">
        <f t="shared" si="30"/>
        <v>10421.884210717652</v>
      </c>
    </row>
    <row r="85" spans="2:34" x14ac:dyDescent="0.3">
      <c r="B85" s="179">
        <f t="shared" si="10"/>
        <v>62</v>
      </c>
      <c r="C85" s="180">
        <f t="shared" si="21"/>
        <v>30.4</v>
      </c>
      <c r="D85" s="165">
        <f>IF(B85="","",Simulador!$F$62)</f>
        <v>0.11</v>
      </c>
      <c r="E85" s="167"/>
      <c r="F85" s="167">
        <f t="shared" si="22"/>
        <v>907580.78717287863</v>
      </c>
      <c r="G85" s="166"/>
      <c r="H85" s="167">
        <f t="shared" si="11"/>
        <v>1991.4671209784701</v>
      </c>
      <c r="I85" s="167">
        <f t="shared" si="23"/>
        <v>8430.4170897391832</v>
      </c>
      <c r="J85" s="167">
        <f t="shared" si="9"/>
        <v>10421.884210717653</v>
      </c>
      <c r="K85" s="167">
        <f t="shared" si="12"/>
        <v>0</v>
      </c>
      <c r="L85" s="167">
        <f t="shared" si="24"/>
        <v>0</v>
      </c>
      <c r="M85" s="167">
        <f>IF(B85="","",IF(F85=0,0,IF(Simulador!$F$11='Tabla Parámetros'!$W$1,'Tabla Parámetros'!$W$28,IF(Simulador!$F$11='Tabla Parámetros'!$Y$1,'Tabla Parámetros'!$Y$12))))</f>
        <v>299</v>
      </c>
      <c r="N85" s="167">
        <f>IF(B85="","",IF(F85=0,0,IF(Simulador!$N$7='Tabla Parámetros'!$C$31,AportPat!L65,0)))</f>
        <v>0</v>
      </c>
      <c r="O85" s="167">
        <f>Simulador!O453</f>
        <v>0</v>
      </c>
      <c r="P85" s="167">
        <v>0</v>
      </c>
      <c r="Q85" s="167">
        <f t="shared" si="13"/>
        <v>10720.884210717653</v>
      </c>
      <c r="R85" s="167">
        <f t="shared" si="14"/>
        <v>905589.32005190011</v>
      </c>
      <c r="U85" s="6"/>
      <c r="V85" s="6"/>
      <c r="W85" s="6"/>
      <c r="X85" s="256">
        <f t="shared" si="8"/>
        <v>10720.884210717653</v>
      </c>
      <c r="Z85" s="201">
        <f t="shared" si="28"/>
        <v>1991.4671209784706</v>
      </c>
      <c r="AA85" s="201">
        <f t="shared" si="15"/>
        <v>8430.4170897391832</v>
      </c>
      <c r="AB85" s="202">
        <f t="shared" si="16"/>
        <v>10421.884210717653</v>
      </c>
      <c r="AC85" s="201">
        <f t="shared" si="17"/>
        <v>1991.4671209784701</v>
      </c>
      <c r="AD85" s="201">
        <f t="shared" si="18"/>
        <v>8430.4170897391832</v>
      </c>
      <c r="AE85" s="201">
        <f t="shared" si="29"/>
        <v>10421.884210717653</v>
      </c>
      <c r="AF85" s="201">
        <f t="shared" si="19"/>
        <v>1991.4671209784701</v>
      </c>
      <c r="AG85" s="201">
        <f t="shared" si="20"/>
        <v>8430.4170897391832</v>
      </c>
      <c r="AH85" s="201">
        <f t="shared" si="30"/>
        <v>10421.884210717653</v>
      </c>
    </row>
    <row r="86" spans="2:34" x14ac:dyDescent="0.3">
      <c r="B86" s="179">
        <f t="shared" si="10"/>
        <v>63</v>
      </c>
      <c r="C86" s="180">
        <f t="shared" si="21"/>
        <v>30.4</v>
      </c>
      <c r="D86" s="165">
        <f>IF(B86="","",Simulador!$F$62)</f>
        <v>0.11</v>
      </c>
      <c r="E86" s="167"/>
      <c r="F86" s="167">
        <f t="shared" si="22"/>
        <v>905589.32005190011</v>
      </c>
      <c r="G86" s="166"/>
      <c r="H86" s="167">
        <f t="shared" si="11"/>
        <v>2009.9656377911142</v>
      </c>
      <c r="I86" s="167">
        <f t="shared" si="23"/>
        <v>8411.9185729265373</v>
      </c>
      <c r="J86" s="167">
        <f t="shared" si="9"/>
        <v>10421.884210717652</v>
      </c>
      <c r="K86" s="167">
        <f t="shared" si="12"/>
        <v>0</v>
      </c>
      <c r="L86" s="167">
        <f t="shared" si="24"/>
        <v>0</v>
      </c>
      <c r="M86" s="167">
        <f>IF(B86="","",IF(F86=0,0,IF(Simulador!$F$11='Tabla Parámetros'!$W$1,'Tabla Parámetros'!$W$28,IF(Simulador!$F$11='Tabla Parámetros'!$Y$1,'Tabla Parámetros'!$Y$12))))</f>
        <v>299</v>
      </c>
      <c r="N86" s="167">
        <f>IF(B86="","",IF(F86=0,0,IF(Simulador!$N$7='Tabla Parámetros'!$C$31,AportPat!L66,0)))</f>
        <v>0</v>
      </c>
      <c r="O86" s="167">
        <f>Simulador!O454</f>
        <v>0</v>
      </c>
      <c r="P86" s="167">
        <v>0</v>
      </c>
      <c r="Q86" s="167">
        <f t="shared" si="13"/>
        <v>10720.884210717652</v>
      </c>
      <c r="R86" s="167">
        <f t="shared" si="14"/>
        <v>903579.35441410902</v>
      </c>
      <c r="U86" s="6"/>
      <c r="V86" s="6"/>
      <c r="W86" s="6"/>
      <c r="X86" s="256">
        <f t="shared" si="8"/>
        <v>10720.884210717653</v>
      </c>
      <c r="Z86" s="201">
        <f t="shared" si="28"/>
        <v>2009.9656377911151</v>
      </c>
      <c r="AA86" s="201">
        <f t="shared" si="15"/>
        <v>8411.9185729265373</v>
      </c>
      <c r="AB86" s="202">
        <f t="shared" si="16"/>
        <v>10421.884210717653</v>
      </c>
      <c r="AC86" s="201">
        <f t="shared" si="17"/>
        <v>2009.965637791116</v>
      </c>
      <c r="AD86" s="201">
        <f t="shared" si="18"/>
        <v>8411.9185729265373</v>
      </c>
      <c r="AE86" s="201">
        <f t="shared" si="29"/>
        <v>10421.884210717653</v>
      </c>
      <c r="AF86" s="201">
        <f t="shared" si="19"/>
        <v>2009.9656377911142</v>
      </c>
      <c r="AG86" s="201">
        <f t="shared" si="20"/>
        <v>8411.9185729265373</v>
      </c>
      <c r="AH86" s="201">
        <f t="shared" si="30"/>
        <v>10421.884210717652</v>
      </c>
    </row>
    <row r="87" spans="2:34" x14ac:dyDescent="0.3">
      <c r="B87" s="179">
        <f t="shared" si="10"/>
        <v>64</v>
      </c>
      <c r="C87" s="180">
        <f t="shared" si="21"/>
        <v>30.4</v>
      </c>
      <c r="D87" s="165">
        <f>IF(B87="","",Simulador!$F$62)</f>
        <v>0.11</v>
      </c>
      <c r="E87" s="167"/>
      <c r="F87" s="167">
        <f t="shared" si="22"/>
        <v>903579.35441410902</v>
      </c>
      <c r="G87" s="166"/>
      <c r="H87" s="167">
        <f t="shared" si="11"/>
        <v>2028.6359852710393</v>
      </c>
      <c r="I87" s="167">
        <f t="shared" si="23"/>
        <v>8393.2482254466122</v>
      </c>
      <c r="J87" s="167">
        <f t="shared" si="9"/>
        <v>10421.884210717652</v>
      </c>
      <c r="K87" s="167">
        <f t="shared" si="12"/>
        <v>0</v>
      </c>
      <c r="L87" s="167">
        <f t="shared" si="24"/>
        <v>0</v>
      </c>
      <c r="M87" s="167">
        <f>IF(B87="","",IF(F87=0,0,IF(Simulador!$F$11='Tabla Parámetros'!$W$1,'Tabla Parámetros'!$W$28,IF(Simulador!$F$11='Tabla Parámetros'!$Y$1,'Tabla Parámetros'!$Y$12))))</f>
        <v>299</v>
      </c>
      <c r="N87" s="167">
        <f>IF(B87="","",IF(F87=0,0,IF(Simulador!$N$7='Tabla Parámetros'!$C$31,AportPat!L67,0)))</f>
        <v>0</v>
      </c>
      <c r="O87" s="167">
        <f>Simulador!O455</f>
        <v>0</v>
      </c>
      <c r="P87" s="167">
        <v>0</v>
      </c>
      <c r="Q87" s="167">
        <f t="shared" si="13"/>
        <v>10720.884210717652</v>
      </c>
      <c r="R87" s="167">
        <f t="shared" si="14"/>
        <v>901550.71842883795</v>
      </c>
      <c r="U87" s="6"/>
      <c r="V87" s="6"/>
      <c r="W87" s="6"/>
      <c r="X87" s="256">
        <f t="shared" ref="X87:X150" si="31">IF(B89="","",IF(F89=0,0,PMT($E$1/360*C89,$E$2,-$H$2)+K89+(L89/1.16)+M89+O89))</f>
        <v>10720.884210717653</v>
      </c>
      <c r="Z87" s="201">
        <f t="shared" si="28"/>
        <v>2028.6359852710411</v>
      </c>
      <c r="AA87" s="201">
        <f t="shared" si="15"/>
        <v>8393.2482254466122</v>
      </c>
      <c r="AB87" s="202">
        <f t="shared" si="16"/>
        <v>10421.884210717653</v>
      </c>
      <c r="AC87" s="201">
        <f t="shared" si="17"/>
        <v>2028.6359852710411</v>
      </c>
      <c r="AD87" s="201">
        <f t="shared" si="18"/>
        <v>8393.2482254466122</v>
      </c>
      <c r="AE87" s="201">
        <f t="shared" si="29"/>
        <v>10421.884210717653</v>
      </c>
      <c r="AF87" s="201">
        <f t="shared" si="19"/>
        <v>2028.6359852710393</v>
      </c>
      <c r="AG87" s="201">
        <f t="shared" si="20"/>
        <v>8393.2482254466122</v>
      </c>
      <c r="AH87" s="201">
        <f t="shared" si="30"/>
        <v>10421.884210717652</v>
      </c>
    </row>
    <row r="88" spans="2:34" x14ac:dyDescent="0.3">
      <c r="B88" s="181">
        <f t="shared" si="10"/>
        <v>65</v>
      </c>
      <c r="C88" s="180">
        <f t="shared" si="21"/>
        <v>30.4</v>
      </c>
      <c r="D88" s="165">
        <f>IF(B88="","",Simulador!$F$62)</f>
        <v>0.11</v>
      </c>
      <c r="E88" s="167"/>
      <c r="F88" s="167">
        <f t="shared" si="22"/>
        <v>901550.71842883795</v>
      </c>
      <c r="G88" s="166"/>
      <c r="H88" s="167">
        <f t="shared" si="11"/>
        <v>2047.4797595342243</v>
      </c>
      <c r="I88" s="167">
        <f t="shared" si="23"/>
        <v>8374.4044511834272</v>
      </c>
      <c r="J88" s="167">
        <f t="shared" ref="J88:J151" si="32">IF(D88="","",IF(F88=0,0,IF($R$2=$Z$22,AB88,IF($R$2=$AC$22,AE88,IF($R$2=$AF$22,AH88,)))))</f>
        <v>10421.884210717652</v>
      </c>
      <c r="K88" s="167">
        <f t="shared" si="12"/>
        <v>0</v>
      </c>
      <c r="L88" s="167">
        <f t="shared" si="24"/>
        <v>0</v>
      </c>
      <c r="M88" s="167">
        <f>IF(B88="","",IF(F88=0,0,IF(Simulador!$F$11='Tabla Parámetros'!$W$1,'Tabla Parámetros'!$W$28,IF(Simulador!$F$11='Tabla Parámetros'!$Y$1,'Tabla Parámetros'!$Y$12))))</f>
        <v>299</v>
      </c>
      <c r="N88" s="167">
        <f>IF(B88="","",IF(F88=0,0,IF(Simulador!$N$7='Tabla Parámetros'!$C$31,AportPat!L68,0)))</f>
        <v>0</v>
      </c>
      <c r="O88" s="167">
        <f>Simulador!O456</f>
        <v>0</v>
      </c>
      <c r="P88" s="167">
        <v>0</v>
      </c>
      <c r="Q88" s="167">
        <f t="shared" si="13"/>
        <v>10720.884210717652</v>
      </c>
      <c r="R88" s="167">
        <f t="shared" si="14"/>
        <v>899503.23866930371</v>
      </c>
      <c r="U88" s="6"/>
      <c r="V88" s="6"/>
      <c r="W88" s="6"/>
      <c r="X88" s="256">
        <f t="shared" si="31"/>
        <v>10720.884210717653</v>
      </c>
      <c r="Z88" s="201">
        <f t="shared" si="28"/>
        <v>2047.4797595342254</v>
      </c>
      <c r="AA88" s="201">
        <f t="shared" si="15"/>
        <v>8374.4044511834272</v>
      </c>
      <c r="AB88" s="202">
        <f t="shared" si="16"/>
        <v>10421.884210717653</v>
      </c>
      <c r="AC88" s="201">
        <f t="shared" si="17"/>
        <v>2047.4797595342261</v>
      </c>
      <c r="AD88" s="201">
        <f t="shared" si="18"/>
        <v>8374.4044511834272</v>
      </c>
      <c r="AE88" s="201">
        <f t="shared" si="29"/>
        <v>10421.884210717653</v>
      </c>
      <c r="AF88" s="201">
        <f t="shared" si="19"/>
        <v>2047.4797595342243</v>
      </c>
      <c r="AG88" s="201">
        <f t="shared" si="20"/>
        <v>8374.4044511834272</v>
      </c>
      <c r="AH88" s="201">
        <f t="shared" si="30"/>
        <v>10421.884210717652</v>
      </c>
    </row>
    <row r="89" spans="2:34" x14ac:dyDescent="0.3">
      <c r="B89" s="179">
        <f t="shared" si="10"/>
        <v>66</v>
      </c>
      <c r="C89" s="180">
        <f t="shared" si="21"/>
        <v>30.4</v>
      </c>
      <c r="D89" s="165">
        <f>IF(B89="","",Simulador!$F$62)</f>
        <v>0.11</v>
      </c>
      <c r="E89" s="167"/>
      <c r="F89" s="167">
        <f t="shared" si="22"/>
        <v>899503.23866930371</v>
      </c>
      <c r="G89" s="166"/>
      <c r="H89" s="167">
        <f t="shared" ref="H89:H152" si="33">IF(B89="","",IF((J89-I89)&gt;F89,F89,IF($R$2=$Z$22,Z89,IF($R$2=$AC$22,AC89,IF($R$2=$AF$22,AF89,)))))</f>
        <v>2066.4985715227867</v>
      </c>
      <c r="I89" s="167">
        <f t="shared" si="23"/>
        <v>8355.3856391948648</v>
      </c>
      <c r="J89" s="167">
        <f t="shared" si="32"/>
        <v>10421.884210717652</v>
      </c>
      <c r="K89" s="167">
        <f t="shared" ref="K89:K152" si="34">IF(B89="","",F89*$I$2)</f>
        <v>0</v>
      </c>
      <c r="L89" s="167">
        <f t="shared" si="24"/>
        <v>0</v>
      </c>
      <c r="M89" s="167">
        <f>IF(B89="","",IF(F89=0,0,IF(Simulador!$F$11='Tabla Parámetros'!$W$1,'Tabla Parámetros'!$W$28,IF(Simulador!$F$11='Tabla Parámetros'!$Y$1,'Tabla Parámetros'!$Y$12))))</f>
        <v>299</v>
      </c>
      <c r="N89" s="167">
        <f>IF(B89="","",IF(F89=0,0,IF(Simulador!$N$7='Tabla Parámetros'!$C$31,AportPat!L69,0)))</f>
        <v>0</v>
      </c>
      <c r="O89" s="167">
        <f>Simulador!O457</f>
        <v>0</v>
      </c>
      <c r="P89" s="167">
        <v>0</v>
      </c>
      <c r="Q89" s="167">
        <f t="shared" ref="Q89:Q152" si="35">IF(B89="","",H89+I89+K89+L89+M89)</f>
        <v>10720.884210717652</v>
      </c>
      <c r="R89" s="167">
        <f t="shared" ref="R89:R152" si="36">IF(B89="","",F89-H89)</f>
        <v>897436.74009778094</v>
      </c>
      <c r="U89" s="6"/>
      <c r="V89" s="6"/>
      <c r="W89" s="6"/>
      <c r="X89" s="256">
        <f t="shared" si="31"/>
        <v>10720.884210717653</v>
      </c>
      <c r="Z89" s="201">
        <f t="shared" ref="Z89:Z152" si="37">IF(F89=0,0,PPMT(D89/360*30.4,B89,$E$2,-$F$24)+N89+O89)</f>
        <v>2066.4985715227876</v>
      </c>
      <c r="AA89" s="201">
        <f t="shared" ref="AA89:AA152" si="38">(D89/360*C89)*F89</f>
        <v>8355.3856391948648</v>
      </c>
      <c r="AB89" s="202">
        <f t="shared" ref="AB89:AB152" si="39">Z89+AA89</f>
        <v>10421.884210717653</v>
      </c>
      <c r="AC89" s="201">
        <f t="shared" ref="AC89:AC152" si="40">AE89-AD89</f>
        <v>2066.4985715227886</v>
      </c>
      <c r="AD89" s="201">
        <f t="shared" ref="AD89:AD152" si="41">(D89/360*C89)*F89</f>
        <v>8355.3856391948648</v>
      </c>
      <c r="AE89" s="201">
        <f t="shared" ref="AE89" si="42">IF(F89=0,0,PMT($E$1/360*30.4,$E$2,-$H$2)+N89+O89)</f>
        <v>10421.884210717653</v>
      </c>
      <c r="AF89" s="201">
        <f t="shared" ref="AF89:AF152" si="43">AH89-AG89</f>
        <v>2066.4985715227867</v>
      </c>
      <c r="AG89" s="201">
        <f t="shared" ref="AG89:AG152" si="44">(D89/360*C89)*F89</f>
        <v>8355.3856391948648</v>
      </c>
      <c r="AH89" s="201">
        <f t="shared" si="30"/>
        <v>10421.884210717652</v>
      </c>
    </row>
    <row r="90" spans="2:34" x14ac:dyDescent="0.3">
      <c r="B90" s="179">
        <f t="shared" ref="B90:B153" si="45">IF(B89="","",IF(B89=$E$2,"",B89+1))</f>
        <v>67</v>
      </c>
      <c r="C90" s="180">
        <f t="shared" ref="C90:C153" si="46">IF(B90="","",30.4)</f>
        <v>30.4</v>
      </c>
      <c r="D90" s="165">
        <f>IF(B90="","",Simulador!$F$62)</f>
        <v>0.11</v>
      </c>
      <c r="E90" s="167"/>
      <c r="F90" s="167">
        <f t="shared" ref="F90:F153" si="47">IF(B90="","",F89-H89)</f>
        <v>897436.74009778094</v>
      </c>
      <c r="G90" s="166"/>
      <c r="H90" s="167">
        <f t="shared" si="33"/>
        <v>2085.6940471427097</v>
      </c>
      <c r="I90" s="167">
        <f t="shared" ref="I90:I153" si="48">IF(C90="","",IF($R$2=$Z$22,AA90,IF($R$2=$AC$22,AD90,IF($R$2=$AF$22,AG90,))))</f>
        <v>8336.1901635749418</v>
      </c>
      <c r="J90" s="167">
        <f t="shared" si="32"/>
        <v>10421.884210717652</v>
      </c>
      <c r="K90" s="167">
        <f t="shared" si="34"/>
        <v>0</v>
      </c>
      <c r="L90" s="167">
        <f t="shared" ref="L90:L153" si="49">IF(B90="","",IF(F90=0,0,$L$1*$J$2))</f>
        <v>0</v>
      </c>
      <c r="M90" s="167">
        <f>IF(B90="","",IF(F90=0,0,IF(Simulador!$F$11='Tabla Parámetros'!$W$1,'Tabla Parámetros'!$W$28,IF(Simulador!$F$11='Tabla Parámetros'!$Y$1,'Tabla Parámetros'!$Y$12))))</f>
        <v>299</v>
      </c>
      <c r="N90" s="167">
        <f>IF(B90="","",IF(F90=0,0,IF(Simulador!$N$7='Tabla Parámetros'!$C$31,AportPat!L70,0)))</f>
        <v>0</v>
      </c>
      <c r="O90" s="167">
        <f>Simulador!O458</f>
        <v>0</v>
      </c>
      <c r="P90" s="167">
        <v>0</v>
      </c>
      <c r="Q90" s="167">
        <f t="shared" si="35"/>
        <v>10720.884210717652</v>
      </c>
      <c r="R90" s="167">
        <f t="shared" si="36"/>
        <v>895351.04605063819</v>
      </c>
      <c r="U90" s="6"/>
      <c r="V90" s="6"/>
      <c r="W90" s="6"/>
      <c r="X90" s="256">
        <f t="shared" si="31"/>
        <v>10720.884210717653</v>
      </c>
      <c r="Z90" s="201">
        <f t="shared" si="37"/>
        <v>2085.6940471427106</v>
      </c>
      <c r="AA90" s="201">
        <f t="shared" si="38"/>
        <v>8336.1901635749418</v>
      </c>
      <c r="AB90" s="202">
        <f t="shared" si="39"/>
        <v>10421.884210717653</v>
      </c>
      <c r="AC90" s="201">
        <f t="shared" si="40"/>
        <v>2085.6940471427115</v>
      </c>
      <c r="AD90" s="201">
        <f t="shared" si="41"/>
        <v>8336.1901635749418</v>
      </c>
      <c r="AE90" s="201">
        <f>IF(F90=0,0,PMT($E$1/360*30.4,$E$2,-$H$2)+N90+O90)</f>
        <v>10421.884210717653</v>
      </c>
      <c r="AF90" s="201">
        <f t="shared" si="43"/>
        <v>2085.6940471427097</v>
      </c>
      <c r="AG90" s="201">
        <f t="shared" si="44"/>
        <v>8336.1901635749418</v>
      </c>
      <c r="AH90" s="201">
        <f t="shared" ref="AH90:AH153" si="50">PMT($E$1/360*30.4,$E$2-B89,-F90)+N90+O90</f>
        <v>10421.884210717652</v>
      </c>
    </row>
    <row r="91" spans="2:34" x14ac:dyDescent="0.3">
      <c r="B91" s="179">
        <f t="shared" si="45"/>
        <v>68</v>
      </c>
      <c r="C91" s="180">
        <f t="shared" si="46"/>
        <v>30.4</v>
      </c>
      <c r="D91" s="165">
        <f>IF(B91="","",Simulador!$F$62)</f>
        <v>0.11</v>
      </c>
      <c r="E91" s="167"/>
      <c r="F91" s="167">
        <f t="shared" si="47"/>
        <v>895351.04605063819</v>
      </c>
      <c r="G91" s="166"/>
      <c r="H91" s="167">
        <f t="shared" si="33"/>
        <v>2105.067827402836</v>
      </c>
      <c r="I91" s="167">
        <f t="shared" si="48"/>
        <v>8316.8163833148155</v>
      </c>
      <c r="J91" s="167">
        <f t="shared" si="32"/>
        <v>10421.884210717652</v>
      </c>
      <c r="K91" s="167">
        <f t="shared" si="34"/>
        <v>0</v>
      </c>
      <c r="L91" s="167">
        <f t="shared" si="49"/>
        <v>0</v>
      </c>
      <c r="M91" s="167">
        <f>IF(B91="","",IF(F91=0,0,IF(Simulador!$F$11='Tabla Parámetros'!$W$1,'Tabla Parámetros'!$W$28,IF(Simulador!$F$11='Tabla Parámetros'!$Y$1,'Tabla Parámetros'!$Y$12))))</f>
        <v>299</v>
      </c>
      <c r="N91" s="167">
        <f>IF(B91="","",IF(F91=0,0,IF(Simulador!$N$7='Tabla Parámetros'!$C$31,AportPat!L71,0)))</f>
        <v>0</v>
      </c>
      <c r="O91" s="167">
        <f>Simulador!O459</f>
        <v>0</v>
      </c>
      <c r="P91" s="167">
        <v>0</v>
      </c>
      <c r="Q91" s="167">
        <f t="shared" si="35"/>
        <v>10720.884210717652</v>
      </c>
      <c r="R91" s="167">
        <f t="shared" si="36"/>
        <v>893245.97822323535</v>
      </c>
      <c r="U91" s="6"/>
      <c r="V91" s="6"/>
      <c r="W91" s="6"/>
      <c r="X91" s="256">
        <f t="shared" si="31"/>
        <v>10720.884210717653</v>
      </c>
      <c r="Z91" s="201">
        <f t="shared" si="37"/>
        <v>2105.067827402836</v>
      </c>
      <c r="AA91" s="201">
        <f t="shared" si="38"/>
        <v>8316.8163833148155</v>
      </c>
      <c r="AB91" s="202">
        <f t="shared" si="39"/>
        <v>10421.884210717652</v>
      </c>
      <c r="AC91" s="201">
        <f t="shared" si="40"/>
        <v>2105.0678274028378</v>
      </c>
      <c r="AD91" s="201">
        <f t="shared" si="41"/>
        <v>8316.8163833148155</v>
      </c>
      <c r="AE91" s="201">
        <f t="shared" ref="AE91:AE154" si="51">IF(F91=0,0,PMT($E$1/360*30.4,$E$2,-$H$2)+N91+O91)</f>
        <v>10421.884210717653</v>
      </c>
      <c r="AF91" s="201">
        <f t="shared" si="43"/>
        <v>2105.067827402836</v>
      </c>
      <c r="AG91" s="201">
        <f t="shared" si="44"/>
        <v>8316.8163833148155</v>
      </c>
      <c r="AH91" s="201">
        <f t="shared" si="50"/>
        <v>10421.884210717652</v>
      </c>
    </row>
    <row r="92" spans="2:34" x14ac:dyDescent="0.3">
      <c r="B92" s="181">
        <f t="shared" si="45"/>
        <v>69</v>
      </c>
      <c r="C92" s="180">
        <f t="shared" si="46"/>
        <v>30.4</v>
      </c>
      <c r="D92" s="165">
        <f>IF(B92="","",Simulador!$F$62)</f>
        <v>0.11</v>
      </c>
      <c r="E92" s="167"/>
      <c r="F92" s="167">
        <f t="shared" si="47"/>
        <v>893245.97822323535</v>
      </c>
      <c r="G92" s="166"/>
      <c r="H92" s="167">
        <f t="shared" si="33"/>
        <v>2124.6215685551542</v>
      </c>
      <c r="I92" s="167">
        <f t="shared" si="48"/>
        <v>8297.2626421624973</v>
      </c>
      <c r="J92" s="167">
        <f t="shared" si="32"/>
        <v>10421.884210717652</v>
      </c>
      <c r="K92" s="167">
        <f t="shared" si="34"/>
        <v>0</v>
      </c>
      <c r="L92" s="167">
        <f t="shared" si="49"/>
        <v>0</v>
      </c>
      <c r="M92" s="167">
        <f>IF(B92="","",IF(F92=0,0,IF(Simulador!$F$11='Tabla Parámetros'!$W$1,'Tabla Parámetros'!$W$28,IF(Simulador!$F$11='Tabla Parámetros'!$Y$1,'Tabla Parámetros'!$Y$12))))</f>
        <v>299</v>
      </c>
      <c r="N92" s="167">
        <f>IF(B92="","",IF(F92=0,0,IF(Simulador!$N$7='Tabla Parámetros'!$C$31,AportPat!L72,0)))</f>
        <v>0</v>
      </c>
      <c r="O92" s="167">
        <f>Simulador!O460</f>
        <v>0</v>
      </c>
      <c r="P92" s="167">
        <v>0</v>
      </c>
      <c r="Q92" s="167">
        <f t="shared" si="35"/>
        <v>10720.884210717652</v>
      </c>
      <c r="R92" s="167">
        <f t="shared" si="36"/>
        <v>891121.35665468022</v>
      </c>
      <c r="U92" s="6"/>
      <c r="V92" s="6"/>
      <c r="W92" s="6"/>
      <c r="X92" s="256">
        <f t="shared" si="31"/>
        <v>10720.884210717653</v>
      </c>
      <c r="Z92" s="201">
        <f t="shared" si="37"/>
        <v>2124.621568555156</v>
      </c>
      <c r="AA92" s="201">
        <f t="shared" si="38"/>
        <v>8297.2626421624973</v>
      </c>
      <c r="AB92" s="202">
        <f t="shared" si="39"/>
        <v>10421.884210717653</v>
      </c>
      <c r="AC92" s="201">
        <f t="shared" si="40"/>
        <v>2124.621568555156</v>
      </c>
      <c r="AD92" s="201">
        <f t="shared" si="41"/>
        <v>8297.2626421624973</v>
      </c>
      <c r="AE92" s="201">
        <f t="shared" si="51"/>
        <v>10421.884210717653</v>
      </c>
      <c r="AF92" s="201">
        <f t="shared" si="43"/>
        <v>2124.6215685551542</v>
      </c>
      <c r="AG92" s="201">
        <f t="shared" si="44"/>
        <v>8297.2626421624973</v>
      </c>
      <c r="AH92" s="201">
        <f t="shared" si="50"/>
        <v>10421.884210717652</v>
      </c>
    </row>
    <row r="93" spans="2:34" x14ac:dyDescent="0.3">
      <c r="B93" s="179">
        <f t="shared" si="45"/>
        <v>70</v>
      </c>
      <c r="C93" s="180">
        <f t="shared" si="46"/>
        <v>30.4</v>
      </c>
      <c r="D93" s="165">
        <f>IF(B93="","",Simulador!$F$62)</f>
        <v>0.11</v>
      </c>
      <c r="E93" s="167"/>
      <c r="F93" s="167">
        <f t="shared" si="47"/>
        <v>891121.35665468022</v>
      </c>
      <c r="G93" s="166"/>
      <c r="H93" s="167">
        <f t="shared" si="33"/>
        <v>2144.3569422364017</v>
      </c>
      <c r="I93" s="167">
        <f t="shared" si="48"/>
        <v>8277.5272684812517</v>
      </c>
      <c r="J93" s="167">
        <f t="shared" si="32"/>
        <v>10421.884210717653</v>
      </c>
      <c r="K93" s="167">
        <f t="shared" si="34"/>
        <v>0</v>
      </c>
      <c r="L93" s="167">
        <f t="shared" si="49"/>
        <v>0</v>
      </c>
      <c r="M93" s="167">
        <f>IF(B93="","",IF(F93=0,0,IF(Simulador!$F$11='Tabla Parámetros'!$W$1,'Tabla Parámetros'!$W$28,IF(Simulador!$F$11='Tabla Parámetros'!$Y$1,'Tabla Parámetros'!$Y$12))))</f>
        <v>299</v>
      </c>
      <c r="N93" s="167">
        <f>IF(B93="","",IF(F93=0,0,IF(Simulador!$N$7='Tabla Parámetros'!$C$31,AportPat!L73,0)))</f>
        <v>0</v>
      </c>
      <c r="O93" s="167">
        <f>Simulador!O461</f>
        <v>0</v>
      </c>
      <c r="P93" s="167">
        <v>0</v>
      </c>
      <c r="Q93" s="167">
        <f t="shared" si="35"/>
        <v>10720.884210717653</v>
      </c>
      <c r="R93" s="167">
        <f t="shared" si="36"/>
        <v>888976.99971244379</v>
      </c>
      <c r="U93" s="6"/>
      <c r="V93" s="6"/>
      <c r="W93" s="6"/>
      <c r="X93" s="256">
        <f t="shared" si="31"/>
        <v>10720.884210717653</v>
      </c>
      <c r="Z93" s="201">
        <f t="shared" si="37"/>
        <v>2144.3569422364017</v>
      </c>
      <c r="AA93" s="201">
        <f t="shared" si="38"/>
        <v>8277.5272684812517</v>
      </c>
      <c r="AB93" s="202">
        <f t="shared" si="39"/>
        <v>10421.884210717653</v>
      </c>
      <c r="AC93" s="201">
        <f t="shared" si="40"/>
        <v>2144.3569422364017</v>
      </c>
      <c r="AD93" s="201">
        <f t="shared" si="41"/>
        <v>8277.5272684812517</v>
      </c>
      <c r="AE93" s="201">
        <f t="shared" si="51"/>
        <v>10421.884210717653</v>
      </c>
      <c r="AF93" s="201">
        <f t="shared" si="43"/>
        <v>2144.3569422364017</v>
      </c>
      <c r="AG93" s="201">
        <f t="shared" si="44"/>
        <v>8277.5272684812517</v>
      </c>
      <c r="AH93" s="201">
        <f t="shared" si="50"/>
        <v>10421.884210717653</v>
      </c>
    </row>
    <row r="94" spans="2:34" x14ac:dyDescent="0.3">
      <c r="B94" s="179">
        <f t="shared" si="45"/>
        <v>71</v>
      </c>
      <c r="C94" s="180">
        <f t="shared" si="46"/>
        <v>30.4</v>
      </c>
      <c r="D94" s="165">
        <f>IF(B94="","",Simulador!$F$62)</f>
        <v>0.11</v>
      </c>
      <c r="E94" s="167"/>
      <c r="F94" s="167">
        <f t="shared" si="47"/>
        <v>888976.99971244379</v>
      </c>
      <c r="G94" s="166"/>
      <c r="H94" s="167">
        <f t="shared" si="33"/>
        <v>2164.2756356109512</v>
      </c>
      <c r="I94" s="167">
        <f t="shared" si="48"/>
        <v>8257.6085751067003</v>
      </c>
      <c r="J94" s="167">
        <f t="shared" si="32"/>
        <v>10421.884210717652</v>
      </c>
      <c r="K94" s="167">
        <f t="shared" si="34"/>
        <v>0</v>
      </c>
      <c r="L94" s="167">
        <f t="shared" si="49"/>
        <v>0</v>
      </c>
      <c r="M94" s="167">
        <f>IF(B94="","",IF(F94=0,0,IF(Simulador!$F$11='Tabla Parámetros'!$W$1,'Tabla Parámetros'!$W$28,IF(Simulador!$F$11='Tabla Parámetros'!$Y$1,'Tabla Parámetros'!$Y$12))))</f>
        <v>299</v>
      </c>
      <c r="N94" s="167">
        <f>IF(B94="","",IF(F94=0,0,IF(Simulador!$N$7='Tabla Parámetros'!$C$31,AportPat!L74,0)))</f>
        <v>0</v>
      </c>
      <c r="O94" s="167">
        <f>Simulador!O462</f>
        <v>0</v>
      </c>
      <c r="P94" s="167">
        <v>0</v>
      </c>
      <c r="Q94" s="167">
        <f t="shared" si="35"/>
        <v>10720.884210717652</v>
      </c>
      <c r="R94" s="167">
        <f t="shared" si="36"/>
        <v>886812.72407683288</v>
      </c>
      <c r="U94" s="6"/>
      <c r="V94" s="6"/>
      <c r="W94" s="6"/>
      <c r="X94" s="256">
        <f t="shared" si="31"/>
        <v>10720.884210717653</v>
      </c>
      <c r="Z94" s="201">
        <f t="shared" si="37"/>
        <v>2164.2756356109535</v>
      </c>
      <c r="AA94" s="201">
        <f t="shared" si="38"/>
        <v>8257.6085751067003</v>
      </c>
      <c r="AB94" s="202">
        <f t="shared" si="39"/>
        <v>10421.884210717653</v>
      </c>
      <c r="AC94" s="201">
        <f t="shared" si="40"/>
        <v>2164.275635610953</v>
      </c>
      <c r="AD94" s="201">
        <f t="shared" si="41"/>
        <v>8257.6085751067003</v>
      </c>
      <c r="AE94" s="201">
        <f t="shared" si="51"/>
        <v>10421.884210717653</v>
      </c>
      <c r="AF94" s="201">
        <f t="shared" si="43"/>
        <v>2164.2756356109512</v>
      </c>
      <c r="AG94" s="201">
        <f t="shared" si="44"/>
        <v>8257.6085751067003</v>
      </c>
      <c r="AH94" s="201">
        <f t="shared" si="50"/>
        <v>10421.884210717652</v>
      </c>
    </row>
    <row r="95" spans="2:34" x14ac:dyDescent="0.3">
      <c r="B95" s="179">
        <f t="shared" si="45"/>
        <v>72</v>
      </c>
      <c r="C95" s="180">
        <f t="shared" si="46"/>
        <v>30.4</v>
      </c>
      <c r="D95" s="165">
        <f>IF(B95="","",Simulador!$F$62)</f>
        <v>0.11</v>
      </c>
      <c r="E95" s="167"/>
      <c r="F95" s="167">
        <f t="shared" si="47"/>
        <v>886812.72407683288</v>
      </c>
      <c r="G95" s="166"/>
      <c r="H95" s="167">
        <f t="shared" si="33"/>
        <v>2184.3793515150719</v>
      </c>
      <c r="I95" s="167">
        <f t="shared" si="48"/>
        <v>8237.5048592025796</v>
      </c>
      <c r="J95" s="167">
        <f t="shared" si="32"/>
        <v>10421.884210717652</v>
      </c>
      <c r="K95" s="167">
        <f t="shared" si="34"/>
        <v>0</v>
      </c>
      <c r="L95" s="167">
        <f t="shared" si="49"/>
        <v>0</v>
      </c>
      <c r="M95" s="167">
        <f>IF(B95="","",IF(F95=0,0,IF(Simulador!$F$11='Tabla Parámetros'!$W$1,'Tabla Parámetros'!$W$28,IF(Simulador!$F$11='Tabla Parámetros'!$Y$1,'Tabla Parámetros'!$Y$12))))</f>
        <v>299</v>
      </c>
      <c r="N95" s="167">
        <f>IF(B95="","",IF(F95=0,0,IF(Simulador!$N$7='Tabla Parámetros'!$C$31,AportPat!L75,0)))</f>
        <v>0</v>
      </c>
      <c r="O95" s="167">
        <f>Simulador!O463</f>
        <v>0</v>
      </c>
      <c r="P95" s="167">
        <v>0</v>
      </c>
      <c r="Q95" s="167">
        <f t="shared" si="35"/>
        <v>10720.884210717652</v>
      </c>
      <c r="R95" s="167">
        <f t="shared" si="36"/>
        <v>884628.34472531779</v>
      </c>
      <c r="U95" s="6"/>
      <c r="V95" s="6"/>
      <c r="W95" s="6"/>
      <c r="X95" s="256">
        <f t="shared" si="31"/>
        <v>10720.884210717653</v>
      </c>
      <c r="Z95" s="201">
        <f t="shared" si="37"/>
        <v>2184.3793515150728</v>
      </c>
      <c r="AA95" s="201">
        <f t="shared" si="38"/>
        <v>8237.5048592025796</v>
      </c>
      <c r="AB95" s="202">
        <f t="shared" si="39"/>
        <v>10421.884210717653</v>
      </c>
      <c r="AC95" s="201">
        <f t="shared" si="40"/>
        <v>2184.3793515150737</v>
      </c>
      <c r="AD95" s="201">
        <f t="shared" si="41"/>
        <v>8237.5048592025796</v>
      </c>
      <c r="AE95" s="201">
        <f t="shared" si="51"/>
        <v>10421.884210717653</v>
      </c>
      <c r="AF95" s="201">
        <f t="shared" si="43"/>
        <v>2184.3793515150719</v>
      </c>
      <c r="AG95" s="201">
        <f t="shared" si="44"/>
        <v>8237.5048592025796</v>
      </c>
      <c r="AH95" s="201">
        <f t="shared" si="50"/>
        <v>10421.884210717652</v>
      </c>
    </row>
    <row r="96" spans="2:34" x14ac:dyDescent="0.3">
      <c r="B96" s="181">
        <f t="shared" si="45"/>
        <v>73</v>
      </c>
      <c r="C96" s="180">
        <f t="shared" si="46"/>
        <v>30.4</v>
      </c>
      <c r="D96" s="165">
        <f>IF(B96="","",Simulador!$F$62)</f>
        <v>0.11</v>
      </c>
      <c r="E96" s="167"/>
      <c r="F96" s="167">
        <f t="shared" si="47"/>
        <v>884628.34472531779</v>
      </c>
      <c r="G96" s="166"/>
      <c r="H96" s="167">
        <f t="shared" si="33"/>
        <v>2204.6698086024771</v>
      </c>
      <c r="I96" s="167">
        <f t="shared" si="48"/>
        <v>8217.2144021151744</v>
      </c>
      <c r="J96" s="167">
        <f t="shared" si="32"/>
        <v>10421.884210717652</v>
      </c>
      <c r="K96" s="167">
        <f t="shared" si="34"/>
        <v>0</v>
      </c>
      <c r="L96" s="167">
        <f t="shared" si="49"/>
        <v>0</v>
      </c>
      <c r="M96" s="167">
        <f>IF(B96="","",IF(F96=0,0,IF(Simulador!$F$11='Tabla Parámetros'!$W$1,'Tabla Parámetros'!$W$28,IF(Simulador!$F$11='Tabla Parámetros'!$Y$1,'Tabla Parámetros'!$Y$12))))</f>
        <v>299</v>
      </c>
      <c r="N96" s="167">
        <f>IF(B96="","",IF(F96=0,0,IF(Simulador!$N$7='Tabla Parámetros'!$C$31,AportPat!L76,0)))</f>
        <v>0</v>
      </c>
      <c r="O96" s="167">
        <f>Simulador!O464</f>
        <v>0</v>
      </c>
      <c r="P96" s="167">
        <v>0</v>
      </c>
      <c r="Q96" s="167">
        <f t="shared" si="35"/>
        <v>10720.884210717652</v>
      </c>
      <c r="R96" s="167">
        <f t="shared" si="36"/>
        <v>882423.67491671536</v>
      </c>
      <c r="U96" s="6"/>
      <c r="V96" s="6"/>
      <c r="W96" s="6"/>
      <c r="X96" s="256">
        <f t="shared" si="31"/>
        <v>10720.884210717653</v>
      </c>
      <c r="Z96" s="201">
        <f t="shared" si="37"/>
        <v>2204.6698086024794</v>
      </c>
      <c r="AA96" s="201">
        <f t="shared" si="38"/>
        <v>8217.2144021151744</v>
      </c>
      <c r="AB96" s="202">
        <f t="shared" si="39"/>
        <v>10421.884210717653</v>
      </c>
      <c r="AC96" s="201">
        <f t="shared" si="40"/>
        <v>2204.669808602479</v>
      </c>
      <c r="AD96" s="201">
        <f t="shared" si="41"/>
        <v>8217.2144021151744</v>
      </c>
      <c r="AE96" s="201">
        <f t="shared" si="51"/>
        <v>10421.884210717653</v>
      </c>
      <c r="AF96" s="201">
        <f t="shared" si="43"/>
        <v>2204.6698086024771</v>
      </c>
      <c r="AG96" s="201">
        <f t="shared" si="44"/>
        <v>8217.2144021151744</v>
      </c>
      <c r="AH96" s="201">
        <f t="shared" si="50"/>
        <v>10421.884210717652</v>
      </c>
    </row>
    <row r="97" spans="2:34" x14ac:dyDescent="0.3">
      <c r="B97" s="179">
        <f t="shared" si="45"/>
        <v>74</v>
      </c>
      <c r="C97" s="180">
        <f t="shared" si="46"/>
        <v>30.4</v>
      </c>
      <c r="D97" s="165">
        <f>IF(B97="","",Simulador!$F$62)</f>
        <v>0.11</v>
      </c>
      <c r="E97" s="167"/>
      <c r="F97" s="167">
        <f t="shared" si="47"/>
        <v>882423.67491671536</v>
      </c>
      <c r="G97" s="166"/>
      <c r="H97" s="167">
        <f t="shared" si="33"/>
        <v>2225.1487414912754</v>
      </c>
      <c r="I97" s="167">
        <f t="shared" si="48"/>
        <v>8196.735469226378</v>
      </c>
      <c r="J97" s="167">
        <f t="shared" si="32"/>
        <v>10421.884210717653</v>
      </c>
      <c r="K97" s="167">
        <f t="shared" si="34"/>
        <v>0</v>
      </c>
      <c r="L97" s="167">
        <f t="shared" si="49"/>
        <v>0</v>
      </c>
      <c r="M97" s="167">
        <f>IF(B97="","",IF(F97=0,0,IF(Simulador!$F$11='Tabla Parámetros'!$W$1,'Tabla Parámetros'!$W$28,IF(Simulador!$F$11='Tabla Parámetros'!$Y$1,'Tabla Parámetros'!$Y$12))))</f>
        <v>299</v>
      </c>
      <c r="N97" s="167">
        <f>IF(B97="","",IF(F97=0,0,IF(Simulador!$N$7='Tabla Parámetros'!$C$31,AportPat!L77,0)))</f>
        <v>0</v>
      </c>
      <c r="O97" s="167">
        <f>Simulador!O465</f>
        <v>0</v>
      </c>
      <c r="P97" s="167">
        <v>0</v>
      </c>
      <c r="Q97" s="167">
        <f t="shared" si="35"/>
        <v>10720.884210717653</v>
      </c>
      <c r="R97" s="167">
        <f t="shared" si="36"/>
        <v>880198.52617522411</v>
      </c>
      <c r="U97" s="6"/>
      <c r="V97" s="6"/>
      <c r="W97" s="6"/>
      <c r="X97" s="256">
        <f t="shared" si="31"/>
        <v>10720.884210717653</v>
      </c>
      <c r="Z97" s="201">
        <f t="shared" si="37"/>
        <v>2225.1487414912758</v>
      </c>
      <c r="AA97" s="201">
        <f t="shared" si="38"/>
        <v>8196.735469226378</v>
      </c>
      <c r="AB97" s="202">
        <f t="shared" si="39"/>
        <v>10421.884210717653</v>
      </c>
      <c r="AC97" s="201">
        <f t="shared" si="40"/>
        <v>2225.1487414912754</v>
      </c>
      <c r="AD97" s="201">
        <f t="shared" si="41"/>
        <v>8196.735469226378</v>
      </c>
      <c r="AE97" s="201">
        <f t="shared" si="51"/>
        <v>10421.884210717653</v>
      </c>
      <c r="AF97" s="201">
        <f t="shared" si="43"/>
        <v>2225.1487414912754</v>
      </c>
      <c r="AG97" s="201">
        <f t="shared" si="44"/>
        <v>8196.735469226378</v>
      </c>
      <c r="AH97" s="201">
        <f t="shared" si="50"/>
        <v>10421.884210717653</v>
      </c>
    </row>
    <row r="98" spans="2:34" x14ac:dyDescent="0.3">
      <c r="B98" s="179">
        <f t="shared" si="45"/>
        <v>75</v>
      </c>
      <c r="C98" s="180">
        <f t="shared" si="46"/>
        <v>30.4</v>
      </c>
      <c r="D98" s="165">
        <f>IF(B98="","",Simulador!$F$62)</f>
        <v>0.11</v>
      </c>
      <c r="E98" s="167"/>
      <c r="F98" s="167">
        <f t="shared" si="47"/>
        <v>880198.52617522411</v>
      </c>
      <c r="G98" s="166"/>
      <c r="H98" s="167">
        <f t="shared" si="33"/>
        <v>2245.8179009122387</v>
      </c>
      <c r="I98" s="167">
        <f t="shared" si="48"/>
        <v>8176.0663098054147</v>
      </c>
      <c r="J98" s="167">
        <f t="shared" si="32"/>
        <v>10421.884210717653</v>
      </c>
      <c r="K98" s="167">
        <f t="shared" si="34"/>
        <v>0</v>
      </c>
      <c r="L98" s="167">
        <f t="shared" si="49"/>
        <v>0</v>
      </c>
      <c r="M98" s="167">
        <f>IF(B98="","",IF(F98=0,0,IF(Simulador!$F$11='Tabla Parámetros'!$W$1,'Tabla Parámetros'!$W$28,IF(Simulador!$F$11='Tabla Parámetros'!$Y$1,'Tabla Parámetros'!$Y$12))))</f>
        <v>299</v>
      </c>
      <c r="N98" s="167">
        <f>IF(B98="","",IF(F98=0,0,IF(Simulador!$N$7='Tabla Parámetros'!$C$31,AportPat!L78,0)))</f>
        <v>0</v>
      </c>
      <c r="O98" s="167">
        <f>Simulador!O466</f>
        <v>0</v>
      </c>
      <c r="P98" s="167">
        <v>0</v>
      </c>
      <c r="Q98" s="167">
        <f t="shared" si="35"/>
        <v>10720.884210717653</v>
      </c>
      <c r="R98" s="167">
        <f t="shared" si="36"/>
        <v>877952.70827431185</v>
      </c>
      <c r="U98" s="6"/>
      <c r="V98" s="6"/>
      <c r="W98" s="6"/>
      <c r="X98" s="256">
        <f t="shared" si="31"/>
        <v>10720.884210717653</v>
      </c>
      <c r="Z98" s="201">
        <f t="shared" si="37"/>
        <v>2245.8179009122391</v>
      </c>
      <c r="AA98" s="201">
        <f t="shared" si="38"/>
        <v>8176.0663098054147</v>
      </c>
      <c r="AB98" s="202">
        <f t="shared" si="39"/>
        <v>10421.884210717653</v>
      </c>
      <c r="AC98" s="201">
        <f t="shared" si="40"/>
        <v>2245.8179009122387</v>
      </c>
      <c r="AD98" s="201">
        <f t="shared" si="41"/>
        <v>8176.0663098054147</v>
      </c>
      <c r="AE98" s="201">
        <f t="shared" si="51"/>
        <v>10421.884210717653</v>
      </c>
      <c r="AF98" s="201">
        <f t="shared" si="43"/>
        <v>2245.8179009122387</v>
      </c>
      <c r="AG98" s="201">
        <f t="shared" si="44"/>
        <v>8176.0663098054147</v>
      </c>
      <c r="AH98" s="201">
        <f t="shared" si="50"/>
        <v>10421.884210717653</v>
      </c>
    </row>
    <row r="99" spans="2:34" x14ac:dyDescent="0.3">
      <c r="B99" s="179">
        <f t="shared" si="45"/>
        <v>76</v>
      </c>
      <c r="C99" s="180">
        <f t="shared" si="46"/>
        <v>30.4</v>
      </c>
      <c r="D99" s="165">
        <f>IF(B99="","",Simulador!$F$62)</f>
        <v>0.11</v>
      </c>
      <c r="E99" s="167"/>
      <c r="F99" s="167">
        <f t="shared" si="47"/>
        <v>877952.70827431185</v>
      </c>
      <c r="G99" s="166"/>
      <c r="H99" s="167">
        <f t="shared" si="33"/>
        <v>2266.6790538584883</v>
      </c>
      <c r="I99" s="167">
        <f t="shared" si="48"/>
        <v>8155.2051568591633</v>
      </c>
      <c r="J99" s="167">
        <f t="shared" si="32"/>
        <v>10421.884210717652</v>
      </c>
      <c r="K99" s="167">
        <f t="shared" si="34"/>
        <v>0</v>
      </c>
      <c r="L99" s="167">
        <f t="shared" si="49"/>
        <v>0</v>
      </c>
      <c r="M99" s="167">
        <f>IF(B99="","",IF(F99=0,0,IF(Simulador!$F$11='Tabla Parámetros'!$W$1,'Tabla Parámetros'!$W$28,IF(Simulador!$F$11='Tabla Parámetros'!$Y$1,'Tabla Parámetros'!$Y$12))))</f>
        <v>299</v>
      </c>
      <c r="N99" s="167">
        <f>IF(B99="","",IF(F99=0,0,IF(Simulador!$N$7='Tabla Parámetros'!$C$31,AportPat!L79,0)))</f>
        <v>0</v>
      </c>
      <c r="O99" s="167">
        <f>Simulador!O467</f>
        <v>0</v>
      </c>
      <c r="P99" s="167">
        <v>0</v>
      </c>
      <c r="Q99" s="167">
        <f t="shared" si="35"/>
        <v>10720.884210717652</v>
      </c>
      <c r="R99" s="167">
        <f t="shared" si="36"/>
        <v>875686.02922045335</v>
      </c>
      <c r="U99" s="6"/>
      <c r="V99" s="6"/>
      <c r="W99" s="6"/>
      <c r="X99" s="256">
        <f t="shared" si="31"/>
        <v>10720.884210717653</v>
      </c>
      <c r="Z99" s="201">
        <f t="shared" si="37"/>
        <v>2266.6790538584905</v>
      </c>
      <c r="AA99" s="201">
        <f t="shared" si="38"/>
        <v>8155.2051568591633</v>
      </c>
      <c r="AB99" s="202">
        <f t="shared" si="39"/>
        <v>10421.884210717653</v>
      </c>
      <c r="AC99" s="201">
        <f t="shared" si="40"/>
        <v>2266.6790538584901</v>
      </c>
      <c r="AD99" s="201">
        <f t="shared" si="41"/>
        <v>8155.2051568591633</v>
      </c>
      <c r="AE99" s="201">
        <f t="shared" si="51"/>
        <v>10421.884210717653</v>
      </c>
      <c r="AF99" s="201">
        <f t="shared" si="43"/>
        <v>2266.6790538584883</v>
      </c>
      <c r="AG99" s="201">
        <f t="shared" si="44"/>
        <v>8155.2051568591633</v>
      </c>
      <c r="AH99" s="201">
        <f t="shared" si="50"/>
        <v>10421.884210717652</v>
      </c>
    </row>
    <row r="100" spans="2:34" x14ac:dyDescent="0.3">
      <c r="B100" s="181">
        <f t="shared" si="45"/>
        <v>77</v>
      </c>
      <c r="C100" s="180">
        <f t="shared" si="46"/>
        <v>30.4</v>
      </c>
      <c r="D100" s="165">
        <f>IF(B100="","",Simulador!$F$62)</f>
        <v>0.11</v>
      </c>
      <c r="E100" s="167"/>
      <c r="F100" s="167">
        <f t="shared" si="47"/>
        <v>875686.02922045335</v>
      </c>
      <c r="G100" s="166"/>
      <c r="H100" s="167">
        <f t="shared" si="33"/>
        <v>2287.7339837365525</v>
      </c>
      <c r="I100" s="167">
        <f t="shared" si="48"/>
        <v>8134.150226981099</v>
      </c>
      <c r="J100" s="167">
        <f t="shared" si="32"/>
        <v>10421.884210717652</v>
      </c>
      <c r="K100" s="167">
        <f t="shared" si="34"/>
        <v>0</v>
      </c>
      <c r="L100" s="167">
        <f t="shared" si="49"/>
        <v>0</v>
      </c>
      <c r="M100" s="167">
        <f>IF(B100="","",IF(F100=0,0,IF(Simulador!$F$11='Tabla Parámetros'!$W$1,'Tabla Parámetros'!$W$28,IF(Simulador!$F$11='Tabla Parámetros'!$Y$1,'Tabla Parámetros'!$Y$12))))</f>
        <v>299</v>
      </c>
      <c r="N100" s="167">
        <f>IF(B100="","",IF(F100=0,0,IF(Simulador!$N$7='Tabla Parámetros'!$C$31,AportPat!L80,0)))</f>
        <v>0</v>
      </c>
      <c r="O100" s="167">
        <f>Simulador!O468</f>
        <v>0</v>
      </c>
      <c r="P100" s="167">
        <v>0</v>
      </c>
      <c r="Q100" s="167">
        <f t="shared" si="35"/>
        <v>10720.884210717652</v>
      </c>
      <c r="R100" s="167">
        <f t="shared" si="36"/>
        <v>873398.29523671675</v>
      </c>
      <c r="U100" s="6"/>
      <c r="V100" s="6"/>
      <c r="W100" s="6"/>
      <c r="X100" s="256">
        <f t="shared" si="31"/>
        <v>10720.884210717653</v>
      </c>
      <c r="Z100" s="201">
        <f t="shared" si="37"/>
        <v>2287.7339837365544</v>
      </c>
      <c r="AA100" s="201">
        <f t="shared" si="38"/>
        <v>8134.150226981099</v>
      </c>
      <c r="AB100" s="202">
        <f t="shared" si="39"/>
        <v>10421.884210717653</v>
      </c>
      <c r="AC100" s="201">
        <f t="shared" si="40"/>
        <v>2287.7339837365544</v>
      </c>
      <c r="AD100" s="201">
        <f t="shared" si="41"/>
        <v>8134.150226981099</v>
      </c>
      <c r="AE100" s="201">
        <f t="shared" si="51"/>
        <v>10421.884210717653</v>
      </c>
      <c r="AF100" s="201">
        <f t="shared" si="43"/>
        <v>2287.7339837365525</v>
      </c>
      <c r="AG100" s="201">
        <f t="shared" si="44"/>
        <v>8134.150226981099</v>
      </c>
      <c r="AH100" s="201">
        <f t="shared" si="50"/>
        <v>10421.884210717652</v>
      </c>
    </row>
    <row r="101" spans="2:34" x14ac:dyDescent="0.3">
      <c r="B101" s="179">
        <f t="shared" si="45"/>
        <v>78</v>
      </c>
      <c r="C101" s="180">
        <f t="shared" si="46"/>
        <v>30.4</v>
      </c>
      <c r="D101" s="165">
        <f>IF(B101="","",Simulador!$F$62)</f>
        <v>0.11</v>
      </c>
      <c r="E101" s="167"/>
      <c r="F101" s="167">
        <f t="shared" si="47"/>
        <v>873398.29523671675</v>
      </c>
      <c r="G101" s="166"/>
      <c r="H101" s="167">
        <f t="shared" si="33"/>
        <v>2308.9844905188165</v>
      </c>
      <c r="I101" s="167">
        <f t="shared" si="48"/>
        <v>8112.899720198835</v>
      </c>
      <c r="J101" s="167">
        <f t="shared" si="32"/>
        <v>10421.884210717652</v>
      </c>
      <c r="K101" s="167">
        <f t="shared" si="34"/>
        <v>0</v>
      </c>
      <c r="L101" s="167">
        <f t="shared" si="49"/>
        <v>0</v>
      </c>
      <c r="M101" s="167">
        <f>IF(B101="","",IF(F101=0,0,IF(Simulador!$F$11='Tabla Parámetros'!$W$1,'Tabla Parámetros'!$W$28,IF(Simulador!$F$11='Tabla Parámetros'!$Y$1,'Tabla Parámetros'!$Y$12))))</f>
        <v>299</v>
      </c>
      <c r="N101" s="167">
        <f>IF(B101="","",IF(F101=0,0,IF(Simulador!$N$7='Tabla Parámetros'!$C$31,AportPat!L81,0)))</f>
        <v>0</v>
      </c>
      <c r="O101" s="167">
        <f>Simulador!O469</f>
        <v>0</v>
      </c>
      <c r="P101" s="167">
        <v>0</v>
      </c>
      <c r="Q101" s="167">
        <f t="shared" si="35"/>
        <v>10720.884210717652</v>
      </c>
      <c r="R101" s="167">
        <f t="shared" si="36"/>
        <v>871089.31074619794</v>
      </c>
      <c r="U101" s="6"/>
      <c r="V101" s="6"/>
      <c r="W101" s="6"/>
      <c r="X101" s="256">
        <f t="shared" si="31"/>
        <v>10720.884210717653</v>
      </c>
      <c r="Z101" s="201">
        <f t="shared" si="37"/>
        <v>2308.9844905188179</v>
      </c>
      <c r="AA101" s="201">
        <f t="shared" si="38"/>
        <v>8112.899720198835</v>
      </c>
      <c r="AB101" s="202">
        <f t="shared" si="39"/>
        <v>10421.884210717653</v>
      </c>
      <c r="AC101" s="201">
        <f t="shared" si="40"/>
        <v>2308.9844905188183</v>
      </c>
      <c r="AD101" s="201">
        <f t="shared" si="41"/>
        <v>8112.899720198835</v>
      </c>
      <c r="AE101" s="201">
        <f t="shared" si="51"/>
        <v>10421.884210717653</v>
      </c>
      <c r="AF101" s="201">
        <f t="shared" si="43"/>
        <v>2308.9844905188165</v>
      </c>
      <c r="AG101" s="201">
        <f t="shared" si="44"/>
        <v>8112.899720198835</v>
      </c>
      <c r="AH101" s="201">
        <f t="shared" si="50"/>
        <v>10421.884210717652</v>
      </c>
    </row>
    <row r="102" spans="2:34" x14ac:dyDescent="0.3">
      <c r="B102" s="179">
        <f t="shared" si="45"/>
        <v>79</v>
      </c>
      <c r="C102" s="180">
        <f t="shared" si="46"/>
        <v>30.4</v>
      </c>
      <c r="D102" s="165">
        <f>IF(B102="","",Simulador!$F$62)</f>
        <v>0.11</v>
      </c>
      <c r="E102" s="167"/>
      <c r="F102" s="167">
        <f t="shared" si="47"/>
        <v>871089.31074619794</v>
      </c>
      <c r="G102" s="166"/>
      <c r="H102" s="167">
        <f t="shared" si="33"/>
        <v>2330.4323908974138</v>
      </c>
      <c r="I102" s="167">
        <f t="shared" si="48"/>
        <v>8091.4518198202377</v>
      </c>
      <c r="J102" s="167">
        <f t="shared" si="32"/>
        <v>10421.884210717652</v>
      </c>
      <c r="K102" s="167">
        <f t="shared" si="34"/>
        <v>0</v>
      </c>
      <c r="L102" s="167">
        <f t="shared" si="49"/>
        <v>0</v>
      </c>
      <c r="M102" s="167">
        <f>IF(B102="","",IF(F102=0,0,IF(Simulador!$F$11='Tabla Parámetros'!$W$1,'Tabla Parámetros'!$W$28,IF(Simulador!$F$11='Tabla Parámetros'!$Y$1,'Tabla Parámetros'!$Y$12))))</f>
        <v>299</v>
      </c>
      <c r="N102" s="167">
        <f>IF(B102="","",IF(F102=0,0,IF(Simulador!$N$7='Tabla Parámetros'!$C$31,AportPat!L82,0)))</f>
        <v>0</v>
      </c>
      <c r="O102" s="167">
        <f>Simulador!O470</f>
        <v>0</v>
      </c>
      <c r="P102" s="167">
        <v>0</v>
      </c>
      <c r="Q102" s="167">
        <f t="shared" si="35"/>
        <v>10720.884210717652</v>
      </c>
      <c r="R102" s="167">
        <f t="shared" si="36"/>
        <v>868758.87835530052</v>
      </c>
      <c r="U102" s="6"/>
      <c r="V102" s="6"/>
      <c r="W102" s="6"/>
      <c r="X102" s="256">
        <f t="shared" si="31"/>
        <v>10720.884210717653</v>
      </c>
      <c r="Z102" s="201">
        <f t="shared" si="37"/>
        <v>2330.4323908974152</v>
      </c>
      <c r="AA102" s="201">
        <f t="shared" si="38"/>
        <v>8091.4518198202377</v>
      </c>
      <c r="AB102" s="202">
        <f t="shared" si="39"/>
        <v>10421.884210717653</v>
      </c>
      <c r="AC102" s="201">
        <f t="shared" si="40"/>
        <v>2330.4323908974156</v>
      </c>
      <c r="AD102" s="201">
        <f t="shared" si="41"/>
        <v>8091.4518198202377</v>
      </c>
      <c r="AE102" s="201">
        <f t="shared" si="51"/>
        <v>10421.884210717653</v>
      </c>
      <c r="AF102" s="201">
        <f t="shared" si="43"/>
        <v>2330.4323908974138</v>
      </c>
      <c r="AG102" s="201">
        <f t="shared" si="44"/>
        <v>8091.4518198202377</v>
      </c>
      <c r="AH102" s="201">
        <f t="shared" si="50"/>
        <v>10421.884210717652</v>
      </c>
    </row>
    <row r="103" spans="2:34" x14ac:dyDescent="0.3">
      <c r="B103" s="179">
        <f t="shared" si="45"/>
        <v>80</v>
      </c>
      <c r="C103" s="180">
        <f t="shared" si="46"/>
        <v>30.4</v>
      </c>
      <c r="D103" s="165">
        <f>IF(B103="","",Simulador!$F$62)</f>
        <v>0.11</v>
      </c>
      <c r="E103" s="167"/>
      <c r="F103" s="167">
        <f t="shared" si="47"/>
        <v>868758.87835530052</v>
      </c>
      <c r="G103" s="166"/>
      <c r="H103" s="167">
        <f t="shared" si="33"/>
        <v>2352.0795184395274</v>
      </c>
      <c r="I103" s="167">
        <f t="shared" si="48"/>
        <v>8069.8046922781241</v>
      </c>
      <c r="J103" s="167">
        <f t="shared" si="32"/>
        <v>10421.884210717652</v>
      </c>
      <c r="K103" s="167">
        <f t="shared" si="34"/>
        <v>0</v>
      </c>
      <c r="L103" s="167">
        <f t="shared" si="49"/>
        <v>0</v>
      </c>
      <c r="M103" s="167">
        <f>IF(B103="","",IF(F103=0,0,IF(Simulador!$F$11='Tabla Parámetros'!$W$1,'Tabla Parámetros'!$W$28,IF(Simulador!$F$11='Tabla Parámetros'!$Y$1,'Tabla Parámetros'!$Y$12))))</f>
        <v>299</v>
      </c>
      <c r="N103" s="167">
        <f>IF(B103="","",IF(F103=0,0,IF(Simulador!$N$7='Tabla Parámetros'!$C$31,AportPat!L83,0)))</f>
        <v>0</v>
      </c>
      <c r="O103" s="167">
        <f>Simulador!O471</f>
        <v>0</v>
      </c>
      <c r="P103" s="167">
        <v>0</v>
      </c>
      <c r="Q103" s="167">
        <f t="shared" si="35"/>
        <v>10720.884210717652</v>
      </c>
      <c r="R103" s="167">
        <f t="shared" si="36"/>
        <v>866406.79883686104</v>
      </c>
      <c r="U103" s="6"/>
      <c r="V103" s="6"/>
      <c r="W103" s="6"/>
      <c r="X103" s="256">
        <f t="shared" si="31"/>
        <v>10720.884210717653</v>
      </c>
      <c r="Z103" s="201">
        <f t="shared" si="37"/>
        <v>2352.0795184395288</v>
      </c>
      <c r="AA103" s="201">
        <f t="shared" si="38"/>
        <v>8069.8046922781241</v>
      </c>
      <c r="AB103" s="202">
        <f t="shared" si="39"/>
        <v>10421.884210717653</v>
      </c>
      <c r="AC103" s="201">
        <f t="shared" si="40"/>
        <v>2352.0795184395292</v>
      </c>
      <c r="AD103" s="201">
        <f t="shared" si="41"/>
        <v>8069.8046922781241</v>
      </c>
      <c r="AE103" s="201">
        <f t="shared" si="51"/>
        <v>10421.884210717653</v>
      </c>
      <c r="AF103" s="201">
        <f t="shared" si="43"/>
        <v>2352.0795184395274</v>
      </c>
      <c r="AG103" s="201">
        <f t="shared" si="44"/>
        <v>8069.8046922781241</v>
      </c>
      <c r="AH103" s="201">
        <f t="shared" si="50"/>
        <v>10421.884210717652</v>
      </c>
    </row>
    <row r="104" spans="2:34" x14ac:dyDescent="0.3">
      <c r="B104" s="181">
        <f t="shared" si="45"/>
        <v>81</v>
      </c>
      <c r="C104" s="180">
        <f t="shared" si="46"/>
        <v>30.4</v>
      </c>
      <c r="D104" s="165">
        <f>IF(B104="","",Simulador!$F$62)</f>
        <v>0.11</v>
      </c>
      <c r="E104" s="167"/>
      <c r="F104" s="167">
        <f t="shared" si="47"/>
        <v>866406.79883686104</v>
      </c>
      <c r="G104" s="166"/>
      <c r="H104" s="167">
        <f t="shared" si="33"/>
        <v>2373.9277237441429</v>
      </c>
      <c r="I104" s="167">
        <f t="shared" si="48"/>
        <v>8047.9564869735086</v>
      </c>
      <c r="J104" s="167">
        <f t="shared" si="32"/>
        <v>10421.884210717652</v>
      </c>
      <c r="K104" s="167">
        <f t="shared" si="34"/>
        <v>0</v>
      </c>
      <c r="L104" s="167">
        <f t="shared" si="49"/>
        <v>0</v>
      </c>
      <c r="M104" s="167">
        <f>IF(B104="","",IF(F104=0,0,IF(Simulador!$F$11='Tabla Parámetros'!$W$1,'Tabla Parámetros'!$W$28,IF(Simulador!$F$11='Tabla Parámetros'!$Y$1,'Tabla Parámetros'!$Y$12))))</f>
        <v>299</v>
      </c>
      <c r="N104" s="167">
        <f>IF(B104="","",IF(F104=0,0,IF(Simulador!$N$7='Tabla Parámetros'!$C$31,AportPat!L84,0)))</f>
        <v>0</v>
      </c>
      <c r="O104" s="167">
        <f>Simulador!O472</f>
        <v>0</v>
      </c>
      <c r="P104" s="167">
        <v>0</v>
      </c>
      <c r="Q104" s="167">
        <f t="shared" si="35"/>
        <v>10720.884210717652</v>
      </c>
      <c r="R104" s="167">
        <f t="shared" si="36"/>
        <v>864032.87111311685</v>
      </c>
      <c r="U104" s="6"/>
      <c r="V104" s="6"/>
      <c r="W104" s="6"/>
      <c r="X104" s="256">
        <f t="shared" si="31"/>
        <v>10720.884210717653</v>
      </c>
      <c r="Z104" s="201">
        <f t="shared" si="37"/>
        <v>2373.9277237441447</v>
      </c>
      <c r="AA104" s="201">
        <f t="shared" si="38"/>
        <v>8047.9564869735086</v>
      </c>
      <c r="AB104" s="202">
        <f t="shared" si="39"/>
        <v>10421.884210717653</v>
      </c>
      <c r="AC104" s="201">
        <f t="shared" si="40"/>
        <v>2373.9277237441447</v>
      </c>
      <c r="AD104" s="201">
        <f t="shared" si="41"/>
        <v>8047.9564869735086</v>
      </c>
      <c r="AE104" s="201">
        <f t="shared" si="51"/>
        <v>10421.884210717653</v>
      </c>
      <c r="AF104" s="201">
        <f t="shared" si="43"/>
        <v>2373.9277237441429</v>
      </c>
      <c r="AG104" s="201">
        <f t="shared" si="44"/>
        <v>8047.9564869735086</v>
      </c>
      <c r="AH104" s="201">
        <f t="shared" si="50"/>
        <v>10421.884210717652</v>
      </c>
    </row>
    <row r="105" spans="2:34" x14ac:dyDescent="0.3">
      <c r="B105" s="179">
        <f t="shared" si="45"/>
        <v>82</v>
      </c>
      <c r="C105" s="180">
        <f t="shared" si="46"/>
        <v>30.4</v>
      </c>
      <c r="D105" s="165">
        <f>IF(B105="","",Simulador!$F$62)</f>
        <v>0.11</v>
      </c>
      <c r="E105" s="167"/>
      <c r="F105" s="167">
        <f t="shared" si="47"/>
        <v>864032.87111311685</v>
      </c>
      <c r="G105" s="166"/>
      <c r="H105" s="167">
        <f t="shared" si="33"/>
        <v>2395.9788746002559</v>
      </c>
      <c r="I105" s="167">
        <f t="shared" si="48"/>
        <v>8025.9053361173956</v>
      </c>
      <c r="J105" s="167">
        <f t="shared" si="32"/>
        <v>10421.884210717652</v>
      </c>
      <c r="K105" s="167">
        <f t="shared" si="34"/>
        <v>0</v>
      </c>
      <c r="L105" s="167">
        <f t="shared" si="49"/>
        <v>0</v>
      </c>
      <c r="M105" s="167">
        <f>IF(B105="","",IF(F105=0,0,IF(Simulador!$F$11='Tabla Parámetros'!$W$1,'Tabla Parámetros'!$W$28,IF(Simulador!$F$11='Tabla Parámetros'!$Y$1,'Tabla Parámetros'!$Y$12))))</f>
        <v>299</v>
      </c>
      <c r="N105" s="167">
        <f>IF(B105="","",IF(F105=0,0,IF(Simulador!$N$7='Tabla Parámetros'!$C$31,AportPat!L85,0)))</f>
        <v>0</v>
      </c>
      <c r="O105" s="167">
        <f>Simulador!O473</f>
        <v>0</v>
      </c>
      <c r="P105" s="167">
        <v>0</v>
      </c>
      <c r="Q105" s="167">
        <f t="shared" si="35"/>
        <v>10720.884210717652</v>
      </c>
      <c r="R105" s="167">
        <f t="shared" si="36"/>
        <v>861636.89223851659</v>
      </c>
      <c r="U105" s="6"/>
      <c r="V105" s="6"/>
      <c r="W105" s="6"/>
      <c r="X105" s="256">
        <f t="shared" si="31"/>
        <v>10720.884210717653</v>
      </c>
      <c r="Z105" s="201">
        <f t="shared" si="37"/>
        <v>2395.9788746002569</v>
      </c>
      <c r="AA105" s="201">
        <f t="shared" si="38"/>
        <v>8025.9053361173956</v>
      </c>
      <c r="AB105" s="202">
        <f t="shared" si="39"/>
        <v>10421.884210717653</v>
      </c>
      <c r="AC105" s="201">
        <f t="shared" si="40"/>
        <v>2395.9788746002578</v>
      </c>
      <c r="AD105" s="201">
        <f t="shared" si="41"/>
        <v>8025.9053361173956</v>
      </c>
      <c r="AE105" s="201">
        <f t="shared" si="51"/>
        <v>10421.884210717653</v>
      </c>
      <c r="AF105" s="201">
        <f t="shared" si="43"/>
        <v>2395.9788746002559</v>
      </c>
      <c r="AG105" s="201">
        <f t="shared" si="44"/>
        <v>8025.9053361173956</v>
      </c>
      <c r="AH105" s="201">
        <f t="shared" si="50"/>
        <v>10421.884210717652</v>
      </c>
    </row>
    <row r="106" spans="2:34" x14ac:dyDescent="0.3">
      <c r="B106" s="179">
        <f t="shared" si="45"/>
        <v>83</v>
      </c>
      <c r="C106" s="180">
        <f t="shared" si="46"/>
        <v>30.4</v>
      </c>
      <c r="D106" s="165">
        <f>IF(B106="","",Simulador!$F$62)</f>
        <v>0.11</v>
      </c>
      <c r="E106" s="167"/>
      <c r="F106" s="167">
        <f t="shared" si="47"/>
        <v>861636.89223851659</v>
      </c>
      <c r="G106" s="166"/>
      <c r="H106" s="167">
        <f t="shared" si="33"/>
        <v>2418.2348561465424</v>
      </c>
      <c r="I106" s="167">
        <f t="shared" si="48"/>
        <v>8003.6493545711091</v>
      </c>
      <c r="J106" s="167">
        <f t="shared" si="32"/>
        <v>10421.884210717652</v>
      </c>
      <c r="K106" s="167">
        <f t="shared" si="34"/>
        <v>0</v>
      </c>
      <c r="L106" s="167">
        <f t="shared" si="49"/>
        <v>0</v>
      </c>
      <c r="M106" s="167">
        <f>IF(B106="","",IF(F106=0,0,IF(Simulador!$F$11='Tabla Parámetros'!$W$1,'Tabla Parámetros'!$W$28,IF(Simulador!$F$11='Tabla Parámetros'!$Y$1,'Tabla Parámetros'!$Y$12))))</f>
        <v>299</v>
      </c>
      <c r="N106" s="167">
        <f>IF(B106="","",IF(F106=0,0,IF(Simulador!$N$7='Tabla Parámetros'!$C$31,AportPat!L86,0)))</f>
        <v>0</v>
      </c>
      <c r="O106" s="167">
        <f>Simulador!O474</f>
        <v>0</v>
      </c>
      <c r="P106" s="167">
        <v>0</v>
      </c>
      <c r="Q106" s="167">
        <f t="shared" si="35"/>
        <v>10720.884210717652</v>
      </c>
      <c r="R106" s="167">
        <f t="shared" si="36"/>
        <v>859218.65738237009</v>
      </c>
      <c r="U106" s="6"/>
      <c r="V106" s="6"/>
      <c r="W106" s="6"/>
      <c r="X106" s="256">
        <f t="shared" si="31"/>
        <v>10720.884210717653</v>
      </c>
      <c r="Z106" s="201">
        <f t="shared" si="37"/>
        <v>2418.2348561465433</v>
      </c>
      <c r="AA106" s="201">
        <f t="shared" si="38"/>
        <v>8003.6493545711091</v>
      </c>
      <c r="AB106" s="202">
        <f t="shared" si="39"/>
        <v>10421.884210717653</v>
      </c>
      <c r="AC106" s="201">
        <f t="shared" si="40"/>
        <v>2418.2348561465442</v>
      </c>
      <c r="AD106" s="201">
        <f t="shared" si="41"/>
        <v>8003.6493545711091</v>
      </c>
      <c r="AE106" s="201">
        <f t="shared" si="51"/>
        <v>10421.884210717653</v>
      </c>
      <c r="AF106" s="201">
        <f t="shared" si="43"/>
        <v>2418.2348561465424</v>
      </c>
      <c r="AG106" s="201">
        <f t="shared" si="44"/>
        <v>8003.6493545711091</v>
      </c>
      <c r="AH106" s="201">
        <f t="shared" si="50"/>
        <v>10421.884210717652</v>
      </c>
    </row>
    <row r="107" spans="2:34" x14ac:dyDescent="0.3">
      <c r="B107" s="179">
        <f t="shared" si="45"/>
        <v>84</v>
      </c>
      <c r="C107" s="180">
        <f t="shared" si="46"/>
        <v>30.4</v>
      </c>
      <c r="D107" s="165">
        <f>IF(B107="","",Simulador!$F$62)</f>
        <v>0.11</v>
      </c>
      <c r="E107" s="167"/>
      <c r="F107" s="167">
        <f t="shared" si="47"/>
        <v>859218.65738237009</v>
      </c>
      <c r="G107" s="166"/>
      <c r="H107" s="167">
        <f t="shared" si="33"/>
        <v>2440.697571032526</v>
      </c>
      <c r="I107" s="167">
        <f t="shared" si="48"/>
        <v>7981.1866396851256</v>
      </c>
      <c r="J107" s="167">
        <f t="shared" si="32"/>
        <v>10421.884210717652</v>
      </c>
      <c r="K107" s="167">
        <f t="shared" si="34"/>
        <v>0</v>
      </c>
      <c r="L107" s="167">
        <f t="shared" si="49"/>
        <v>0</v>
      </c>
      <c r="M107" s="167">
        <f>IF(B107="","",IF(F107=0,0,IF(Simulador!$F$11='Tabla Parámetros'!$W$1,'Tabla Parámetros'!$W$28,IF(Simulador!$F$11='Tabla Parámetros'!$Y$1,'Tabla Parámetros'!$Y$12))))</f>
        <v>299</v>
      </c>
      <c r="N107" s="167">
        <f>IF(B107="","",IF(F107=0,0,IF(Simulador!$N$7='Tabla Parámetros'!$C$31,AportPat!L87,0)))</f>
        <v>0</v>
      </c>
      <c r="O107" s="167">
        <f>Simulador!O475</f>
        <v>0</v>
      </c>
      <c r="P107" s="167">
        <v>0</v>
      </c>
      <c r="Q107" s="167">
        <f t="shared" si="35"/>
        <v>10720.884210717652</v>
      </c>
      <c r="R107" s="167">
        <f t="shared" si="36"/>
        <v>856777.95981133753</v>
      </c>
      <c r="U107" s="6"/>
      <c r="V107" s="6"/>
      <c r="W107" s="6"/>
      <c r="X107" s="256">
        <f t="shared" si="31"/>
        <v>10720.884210717653</v>
      </c>
      <c r="Z107" s="201">
        <f t="shared" si="37"/>
        <v>2440.6975710325269</v>
      </c>
      <c r="AA107" s="201">
        <f t="shared" si="38"/>
        <v>7981.1866396851256</v>
      </c>
      <c r="AB107" s="202">
        <f t="shared" si="39"/>
        <v>10421.884210717653</v>
      </c>
      <c r="AC107" s="201">
        <f t="shared" si="40"/>
        <v>2440.6975710325278</v>
      </c>
      <c r="AD107" s="201">
        <f t="shared" si="41"/>
        <v>7981.1866396851256</v>
      </c>
      <c r="AE107" s="201">
        <f t="shared" si="51"/>
        <v>10421.884210717653</v>
      </c>
      <c r="AF107" s="201">
        <f t="shared" si="43"/>
        <v>2440.697571032526</v>
      </c>
      <c r="AG107" s="201">
        <f t="shared" si="44"/>
        <v>7981.1866396851256</v>
      </c>
      <c r="AH107" s="201">
        <f t="shared" si="50"/>
        <v>10421.884210717652</v>
      </c>
    </row>
    <row r="108" spans="2:34" x14ac:dyDescent="0.3">
      <c r="B108" s="181">
        <f t="shared" si="45"/>
        <v>85</v>
      </c>
      <c r="C108" s="180">
        <f t="shared" si="46"/>
        <v>30.4</v>
      </c>
      <c r="D108" s="165">
        <f>IF(B108="","",Simulador!$F$62)</f>
        <v>0.11</v>
      </c>
      <c r="E108" s="167"/>
      <c r="F108" s="167">
        <f t="shared" si="47"/>
        <v>856777.95981133753</v>
      </c>
      <c r="G108" s="166"/>
      <c r="H108" s="167">
        <f t="shared" si="33"/>
        <v>2463.368939581228</v>
      </c>
      <c r="I108" s="167">
        <f t="shared" si="48"/>
        <v>7958.5152711364235</v>
      </c>
      <c r="J108" s="167">
        <f t="shared" si="32"/>
        <v>10421.884210717652</v>
      </c>
      <c r="K108" s="167">
        <f t="shared" si="34"/>
        <v>0</v>
      </c>
      <c r="L108" s="167">
        <f t="shared" si="49"/>
        <v>0</v>
      </c>
      <c r="M108" s="167">
        <f>IF(B108="","",IF(F108=0,0,IF(Simulador!$F$11='Tabla Parámetros'!$W$1,'Tabla Parámetros'!$W$28,IF(Simulador!$F$11='Tabla Parámetros'!$Y$1,'Tabla Parámetros'!$Y$12))))</f>
        <v>299</v>
      </c>
      <c r="N108" s="167">
        <f>IF(B108="","",IF(F108=0,0,IF(Simulador!$N$7='Tabla Parámetros'!$C$31,AportPat!L88,0)))</f>
        <v>0</v>
      </c>
      <c r="O108" s="167">
        <f>Simulador!O476</f>
        <v>0</v>
      </c>
      <c r="P108" s="167">
        <v>0</v>
      </c>
      <c r="Q108" s="167">
        <f t="shared" si="35"/>
        <v>10720.884210717652</v>
      </c>
      <c r="R108" s="167">
        <f t="shared" si="36"/>
        <v>854314.59087175631</v>
      </c>
      <c r="U108" s="6"/>
      <c r="V108" s="6"/>
      <c r="W108" s="6"/>
      <c r="X108" s="256">
        <f t="shared" si="31"/>
        <v>10720.884210717653</v>
      </c>
      <c r="Z108" s="201">
        <f t="shared" si="37"/>
        <v>2463.3689395812289</v>
      </c>
      <c r="AA108" s="201">
        <f t="shared" si="38"/>
        <v>7958.5152711364235</v>
      </c>
      <c r="AB108" s="202">
        <f t="shared" si="39"/>
        <v>10421.884210717653</v>
      </c>
      <c r="AC108" s="201">
        <f t="shared" si="40"/>
        <v>2463.3689395812298</v>
      </c>
      <c r="AD108" s="201">
        <f t="shared" si="41"/>
        <v>7958.5152711364235</v>
      </c>
      <c r="AE108" s="201">
        <f t="shared" si="51"/>
        <v>10421.884210717653</v>
      </c>
      <c r="AF108" s="201">
        <f t="shared" si="43"/>
        <v>2463.368939581228</v>
      </c>
      <c r="AG108" s="201">
        <f t="shared" si="44"/>
        <v>7958.5152711364235</v>
      </c>
      <c r="AH108" s="201">
        <f t="shared" si="50"/>
        <v>10421.884210717652</v>
      </c>
    </row>
    <row r="109" spans="2:34" x14ac:dyDescent="0.3">
      <c r="B109" s="179">
        <f t="shared" si="45"/>
        <v>86</v>
      </c>
      <c r="C109" s="180">
        <f t="shared" si="46"/>
        <v>30.4</v>
      </c>
      <c r="D109" s="165">
        <f>IF(B109="","",Simulador!$F$62)</f>
        <v>0.11</v>
      </c>
      <c r="E109" s="167"/>
      <c r="F109" s="167">
        <f t="shared" si="47"/>
        <v>854314.59087175631</v>
      </c>
      <c r="G109" s="166"/>
      <c r="H109" s="167">
        <f t="shared" si="33"/>
        <v>2486.2508999533375</v>
      </c>
      <c r="I109" s="167">
        <f t="shared" si="48"/>
        <v>7935.633310764314</v>
      </c>
      <c r="J109" s="167">
        <f t="shared" si="32"/>
        <v>10421.884210717652</v>
      </c>
      <c r="K109" s="167">
        <f t="shared" si="34"/>
        <v>0</v>
      </c>
      <c r="L109" s="167">
        <f t="shared" si="49"/>
        <v>0</v>
      </c>
      <c r="M109" s="167">
        <f>IF(B109="","",IF(F109=0,0,IF(Simulador!$F$11='Tabla Parámetros'!$W$1,'Tabla Parámetros'!$W$28,IF(Simulador!$F$11='Tabla Parámetros'!$Y$1,'Tabla Parámetros'!$Y$12))))</f>
        <v>299</v>
      </c>
      <c r="N109" s="167">
        <f>IF(B109="","",IF(F109=0,0,IF(Simulador!$N$7='Tabla Parámetros'!$C$31,AportPat!L89,0)))</f>
        <v>0</v>
      </c>
      <c r="O109" s="167">
        <f>Simulador!O477</f>
        <v>0</v>
      </c>
      <c r="P109" s="167">
        <v>0</v>
      </c>
      <c r="Q109" s="167">
        <f t="shared" si="35"/>
        <v>10720.884210717652</v>
      </c>
      <c r="R109" s="167">
        <f t="shared" si="36"/>
        <v>851828.33997180301</v>
      </c>
      <c r="U109" s="6"/>
      <c r="V109" s="6"/>
      <c r="W109" s="6"/>
      <c r="X109" s="256">
        <f t="shared" si="31"/>
        <v>10720.884210717653</v>
      </c>
      <c r="Z109" s="201">
        <f t="shared" si="37"/>
        <v>2486.2508999533393</v>
      </c>
      <c r="AA109" s="201">
        <f t="shared" si="38"/>
        <v>7935.633310764314</v>
      </c>
      <c r="AB109" s="202">
        <f t="shared" si="39"/>
        <v>10421.884210717653</v>
      </c>
      <c r="AC109" s="201">
        <f t="shared" si="40"/>
        <v>2486.2508999533393</v>
      </c>
      <c r="AD109" s="201">
        <f t="shared" si="41"/>
        <v>7935.633310764314</v>
      </c>
      <c r="AE109" s="201">
        <f t="shared" si="51"/>
        <v>10421.884210717653</v>
      </c>
      <c r="AF109" s="201">
        <f t="shared" si="43"/>
        <v>2486.2508999533375</v>
      </c>
      <c r="AG109" s="201">
        <f t="shared" si="44"/>
        <v>7935.633310764314</v>
      </c>
      <c r="AH109" s="201">
        <f t="shared" si="50"/>
        <v>10421.884210717652</v>
      </c>
    </row>
    <row r="110" spans="2:34" x14ac:dyDescent="0.3">
      <c r="B110" s="179">
        <f t="shared" si="45"/>
        <v>87</v>
      </c>
      <c r="C110" s="180">
        <f t="shared" si="46"/>
        <v>30.4</v>
      </c>
      <c r="D110" s="165">
        <f>IF(B110="","",Simulador!$F$62)</f>
        <v>0.11</v>
      </c>
      <c r="E110" s="167"/>
      <c r="F110" s="167">
        <f t="shared" si="47"/>
        <v>851828.33997180301</v>
      </c>
      <c r="G110" s="166"/>
      <c r="H110" s="167">
        <f t="shared" si="33"/>
        <v>2509.3454083129063</v>
      </c>
      <c r="I110" s="167">
        <f t="shared" si="48"/>
        <v>7912.538802404747</v>
      </c>
      <c r="J110" s="167">
        <f t="shared" si="32"/>
        <v>10421.884210717653</v>
      </c>
      <c r="K110" s="167">
        <f t="shared" si="34"/>
        <v>0</v>
      </c>
      <c r="L110" s="167">
        <f t="shared" si="49"/>
        <v>0</v>
      </c>
      <c r="M110" s="167">
        <f>IF(B110="","",IF(F110=0,0,IF(Simulador!$F$11='Tabla Parámetros'!$W$1,'Tabla Parámetros'!$W$28,IF(Simulador!$F$11='Tabla Parámetros'!$Y$1,'Tabla Parámetros'!$Y$12))))</f>
        <v>299</v>
      </c>
      <c r="N110" s="167">
        <f>IF(B110="","",IF(F110=0,0,IF(Simulador!$N$7='Tabla Parámetros'!$C$31,AportPat!L90,0)))</f>
        <v>0</v>
      </c>
      <c r="O110" s="167">
        <f>Simulador!O478</f>
        <v>0</v>
      </c>
      <c r="P110" s="167">
        <v>0</v>
      </c>
      <c r="Q110" s="167">
        <f t="shared" si="35"/>
        <v>10720.884210717653</v>
      </c>
      <c r="R110" s="167">
        <f t="shared" si="36"/>
        <v>849318.99456349015</v>
      </c>
      <c r="U110" s="6"/>
      <c r="V110" s="6"/>
      <c r="W110" s="6"/>
      <c r="X110" s="256">
        <f t="shared" si="31"/>
        <v>10720.884210717653</v>
      </c>
      <c r="Z110" s="201">
        <f t="shared" si="37"/>
        <v>2509.3454083129063</v>
      </c>
      <c r="AA110" s="201">
        <f t="shared" si="38"/>
        <v>7912.538802404747</v>
      </c>
      <c r="AB110" s="202">
        <f t="shared" si="39"/>
        <v>10421.884210717653</v>
      </c>
      <c r="AC110" s="201">
        <f t="shared" si="40"/>
        <v>2509.3454083129063</v>
      </c>
      <c r="AD110" s="201">
        <f t="shared" si="41"/>
        <v>7912.538802404747</v>
      </c>
      <c r="AE110" s="201">
        <f t="shared" si="51"/>
        <v>10421.884210717653</v>
      </c>
      <c r="AF110" s="201">
        <f t="shared" si="43"/>
        <v>2509.3454083129063</v>
      </c>
      <c r="AG110" s="201">
        <f t="shared" si="44"/>
        <v>7912.538802404747</v>
      </c>
      <c r="AH110" s="201">
        <f t="shared" si="50"/>
        <v>10421.884210717653</v>
      </c>
    </row>
    <row r="111" spans="2:34" x14ac:dyDescent="0.3">
      <c r="B111" s="179">
        <f t="shared" si="45"/>
        <v>88</v>
      </c>
      <c r="C111" s="180">
        <f t="shared" si="46"/>
        <v>30.4</v>
      </c>
      <c r="D111" s="165">
        <f>IF(B111="","",Simulador!$F$62)</f>
        <v>0.11</v>
      </c>
      <c r="E111" s="167"/>
      <c r="F111" s="167">
        <f t="shared" si="47"/>
        <v>849318.99456349015</v>
      </c>
      <c r="G111" s="166"/>
      <c r="H111" s="167">
        <f t="shared" si="33"/>
        <v>2532.6544389945675</v>
      </c>
      <c r="I111" s="167">
        <f t="shared" si="48"/>
        <v>7889.2297717230858</v>
      </c>
      <c r="J111" s="167">
        <f t="shared" si="32"/>
        <v>10421.884210717653</v>
      </c>
      <c r="K111" s="167">
        <f t="shared" si="34"/>
        <v>0</v>
      </c>
      <c r="L111" s="167">
        <f t="shared" si="49"/>
        <v>0</v>
      </c>
      <c r="M111" s="167">
        <f>IF(B111="","",IF(F111=0,0,IF(Simulador!$F$11='Tabla Parámetros'!$W$1,'Tabla Parámetros'!$W$28,IF(Simulador!$F$11='Tabla Parámetros'!$Y$1,'Tabla Parámetros'!$Y$12))))</f>
        <v>299</v>
      </c>
      <c r="N111" s="167">
        <f>IF(B111="","",IF(F111=0,0,IF(Simulador!$N$7='Tabla Parámetros'!$C$31,AportPat!L91,0)))</f>
        <v>0</v>
      </c>
      <c r="O111" s="167">
        <f>Simulador!O479</f>
        <v>0</v>
      </c>
      <c r="P111" s="167">
        <v>0</v>
      </c>
      <c r="Q111" s="167">
        <f t="shared" si="35"/>
        <v>10720.884210717653</v>
      </c>
      <c r="R111" s="167">
        <f t="shared" si="36"/>
        <v>846786.34012449556</v>
      </c>
      <c r="U111" s="6"/>
      <c r="V111" s="6"/>
      <c r="W111" s="6"/>
      <c r="X111" s="256">
        <f t="shared" si="31"/>
        <v>10720.884210717653</v>
      </c>
      <c r="Z111" s="201">
        <f t="shared" si="37"/>
        <v>2532.6544389945684</v>
      </c>
      <c r="AA111" s="201">
        <f t="shared" si="38"/>
        <v>7889.2297717230858</v>
      </c>
      <c r="AB111" s="202">
        <f t="shared" si="39"/>
        <v>10421.884210717653</v>
      </c>
      <c r="AC111" s="201">
        <f t="shared" si="40"/>
        <v>2532.6544389945675</v>
      </c>
      <c r="AD111" s="201">
        <f t="shared" si="41"/>
        <v>7889.2297717230858</v>
      </c>
      <c r="AE111" s="201">
        <f t="shared" si="51"/>
        <v>10421.884210717653</v>
      </c>
      <c r="AF111" s="201">
        <f t="shared" si="43"/>
        <v>2532.6544389945675</v>
      </c>
      <c r="AG111" s="201">
        <f t="shared" si="44"/>
        <v>7889.2297717230858</v>
      </c>
      <c r="AH111" s="201">
        <f t="shared" si="50"/>
        <v>10421.884210717653</v>
      </c>
    </row>
    <row r="112" spans="2:34" x14ac:dyDescent="0.3">
      <c r="B112" s="181">
        <f t="shared" si="45"/>
        <v>89</v>
      </c>
      <c r="C112" s="180">
        <f t="shared" si="46"/>
        <v>30.4</v>
      </c>
      <c r="D112" s="165">
        <f>IF(B112="","",Simulador!$F$62)</f>
        <v>0.11</v>
      </c>
      <c r="E112" s="167"/>
      <c r="F112" s="167">
        <f t="shared" si="47"/>
        <v>846786.34012449556</v>
      </c>
      <c r="G112" s="166"/>
      <c r="H112" s="167">
        <f t="shared" si="33"/>
        <v>2556.1799846723379</v>
      </c>
      <c r="I112" s="167">
        <f t="shared" si="48"/>
        <v>7865.7042260453136</v>
      </c>
      <c r="J112" s="167">
        <f t="shared" si="32"/>
        <v>10421.884210717652</v>
      </c>
      <c r="K112" s="167">
        <f t="shared" si="34"/>
        <v>0</v>
      </c>
      <c r="L112" s="167">
        <f t="shared" si="49"/>
        <v>0</v>
      </c>
      <c r="M112" s="167">
        <f>IF(B112="","",IF(F112=0,0,IF(Simulador!$F$11='Tabla Parámetros'!$W$1,'Tabla Parámetros'!$W$28,IF(Simulador!$F$11='Tabla Parámetros'!$Y$1,'Tabla Parámetros'!$Y$12))))</f>
        <v>299</v>
      </c>
      <c r="N112" s="167">
        <f>IF(B112="","",IF(F112=0,0,IF(Simulador!$N$7='Tabla Parámetros'!$C$31,AportPat!L92,0)))</f>
        <v>0</v>
      </c>
      <c r="O112" s="167">
        <f>Simulador!O480</f>
        <v>0</v>
      </c>
      <c r="P112" s="167">
        <v>0</v>
      </c>
      <c r="Q112" s="167">
        <f t="shared" si="35"/>
        <v>10720.884210717652</v>
      </c>
      <c r="R112" s="167">
        <f t="shared" si="36"/>
        <v>844230.16013982322</v>
      </c>
      <c r="U112" s="6"/>
      <c r="V112" s="6"/>
      <c r="W112" s="6"/>
      <c r="X112" s="256">
        <f t="shared" si="31"/>
        <v>10720.884210717653</v>
      </c>
      <c r="Z112" s="201">
        <f t="shared" si="37"/>
        <v>2556.1799846723397</v>
      </c>
      <c r="AA112" s="201">
        <f t="shared" si="38"/>
        <v>7865.7042260453136</v>
      </c>
      <c r="AB112" s="202">
        <f t="shared" si="39"/>
        <v>10421.884210717653</v>
      </c>
      <c r="AC112" s="201">
        <f t="shared" si="40"/>
        <v>2556.1799846723397</v>
      </c>
      <c r="AD112" s="201">
        <f t="shared" si="41"/>
        <v>7865.7042260453136</v>
      </c>
      <c r="AE112" s="201">
        <f t="shared" si="51"/>
        <v>10421.884210717653</v>
      </c>
      <c r="AF112" s="201">
        <f t="shared" si="43"/>
        <v>2556.1799846723379</v>
      </c>
      <c r="AG112" s="201">
        <f t="shared" si="44"/>
        <v>7865.7042260453136</v>
      </c>
      <c r="AH112" s="201">
        <f t="shared" si="50"/>
        <v>10421.884210717652</v>
      </c>
    </row>
    <row r="113" spans="2:34" x14ac:dyDescent="0.3">
      <c r="B113" s="179">
        <f t="shared" si="45"/>
        <v>90</v>
      </c>
      <c r="C113" s="180">
        <f t="shared" si="46"/>
        <v>30.4</v>
      </c>
      <c r="D113" s="165">
        <f>IF(B113="","",Simulador!$F$62)</f>
        <v>0.11</v>
      </c>
      <c r="E113" s="167"/>
      <c r="F113" s="167">
        <f t="shared" si="47"/>
        <v>844230.16013982322</v>
      </c>
      <c r="G113" s="166"/>
      <c r="H113" s="167">
        <f t="shared" si="33"/>
        <v>2579.9240565299606</v>
      </c>
      <c r="I113" s="167">
        <f t="shared" si="48"/>
        <v>7841.9601541876909</v>
      </c>
      <c r="J113" s="167">
        <f t="shared" si="32"/>
        <v>10421.884210717652</v>
      </c>
      <c r="K113" s="167">
        <f t="shared" si="34"/>
        <v>0</v>
      </c>
      <c r="L113" s="167">
        <f t="shared" si="49"/>
        <v>0</v>
      </c>
      <c r="M113" s="167">
        <f>IF(B113="","",IF(F113=0,0,IF(Simulador!$F$11='Tabla Parámetros'!$W$1,'Tabla Parámetros'!$W$28,IF(Simulador!$F$11='Tabla Parámetros'!$Y$1,'Tabla Parámetros'!$Y$12))))</f>
        <v>299</v>
      </c>
      <c r="N113" s="167">
        <f>IF(B113="","",IF(F113=0,0,IF(Simulador!$N$7='Tabla Parámetros'!$C$31,AportPat!L93,0)))</f>
        <v>0</v>
      </c>
      <c r="O113" s="167">
        <f>Simulador!O481</f>
        <v>0</v>
      </c>
      <c r="P113" s="167">
        <v>0</v>
      </c>
      <c r="Q113" s="167">
        <f t="shared" si="35"/>
        <v>10720.884210717652</v>
      </c>
      <c r="R113" s="167">
        <f t="shared" si="36"/>
        <v>841650.23608329322</v>
      </c>
      <c r="U113" s="6"/>
      <c r="V113" s="6"/>
      <c r="W113" s="6"/>
      <c r="X113" s="256">
        <f t="shared" si="31"/>
        <v>10720.884210717653</v>
      </c>
      <c r="Z113" s="201">
        <f t="shared" si="37"/>
        <v>2579.9240565299629</v>
      </c>
      <c r="AA113" s="201">
        <f t="shared" si="38"/>
        <v>7841.9601541876909</v>
      </c>
      <c r="AB113" s="202">
        <f t="shared" si="39"/>
        <v>10421.884210717653</v>
      </c>
      <c r="AC113" s="201">
        <f t="shared" si="40"/>
        <v>2579.9240565299624</v>
      </c>
      <c r="AD113" s="201">
        <f t="shared" si="41"/>
        <v>7841.9601541876909</v>
      </c>
      <c r="AE113" s="201">
        <f t="shared" si="51"/>
        <v>10421.884210717653</v>
      </c>
      <c r="AF113" s="201">
        <f t="shared" si="43"/>
        <v>2579.9240565299606</v>
      </c>
      <c r="AG113" s="201">
        <f t="shared" si="44"/>
        <v>7841.9601541876909</v>
      </c>
      <c r="AH113" s="201">
        <f t="shared" si="50"/>
        <v>10421.884210717652</v>
      </c>
    </row>
    <row r="114" spans="2:34" x14ac:dyDescent="0.3">
      <c r="B114" s="179">
        <f t="shared" si="45"/>
        <v>91</v>
      </c>
      <c r="C114" s="180">
        <f t="shared" si="46"/>
        <v>30.4</v>
      </c>
      <c r="D114" s="165">
        <f>IF(B114="","",Simulador!$F$62)</f>
        <v>0.11</v>
      </c>
      <c r="E114" s="167"/>
      <c r="F114" s="167">
        <f t="shared" si="47"/>
        <v>841650.23608329322</v>
      </c>
      <c r="G114" s="166"/>
      <c r="H114" s="167">
        <f t="shared" si="33"/>
        <v>2603.8886844328399</v>
      </c>
      <c r="I114" s="167">
        <f t="shared" si="48"/>
        <v>7817.9955262848116</v>
      </c>
      <c r="J114" s="167">
        <f t="shared" si="32"/>
        <v>10421.884210717652</v>
      </c>
      <c r="K114" s="167">
        <f t="shared" si="34"/>
        <v>0</v>
      </c>
      <c r="L114" s="167">
        <f t="shared" si="49"/>
        <v>0</v>
      </c>
      <c r="M114" s="167">
        <f>IF(B114="","",IF(F114=0,0,IF(Simulador!$F$11='Tabla Parámetros'!$W$1,'Tabla Parámetros'!$W$28,IF(Simulador!$F$11='Tabla Parámetros'!$Y$1,'Tabla Parámetros'!$Y$12))))</f>
        <v>299</v>
      </c>
      <c r="N114" s="167">
        <f>IF(B114="","",IF(F114=0,0,IF(Simulador!$N$7='Tabla Parámetros'!$C$31,AportPat!L94,0)))</f>
        <v>0</v>
      </c>
      <c r="O114" s="167">
        <f>Simulador!O482</f>
        <v>0</v>
      </c>
      <c r="P114" s="167">
        <v>0</v>
      </c>
      <c r="Q114" s="167">
        <f t="shared" si="35"/>
        <v>10720.884210717652</v>
      </c>
      <c r="R114" s="167">
        <f t="shared" si="36"/>
        <v>839046.34739886038</v>
      </c>
      <c r="U114" s="6"/>
      <c r="V114" s="6"/>
      <c r="W114" s="6"/>
      <c r="X114" s="256">
        <f t="shared" si="31"/>
        <v>10720.884210717653</v>
      </c>
      <c r="Z114" s="201">
        <f t="shared" si="37"/>
        <v>2603.8886844328413</v>
      </c>
      <c r="AA114" s="201">
        <f t="shared" si="38"/>
        <v>7817.9955262848116</v>
      </c>
      <c r="AB114" s="202">
        <f t="shared" si="39"/>
        <v>10421.884210717653</v>
      </c>
      <c r="AC114" s="201">
        <f t="shared" si="40"/>
        <v>2603.8886844328417</v>
      </c>
      <c r="AD114" s="201">
        <f t="shared" si="41"/>
        <v>7817.9955262848116</v>
      </c>
      <c r="AE114" s="201">
        <f t="shared" si="51"/>
        <v>10421.884210717653</v>
      </c>
      <c r="AF114" s="201">
        <f t="shared" si="43"/>
        <v>2603.8886844328399</v>
      </c>
      <c r="AG114" s="201">
        <f t="shared" si="44"/>
        <v>7817.9955262848116</v>
      </c>
      <c r="AH114" s="201">
        <f t="shared" si="50"/>
        <v>10421.884210717652</v>
      </c>
    </row>
    <row r="115" spans="2:34" x14ac:dyDescent="0.3">
      <c r="B115" s="179">
        <f t="shared" si="45"/>
        <v>92</v>
      </c>
      <c r="C115" s="180">
        <f t="shared" si="46"/>
        <v>30.4</v>
      </c>
      <c r="D115" s="165">
        <f>IF(B115="","",Simulador!$F$62)</f>
        <v>0.11</v>
      </c>
      <c r="E115" s="167"/>
      <c r="F115" s="167">
        <f t="shared" si="47"/>
        <v>839046.34739886038</v>
      </c>
      <c r="G115" s="166"/>
      <c r="H115" s="167">
        <f t="shared" si="33"/>
        <v>2628.0759171015716</v>
      </c>
      <c r="I115" s="167">
        <f t="shared" si="48"/>
        <v>7793.8082936160799</v>
      </c>
      <c r="J115" s="167">
        <f t="shared" si="32"/>
        <v>10421.884210717652</v>
      </c>
      <c r="K115" s="167">
        <f t="shared" si="34"/>
        <v>0</v>
      </c>
      <c r="L115" s="167">
        <f t="shared" si="49"/>
        <v>0</v>
      </c>
      <c r="M115" s="167">
        <f>IF(B115="","",IF(F115=0,0,IF(Simulador!$F$11='Tabla Parámetros'!$W$1,'Tabla Parámetros'!$W$28,IF(Simulador!$F$11='Tabla Parámetros'!$Y$1,'Tabla Parámetros'!$Y$12))))</f>
        <v>299</v>
      </c>
      <c r="N115" s="167">
        <f>IF(B115="","",IF(F115=0,0,IF(Simulador!$N$7='Tabla Parámetros'!$C$31,AportPat!L95,0)))</f>
        <v>0</v>
      </c>
      <c r="O115" s="167">
        <f>Simulador!O483</f>
        <v>0</v>
      </c>
      <c r="P115" s="167">
        <v>0</v>
      </c>
      <c r="Q115" s="167">
        <f t="shared" si="35"/>
        <v>10720.884210717652</v>
      </c>
      <c r="R115" s="167">
        <f t="shared" si="36"/>
        <v>836418.2714817588</v>
      </c>
      <c r="U115" s="6"/>
      <c r="V115" s="6"/>
      <c r="W115" s="6"/>
      <c r="X115" s="256">
        <f t="shared" si="31"/>
        <v>10720.884210717653</v>
      </c>
      <c r="Z115" s="201">
        <f t="shared" si="37"/>
        <v>2628.0759171015729</v>
      </c>
      <c r="AA115" s="201">
        <f t="shared" si="38"/>
        <v>7793.8082936160799</v>
      </c>
      <c r="AB115" s="202">
        <f t="shared" si="39"/>
        <v>10421.884210717653</v>
      </c>
      <c r="AC115" s="201">
        <f t="shared" si="40"/>
        <v>2628.0759171015734</v>
      </c>
      <c r="AD115" s="201">
        <f t="shared" si="41"/>
        <v>7793.8082936160799</v>
      </c>
      <c r="AE115" s="201">
        <f t="shared" si="51"/>
        <v>10421.884210717653</v>
      </c>
      <c r="AF115" s="201">
        <f t="shared" si="43"/>
        <v>2628.0759171015716</v>
      </c>
      <c r="AG115" s="201">
        <f t="shared" si="44"/>
        <v>7793.8082936160799</v>
      </c>
      <c r="AH115" s="201">
        <f t="shared" si="50"/>
        <v>10421.884210717652</v>
      </c>
    </row>
    <row r="116" spans="2:34" x14ac:dyDescent="0.3">
      <c r="B116" s="181">
        <f t="shared" si="45"/>
        <v>93</v>
      </c>
      <c r="C116" s="180">
        <f t="shared" si="46"/>
        <v>30.4</v>
      </c>
      <c r="D116" s="165">
        <f>IF(B116="","",Simulador!$F$62)</f>
        <v>0.11</v>
      </c>
      <c r="E116" s="167"/>
      <c r="F116" s="167">
        <f t="shared" si="47"/>
        <v>836418.2714817588</v>
      </c>
      <c r="G116" s="166"/>
      <c r="H116" s="167">
        <f t="shared" si="33"/>
        <v>2652.4878222870948</v>
      </c>
      <c r="I116" s="167">
        <f t="shared" si="48"/>
        <v>7769.3963884305585</v>
      </c>
      <c r="J116" s="167">
        <f t="shared" si="32"/>
        <v>10421.884210717653</v>
      </c>
      <c r="K116" s="167">
        <f t="shared" si="34"/>
        <v>0</v>
      </c>
      <c r="L116" s="167">
        <f t="shared" si="49"/>
        <v>0</v>
      </c>
      <c r="M116" s="167">
        <f>IF(B116="","",IF(F116=0,0,IF(Simulador!$F$11='Tabla Parámetros'!$W$1,'Tabla Parámetros'!$W$28,IF(Simulador!$F$11='Tabla Parámetros'!$Y$1,'Tabla Parámetros'!$Y$12))))</f>
        <v>299</v>
      </c>
      <c r="N116" s="167">
        <f>IF(B116="","",IF(F116=0,0,IF(Simulador!$N$7='Tabla Parámetros'!$C$31,AportPat!L96,0)))</f>
        <v>0</v>
      </c>
      <c r="O116" s="167">
        <f>Simulador!O484</f>
        <v>0</v>
      </c>
      <c r="P116" s="167">
        <v>0</v>
      </c>
      <c r="Q116" s="167">
        <f t="shared" si="35"/>
        <v>10720.884210717653</v>
      </c>
      <c r="R116" s="167">
        <f t="shared" si="36"/>
        <v>833765.78365947166</v>
      </c>
      <c r="U116" s="6"/>
      <c r="V116" s="6"/>
      <c r="W116" s="6"/>
      <c r="X116" s="256">
        <f t="shared" si="31"/>
        <v>10720.884210717653</v>
      </c>
      <c r="Z116" s="201">
        <f t="shared" si="37"/>
        <v>2652.4878222870948</v>
      </c>
      <c r="AA116" s="201">
        <f t="shared" si="38"/>
        <v>7769.3963884305585</v>
      </c>
      <c r="AB116" s="202">
        <f t="shared" si="39"/>
        <v>10421.884210717653</v>
      </c>
      <c r="AC116" s="201">
        <f t="shared" si="40"/>
        <v>2652.4878222870948</v>
      </c>
      <c r="AD116" s="201">
        <f t="shared" si="41"/>
        <v>7769.3963884305585</v>
      </c>
      <c r="AE116" s="201">
        <f t="shared" si="51"/>
        <v>10421.884210717653</v>
      </c>
      <c r="AF116" s="201">
        <f t="shared" si="43"/>
        <v>2652.4878222870948</v>
      </c>
      <c r="AG116" s="201">
        <f t="shared" si="44"/>
        <v>7769.3963884305585</v>
      </c>
      <c r="AH116" s="201">
        <f t="shared" si="50"/>
        <v>10421.884210717653</v>
      </c>
    </row>
    <row r="117" spans="2:34" x14ac:dyDescent="0.3">
      <c r="B117" s="179">
        <f t="shared" si="45"/>
        <v>94</v>
      </c>
      <c r="C117" s="180">
        <f t="shared" si="46"/>
        <v>30.4</v>
      </c>
      <c r="D117" s="165">
        <f>IF(B117="","",Simulador!$F$62)</f>
        <v>0.11</v>
      </c>
      <c r="E117" s="167"/>
      <c r="F117" s="167">
        <f t="shared" si="47"/>
        <v>833765.78365947166</v>
      </c>
      <c r="G117" s="166"/>
      <c r="H117" s="167">
        <f t="shared" si="33"/>
        <v>2677.1264869474489</v>
      </c>
      <c r="I117" s="167">
        <f t="shared" si="48"/>
        <v>7744.7577237702026</v>
      </c>
      <c r="J117" s="167">
        <f t="shared" si="32"/>
        <v>10421.884210717652</v>
      </c>
      <c r="K117" s="167">
        <f t="shared" si="34"/>
        <v>0</v>
      </c>
      <c r="L117" s="167">
        <f t="shared" si="49"/>
        <v>0</v>
      </c>
      <c r="M117" s="167">
        <f>IF(B117="","",IF(F117=0,0,IF(Simulador!$F$11='Tabla Parámetros'!$W$1,'Tabla Parámetros'!$W$28,IF(Simulador!$F$11='Tabla Parámetros'!$Y$1,'Tabla Parámetros'!$Y$12))))</f>
        <v>299</v>
      </c>
      <c r="N117" s="167">
        <f>IF(B117="","",IF(F117=0,0,IF(Simulador!$N$7='Tabla Parámetros'!$C$31,AportPat!L97,0)))</f>
        <v>0</v>
      </c>
      <c r="O117" s="167">
        <f>Simulador!O485</f>
        <v>0</v>
      </c>
      <c r="P117" s="167">
        <v>0</v>
      </c>
      <c r="Q117" s="167">
        <f t="shared" si="35"/>
        <v>10720.884210717652</v>
      </c>
      <c r="R117" s="167">
        <f t="shared" si="36"/>
        <v>831088.65717252425</v>
      </c>
      <c r="U117" s="6"/>
      <c r="V117" s="6"/>
      <c r="W117" s="6"/>
      <c r="X117" s="256">
        <f t="shared" si="31"/>
        <v>10720.884210717653</v>
      </c>
      <c r="Z117" s="201">
        <f t="shared" si="37"/>
        <v>2677.1264869474503</v>
      </c>
      <c r="AA117" s="201">
        <f t="shared" si="38"/>
        <v>7744.7577237702026</v>
      </c>
      <c r="AB117" s="202">
        <f t="shared" si="39"/>
        <v>10421.884210717653</v>
      </c>
      <c r="AC117" s="201">
        <f t="shared" si="40"/>
        <v>2677.1264869474508</v>
      </c>
      <c r="AD117" s="201">
        <f t="shared" si="41"/>
        <v>7744.7577237702026</v>
      </c>
      <c r="AE117" s="201">
        <f t="shared" si="51"/>
        <v>10421.884210717653</v>
      </c>
      <c r="AF117" s="201">
        <f t="shared" si="43"/>
        <v>2677.1264869474489</v>
      </c>
      <c r="AG117" s="201">
        <f t="shared" si="44"/>
        <v>7744.7577237702026</v>
      </c>
      <c r="AH117" s="201">
        <f t="shared" si="50"/>
        <v>10421.884210717652</v>
      </c>
    </row>
    <row r="118" spans="2:34" x14ac:dyDescent="0.3">
      <c r="B118" s="179">
        <f t="shared" si="45"/>
        <v>95</v>
      </c>
      <c r="C118" s="180">
        <f t="shared" si="46"/>
        <v>30.4</v>
      </c>
      <c r="D118" s="165">
        <f>IF(B118="","",Simulador!$F$62)</f>
        <v>0.11</v>
      </c>
      <c r="E118" s="167"/>
      <c r="F118" s="167">
        <f t="shared" si="47"/>
        <v>831088.65717252425</v>
      </c>
      <c r="G118" s="166"/>
      <c r="H118" s="167">
        <f t="shared" si="33"/>
        <v>2701.9940174262065</v>
      </c>
      <c r="I118" s="167">
        <f t="shared" si="48"/>
        <v>7719.8901932914468</v>
      </c>
      <c r="J118" s="167">
        <f t="shared" si="32"/>
        <v>10421.884210717653</v>
      </c>
      <c r="K118" s="167">
        <f t="shared" si="34"/>
        <v>0</v>
      </c>
      <c r="L118" s="167">
        <f t="shared" si="49"/>
        <v>0</v>
      </c>
      <c r="M118" s="167">
        <f>IF(B118="","",IF(F118=0,0,IF(Simulador!$F$11='Tabla Parámetros'!$W$1,'Tabla Parámetros'!$W$28,IF(Simulador!$F$11='Tabla Parámetros'!$Y$1,'Tabla Parámetros'!$Y$12))))</f>
        <v>299</v>
      </c>
      <c r="N118" s="167">
        <f>IF(B118="","",IF(F118=0,0,IF(Simulador!$N$7='Tabla Parámetros'!$C$31,AportPat!L98,0)))</f>
        <v>0</v>
      </c>
      <c r="O118" s="167">
        <f>Simulador!O486</f>
        <v>0</v>
      </c>
      <c r="P118" s="167">
        <v>0</v>
      </c>
      <c r="Q118" s="167">
        <f t="shared" si="35"/>
        <v>10720.884210717653</v>
      </c>
      <c r="R118" s="167">
        <f t="shared" si="36"/>
        <v>828386.6631550981</v>
      </c>
      <c r="U118" s="6"/>
      <c r="V118" s="6"/>
      <c r="W118" s="6"/>
      <c r="X118" s="256">
        <f t="shared" si="31"/>
        <v>10720.884210717653</v>
      </c>
      <c r="Z118" s="201">
        <f t="shared" si="37"/>
        <v>2701.9940174262065</v>
      </c>
      <c r="AA118" s="201">
        <f t="shared" si="38"/>
        <v>7719.8901932914468</v>
      </c>
      <c r="AB118" s="202">
        <f t="shared" si="39"/>
        <v>10421.884210717653</v>
      </c>
      <c r="AC118" s="201">
        <f t="shared" si="40"/>
        <v>2701.9940174262065</v>
      </c>
      <c r="AD118" s="201">
        <f t="shared" si="41"/>
        <v>7719.8901932914468</v>
      </c>
      <c r="AE118" s="201">
        <f t="shared" si="51"/>
        <v>10421.884210717653</v>
      </c>
      <c r="AF118" s="201">
        <f t="shared" si="43"/>
        <v>2701.9940174262065</v>
      </c>
      <c r="AG118" s="201">
        <f t="shared" si="44"/>
        <v>7719.8901932914468</v>
      </c>
      <c r="AH118" s="201">
        <f t="shared" si="50"/>
        <v>10421.884210717653</v>
      </c>
    </row>
    <row r="119" spans="2:34" x14ac:dyDescent="0.3">
      <c r="B119" s="179">
        <f t="shared" si="45"/>
        <v>96</v>
      </c>
      <c r="C119" s="180">
        <f t="shared" si="46"/>
        <v>30.4</v>
      </c>
      <c r="D119" s="165">
        <f>IF(B119="","",Simulador!$F$62)</f>
        <v>0.11</v>
      </c>
      <c r="E119" s="167"/>
      <c r="F119" s="167">
        <f t="shared" si="47"/>
        <v>828386.6631550981</v>
      </c>
      <c r="G119" s="166"/>
      <c r="H119" s="167">
        <f t="shared" si="33"/>
        <v>2727.0925396325201</v>
      </c>
      <c r="I119" s="167">
        <f t="shared" si="48"/>
        <v>7694.7916710851332</v>
      </c>
      <c r="J119" s="167">
        <f t="shared" si="32"/>
        <v>10421.884210717653</v>
      </c>
      <c r="K119" s="167">
        <f t="shared" si="34"/>
        <v>0</v>
      </c>
      <c r="L119" s="167">
        <f t="shared" si="49"/>
        <v>0</v>
      </c>
      <c r="M119" s="167">
        <f>IF(B119="","",IF(F119=0,0,IF(Simulador!$F$11='Tabla Parámetros'!$W$1,'Tabla Parámetros'!$W$28,IF(Simulador!$F$11='Tabla Parámetros'!$Y$1,'Tabla Parámetros'!$Y$12))))</f>
        <v>299</v>
      </c>
      <c r="N119" s="167">
        <f>IF(B119="","",IF(F119=0,0,IF(Simulador!$N$7='Tabla Parámetros'!$C$31,AportPat!L99,0)))</f>
        <v>0</v>
      </c>
      <c r="O119" s="167">
        <f>Simulador!O487</f>
        <v>0</v>
      </c>
      <c r="P119" s="167">
        <v>0</v>
      </c>
      <c r="Q119" s="167">
        <f t="shared" si="35"/>
        <v>10720.884210717653</v>
      </c>
      <c r="R119" s="167">
        <f t="shared" si="36"/>
        <v>825659.57061546552</v>
      </c>
      <c r="U119" s="6"/>
      <c r="V119" s="6"/>
      <c r="W119" s="6"/>
      <c r="X119" s="256">
        <f t="shared" si="31"/>
        <v>10720.884210717653</v>
      </c>
      <c r="Z119" s="201">
        <f t="shared" si="37"/>
        <v>2727.0925396325215</v>
      </c>
      <c r="AA119" s="201">
        <f t="shared" si="38"/>
        <v>7694.7916710851332</v>
      </c>
      <c r="AB119" s="202">
        <f t="shared" si="39"/>
        <v>10421.884210717655</v>
      </c>
      <c r="AC119" s="201">
        <f t="shared" si="40"/>
        <v>2727.0925396325201</v>
      </c>
      <c r="AD119" s="201">
        <f t="shared" si="41"/>
        <v>7694.7916710851332</v>
      </c>
      <c r="AE119" s="201">
        <f t="shared" si="51"/>
        <v>10421.884210717653</v>
      </c>
      <c r="AF119" s="201">
        <f t="shared" si="43"/>
        <v>2727.0925396325201</v>
      </c>
      <c r="AG119" s="201">
        <f t="shared" si="44"/>
        <v>7694.7916710851332</v>
      </c>
      <c r="AH119" s="201">
        <f t="shared" si="50"/>
        <v>10421.884210717653</v>
      </c>
    </row>
    <row r="120" spans="2:34" x14ac:dyDescent="0.3">
      <c r="B120" s="181">
        <f t="shared" si="45"/>
        <v>97</v>
      </c>
      <c r="C120" s="180">
        <f t="shared" si="46"/>
        <v>30.4</v>
      </c>
      <c r="D120" s="165">
        <f>IF(B120="","",Simulador!$F$62)</f>
        <v>0.11</v>
      </c>
      <c r="E120" s="167"/>
      <c r="F120" s="167">
        <f t="shared" si="47"/>
        <v>825659.57061546552</v>
      </c>
      <c r="G120" s="166"/>
      <c r="H120" s="167">
        <f t="shared" si="33"/>
        <v>2752.4241992228835</v>
      </c>
      <c r="I120" s="167">
        <f t="shared" si="48"/>
        <v>7669.460011494768</v>
      </c>
      <c r="J120" s="167">
        <f t="shared" si="32"/>
        <v>10421.884210717652</v>
      </c>
      <c r="K120" s="167">
        <f t="shared" si="34"/>
        <v>0</v>
      </c>
      <c r="L120" s="167">
        <f t="shared" si="49"/>
        <v>0</v>
      </c>
      <c r="M120" s="167">
        <f>IF(B120="","",IF(F120=0,0,IF(Simulador!$F$11='Tabla Parámetros'!$W$1,'Tabla Parámetros'!$W$28,IF(Simulador!$F$11='Tabla Parámetros'!$Y$1,'Tabla Parámetros'!$Y$12))))</f>
        <v>299</v>
      </c>
      <c r="N120" s="167">
        <f>IF(B120="","",IF(F120=0,0,IF(Simulador!$N$7='Tabla Parámetros'!$C$31,AportPat!L100,0)))</f>
        <v>0</v>
      </c>
      <c r="O120" s="167">
        <f>Simulador!O488</f>
        <v>0</v>
      </c>
      <c r="P120" s="167">
        <v>0</v>
      </c>
      <c r="Q120" s="167">
        <f t="shared" si="35"/>
        <v>10720.884210717652</v>
      </c>
      <c r="R120" s="167">
        <f t="shared" si="36"/>
        <v>822907.14641624258</v>
      </c>
      <c r="U120" s="6"/>
      <c r="V120" s="6"/>
      <c r="W120" s="6"/>
      <c r="X120" s="256">
        <f t="shared" si="31"/>
        <v>10720.884210717653</v>
      </c>
      <c r="Z120" s="201">
        <f t="shared" si="37"/>
        <v>2752.4241992228849</v>
      </c>
      <c r="AA120" s="201">
        <f t="shared" si="38"/>
        <v>7669.460011494768</v>
      </c>
      <c r="AB120" s="202">
        <f t="shared" si="39"/>
        <v>10421.884210717653</v>
      </c>
      <c r="AC120" s="201">
        <f t="shared" si="40"/>
        <v>2752.4241992228854</v>
      </c>
      <c r="AD120" s="201">
        <f t="shared" si="41"/>
        <v>7669.460011494768</v>
      </c>
      <c r="AE120" s="201">
        <f t="shared" si="51"/>
        <v>10421.884210717653</v>
      </c>
      <c r="AF120" s="201">
        <f t="shared" si="43"/>
        <v>2752.4241992228835</v>
      </c>
      <c r="AG120" s="201">
        <f t="shared" si="44"/>
        <v>7669.460011494768</v>
      </c>
      <c r="AH120" s="201">
        <f t="shared" si="50"/>
        <v>10421.884210717652</v>
      </c>
    </row>
    <row r="121" spans="2:34" x14ac:dyDescent="0.3">
      <c r="B121" s="179">
        <f t="shared" si="45"/>
        <v>98</v>
      </c>
      <c r="C121" s="180">
        <f t="shared" si="46"/>
        <v>30.4</v>
      </c>
      <c r="D121" s="165">
        <f>IF(B121="","",Simulador!$F$62)</f>
        <v>0.11</v>
      </c>
      <c r="E121" s="167"/>
      <c r="F121" s="167">
        <f t="shared" si="47"/>
        <v>822907.14641624258</v>
      </c>
      <c r="G121" s="166"/>
      <c r="H121" s="167">
        <f t="shared" si="33"/>
        <v>2777.9911617845546</v>
      </c>
      <c r="I121" s="167">
        <f t="shared" si="48"/>
        <v>7643.8930489330969</v>
      </c>
      <c r="J121" s="167">
        <f t="shared" si="32"/>
        <v>10421.884210717652</v>
      </c>
      <c r="K121" s="167">
        <f t="shared" si="34"/>
        <v>0</v>
      </c>
      <c r="L121" s="167">
        <f t="shared" si="49"/>
        <v>0</v>
      </c>
      <c r="M121" s="167">
        <f>IF(B121="","",IF(F121=0,0,IF(Simulador!$F$11='Tabla Parámetros'!$W$1,'Tabla Parámetros'!$W$28,IF(Simulador!$F$11='Tabla Parámetros'!$Y$1,'Tabla Parámetros'!$Y$12))))</f>
        <v>299</v>
      </c>
      <c r="N121" s="167">
        <f>IF(B121="","",IF(F121=0,0,IF(Simulador!$N$7='Tabla Parámetros'!$C$31,AportPat!L101,0)))</f>
        <v>0</v>
      </c>
      <c r="O121" s="167">
        <f>Simulador!O489</f>
        <v>0</v>
      </c>
      <c r="P121" s="167">
        <v>0</v>
      </c>
      <c r="Q121" s="167">
        <f t="shared" si="35"/>
        <v>10720.884210717652</v>
      </c>
      <c r="R121" s="167">
        <f t="shared" si="36"/>
        <v>820129.15525445808</v>
      </c>
      <c r="U121" s="6"/>
      <c r="V121" s="6"/>
      <c r="W121" s="6"/>
      <c r="X121" s="256">
        <f t="shared" si="31"/>
        <v>10720.884210717653</v>
      </c>
      <c r="Z121" s="201">
        <f t="shared" si="37"/>
        <v>2777.9911617845555</v>
      </c>
      <c r="AA121" s="201">
        <f t="shared" si="38"/>
        <v>7643.8930489330969</v>
      </c>
      <c r="AB121" s="202">
        <f t="shared" si="39"/>
        <v>10421.884210717653</v>
      </c>
      <c r="AC121" s="201">
        <f t="shared" si="40"/>
        <v>2777.9911617845564</v>
      </c>
      <c r="AD121" s="201">
        <f t="shared" si="41"/>
        <v>7643.8930489330969</v>
      </c>
      <c r="AE121" s="201">
        <f t="shared" si="51"/>
        <v>10421.884210717653</v>
      </c>
      <c r="AF121" s="201">
        <f t="shared" si="43"/>
        <v>2777.9911617845546</v>
      </c>
      <c r="AG121" s="201">
        <f t="shared" si="44"/>
        <v>7643.8930489330969</v>
      </c>
      <c r="AH121" s="201">
        <f t="shared" si="50"/>
        <v>10421.884210717652</v>
      </c>
    </row>
    <row r="122" spans="2:34" x14ac:dyDescent="0.3">
      <c r="B122" s="179">
        <f t="shared" si="45"/>
        <v>99</v>
      </c>
      <c r="C122" s="180">
        <f t="shared" si="46"/>
        <v>30.4</v>
      </c>
      <c r="D122" s="165">
        <f>IF(B122="","",Simulador!$F$62)</f>
        <v>0.11</v>
      </c>
      <c r="E122" s="167"/>
      <c r="F122" s="167">
        <f t="shared" si="47"/>
        <v>820129.15525445808</v>
      </c>
      <c r="G122" s="166"/>
      <c r="H122" s="167">
        <f t="shared" si="33"/>
        <v>2803.7956130206858</v>
      </c>
      <c r="I122" s="167">
        <f t="shared" si="48"/>
        <v>7618.0885976969657</v>
      </c>
      <c r="J122" s="167">
        <f t="shared" si="32"/>
        <v>10421.884210717652</v>
      </c>
      <c r="K122" s="167">
        <f t="shared" si="34"/>
        <v>0</v>
      </c>
      <c r="L122" s="167">
        <f t="shared" si="49"/>
        <v>0</v>
      </c>
      <c r="M122" s="167">
        <f>IF(B122="","",IF(F122=0,0,IF(Simulador!$F$11='Tabla Parámetros'!$W$1,'Tabla Parámetros'!$W$28,IF(Simulador!$F$11='Tabla Parámetros'!$Y$1,'Tabla Parámetros'!$Y$12))))</f>
        <v>299</v>
      </c>
      <c r="N122" s="167">
        <f>IF(B122="","",IF(F122=0,0,IF(Simulador!$N$7='Tabla Parámetros'!$C$31,AportPat!L102,0)))</f>
        <v>0</v>
      </c>
      <c r="O122" s="167">
        <f>Simulador!O490</f>
        <v>0</v>
      </c>
      <c r="P122" s="167">
        <v>0</v>
      </c>
      <c r="Q122" s="167">
        <f t="shared" si="35"/>
        <v>10720.884210717652</v>
      </c>
      <c r="R122" s="167">
        <f t="shared" si="36"/>
        <v>817325.35964143742</v>
      </c>
      <c r="U122" s="6"/>
      <c r="V122" s="6"/>
      <c r="W122" s="6"/>
      <c r="X122" s="256">
        <f t="shared" si="31"/>
        <v>10720.884210717653</v>
      </c>
      <c r="Z122" s="201">
        <f t="shared" si="37"/>
        <v>2803.7956130206876</v>
      </c>
      <c r="AA122" s="201">
        <f t="shared" si="38"/>
        <v>7618.0885976969657</v>
      </c>
      <c r="AB122" s="202">
        <f t="shared" si="39"/>
        <v>10421.884210717653</v>
      </c>
      <c r="AC122" s="201">
        <f t="shared" si="40"/>
        <v>2803.7956130206876</v>
      </c>
      <c r="AD122" s="201">
        <f t="shared" si="41"/>
        <v>7618.0885976969657</v>
      </c>
      <c r="AE122" s="201">
        <f t="shared" si="51"/>
        <v>10421.884210717653</v>
      </c>
      <c r="AF122" s="201">
        <f t="shared" si="43"/>
        <v>2803.7956130206858</v>
      </c>
      <c r="AG122" s="201">
        <f t="shared" si="44"/>
        <v>7618.0885976969657</v>
      </c>
      <c r="AH122" s="201">
        <f t="shared" si="50"/>
        <v>10421.884210717652</v>
      </c>
    </row>
    <row r="123" spans="2:34" x14ac:dyDescent="0.3">
      <c r="B123" s="179">
        <f t="shared" si="45"/>
        <v>100</v>
      </c>
      <c r="C123" s="180">
        <f t="shared" si="46"/>
        <v>30.4</v>
      </c>
      <c r="D123" s="165">
        <f>IF(B123="","",Simulador!$F$62)</f>
        <v>0.11</v>
      </c>
      <c r="E123" s="167"/>
      <c r="F123" s="167">
        <f t="shared" si="47"/>
        <v>817325.35964143742</v>
      </c>
      <c r="G123" s="166"/>
      <c r="H123" s="167">
        <f t="shared" si="33"/>
        <v>2829.8397589371907</v>
      </c>
      <c r="I123" s="167">
        <f t="shared" si="48"/>
        <v>7592.0444517804626</v>
      </c>
      <c r="J123" s="167">
        <f t="shared" si="32"/>
        <v>10421.884210717653</v>
      </c>
      <c r="K123" s="167">
        <f t="shared" si="34"/>
        <v>0</v>
      </c>
      <c r="L123" s="167">
        <f t="shared" si="49"/>
        <v>0</v>
      </c>
      <c r="M123" s="167">
        <f>IF(B123="","",IF(F123=0,0,IF(Simulador!$F$11='Tabla Parámetros'!$W$1,'Tabla Parámetros'!$W$28,IF(Simulador!$F$11='Tabla Parámetros'!$Y$1,'Tabla Parámetros'!$Y$12))))</f>
        <v>299</v>
      </c>
      <c r="N123" s="167">
        <f>IF(B123="","",IF(F123=0,0,IF(Simulador!$N$7='Tabla Parámetros'!$C$31,AportPat!L103,0)))</f>
        <v>0</v>
      </c>
      <c r="O123" s="167">
        <f>Simulador!O491</f>
        <v>0</v>
      </c>
      <c r="P123" s="167">
        <v>0</v>
      </c>
      <c r="Q123" s="167">
        <f t="shared" si="35"/>
        <v>10720.884210717653</v>
      </c>
      <c r="R123" s="167">
        <f t="shared" si="36"/>
        <v>814495.51988250017</v>
      </c>
      <c r="U123" s="6"/>
      <c r="V123" s="6"/>
      <c r="W123" s="6"/>
      <c r="X123" s="256">
        <f t="shared" si="31"/>
        <v>10720.884210717653</v>
      </c>
      <c r="Z123" s="201">
        <f t="shared" si="37"/>
        <v>2829.8397589371907</v>
      </c>
      <c r="AA123" s="201">
        <f t="shared" si="38"/>
        <v>7592.0444517804626</v>
      </c>
      <c r="AB123" s="202">
        <f t="shared" si="39"/>
        <v>10421.884210717653</v>
      </c>
      <c r="AC123" s="201">
        <f t="shared" si="40"/>
        <v>2829.8397589371907</v>
      </c>
      <c r="AD123" s="201">
        <f t="shared" si="41"/>
        <v>7592.0444517804626</v>
      </c>
      <c r="AE123" s="201">
        <f t="shared" si="51"/>
        <v>10421.884210717653</v>
      </c>
      <c r="AF123" s="201">
        <f t="shared" si="43"/>
        <v>2829.8397589371907</v>
      </c>
      <c r="AG123" s="201">
        <f t="shared" si="44"/>
        <v>7592.0444517804626</v>
      </c>
      <c r="AH123" s="201">
        <f t="shared" si="50"/>
        <v>10421.884210717653</v>
      </c>
    </row>
    <row r="124" spans="2:34" x14ac:dyDescent="0.3">
      <c r="B124" s="181">
        <f t="shared" si="45"/>
        <v>101</v>
      </c>
      <c r="C124" s="180">
        <f t="shared" si="46"/>
        <v>30.4</v>
      </c>
      <c r="D124" s="165">
        <f>IF(B124="","",Simulador!$F$62)</f>
        <v>0.11</v>
      </c>
      <c r="E124" s="167"/>
      <c r="F124" s="167">
        <f t="shared" si="47"/>
        <v>814495.51988250017</v>
      </c>
      <c r="G124" s="166"/>
      <c r="H124" s="167">
        <f t="shared" si="33"/>
        <v>2856.1258260313152</v>
      </c>
      <c r="I124" s="167">
        <f t="shared" si="48"/>
        <v>7565.7583846863345</v>
      </c>
      <c r="J124" s="167">
        <f t="shared" si="32"/>
        <v>10421.88421071765</v>
      </c>
      <c r="K124" s="167">
        <f t="shared" si="34"/>
        <v>0</v>
      </c>
      <c r="L124" s="167">
        <f t="shared" si="49"/>
        <v>0</v>
      </c>
      <c r="M124" s="167">
        <f>IF(B124="","",IF(F124=0,0,IF(Simulador!$F$11='Tabla Parámetros'!$W$1,'Tabla Parámetros'!$W$28,IF(Simulador!$F$11='Tabla Parámetros'!$Y$1,'Tabla Parámetros'!$Y$12))))</f>
        <v>299</v>
      </c>
      <c r="N124" s="167">
        <f>IF(B124="","",IF(F124=0,0,IF(Simulador!$N$7='Tabla Parámetros'!$C$31,AportPat!L104,0)))</f>
        <v>0</v>
      </c>
      <c r="O124" s="167">
        <f>Simulador!O492</f>
        <v>0</v>
      </c>
      <c r="P124" s="167">
        <v>0</v>
      </c>
      <c r="Q124" s="167">
        <f t="shared" si="35"/>
        <v>10720.88421071765</v>
      </c>
      <c r="R124" s="167">
        <f t="shared" si="36"/>
        <v>811639.39405646885</v>
      </c>
      <c r="U124" s="6"/>
      <c r="V124" s="6"/>
      <c r="W124" s="6"/>
      <c r="X124" s="256">
        <f t="shared" si="31"/>
        <v>10720.884210717653</v>
      </c>
      <c r="Z124" s="201">
        <f t="shared" si="37"/>
        <v>2856.125826031318</v>
      </c>
      <c r="AA124" s="201">
        <f t="shared" si="38"/>
        <v>7565.7583846863345</v>
      </c>
      <c r="AB124" s="202">
        <f t="shared" si="39"/>
        <v>10421.884210717653</v>
      </c>
      <c r="AC124" s="201">
        <f t="shared" si="40"/>
        <v>2856.1258260313189</v>
      </c>
      <c r="AD124" s="201">
        <f t="shared" si="41"/>
        <v>7565.7583846863345</v>
      </c>
      <c r="AE124" s="201">
        <f t="shared" si="51"/>
        <v>10421.884210717653</v>
      </c>
      <c r="AF124" s="201">
        <f t="shared" si="43"/>
        <v>2856.1258260313152</v>
      </c>
      <c r="AG124" s="201">
        <f t="shared" si="44"/>
        <v>7565.7583846863345</v>
      </c>
      <c r="AH124" s="201">
        <f t="shared" si="50"/>
        <v>10421.88421071765</v>
      </c>
    </row>
    <row r="125" spans="2:34" x14ac:dyDescent="0.3">
      <c r="B125" s="179">
        <f t="shared" si="45"/>
        <v>102</v>
      </c>
      <c r="C125" s="180">
        <f t="shared" si="46"/>
        <v>30.4</v>
      </c>
      <c r="D125" s="165">
        <f>IF(B125="","",Simulador!$F$62)</f>
        <v>0.11</v>
      </c>
      <c r="E125" s="167"/>
      <c r="F125" s="167">
        <f t="shared" si="47"/>
        <v>811639.39405646885</v>
      </c>
      <c r="G125" s="166"/>
      <c r="H125" s="167">
        <f t="shared" si="33"/>
        <v>2882.65606148201</v>
      </c>
      <c r="I125" s="167">
        <f t="shared" si="48"/>
        <v>7539.2281492356433</v>
      </c>
      <c r="J125" s="167">
        <f t="shared" si="32"/>
        <v>10421.884210717653</v>
      </c>
      <c r="K125" s="167">
        <f t="shared" si="34"/>
        <v>0</v>
      </c>
      <c r="L125" s="167">
        <f t="shared" si="49"/>
        <v>0</v>
      </c>
      <c r="M125" s="167">
        <f>IF(B125="","",IF(F125=0,0,IF(Simulador!$F$11='Tabla Parámetros'!$W$1,'Tabla Parámetros'!$W$28,IF(Simulador!$F$11='Tabla Parámetros'!$Y$1,'Tabla Parámetros'!$Y$12))))</f>
        <v>299</v>
      </c>
      <c r="N125" s="167">
        <f>IF(B125="","",IF(F125=0,0,IF(Simulador!$N$7='Tabla Parámetros'!$C$31,AportPat!L105,0)))</f>
        <v>0</v>
      </c>
      <c r="O125" s="167">
        <f>Simulador!O493</f>
        <v>0</v>
      </c>
      <c r="P125" s="167">
        <v>0</v>
      </c>
      <c r="Q125" s="167">
        <f t="shared" si="35"/>
        <v>10720.884210717653</v>
      </c>
      <c r="R125" s="167">
        <f t="shared" si="36"/>
        <v>808756.73799498682</v>
      </c>
      <c r="U125" s="6"/>
      <c r="V125" s="6"/>
      <c r="W125" s="6"/>
      <c r="X125" s="256">
        <f t="shared" si="31"/>
        <v>10720.884210717653</v>
      </c>
      <c r="Z125" s="201">
        <f t="shared" si="37"/>
        <v>2882.6560614820096</v>
      </c>
      <c r="AA125" s="201">
        <f t="shared" si="38"/>
        <v>7539.2281492356433</v>
      </c>
      <c r="AB125" s="202">
        <f t="shared" si="39"/>
        <v>10421.884210717653</v>
      </c>
      <c r="AC125" s="201">
        <f t="shared" si="40"/>
        <v>2882.65606148201</v>
      </c>
      <c r="AD125" s="201">
        <f t="shared" si="41"/>
        <v>7539.2281492356433</v>
      </c>
      <c r="AE125" s="201">
        <f t="shared" si="51"/>
        <v>10421.884210717653</v>
      </c>
      <c r="AF125" s="201">
        <f t="shared" si="43"/>
        <v>2882.65606148201</v>
      </c>
      <c r="AG125" s="201">
        <f t="shared" si="44"/>
        <v>7539.2281492356433</v>
      </c>
      <c r="AH125" s="201">
        <f t="shared" si="50"/>
        <v>10421.884210717653</v>
      </c>
    </row>
    <row r="126" spans="2:34" x14ac:dyDescent="0.3">
      <c r="B126" s="179">
        <f t="shared" si="45"/>
        <v>103</v>
      </c>
      <c r="C126" s="180">
        <f t="shared" si="46"/>
        <v>30.4</v>
      </c>
      <c r="D126" s="165">
        <f>IF(B126="","",Simulador!$F$62)</f>
        <v>0.11</v>
      </c>
      <c r="E126" s="167"/>
      <c r="F126" s="167">
        <f t="shared" si="47"/>
        <v>808756.73799498682</v>
      </c>
      <c r="G126" s="166"/>
      <c r="H126" s="167">
        <f t="shared" si="33"/>
        <v>2909.4327333419969</v>
      </c>
      <c r="I126" s="167">
        <f t="shared" si="48"/>
        <v>7512.4514773756546</v>
      </c>
      <c r="J126" s="167">
        <f t="shared" si="32"/>
        <v>10421.884210717652</v>
      </c>
      <c r="K126" s="167">
        <f t="shared" si="34"/>
        <v>0</v>
      </c>
      <c r="L126" s="167">
        <f t="shared" si="49"/>
        <v>0</v>
      </c>
      <c r="M126" s="167">
        <f>IF(B126="","",IF(F126=0,0,IF(Simulador!$F$11='Tabla Parámetros'!$W$1,'Tabla Parámetros'!$W$28,IF(Simulador!$F$11='Tabla Parámetros'!$Y$1,'Tabla Parámetros'!$Y$12))))</f>
        <v>299</v>
      </c>
      <c r="N126" s="167">
        <f>IF(B126="","",IF(F126=0,0,IF(Simulador!$N$7='Tabla Parámetros'!$C$31,AportPat!L106,0)))</f>
        <v>0</v>
      </c>
      <c r="O126" s="167">
        <f>Simulador!O494</f>
        <v>0</v>
      </c>
      <c r="P126" s="167">
        <v>0</v>
      </c>
      <c r="Q126" s="167">
        <f t="shared" si="35"/>
        <v>10720.884210717652</v>
      </c>
      <c r="R126" s="167">
        <f t="shared" si="36"/>
        <v>805847.30526164477</v>
      </c>
      <c r="U126" s="6"/>
      <c r="V126" s="6"/>
      <c r="W126" s="6"/>
      <c r="X126" s="256">
        <f t="shared" si="31"/>
        <v>10720.884210717653</v>
      </c>
      <c r="Z126" s="201">
        <f t="shared" si="37"/>
        <v>2909.4327333419978</v>
      </c>
      <c r="AA126" s="201">
        <f t="shared" si="38"/>
        <v>7512.4514773756546</v>
      </c>
      <c r="AB126" s="202">
        <f t="shared" si="39"/>
        <v>10421.884210717653</v>
      </c>
      <c r="AC126" s="201">
        <f t="shared" si="40"/>
        <v>2909.4327333419988</v>
      </c>
      <c r="AD126" s="201">
        <f t="shared" si="41"/>
        <v>7512.4514773756546</v>
      </c>
      <c r="AE126" s="201">
        <f t="shared" si="51"/>
        <v>10421.884210717653</v>
      </c>
      <c r="AF126" s="201">
        <f t="shared" si="43"/>
        <v>2909.4327333419969</v>
      </c>
      <c r="AG126" s="201">
        <f t="shared" si="44"/>
        <v>7512.4514773756546</v>
      </c>
      <c r="AH126" s="201">
        <f t="shared" si="50"/>
        <v>10421.884210717652</v>
      </c>
    </row>
    <row r="127" spans="2:34" x14ac:dyDescent="0.3">
      <c r="B127" s="179">
        <f t="shared" si="45"/>
        <v>104</v>
      </c>
      <c r="C127" s="180">
        <f t="shared" si="46"/>
        <v>30.4</v>
      </c>
      <c r="D127" s="165">
        <f>IF(B127="","",Simulador!$F$62)</f>
        <v>0.11</v>
      </c>
      <c r="E127" s="167"/>
      <c r="F127" s="167">
        <f t="shared" si="47"/>
        <v>805847.30526164477</v>
      </c>
      <c r="G127" s="166"/>
      <c r="H127" s="167">
        <f t="shared" si="33"/>
        <v>2936.4581307317076</v>
      </c>
      <c r="I127" s="167">
        <f t="shared" si="48"/>
        <v>7485.4260799859439</v>
      </c>
      <c r="J127" s="167">
        <f t="shared" si="32"/>
        <v>10421.884210717652</v>
      </c>
      <c r="K127" s="167">
        <f t="shared" si="34"/>
        <v>0</v>
      </c>
      <c r="L127" s="167">
        <f t="shared" si="49"/>
        <v>0</v>
      </c>
      <c r="M127" s="167">
        <f>IF(B127="","",IF(F127=0,0,IF(Simulador!$F$11='Tabla Parámetros'!$W$1,'Tabla Parámetros'!$W$28,IF(Simulador!$F$11='Tabla Parámetros'!$Y$1,'Tabla Parámetros'!$Y$12))))</f>
        <v>299</v>
      </c>
      <c r="N127" s="167">
        <f>IF(B127="","",IF(F127=0,0,IF(Simulador!$N$7='Tabla Parámetros'!$C$31,AportPat!L107,0)))</f>
        <v>0</v>
      </c>
      <c r="O127" s="167">
        <f>Simulador!O495</f>
        <v>0</v>
      </c>
      <c r="P127" s="167">
        <v>0</v>
      </c>
      <c r="Q127" s="167">
        <f t="shared" si="35"/>
        <v>10720.884210717652</v>
      </c>
      <c r="R127" s="167">
        <f t="shared" si="36"/>
        <v>802910.84713091305</v>
      </c>
      <c r="U127" s="6"/>
      <c r="V127" s="6"/>
      <c r="W127" s="6"/>
      <c r="X127" s="256">
        <f t="shared" si="31"/>
        <v>10720.884210717653</v>
      </c>
      <c r="Z127" s="201">
        <f t="shared" si="37"/>
        <v>2936.4581307317085</v>
      </c>
      <c r="AA127" s="201">
        <f t="shared" si="38"/>
        <v>7485.4260799859439</v>
      </c>
      <c r="AB127" s="202">
        <f t="shared" si="39"/>
        <v>10421.884210717653</v>
      </c>
      <c r="AC127" s="201">
        <f t="shared" si="40"/>
        <v>2936.4581307317094</v>
      </c>
      <c r="AD127" s="201">
        <f t="shared" si="41"/>
        <v>7485.4260799859439</v>
      </c>
      <c r="AE127" s="201">
        <f t="shared" si="51"/>
        <v>10421.884210717653</v>
      </c>
      <c r="AF127" s="201">
        <f t="shared" si="43"/>
        <v>2936.4581307317076</v>
      </c>
      <c r="AG127" s="201">
        <f t="shared" si="44"/>
        <v>7485.4260799859439</v>
      </c>
      <c r="AH127" s="201">
        <f t="shared" si="50"/>
        <v>10421.884210717652</v>
      </c>
    </row>
    <row r="128" spans="2:34" x14ac:dyDescent="0.3">
      <c r="B128" s="181">
        <f t="shared" si="45"/>
        <v>105</v>
      </c>
      <c r="C128" s="180">
        <f t="shared" si="46"/>
        <v>30.4</v>
      </c>
      <c r="D128" s="165">
        <f>IF(B128="","",Simulador!$F$62)</f>
        <v>0.11</v>
      </c>
      <c r="E128" s="167"/>
      <c r="F128" s="167">
        <f t="shared" si="47"/>
        <v>802910.84713091305</v>
      </c>
      <c r="G128" s="166"/>
      <c r="H128" s="167">
        <f t="shared" si="33"/>
        <v>2963.7345640349486</v>
      </c>
      <c r="I128" s="167">
        <f t="shared" si="48"/>
        <v>7458.149646682703</v>
      </c>
      <c r="J128" s="167">
        <f t="shared" si="32"/>
        <v>10421.884210717652</v>
      </c>
      <c r="K128" s="167">
        <f t="shared" si="34"/>
        <v>0</v>
      </c>
      <c r="L128" s="167">
        <f t="shared" si="49"/>
        <v>0</v>
      </c>
      <c r="M128" s="167">
        <f>IF(B128="","",IF(F128=0,0,IF(Simulador!$F$11='Tabla Parámetros'!$W$1,'Tabla Parámetros'!$W$28,IF(Simulador!$F$11='Tabla Parámetros'!$Y$1,'Tabla Parámetros'!$Y$12))))</f>
        <v>299</v>
      </c>
      <c r="N128" s="167">
        <f>IF(B128="","",IF(F128=0,0,IF(Simulador!$N$7='Tabla Parámetros'!$C$31,AportPat!L108,0)))</f>
        <v>0</v>
      </c>
      <c r="O128" s="167">
        <f>Simulador!O496</f>
        <v>0</v>
      </c>
      <c r="P128" s="167">
        <v>0</v>
      </c>
      <c r="Q128" s="167">
        <f t="shared" si="35"/>
        <v>10720.884210717652</v>
      </c>
      <c r="R128" s="167">
        <f t="shared" si="36"/>
        <v>799947.11256687809</v>
      </c>
      <c r="U128" s="6"/>
      <c r="V128" s="6"/>
      <c r="W128" s="6"/>
      <c r="X128" s="256">
        <f t="shared" si="31"/>
        <v>10720.884210717653</v>
      </c>
      <c r="Z128" s="201">
        <f t="shared" si="37"/>
        <v>2963.7345640349495</v>
      </c>
      <c r="AA128" s="201">
        <f t="shared" si="38"/>
        <v>7458.149646682703</v>
      </c>
      <c r="AB128" s="202">
        <f t="shared" si="39"/>
        <v>10421.884210717653</v>
      </c>
      <c r="AC128" s="201">
        <f t="shared" si="40"/>
        <v>2963.7345640349504</v>
      </c>
      <c r="AD128" s="201">
        <f t="shared" si="41"/>
        <v>7458.149646682703</v>
      </c>
      <c r="AE128" s="201">
        <f t="shared" si="51"/>
        <v>10421.884210717653</v>
      </c>
      <c r="AF128" s="201">
        <f t="shared" si="43"/>
        <v>2963.7345640349486</v>
      </c>
      <c r="AG128" s="201">
        <f t="shared" si="44"/>
        <v>7458.149646682703</v>
      </c>
      <c r="AH128" s="201">
        <f t="shared" si="50"/>
        <v>10421.884210717652</v>
      </c>
    </row>
    <row r="129" spans="2:34" x14ac:dyDescent="0.3">
      <c r="B129" s="179">
        <f t="shared" si="45"/>
        <v>106</v>
      </c>
      <c r="C129" s="180">
        <f t="shared" si="46"/>
        <v>30.4</v>
      </c>
      <c r="D129" s="165">
        <f>IF(B129="","",Simulador!$F$62)</f>
        <v>0.11</v>
      </c>
      <c r="E129" s="167"/>
      <c r="F129" s="167">
        <f t="shared" si="47"/>
        <v>799947.11256687809</v>
      </c>
      <c r="G129" s="166"/>
      <c r="H129" s="167">
        <f t="shared" si="33"/>
        <v>2991.2643650964274</v>
      </c>
      <c r="I129" s="167">
        <f t="shared" si="48"/>
        <v>7430.6198456212223</v>
      </c>
      <c r="J129" s="167">
        <f t="shared" si="32"/>
        <v>10421.88421071765</v>
      </c>
      <c r="K129" s="167">
        <f t="shared" si="34"/>
        <v>0</v>
      </c>
      <c r="L129" s="167">
        <f t="shared" si="49"/>
        <v>0</v>
      </c>
      <c r="M129" s="167">
        <f>IF(B129="","",IF(F129=0,0,IF(Simulador!$F$11='Tabla Parámetros'!$W$1,'Tabla Parámetros'!$W$28,IF(Simulador!$F$11='Tabla Parámetros'!$Y$1,'Tabla Parámetros'!$Y$12))))</f>
        <v>299</v>
      </c>
      <c r="N129" s="167">
        <f>IF(B129="","",IF(F129=0,0,IF(Simulador!$N$7='Tabla Parámetros'!$C$31,AportPat!L109,0)))</f>
        <v>0</v>
      </c>
      <c r="O129" s="167">
        <f>Simulador!O497</f>
        <v>0</v>
      </c>
      <c r="P129" s="167">
        <v>0</v>
      </c>
      <c r="Q129" s="167">
        <f t="shared" si="35"/>
        <v>10720.88421071765</v>
      </c>
      <c r="R129" s="167">
        <f t="shared" si="36"/>
        <v>796955.84820178163</v>
      </c>
      <c r="U129" s="6"/>
      <c r="V129" s="6"/>
      <c r="W129" s="6"/>
      <c r="X129" s="256">
        <f t="shared" si="31"/>
        <v>10720.884210717653</v>
      </c>
      <c r="Z129" s="201">
        <f t="shared" si="37"/>
        <v>2991.2643650964296</v>
      </c>
      <c r="AA129" s="201">
        <f t="shared" si="38"/>
        <v>7430.6198456212223</v>
      </c>
      <c r="AB129" s="202">
        <f t="shared" si="39"/>
        <v>10421.884210717652</v>
      </c>
      <c r="AC129" s="201">
        <f t="shared" si="40"/>
        <v>2991.264365096431</v>
      </c>
      <c r="AD129" s="201">
        <f t="shared" si="41"/>
        <v>7430.6198456212223</v>
      </c>
      <c r="AE129" s="201">
        <f t="shared" si="51"/>
        <v>10421.884210717653</v>
      </c>
      <c r="AF129" s="201">
        <f t="shared" si="43"/>
        <v>2991.2643650964274</v>
      </c>
      <c r="AG129" s="201">
        <f t="shared" si="44"/>
        <v>7430.6198456212223</v>
      </c>
      <c r="AH129" s="201">
        <f t="shared" si="50"/>
        <v>10421.88421071765</v>
      </c>
    </row>
    <row r="130" spans="2:34" x14ac:dyDescent="0.3">
      <c r="B130" s="179">
        <f t="shared" si="45"/>
        <v>107</v>
      </c>
      <c r="C130" s="180">
        <f t="shared" si="46"/>
        <v>30.4</v>
      </c>
      <c r="D130" s="165">
        <f>IF(B130="","",Simulador!$F$62)</f>
        <v>0.11</v>
      </c>
      <c r="E130" s="167"/>
      <c r="F130" s="167">
        <f t="shared" si="47"/>
        <v>796955.84820178163</v>
      </c>
      <c r="G130" s="166"/>
      <c r="H130" s="167">
        <f t="shared" si="33"/>
        <v>3019.0498874211007</v>
      </c>
      <c r="I130" s="167">
        <f t="shared" si="48"/>
        <v>7402.834323296549</v>
      </c>
      <c r="J130" s="167">
        <f t="shared" si="32"/>
        <v>10421.88421071765</v>
      </c>
      <c r="K130" s="167">
        <f t="shared" si="34"/>
        <v>0</v>
      </c>
      <c r="L130" s="167">
        <f t="shared" si="49"/>
        <v>0</v>
      </c>
      <c r="M130" s="167">
        <f>IF(B130="","",IF(F130=0,0,IF(Simulador!$F$11='Tabla Parámetros'!$W$1,'Tabla Parámetros'!$W$28,IF(Simulador!$F$11='Tabla Parámetros'!$Y$1,'Tabla Parámetros'!$Y$12))))</f>
        <v>299</v>
      </c>
      <c r="N130" s="167">
        <f>IF(B130="","",IF(F130=0,0,IF(Simulador!$N$7='Tabla Parámetros'!$C$31,AportPat!L110,0)))</f>
        <v>0</v>
      </c>
      <c r="O130" s="167">
        <f>Simulador!O498</f>
        <v>0</v>
      </c>
      <c r="P130" s="167">
        <v>0</v>
      </c>
      <c r="Q130" s="167">
        <f t="shared" si="35"/>
        <v>10720.88421071765</v>
      </c>
      <c r="R130" s="167">
        <f t="shared" si="36"/>
        <v>793936.79831436055</v>
      </c>
      <c r="U130" s="6"/>
      <c r="V130" s="6"/>
      <c r="W130" s="6"/>
      <c r="X130" s="256">
        <f t="shared" si="31"/>
        <v>10720.884210717653</v>
      </c>
      <c r="Z130" s="201">
        <f t="shared" si="37"/>
        <v>3019.049887421103</v>
      </c>
      <c r="AA130" s="201">
        <f t="shared" si="38"/>
        <v>7402.834323296549</v>
      </c>
      <c r="AB130" s="202">
        <f t="shared" si="39"/>
        <v>10421.884210717652</v>
      </c>
      <c r="AC130" s="201">
        <f t="shared" si="40"/>
        <v>3019.0498874211044</v>
      </c>
      <c r="AD130" s="201">
        <f t="shared" si="41"/>
        <v>7402.834323296549</v>
      </c>
      <c r="AE130" s="201">
        <f t="shared" si="51"/>
        <v>10421.884210717653</v>
      </c>
      <c r="AF130" s="201">
        <f t="shared" si="43"/>
        <v>3019.0498874211007</v>
      </c>
      <c r="AG130" s="201">
        <f t="shared" si="44"/>
        <v>7402.834323296549</v>
      </c>
      <c r="AH130" s="201">
        <f t="shared" si="50"/>
        <v>10421.88421071765</v>
      </c>
    </row>
    <row r="131" spans="2:34" x14ac:dyDescent="0.3">
      <c r="B131" s="179">
        <f t="shared" si="45"/>
        <v>108</v>
      </c>
      <c r="C131" s="180">
        <f t="shared" si="46"/>
        <v>30.4</v>
      </c>
      <c r="D131" s="165">
        <f>IF(B131="","",Simulador!$F$62)</f>
        <v>0.11</v>
      </c>
      <c r="E131" s="167"/>
      <c r="F131" s="167">
        <f t="shared" si="47"/>
        <v>793936.79831436055</v>
      </c>
      <c r="G131" s="166"/>
      <c r="H131" s="167">
        <f t="shared" si="33"/>
        <v>3047.0935063753677</v>
      </c>
      <c r="I131" s="167">
        <f t="shared" si="48"/>
        <v>7374.790704342282</v>
      </c>
      <c r="J131" s="167">
        <f t="shared" si="32"/>
        <v>10421.88421071765</v>
      </c>
      <c r="K131" s="167">
        <f t="shared" si="34"/>
        <v>0</v>
      </c>
      <c r="L131" s="167">
        <f t="shared" si="49"/>
        <v>0</v>
      </c>
      <c r="M131" s="167">
        <f>IF(B131="","",IF(F131=0,0,IF(Simulador!$F$11='Tabla Parámetros'!$W$1,'Tabla Parámetros'!$W$28,IF(Simulador!$F$11='Tabla Parámetros'!$Y$1,'Tabla Parámetros'!$Y$12))))</f>
        <v>299</v>
      </c>
      <c r="N131" s="167">
        <f>IF(B131="","",IF(F131=0,0,IF(Simulador!$N$7='Tabla Parámetros'!$C$31,AportPat!L111,0)))</f>
        <v>0</v>
      </c>
      <c r="O131" s="167">
        <f>Simulador!O499</f>
        <v>0</v>
      </c>
      <c r="P131" s="167">
        <v>0</v>
      </c>
      <c r="Q131" s="167">
        <f t="shared" si="35"/>
        <v>10720.88421071765</v>
      </c>
      <c r="R131" s="167">
        <f t="shared" si="36"/>
        <v>790889.70480798522</v>
      </c>
      <c r="U131" s="6"/>
      <c r="V131" s="6"/>
      <c r="W131" s="6"/>
      <c r="X131" s="256">
        <f t="shared" si="31"/>
        <v>10720.884210717653</v>
      </c>
      <c r="Z131" s="201">
        <f t="shared" si="37"/>
        <v>3047.0935063753695</v>
      </c>
      <c r="AA131" s="201">
        <f t="shared" si="38"/>
        <v>7374.790704342282</v>
      </c>
      <c r="AB131" s="202">
        <f t="shared" si="39"/>
        <v>10421.884210717652</v>
      </c>
      <c r="AC131" s="201">
        <f t="shared" si="40"/>
        <v>3047.0935063753714</v>
      </c>
      <c r="AD131" s="201">
        <f t="shared" si="41"/>
        <v>7374.790704342282</v>
      </c>
      <c r="AE131" s="201">
        <f t="shared" si="51"/>
        <v>10421.884210717653</v>
      </c>
      <c r="AF131" s="201">
        <f t="shared" si="43"/>
        <v>3047.0935063753677</v>
      </c>
      <c r="AG131" s="201">
        <f t="shared" si="44"/>
        <v>7374.790704342282</v>
      </c>
      <c r="AH131" s="201">
        <f t="shared" si="50"/>
        <v>10421.88421071765</v>
      </c>
    </row>
    <row r="132" spans="2:34" x14ac:dyDescent="0.3">
      <c r="B132" s="181">
        <f t="shared" si="45"/>
        <v>109</v>
      </c>
      <c r="C132" s="180">
        <f t="shared" si="46"/>
        <v>30.4</v>
      </c>
      <c r="D132" s="165">
        <f>IF(B132="","",Simulador!$F$62)</f>
        <v>0.11</v>
      </c>
      <c r="E132" s="167"/>
      <c r="F132" s="167">
        <f t="shared" si="47"/>
        <v>790889.70480798522</v>
      </c>
      <c r="G132" s="166"/>
      <c r="H132" s="167">
        <f t="shared" si="33"/>
        <v>3075.3976193901462</v>
      </c>
      <c r="I132" s="167">
        <f t="shared" si="48"/>
        <v>7346.4865913275071</v>
      </c>
      <c r="J132" s="167">
        <f t="shared" si="32"/>
        <v>10421.884210717653</v>
      </c>
      <c r="K132" s="167">
        <f t="shared" si="34"/>
        <v>0</v>
      </c>
      <c r="L132" s="167">
        <f t="shared" si="49"/>
        <v>0</v>
      </c>
      <c r="M132" s="167">
        <f>IF(B132="","",IF(F132=0,0,IF(Simulador!$F$11='Tabla Parámetros'!$W$1,'Tabla Parámetros'!$W$28,IF(Simulador!$F$11='Tabla Parámetros'!$Y$1,'Tabla Parámetros'!$Y$12))))</f>
        <v>299</v>
      </c>
      <c r="N132" s="167">
        <f>IF(B132="","",IF(F132=0,0,IF(Simulador!$N$7='Tabla Parámetros'!$C$31,AportPat!L112,0)))</f>
        <v>0</v>
      </c>
      <c r="O132" s="167">
        <f>Simulador!O500</f>
        <v>0</v>
      </c>
      <c r="P132" s="167">
        <v>0</v>
      </c>
      <c r="Q132" s="167">
        <f t="shared" si="35"/>
        <v>10720.884210717653</v>
      </c>
      <c r="R132" s="167">
        <f t="shared" si="36"/>
        <v>787814.30718859506</v>
      </c>
      <c r="U132" s="6"/>
      <c r="V132" s="6"/>
      <c r="W132" s="6"/>
      <c r="X132" s="256">
        <f t="shared" si="31"/>
        <v>10720.884210717653</v>
      </c>
      <c r="Z132" s="201">
        <f t="shared" si="37"/>
        <v>3075.3976193901462</v>
      </c>
      <c r="AA132" s="201">
        <f t="shared" si="38"/>
        <v>7346.4865913275071</v>
      </c>
      <c r="AB132" s="202">
        <f t="shared" si="39"/>
        <v>10421.884210717653</v>
      </c>
      <c r="AC132" s="201">
        <f t="shared" si="40"/>
        <v>3075.3976193901462</v>
      </c>
      <c r="AD132" s="201">
        <f t="shared" si="41"/>
        <v>7346.4865913275071</v>
      </c>
      <c r="AE132" s="201">
        <f t="shared" si="51"/>
        <v>10421.884210717653</v>
      </c>
      <c r="AF132" s="201">
        <f t="shared" si="43"/>
        <v>3075.3976193901462</v>
      </c>
      <c r="AG132" s="201">
        <f t="shared" si="44"/>
        <v>7346.4865913275071</v>
      </c>
      <c r="AH132" s="201">
        <f t="shared" si="50"/>
        <v>10421.884210717653</v>
      </c>
    </row>
    <row r="133" spans="2:34" x14ac:dyDescent="0.3">
      <c r="B133" s="179">
        <f t="shared" si="45"/>
        <v>110</v>
      </c>
      <c r="C133" s="180">
        <f t="shared" si="46"/>
        <v>30.4</v>
      </c>
      <c r="D133" s="165">
        <f>IF(B133="","",Simulador!$F$62)</f>
        <v>0.11</v>
      </c>
      <c r="E133" s="167"/>
      <c r="F133" s="167">
        <f t="shared" si="47"/>
        <v>787814.30718859506</v>
      </c>
      <c r="G133" s="166"/>
      <c r="H133" s="167">
        <f t="shared" si="33"/>
        <v>3103.9646461658131</v>
      </c>
      <c r="I133" s="167">
        <f t="shared" si="48"/>
        <v>7317.9195645518384</v>
      </c>
      <c r="J133" s="167">
        <f t="shared" si="32"/>
        <v>10421.884210717652</v>
      </c>
      <c r="K133" s="167">
        <f t="shared" si="34"/>
        <v>0</v>
      </c>
      <c r="L133" s="167">
        <f t="shared" si="49"/>
        <v>0</v>
      </c>
      <c r="M133" s="167">
        <f>IF(B133="","",IF(F133=0,0,IF(Simulador!$F$11='Tabla Parámetros'!$W$1,'Tabla Parámetros'!$W$28,IF(Simulador!$F$11='Tabla Parámetros'!$Y$1,'Tabla Parámetros'!$Y$12))))</f>
        <v>299</v>
      </c>
      <c r="N133" s="167">
        <f>IF(B133="","",IF(F133=0,0,IF(Simulador!$N$7='Tabla Parámetros'!$C$31,AportPat!L113,0)))</f>
        <v>0</v>
      </c>
      <c r="O133" s="167">
        <f>Simulador!O501</f>
        <v>0</v>
      </c>
      <c r="P133" s="167">
        <v>0</v>
      </c>
      <c r="Q133" s="167">
        <f t="shared" si="35"/>
        <v>10720.884210717652</v>
      </c>
      <c r="R133" s="167">
        <f t="shared" si="36"/>
        <v>784710.34254242922</v>
      </c>
      <c r="U133" s="6"/>
      <c r="V133" s="6"/>
      <c r="W133" s="6"/>
      <c r="X133" s="256">
        <f t="shared" si="31"/>
        <v>10720.884210717653</v>
      </c>
      <c r="Z133" s="201">
        <f t="shared" si="37"/>
        <v>3103.9646461658144</v>
      </c>
      <c r="AA133" s="201">
        <f t="shared" si="38"/>
        <v>7317.9195645518384</v>
      </c>
      <c r="AB133" s="202">
        <f t="shared" si="39"/>
        <v>10421.884210717653</v>
      </c>
      <c r="AC133" s="201">
        <f t="shared" si="40"/>
        <v>3103.9646461658149</v>
      </c>
      <c r="AD133" s="201">
        <f t="shared" si="41"/>
        <v>7317.9195645518384</v>
      </c>
      <c r="AE133" s="201">
        <f t="shared" si="51"/>
        <v>10421.884210717653</v>
      </c>
      <c r="AF133" s="201">
        <f t="shared" si="43"/>
        <v>3103.9646461658131</v>
      </c>
      <c r="AG133" s="201">
        <f t="shared" si="44"/>
        <v>7317.9195645518384</v>
      </c>
      <c r="AH133" s="201">
        <f t="shared" si="50"/>
        <v>10421.884210717652</v>
      </c>
    </row>
    <row r="134" spans="2:34" x14ac:dyDescent="0.3">
      <c r="B134" s="179">
        <f t="shared" si="45"/>
        <v>111</v>
      </c>
      <c r="C134" s="180">
        <f t="shared" si="46"/>
        <v>30.4</v>
      </c>
      <c r="D134" s="165">
        <f>IF(B134="","",Simulador!$F$62)</f>
        <v>0.11</v>
      </c>
      <c r="E134" s="167"/>
      <c r="F134" s="167">
        <f t="shared" si="47"/>
        <v>784710.34254242922</v>
      </c>
      <c r="G134" s="166"/>
      <c r="H134" s="167">
        <f t="shared" si="33"/>
        <v>3132.7970288790875</v>
      </c>
      <c r="I134" s="167">
        <f t="shared" si="48"/>
        <v>7289.087181838564</v>
      </c>
      <c r="J134" s="167">
        <f t="shared" si="32"/>
        <v>10421.884210717652</v>
      </c>
      <c r="K134" s="167">
        <f t="shared" si="34"/>
        <v>0</v>
      </c>
      <c r="L134" s="167">
        <f t="shared" si="49"/>
        <v>0</v>
      </c>
      <c r="M134" s="167">
        <f>IF(B134="","",IF(F134=0,0,IF(Simulador!$F$11='Tabla Parámetros'!$W$1,'Tabla Parámetros'!$W$28,IF(Simulador!$F$11='Tabla Parámetros'!$Y$1,'Tabla Parámetros'!$Y$12))))</f>
        <v>299</v>
      </c>
      <c r="N134" s="167">
        <f>IF(B134="","",IF(F134=0,0,IF(Simulador!$N$7='Tabla Parámetros'!$C$31,AportPat!L114,0)))</f>
        <v>0</v>
      </c>
      <c r="O134" s="167">
        <f>Simulador!O502</f>
        <v>0</v>
      </c>
      <c r="P134" s="167">
        <v>0</v>
      </c>
      <c r="Q134" s="167">
        <f t="shared" si="35"/>
        <v>10720.884210717652</v>
      </c>
      <c r="R134" s="167">
        <f t="shared" si="36"/>
        <v>781577.54551355017</v>
      </c>
      <c r="U134" s="6"/>
      <c r="V134" s="6"/>
      <c r="W134" s="6"/>
      <c r="X134" s="256">
        <f t="shared" si="31"/>
        <v>10720.884210717653</v>
      </c>
      <c r="Z134" s="201">
        <f t="shared" si="37"/>
        <v>3132.797028879088</v>
      </c>
      <c r="AA134" s="201">
        <f t="shared" si="38"/>
        <v>7289.087181838564</v>
      </c>
      <c r="AB134" s="202">
        <f t="shared" si="39"/>
        <v>10421.884210717652</v>
      </c>
      <c r="AC134" s="201">
        <f t="shared" si="40"/>
        <v>3132.7970288790893</v>
      </c>
      <c r="AD134" s="201">
        <f t="shared" si="41"/>
        <v>7289.087181838564</v>
      </c>
      <c r="AE134" s="201">
        <f t="shared" si="51"/>
        <v>10421.884210717653</v>
      </c>
      <c r="AF134" s="201">
        <f t="shared" si="43"/>
        <v>3132.7970288790875</v>
      </c>
      <c r="AG134" s="201">
        <f t="shared" si="44"/>
        <v>7289.087181838564</v>
      </c>
      <c r="AH134" s="201">
        <f t="shared" si="50"/>
        <v>10421.884210717652</v>
      </c>
    </row>
    <row r="135" spans="2:34" x14ac:dyDescent="0.3">
      <c r="B135" s="179">
        <f t="shared" si="45"/>
        <v>112</v>
      </c>
      <c r="C135" s="180">
        <f t="shared" si="46"/>
        <v>30.4</v>
      </c>
      <c r="D135" s="165">
        <f>IF(B135="","",Simulador!$F$62)</f>
        <v>0.11</v>
      </c>
      <c r="E135" s="167"/>
      <c r="F135" s="167">
        <f t="shared" si="47"/>
        <v>781577.54551355017</v>
      </c>
      <c r="G135" s="166"/>
      <c r="H135" s="167">
        <f t="shared" si="33"/>
        <v>3161.897232391786</v>
      </c>
      <c r="I135" s="167">
        <f t="shared" si="48"/>
        <v>7259.9869783258655</v>
      </c>
      <c r="J135" s="167">
        <f t="shared" si="32"/>
        <v>10421.884210717652</v>
      </c>
      <c r="K135" s="167">
        <f t="shared" si="34"/>
        <v>0</v>
      </c>
      <c r="L135" s="167">
        <f t="shared" si="49"/>
        <v>0</v>
      </c>
      <c r="M135" s="167">
        <f>IF(B135="","",IF(F135=0,0,IF(Simulador!$F$11='Tabla Parámetros'!$W$1,'Tabla Parámetros'!$W$28,IF(Simulador!$F$11='Tabla Parámetros'!$Y$1,'Tabla Parámetros'!$Y$12))))</f>
        <v>299</v>
      </c>
      <c r="N135" s="167">
        <f>IF(B135="","",IF(F135=0,0,IF(Simulador!$N$7='Tabla Parámetros'!$C$31,AportPat!L115,0)))</f>
        <v>0</v>
      </c>
      <c r="O135" s="167">
        <f>Simulador!O503</f>
        <v>0</v>
      </c>
      <c r="P135" s="167">
        <v>0</v>
      </c>
      <c r="Q135" s="167">
        <f t="shared" si="35"/>
        <v>10720.884210717652</v>
      </c>
      <c r="R135" s="167">
        <f t="shared" si="36"/>
        <v>778415.64828115841</v>
      </c>
      <c r="U135" s="6"/>
      <c r="V135" s="6"/>
      <c r="W135" s="6"/>
      <c r="X135" s="256">
        <f t="shared" si="31"/>
        <v>10720.884210717653</v>
      </c>
      <c r="Z135" s="201">
        <f t="shared" si="37"/>
        <v>3161.8972323917869</v>
      </c>
      <c r="AA135" s="201">
        <f t="shared" si="38"/>
        <v>7259.9869783258655</v>
      </c>
      <c r="AB135" s="202">
        <f t="shared" si="39"/>
        <v>10421.884210717653</v>
      </c>
      <c r="AC135" s="201">
        <f t="shared" si="40"/>
        <v>3161.8972323917878</v>
      </c>
      <c r="AD135" s="201">
        <f t="shared" si="41"/>
        <v>7259.9869783258655</v>
      </c>
      <c r="AE135" s="201">
        <f t="shared" si="51"/>
        <v>10421.884210717653</v>
      </c>
      <c r="AF135" s="201">
        <f t="shared" si="43"/>
        <v>3161.897232391786</v>
      </c>
      <c r="AG135" s="201">
        <f t="shared" si="44"/>
        <v>7259.9869783258655</v>
      </c>
      <c r="AH135" s="201">
        <f t="shared" si="50"/>
        <v>10421.884210717652</v>
      </c>
    </row>
    <row r="136" spans="2:34" x14ac:dyDescent="0.3">
      <c r="B136" s="181">
        <f t="shared" si="45"/>
        <v>113</v>
      </c>
      <c r="C136" s="180">
        <f t="shared" si="46"/>
        <v>30.4</v>
      </c>
      <c r="D136" s="165">
        <f>IF(B136="","",Simulador!$F$62)</f>
        <v>0.11</v>
      </c>
      <c r="E136" s="167"/>
      <c r="F136" s="167">
        <f t="shared" si="47"/>
        <v>778415.64828115841</v>
      </c>
      <c r="G136" s="166"/>
      <c r="H136" s="167">
        <f t="shared" si="33"/>
        <v>3191.2677444615583</v>
      </c>
      <c r="I136" s="167">
        <f t="shared" si="48"/>
        <v>7230.6164662560932</v>
      </c>
      <c r="J136" s="167">
        <f t="shared" si="32"/>
        <v>10421.884210717652</v>
      </c>
      <c r="K136" s="167">
        <f t="shared" si="34"/>
        <v>0</v>
      </c>
      <c r="L136" s="167">
        <f t="shared" si="49"/>
        <v>0</v>
      </c>
      <c r="M136" s="167">
        <f>IF(B136="","",IF(F136=0,0,IF(Simulador!$F$11='Tabla Parámetros'!$W$1,'Tabla Parámetros'!$W$28,IF(Simulador!$F$11='Tabla Parámetros'!$Y$1,'Tabla Parámetros'!$Y$12))))</f>
        <v>299</v>
      </c>
      <c r="N136" s="167">
        <f>IF(B136="","",IF(F136=0,0,IF(Simulador!$N$7='Tabla Parámetros'!$C$31,AportPat!L116,0)))</f>
        <v>0</v>
      </c>
      <c r="O136" s="167">
        <f>Simulador!O504</f>
        <v>0</v>
      </c>
      <c r="P136" s="167">
        <v>0</v>
      </c>
      <c r="Q136" s="167">
        <f t="shared" si="35"/>
        <v>10720.884210717652</v>
      </c>
      <c r="R136" s="167">
        <f t="shared" si="36"/>
        <v>775224.38053669687</v>
      </c>
      <c r="U136" s="6"/>
      <c r="V136" s="6"/>
      <c r="W136" s="6"/>
      <c r="X136" s="256">
        <f t="shared" si="31"/>
        <v>10720.884210717653</v>
      </c>
      <c r="Z136" s="201">
        <f t="shared" si="37"/>
        <v>3191.2677444615592</v>
      </c>
      <c r="AA136" s="201">
        <f t="shared" si="38"/>
        <v>7230.6164662560932</v>
      </c>
      <c r="AB136" s="202">
        <f t="shared" si="39"/>
        <v>10421.884210717653</v>
      </c>
      <c r="AC136" s="201">
        <f t="shared" si="40"/>
        <v>3191.2677444615601</v>
      </c>
      <c r="AD136" s="201">
        <f t="shared" si="41"/>
        <v>7230.6164662560932</v>
      </c>
      <c r="AE136" s="201">
        <f t="shared" si="51"/>
        <v>10421.884210717653</v>
      </c>
      <c r="AF136" s="201">
        <f t="shared" si="43"/>
        <v>3191.2677444615583</v>
      </c>
      <c r="AG136" s="201">
        <f t="shared" si="44"/>
        <v>7230.6164662560932</v>
      </c>
      <c r="AH136" s="201">
        <f t="shared" si="50"/>
        <v>10421.884210717652</v>
      </c>
    </row>
    <row r="137" spans="2:34" x14ac:dyDescent="0.3">
      <c r="B137" s="179">
        <f t="shared" si="45"/>
        <v>114</v>
      </c>
      <c r="C137" s="180">
        <f t="shared" si="46"/>
        <v>30.4</v>
      </c>
      <c r="D137" s="165">
        <f>IF(B137="","",Simulador!$F$62)</f>
        <v>0.11</v>
      </c>
      <c r="E137" s="167"/>
      <c r="F137" s="167">
        <f t="shared" si="47"/>
        <v>775224.38053669687</v>
      </c>
      <c r="G137" s="166"/>
      <c r="H137" s="167">
        <f t="shared" si="33"/>
        <v>3220.9110759545547</v>
      </c>
      <c r="I137" s="167">
        <f t="shared" si="48"/>
        <v>7200.973134763095</v>
      </c>
      <c r="J137" s="167">
        <f t="shared" si="32"/>
        <v>10421.88421071765</v>
      </c>
      <c r="K137" s="167">
        <f t="shared" si="34"/>
        <v>0</v>
      </c>
      <c r="L137" s="167">
        <f t="shared" si="49"/>
        <v>0</v>
      </c>
      <c r="M137" s="167">
        <f>IF(B137="","",IF(F137=0,0,IF(Simulador!$F$11='Tabla Parámetros'!$W$1,'Tabla Parámetros'!$W$28,IF(Simulador!$F$11='Tabla Parámetros'!$Y$1,'Tabla Parámetros'!$Y$12))))</f>
        <v>299</v>
      </c>
      <c r="N137" s="167">
        <f>IF(B137="","",IF(F137=0,0,IF(Simulador!$N$7='Tabla Parámetros'!$C$31,AportPat!L117,0)))</f>
        <v>0</v>
      </c>
      <c r="O137" s="167">
        <f>Simulador!O505</f>
        <v>0</v>
      </c>
      <c r="P137" s="167">
        <v>0</v>
      </c>
      <c r="Q137" s="167">
        <f t="shared" si="35"/>
        <v>10720.88421071765</v>
      </c>
      <c r="R137" s="167">
        <f t="shared" si="36"/>
        <v>772003.46946074232</v>
      </c>
      <c r="U137" s="6"/>
      <c r="V137" s="6"/>
      <c r="W137" s="6"/>
      <c r="X137" s="256">
        <f t="shared" si="31"/>
        <v>10720.884210717653</v>
      </c>
      <c r="Z137" s="201">
        <f t="shared" si="37"/>
        <v>3220.9110759545579</v>
      </c>
      <c r="AA137" s="201">
        <f t="shared" si="38"/>
        <v>7200.973134763095</v>
      </c>
      <c r="AB137" s="202">
        <f t="shared" si="39"/>
        <v>10421.884210717653</v>
      </c>
      <c r="AC137" s="201">
        <f t="shared" si="40"/>
        <v>3220.9110759545583</v>
      </c>
      <c r="AD137" s="201">
        <f t="shared" si="41"/>
        <v>7200.973134763095</v>
      </c>
      <c r="AE137" s="201">
        <f t="shared" si="51"/>
        <v>10421.884210717653</v>
      </c>
      <c r="AF137" s="201">
        <f t="shared" si="43"/>
        <v>3220.9110759545547</v>
      </c>
      <c r="AG137" s="201">
        <f t="shared" si="44"/>
        <v>7200.973134763095</v>
      </c>
      <c r="AH137" s="201">
        <f t="shared" si="50"/>
        <v>10421.88421071765</v>
      </c>
    </row>
    <row r="138" spans="2:34" x14ac:dyDescent="0.3">
      <c r="B138" s="179">
        <f t="shared" si="45"/>
        <v>115</v>
      </c>
      <c r="C138" s="180">
        <f t="shared" si="46"/>
        <v>30.4</v>
      </c>
      <c r="D138" s="165">
        <f>IF(B138="","",Simulador!$F$62)</f>
        <v>0.11</v>
      </c>
      <c r="E138" s="167"/>
      <c r="F138" s="167">
        <f t="shared" si="47"/>
        <v>772003.46946074232</v>
      </c>
      <c r="G138" s="166"/>
      <c r="H138" s="167">
        <f t="shared" si="33"/>
        <v>3250.8297610600885</v>
      </c>
      <c r="I138" s="167">
        <f t="shared" si="48"/>
        <v>7171.0544496575612</v>
      </c>
      <c r="J138" s="167">
        <f t="shared" si="32"/>
        <v>10421.88421071765</v>
      </c>
      <c r="K138" s="167">
        <f t="shared" si="34"/>
        <v>0</v>
      </c>
      <c r="L138" s="167">
        <f t="shared" si="49"/>
        <v>0</v>
      </c>
      <c r="M138" s="167">
        <f>IF(B138="","",IF(F138=0,0,IF(Simulador!$F$11='Tabla Parámetros'!$W$1,'Tabla Parámetros'!$W$28,IF(Simulador!$F$11='Tabla Parámetros'!$Y$1,'Tabla Parámetros'!$Y$12))))</f>
        <v>299</v>
      </c>
      <c r="N138" s="167">
        <f>IF(B138="","",IF(F138=0,0,IF(Simulador!$N$7='Tabla Parámetros'!$C$31,AportPat!L118,0)))</f>
        <v>0</v>
      </c>
      <c r="O138" s="167">
        <f>Simulador!O506</f>
        <v>0</v>
      </c>
      <c r="P138" s="167">
        <v>0</v>
      </c>
      <c r="Q138" s="167">
        <f t="shared" si="35"/>
        <v>10720.88421071765</v>
      </c>
      <c r="R138" s="167">
        <f t="shared" si="36"/>
        <v>768752.63969968224</v>
      </c>
      <c r="U138" s="6"/>
      <c r="V138" s="6"/>
      <c r="W138" s="6"/>
      <c r="X138" s="256">
        <f t="shared" si="31"/>
        <v>10720.884210717653</v>
      </c>
      <c r="Z138" s="201">
        <f t="shared" si="37"/>
        <v>3250.8297610600912</v>
      </c>
      <c r="AA138" s="201">
        <f t="shared" si="38"/>
        <v>7171.0544496575612</v>
      </c>
      <c r="AB138" s="202">
        <f t="shared" si="39"/>
        <v>10421.884210717653</v>
      </c>
      <c r="AC138" s="201">
        <f t="shared" si="40"/>
        <v>3250.8297610600921</v>
      </c>
      <c r="AD138" s="201">
        <f t="shared" si="41"/>
        <v>7171.0544496575612</v>
      </c>
      <c r="AE138" s="201">
        <f t="shared" si="51"/>
        <v>10421.884210717653</v>
      </c>
      <c r="AF138" s="201">
        <f t="shared" si="43"/>
        <v>3250.8297610600885</v>
      </c>
      <c r="AG138" s="201">
        <f t="shared" si="44"/>
        <v>7171.0544496575612</v>
      </c>
      <c r="AH138" s="201">
        <f t="shared" si="50"/>
        <v>10421.88421071765</v>
      </c>
    </row>
    <row r="139" spans="2:34" x14ac:dyDescent="0.3">
      <c r="B139" s="179">
        <f t="shared" si="45"/>
        <v>116</v>
      </c>
      <c r="C139" s="180">
        <f t="shared" si="46"/>
        <v>30.4</v>
      </c>
      <c r="D139" s="165">
        <f>IF(B139="","",Simulador!$F$62)</f>
        <v>0.11</v>
      </c>
      <c r="E139" s="167"/>
      <c r="F139" s="167">
        <f t="shared" si="47"/>
        <v>768752.63969968224</v>
      </c>
      <c r="G139" s="166"/>
      <c r="H139" s="167">
        <f t="shared" si="33"/>
        <v>3281.0263575072704</v>
      </c>
      <c r="I139" s="167">
        <f t="shared" si="48"/>
        <v>7140.8578532103811</v>
      </c>
      <c r="J139" s="167">
        <f t="shared" si="32"/>
        <v>10421.884210717652</v>
      </c>
      <c r="K139" s="167">
        <f t="shared" si="34"/>
        <v>0</v>
      </c>
      <c r="L139" s="167">
        <f t="shared" si="49"/>
        <v>0</v>
      </c>
      <c r="M139" s="167">
        <f>IF(B139="","",IF(F139=0,0,IF(Simulador!$F$11='Tabla Parámetros'!$W$1,'Tabla Parámetros'!$W$28,IF(Simulador!$F$11='Tabla Parámetros'!$Y$1,'Tabla Parámetros'!$Y$12))))</f>
        <v>299</v>
      </c>
      <c r="N139" s="167">
        <f>IF(B139="","",IF(F139=0,0,IF(Simulador!$N$7='Tabla Parámetros'!$C$31,AportPat!L119,0)))</f>
        <v>0</v>
      </c>
      <c r="O139" s="167">
        <f>Simulador!O507</f>
        <v>0</v>
      </c>
      <c r="P139" s="167">
        <v>0</v>
      </c>
      <c r="Q139" s="167">
        <f t="shared" si="35"/>
        <v>10720.884210717652</v>
      </c>
      <c r="R139" s="167">
        <f t="shared" si="36"/>
        <v>765471.61334217503</v>
      </c>
      <c r="U139" s="6"/>
      <c r="V139" s="6"/>
      <c r="W139" s="6"/>
      <c r="X139" s="256">
        <f t="shared" si="31"/>
        <v>10720.884210717653</v>
      </c>
      <c r="Z139" s="201">
        <f t="shared" si="37"/>
        <v>3281.0263575072713</v>
      </c>
      <c r="AA139" s="201">
        <f t="shared" si="38"/>
        <v>7140.8578532103811</v>
      </c>
      <c r="AB139" s="202">
        <f t="shared" si="39"/>
        <v>10421.884210717653</v>
      </c>
      <c r="AC139" s="201">
        <f t="shared" si="40"/>
        <v>3281.0263575072722</v>
      </c>
      <c r="AD139" s="201">
        <f t="shared" si="41"/>
        <v>7140.8578532103811</v>
      </c>
      <c r="AE139" s="201">
        <f t="shared" si="51"/>
        <v>10421.884210717653</v>
      </c>
      <c r="AF139" s="201">
        <f t="shared" si="43"/>
        <v>3281.0263575072704</v>
      </c>
      <c r="AG139" s="201">
        <f t="shared" si="44"/>
        <v>7140.8578532103811</v>
      </c>
      <c r="AH139" s="201">
        <f t="shared" si="50"/>
        <v>10421.884210717652</v>
      </c>
    </row>
    <row r="140" spans="2:34" x14ac:dyDescent="0.3">
      <c r="B140" s="181">
        <f t="shared" si="45"/>
        <v>117</v>
      </c>
      <c r="C140" s="180">
        <f t="shared" si="46"/>
        <v>30.4</v>
      </c>
      <c r="D140" s="165">
        <f>IF(B140="","",Simulador!$F$62)</f>
        <v>0.11</v>
      </c>
      <c r="E140" s="167"/>
      <c r="F140" s="167">
        <f t="shared" si="47"/>
        <v>765471.61334217503</v>
      </c>
      <c r="G140" s="166"/>
      <c r="H140" s="167">
        <f t="shared" si="33"/>
        <v>3311.5034467836704</v>
      </c>
      <c r="I140" s="167">
        <f t="shared" si="48"/>
        <v>7110.3807639339811</v>
      </c>
      <c r="J140" s="167">
        <f t="shared" si="32"/>
        <v>10421.884210717652</v>
      </c>
      <c r="K140" s="167">
        <f t="shared" si="34"/>
        <v>0</v>
      </c>
      <c r="L140" s="167">
        <f t="shared" si="49"/>
        <v>0</v>
      </c>
      <c r="M140" s="167">
        <f>IF(B140="","",IF(F140=0,0,IF(Simulador!$F$11='Tabla Parámetros'!$W$1,'Tabla Parámetros'!$W$28,IF(Simulador!$F$11='Tabla Parámetros'!$Y$1,'Tabla Parámetros'!$Y$12))))</f>
        <v>299</v>
      </c>
      <c r="N140" s="167">
        <f>IF(B140="","",IF(F140=0,0,IF(Simulador!$N$7='Tabla Parámetros'!$C$31,AportPat!L120,0)))</f>
        <v>0</v>
      </c>
      <c r="O140" s="167">
        <f>Simulador!O508</f>
        <v>0</v>
      </c>
      <c r="P140" s="167">
        <v>0</v>
      </c>
      <c r="Q140" s="167">
        <f t="shared" si="35"/>
        <v>10720.884210717652</v>
      </c>
      <c r="R140" s="167">
        <f t="shared" si="36"/>
        <v>762160.10989539139</v>
      </c>
      <c r="U140" s="6"/>
      <c r="V140" s="6"/>
      <c r="W140" s="6"/>
      <c r="X140" s="256">
        <f t="shared" si="31"/>
        <v>10720.884210717653</v>
      </c>
      <c r="Z140" s="201">
        <f t="shared" si="37"/>
        <v>3311.5034467836722</v>
      </c>
      <c r="AA140" s="201">
        <f t="shared" si="38"/>
        <v>7110.3807639339811</v>
      </c>
      <c r="AB140" s="202">
        <f t="shared" si="39"/>
        <v>10421.884210717653</v>
      </c>
      <c r="AC140" s="201">
        <f t="shared" si="40"/>
        <v>3311.5034467836722</v>
      </c>
      <c r="AD140" s="201">
        <f t="shared" si="41"/>
        <v>7110.3807639339811</v>
      </c>
      <c r="AE140" s="201">
        <f t="shared" si="51"/>
        <v>10421.884210717653</v>
      </c>
      <c r="AF140" s="201">
        <f t="shared" si="43"/>
        <v>3311.5034467836704</v>
      </c>
      <c r="AG140" s="201">
        <f t="shared" si="44"/>
        <v>7110.3807639339811</v>
      </c>
      <c r="AH140" s="201">
        <f t="shared" si="50"/>
        <v>10421.884210717652</v>
      </c>
    </row>
    <row r="141" spans="2:34" x14ac:dyDescent="0.3">
      <c r="B141" s="179">
        <f t="shared" si="45"/>
        <v>118</v>
      </c>
      <c r="C141" s="180">
        <f t="shared" si="46"/>
        <v>30.4</v>
      </c>
      <c r="D141" s="165">
        <f>IF(B141="","",Simulador!$F$62)</f>
        <v>0.11</v>
      </c>
      <c r="E141" s="167"/>
      <c r="F141" s="167">
        <f t="shared" si="47"/>
        <v>762160.10989539139</v>
      </c>
      <c r="G141" s="166"/>
      <c r="H141" s="167">
        <f t="shared" si="33"/>
        <v>3342.263634356018</v>
      </c>
      <c r="I141" s="167">
        <f t="shared" si="48"/>
        <v>7079.6205763616354</v>
      </c>
      <c r="J141" s="167">
        <f t="shared" si="32"/>
        <v>10421.884210717653</v>
      </c>
      <c r="K141" s="167">
        <f t="shared" si="34"/>
        <v>0</v>
      </c>
      <c r="L141" s="167">
        <f t="shared" si="49"/>
        <v>0</v>
      </c>
      <c r="M141" s="167">
        <f>IF(B141="","",IF(F141=0,0,IF(Simulador!$F$11='Tabla Parámetros'!$W$1,'Tabla Parámetros'!$W$28,IF(Simulador!$F$11='Tabla Parámetros'!$Y$1,'Tabla Parámetros'!$Y$12))))</f>
        <v>299</v>
      </c>
      <c r="N141" s="167">
        <f>IF(B141="","",IF(F141=0,0,IF(Simulador!$N$7='Tabla Parámetros'!$C$31,AportPat!L121,0)))</f>
        <v>0</v>
      </c>
      <c r="O141" s="167">
        <f>Simulador!O509</f>
        <v>0</v>
      </c>
      <c r="P141" s="167">
        <v>0</v>
      </c>
      <c r="Q141" s="167">
        <f t="shared" si="35"/>
        <v>10720.884210717653</v>
      </c>
      <c r="R141" s="167">
        <f t="shared" si="36"/>
        <v>758817.84626103542</v>
      </c>
      <c r="U141" s="6"/>
      <c r="V141" s="6"/>
      <c r="W141" s="6"/>
      <c r="X141" s="256">
        <f t="shared" si="31"/>
        <v>10720.884210717653</v>
      </c>
      <c r="Z141" s="201">
        <f t="shared" si="37"/>
        <v>3342.2636343560189</v>
      </c>
      <c r="AA141" s="201">
        <f t="shared" si="38"/>
        <v>7079.6205763616354</v>
      </c>
      <c r="AB141" s="202">
        <f t="shared" si="39"/>
        <v>10421.884210717653</v>
      </c>
      <c r="AC141" s="201">
        <f t="shared" si="40"/>
        <v>3342.263634356018</v>
      </c>
      <c r="AD141" s="201">
        <f t="shared" si="41"/>
        <v>7079.6205763616354</v>
      </c>
      <c r="AE141" s="201">
        <f t="shared" si="51"/>
        <v>10421.884210717653</v>
      </c>
      <c r="AF141" s="201">
        <f t="shared" si="43"/>
        <v>3342.263634356018</v>
      </c>
      <c r="AG141" s="201">
        <f t="shared" si="44"/>
        <v>7079.6205763616354</v>
      </c>
      <c r="AH141" s="201">
        <f t="shared" si="50"/>
        <v>10421.884210717653</v>
      </c>
    </row>
    <row r="142" spans="2:34" x14ac:dyDescent="0.3">
      <c r="B142" s="179">
        <f t="shared" si="45"/>
        <v>119</v>
      </c>
      <c r="C142" s="180">
        <f t="shared" si="46"/>
        <v>30.4</v>
      </c>
      <c r="D142" s="165">
        <f>IF(B142="","",Simulador!$F$62)</f>
        <v>0.11</v>
      </c>
      <c r="E142" s="167"/>
      <c r="F142" s="167">
        <f t="shared" si="47"/>
        <v>758817.84626103542</v>
      </c>
      <c r="G142" s="166"/>
      <c r="H142" s="167">
        <f t="shared" si="33"/>
        <v>3373.3095498929251</v>
      </c>
      <c r="I142" s="167">
        <f t="shared" si="48"/>
        <v>7048.5746608247282</v>
      </c>
      <c r="J142" s="167">
        <f t="shared" si="32"/>
        <v>10421.884210717653</v>
      </c>
      <c r="K142" s="167">
        <f t="shared" si="34"/>
        <v>0</v>
      </c>
      <c r="L142" s="167">
        <f t="shared" si="49"/>
        <v>0</v>
      </c>
      <c r="M142" s="167">
        <f>IF(B142="","",IF(F142=0,0,IF(Simulador!$F$11='Tabla Parámetros'!$W$1,'Tabla Parámetros'!$W$28,IF(Simulador!$F$11='Tabla Parámetros'!$Y$1,'Tabla Parámetros'!$Y$12))))</f>
        <v>299</v>
      </c>
      <c r="N142" s="167">
        <f>IF(B142="","",IF(F142=0,0,IF(Simulador!$N$7='Tabla Parámetros'!$C$31,AportPat!L122,0)))</f>
        <v>0</v>
      </c>
      <c r="O142" s="167">
        <f>Simulador!O510</f>
        <v>0</v>
      </c>
      <c r="P142" s="167">
        <v>0</v>
      </c>
      <c r="Q142" s="167">
        <f t="shared" si="35"/>
        <v>10720.884210717653</v>
      </c>
      <c r="R142" s="167">
        <f t="shared" si="36"/>
        <v>755444.53671114251</v>
      </c>
      <c r="U142" s="6"/>
      <c r="V142" s="6"/>
      <c r="W142" s="6"/>
      <c r="X142" s="256">
        <f t="shared" si="31"/>
        <v>10720.884210717653</v>
      </c>
      <c r="Z142" s="201">
        <f t="shared" si="37"/>
        <v>3373.3095498929256</v>
      </c>
      <c r="AA142" s="201">
        <f t="shared" si="38"/>
        <v>7048.5746608247282</v>
      </c>
      <c r="AB142" s="202">
        <f t="shared" si="39"/>
        <v>10421.884210717653</v>
      </c>
      <c r="AC142" s="201">
        <f t="shared" si="40"/>
        <v>3373.3095498929251</v>
      </c>
      <c r="AD142" s="201">
        <f t="shared" si="41"/>
        <v>7048.5746608247282</v>
      </c>
      <c r="AE142" s="201">
        <f t="shared" si="51"/>
        <v>10421.884210717653</v>
      </c>
      <c r="AF142" s="201">
        <f t="shared" si="43"/>
        <v>3373.3095498929251</v>
      </c>
      <c r="AG142" s="201">
        <f t="shared" si="44"/>
        <v>7048.5746608247282</v>
      </c>
      <c r="AH142" s="201">
        <f t="shared" si="50"/>
        <v>10421.884210717653</v>
      </c>
    </row>
    <row r="143" spans="2:34" x14ac:dyDescent="0.3">
      <c r="B143" s="179">
        <f t="shared" si="45"/>
        <v>120</v>
      </c>
      <c r="C143" s="180">
        <f t="shared" si="46"/>
        <v>30.4</v>
      </c>
      <c r="D143" s="165">
        <f>IF(B143="","",Simulador!$F$62)</f>
        <v>0.11</v>
      </c>
      <c r="E143" s="167"/>
      <c r="F143" s="167">
        <f t="shared" si="47"/>
        <v>755444.53671114251</v>
      </c>
      <c r="G143" s="166"/>
      <c r="H143" s="167">
        <f t="shared" si="33"/>
        <v>3404.6438474897077</v>
      </c>
      <c r="I143" s="167">
        <f t="shared" si="48"/>
        <v>7017.2403632279456</v>
      </c>
      <c r="J143" s="167">
        <f t="shared" si="32"/>
        <v>10421.884210717653</v>
      </c>
      <c r="K143" s="167">
        <f t="shared" si="34"/>
        <v>0</v>
      </c>
      <c r="L143" s="167">
        <f t="shared" si="49"/>
        <v>0</v>
      </c>
      <c r="M143" s="167">
        <f>IF(B143="","",IF(F143=0,0,IF(Simulador!$F$11='Tabla Parámetros'!$W$1,'Tabla Parámetros'!$W$28,IF(Simulador!$F$11='Tabla Parámetros'!$Y$1,'Tabla Parámetros'!$Y$12))))</f>
        <v>299</v>
      </c>
      <c r="N143" s="167">
        <f>IF(B143="","",IF(F143=0,0,IF(Simulador!$N$7='Tabla Parámetros'!$C$31,AportPat!L123,0)))</f>
        <v>0</v>
      </c>
      <c r="O143" s="167">
        <f>Simulador!O511</f>
        <v>0</v>
      </c>
      <c r="P143" s="167">
        <v>0</v>
      </c>
      <c r="Q143" s="167">
        <f t="shared" si="35"/>
        <v>10720.884210717653</v>
      </c>
      <c r="R143" s="167">
        <f t="shared" si="36"/>
        <v>752039.89286365279</v>
      </c>
      <c r="U143" s="6"/>
      <c r="V143" s="6"/>
      <c r="W143" s="6"/>
      <c r="X143" s="256">
        <f t="shared" si="31"/>
        <v>10720.884210717653</v>
      </c>
      <c r="Z143" s="201">
        <f t="shared" si="37"/>
        <v>3404.6438474897091</v>
      </c>
      <c r="AA143" s="201">
        <f t="shared" si="38"/>
        <v>7017.2403632279456</v>
      </c>
      <c r="AB143" s="202">
        <f t="shared" si="39"/>
        <v>10421.884210717655</v>
      </c>
      <c r="AC143" s="201">
        <f t="shared" si="40"/>
        <v>3404.6438474897077</v>
      </c>
      <c r="AD143" s="201">
        <f t="shared" si="41"/>
        <v>7017.2403632279456</v>
      </c>
      <c r="AE143" s="201">
        <f t="shared" si="51"/>
        <v>10421.884210717653</v>
      </c>
      <c r="AF143" s="201">
        <f t="shared" si="43"/>
        <v>3404.6438474897077</v>
      </c>
      <c r="AG143" s="201">
        <f t="shared" si="44"/>
        <v>7017.2403632279456</v>
      </c>
      <c r="AH143" s="201">
        <f t="shared" si="50"/>
        <v>10421.884210717653</v>
      </c>
    </row>
    <row r="144" spans="2:34" x14ac:dyDescent="0.3">
      <c r="B144" s="181">
        <f t="shared" si="45"/>
        <v>121</v>
      </c>
      <c r="C144" s="180">
        <f t="shared" si="46"/>
        <v>30.4</v>
      </c>
      <c r="D144" s="165">
        <f>IF(B144="","",Simulador!$F$62)</f>
        <v>0.11</v>
      </c>
      <c r="E144" s="167"/>
      <c r="F144" s="167">
        <f t="shared" si="47"/>
        <v>752039.89286365279</v>
      </c>
      <c r="G144" s="166"/>
      <c r="H144" s="167">
        <f t="shared" si="33"/>
        <v>3436.2692058952789</v>
      </c>
      <c r="I144" s="167">
        <f t="shared" si="48"/>
        <v>6985.6150048223744</v>
      </c>
      <c r="J144" s="167">
        <f t="shared" si="32"/>
        <v>10421.884210717653</v>
      </c>
      <c r="K144" s="167">
        <f t="shared" si="34"/>
        <v>0</v>
      </c>
      <c r="L144" s="167">
        <f t="shared" si="49"/>
        <v>0</v>
      </c>
      <c r="M144" s="167">
        <f>IF(B144="","",IF(F144=0,0,IF(Simulador!$F$11='Tabla Parámetros'!$W$1,'Tabla Parámetros'!$W$28,IF(Simulador!$F$11='Tabla Parámetros'!$Y$1,'Tabla Parámetros'!$Y$12))))</f>
        <v>299</v>
      </c>
      <c r="N144" s="167">
        <f>IF(B144="","",IF(F144=0,0,IF(Simulador!$N$7='Tabla Parámetros'!$C$31,AportPat!L124,0)))</f>
        <v>0</v>
      </c>
      <c r="O144" s="167">
        <f>Simulador!O512</f>
        <v>0</v>
      </c>
      <c r="P144" s="167">
        <v>0</v>
      </c>
      <c r="Q144" s="167">
        <f t="shared" si="35"/>
        <v>10720.884210717653</v>
      </c>
      <c r="R144" s="167">
        <f t="shared" si="36"/>
        <v>748603.62365775753</v>
      </c>
      <c r="U144" s="6"/>
      <c r="V144" s="6"/>
      <c r="W144" s="6"/>
      <c r="X144" s="256">
        <f t="shared" si="31"/>
        <v>10720.884210717653</v>
      </c>
      <c r="Z144" s="201">
        <f t="shared" si="37"/>
        <v>3436.2692058952798</v>
      </c>
      <c r="AA144" s="201">
        <f t="shared" si="38"/>
        <v>6985.6150048223744</v>
      </c>
      <c r="AB144" s="202">
        <f t="shared" si="39"/>
        <v>10421.884210717653</v>
      </c>
      <c r="AC144" s="201">
        <f t="shared" si="40"/>
        <v>3436.2692058952789</v>
      </c>
      <c r="AD144" s="201">
        <f t="shared" si="41"/>
        <v>6985.6150048223744</v>
      </c>
      <c r="AE144" s="201">
        <f t="shared" si="51"/>
        <v>10421.884210717653</v>
      </c>
      <c r="AF144" s="201">
        <f t="shared" si="43"/>
        <v>3436.2692058952789</v>
      </c>
      <c r="AG144" s="201">
        <f t="shared" si="44"/>
        <v>6985.6150048223744</v>
      </c>
      <c r="AH144" s="201">
        <f t="shared" si="50"/>
        <v>10421.884210717653</v>
      </c>
    </row>
    <row r="145" spans="2:34" x14ac:dyDescent="0.3">
      <c r="B145" s="179">
        <f t="shared" si="45"/>
        <v>122</v>
      </c>
      <c r="C145" s="180">
        <f t="shared" si="46"/>
        <v>30.4</v>
      </c>
      <c r="D145" s="165">
        <f>IF(B145="","",Simulador!$F$62)</f>
        <v>0.11</v>
      </c>
      <c r="E145" s="167"/>
      <c r="F145" s="167">
        <f t="shared" si="47"/>
        <v>748603.62365775753</v>
      </c>
      <c r="G145" s="166"/>
      <c r="H145" s="167">
        <f t="shared" si="33"/>
        <v>3468.1883287411501</v>
      </c>
      <c r="I145" s="167">
        <f t="shared" si="48"/>
        <v>6953.6958819765032</v>
      </c>
      <c r="J145" s="167">
        <f t="shared" si="32"/>
        <v>10421.884210717653</v>
      </c>
      <c r="K145" s="167">
        <f t="shared" si="34"/>
        <v>0</v>
      </c>
      <c r="L145" s="167">
        <f t="shared" si="49"/>
        <v>0</v>
      </c>
      <c r="M145" s="167">
        <f>IF(B145="","",IF(F145=0,0,IF(Simulador!$F$11='Tabla Parámetros'!$W$1,'Tabla Parámetros'!$W$28,IF(Simulador!$F$11='Tabla Parámetros'!$Y$1,'Tabla Parámetros'!$Y$12))))</f>
        <v>299</v>
      </c>
      <c r="N145" s="167">
        <f>IF(B145="","",IF(F145=0,0,IF(Simulador!$N$7='Tabla Parámetros'!$C$31,AportPat!L125,0)))</f>
        <v>0</v>
      </c>
      <c r="O145" s="167">
        <f>Simulador!O513</f>
        <v>0</v>
      </c>
      <c r="P145" s="167">
        <v>0</v>
      </c>
      <c r="Q145" s="167">
        <f t="shared" si="35"/>
        <v>10720.884210717653</v>
      </c>
      <c r="R145" s="167">
        <f t="shared" si="36"/>
        <v>745135.43532901641</v>
      </c>
      <c r="U145" s="6"/>
      <c r="V145" s="6"/>
      <c r="W145" s="6"/>
      <c r="X145" s="256">
        <f t="shared" si="31"/>
        <v>10720.884210717653</v>
      </c>
      <c r="Z145" s="201">
        <f t="shared" si="37"/>
        <v>3468.1883287411515</v>
      </c>
      <c r="AA145" s="201">
        <f t="shared" si="38"/>
        <v>6953.6958819765032</v>
      </c>
      <c r="AB145" s="202">
        <f t="shared" si="39"/>
        <v>10421.884210717655</v>
      </c>
      <c r="AC145" s="201">
        <f t="shared" si="40"/>
        <v>3468.1883287411501</v>
      </c>
      <c r="AD145" s="201">
        <f t="shared" si="41"/>
        <v>6953.6958819765032</v>
      </c>
      <c r="AE145" s="201">
        <f t="shared" si="51"/>
        <v>10421.884210717653</v>
      </c>
      <c r="AF145" s="201">
        <f t="shared" si="43"/>
        <v>3468.1883287411501</v>
      </c>
      <c r="AG145" s="201">
        <f t="shared" si="44"/>
        <v>6953.6958819765032</v>
      </c>
      <c r="AH145" s="201">
        <f t="shared" si="50"/>
        <v>10421.884210717653</v>
      </c>
    </row>
    <row r="146" spans="2:34" x14ac:dyDescent="0.3">
      <c r="B146" s="179">
        <f t="shared" si="45"/>
        <v>123</v>
      </c>
      <c r="C146" s="180">
        <f t="shared" si="46"/>
        <v>30.4</v>
      </c>
      <c r="D146" s="165">
        <f>IF(B146="","",Simulador!$F$62)</f>
        <v>0.11</v>
      </c>
      <c r="E146" s="167"/>
      <c r="F146" s="167">
        <f t="shared" si="47"/>
        <v>745135.43532901641</v>
      </c>
      <c r="G146" s="166"/>
      <c r="H146" s="167">
        <f t="shared" si="33"/>
        <v>3500.4039447725681</v>
      </c>
      <c r="I146" s="167">
        <f t="shared" si="48"/>
        <v>6921.4802659450852</v>
      </c>
      <c r="J146" s="167">
        <f t="shared" si="32"/>
        <v>10421.884210717653</v>
      </c>
      <c r="K146" s="167">
        <f t="shared" si="34"/>
        <v>0</v>
      </c>
      <c r="L146" s="167">
        <f t="shared" si="49"/>
        <v>0</v>
      </c>
      <c r="M146" s="167">
        <f>IF(B146="","",IF(F146=0,0,IF(Simulador!$F$11='Tabla Parámetros'!$W$1,'Tabla Parámetros'!$W$28,IF(Simulador!$F$11='Tabla Parámetros'!$Y$1,'Tabla Parámetros'!$Y$12))))</f>
        <v>299</v>
      </c>
      <c r="N146" s="167">
        <f>IF(B146="","",IF(F146=0,0,IF(Simulador!$N$7='Tabla Parámetros'!$C$31,AportPat!L126,0)))</f>
        <v>0</v>
      </c>
      <c r="O146" s="167">
        <f>Simulador!O514</f>
        <v>0</v>
      </c>
      <c r="P146" s="167">
        <v>0</v>
      </c>
      <c r="Q146" s="167">
        <f t="shared" si="35"/>
        <v>10720.884210717653</v>
      </c>
      <c r="R146" s="167">
        <f t="shared" si="36"/>
        <v>741635.03138424386</v>
      </c>
      <c r="U146" s="6"/>
      <c r="V146" s="6"/>
      <c r="W146" s="6"/>
      <c r="X146" s="256">
        <f t="shared" si="31"/>
        <v>10720.884210717653</v>
      </c>
      <c r="Z146" s="201">
        <f t="shared" si="37"/>
        <v>3500.4039447725695</v>
      </c>
      <c r="AA146" s="201">
        <f t="shared" si="38"/>
        <v>6921.4802659450852</v>
      </c>
      <c r="AB146" s="202">
        <f t="shared" si="39"/>
        <v>10421.884210717655</v>
      </c>
      <c r="AC146" s="201">
        <f t="shared" si="40"/>
        <v>3500.4039447725681</v>
      </c>
      <c r="AD146" s="201">
        <f t="shared" si="41"/>
        <v>6921.4802659450852</v>
      </c>
      <c r="AE146" s="201">
        <f t="shared" si="51"/>
        <v>10421.884210717653</v>
      </c>
      <c r="AF146" s="201">
        <f t="shared" si="43"/>
        <v>3500.4039447725681</v>
      </c>
      <c r="AG146" s="201">
        <f t="shared" si="44"/>
        <v>6921.4802659450852</v>
      </c>
      <c r="AH146" s="201">
        <f t="shared" si="50"/>
        <v>10421.884210717653</v>
      </c>
    </row>
    <row r="147" spans="2:34" x14ac:dyDescent="0.3">
      <c r="B147" s="179">
        <f t="shared" si="45"/>
        <v>124</v>
      </c>
      <c r="C147" s="180">
        <f t="shared" si="46"/>
        <v>30.4</v>
      </c>
      <c r="D147" s="165">
        <f>IF(B147="","",Simulador!$F$62)</f>
        <v>0.11</v>
      </c>
      <c r="E147" s="167"/>
      <c r="F147" s="167">
        <f t="shared" si="47"/>
        <v>741635.03138424386</v>
      </c>
      <c r="G147" s="166"/>
      <c r="H147" s="167">
        <f t="shared" si="33"/>
        <v>3532.9188080817921</v>
      </c>
      <c r="I147" s="167">
        <f t="shared" si="48"/>
        <v>6888.9654026358648</v>
      </c>
      <c r="J147" s="167">
        <f t="shared" si="32"/>
        <v>10421.884210717657</v>
      </c>
      <c r="K147" s="167">
        <f t="shared" si="34"/>
        <v>0</v>
      </c>
      <c r="L147" s="167">
        <f t="shared" si="49"/>
        <v>0</v>
      </c>
      <c r="M147" s="167">
        <f>IF(B147="","",IF(F147=0,0,IF(Simulador!$F$11='Tabla Parámetros'!$W$1,'Tabla Parámetros'!$W$28,IF(Simulador!$F$11='Tabla Parámetros'!$Y$1,'Tabla Parámetros'!$Y$12))))</f>
        <v>299</v>
      </c>
      <c r="N147" s="167">
        <f>IF(B147="","",IF(F147=0,0,IF(Simulador!$N$7='Tabla Parámetros'!$C$31,AportPat!L127,0)))</f>
        <v>0</v>
      </c>
      <c r="O147" s="167">
        <f>Simulador!O515</f>
        <v>0</v>
      </c>
      <c r="P147" s="167">
        <v>0</v>
      </c>
      <c r="Q147" s="167">
        <f t="shared" si="35"/>
        <v>10720.884210717657</v>
      </c>
      <c r="R147" s="167">
        <f t="shared" si="36"/>
        <v>738102.11257616209</v>
      </c>
      <c r="U147" s="6"/>
      <c r="V147" s="6"/>
      <c r="W147" s="6"/>
      <c r="X147" s="256">
        <f t="shared" si="31"/>
        <v>10720.884210717653</v>
      </c>
      <c r="Z147" s="201">
        <f t="shared" si="37"/>
        <v>3532.9188080817898</v>
      </c>
      <c r="AA147" s="201">
        <f t="shared" si="38"/>
        <v>6888.9654026358648</v>
      </c>
      <c r="AB147" s="202">
        <f t="shared" si="39"/>
        <v>10421.884210717655</v>
      </c>
      <c r="AC147" s="201">
        <f t="shared" si="40"/>
        <v>3532.9188080817885</v>
      </c>
      <c r="AD147" s="201">
        <f t="shared" si="41"/>
        <v>6888.9654026358648</v>
      </c>
      <c r="AE147" s="201">
        <f t="shared" si="51"/>
        <v>10421.884210717653</v>
      </c>
      <c r="AF147" s="201">
        <f t="shared" si="43"/>
        <v>3532.9188080817921</v>
      </c>
      <c r="AG147" s="201">
        <f t="shared" si="44"/>
        <v>6888.9654026358648</v>
      </c>
      <c r="AH147" s="201">
        <f t="shared" si="50"/>
        <v>10421.884210717657</v>
      </c>
    </row>
    <row r="148" spans="2:34" x14ac:dyDescent="0.3">
      <c r="B148" s="181">
        <f t="shared" si="45"/>
        <v>125</v>
      </c>
      <c r="C148" s="180">
        <f t="shared" si="46"/>
        <v>30.4</v>
      </c>
      <c r="D148" s="165">
        <f>IF(B148="","",Simulador!$F$62)</f>
        <v>0.11</v>
      </c>
      <c r="E148" s="167"/>
      <c r="F148" s="167">
        <f t="shared" si="47"/>
        <v>738102.11257616209</v>
      </c>
      <c r="G148" s="166"/>
      <c r="H148" s="167">
        <f t="shared" si="33"/>
        <v>3565.7356983435293</v>
      </c>
      <c r="I148" s="167">
        <f t="shared" si="48"/>
        <v>6856.1485123741277</v>
      </c>
      <c r="J148" s="167">
        <f t="shared" si="32"/>
        <v>10421.884210717657</v>
      </c>
      <c r="K148" s="167">
        <f t="shared" si="34"/>
        <v>0</v>
      </c>
      <c r="L148" s="167">
        <f t="shared" si="49"/>
        <v>0</v>
      </c>
      <c r="M148" s="167">
        <f>IF(B148="","",IF(F148=0,0,IF(Simulador!$F$11='Tabla Parámetros'!$W$1,'Tabla Parámetros'!$W$28,IF(Simulador!$F$11='Tabla Parámetros'!$Y$1,'Tabla Parámetros'!$Y$12))))</f>
        <v>299</v>
      </c>
      <c r="N148" s="167">
        <f>IF(B148="","",IF(F148=0,0,IF(Simulador!$N$7='Tabla Parámetros'!$C$31,AportPat!L128,0)))</f>
        <v>0</v>
      </c>
      <c r="O148" s="167">
        <f>Simulador!O516</f>
        <v>0</v>
      </c>
      <c r="P148" s="167">
        <v>0</v>
      </c>
      <c r="Q148" s="167">
        <f t="shared" si="35"/>
        <v>10720.884210717657</v>
      </c>
      <c r="R148" s="167">
        <f t="shared" si="36"/>
        <v>734536.37687781861</v>
      </c>
      <c r="U148" s="6"/>
      <c r="V148" s="6"/>
      <c r="W148" s="6"/>
      <c r="X148" s="256">
        <f t="shared" si="31"/>
        <v>10720.884210717653</v>
      </c>
      <c r="Z148" s="201">
        <f t="shared" si="37"/>
        <v>3565.7356983435284</v>
      </c>
      <c r="AA148" s="201">
        <f t="shared" si="38"/>
        <v>6856.1485123741277</v>
      </c>
      <c r="AB148" s="202">
        <f t="shared" si="39"/>
        <v>10421.884210717657</v>
      </c>
      <c r="AC148" s="201">
        <f t="shared" si="40"/>
        <v>3565.7356983435257</v>
      </c>
      <c r="AD148" s="201">
        <f t="shared" si="41"/>
        <v>6856.1485123741277</v>
      </c>
      <c r="AE148" s="201">
        <f t="shared" si="51"/>
        <v>10421.884210717653</v>
      </c>
      <c r="AF148" s="201">
        <f t="shared" si="43"/>
        <v>3565.7356983435293</v>
      </c>
      <c r="AG148" s="201">
        <f t="shared" si="44"/>
        <v>6856.1485123741277</v>
      </c>
      <c r="AH148" s="201">
        <f t="shared" si="50"/>
        <v>10421.884210717657</v>
      </c>
    </row>
    <row r="149" spans="2:34" x14ac:dyDescent="0.3">
      <c r="B149" s="179">
        <f t="shared" si="45"/>
        <v>126</v>
      </c>
      <c r="C149" s="180">
        <f t="shared" si="46"/>
        <v>30.4</v>
      </c>
      <c r="D149" s="165">
        <f>IF(B149="","",Simulador!$F$62)</f>
        <v>0.11</v>
      </c>
      <c r="E149" s="167"/>
      <c r="F149" s="167">
        <f t="shared" si="47"/>
        <v>734536.37687781861</v>
      </c>
      <c r="G149" s="166"/>
      <c r="H149" s="167">
        <f t="shared" si="33"/>
        <v>3598.8574210525867</v>
      </c>
      <c r="I149" s="167">
        <f t="shared" si="48"/>
        <v>6823.0267896650703</v>
      </c>
      <c r="J149" s="167">
        <f t="shared" si="32"/>
        <v>10421.884210717657</v>
      </c>
      <c r="K149" s="167">
        <f t="shared" si="34"/>
        <v>0</v>
      </c>
      <c r="L149" s="167">
        <f t="shared" si="49"/>
        <v>0</v>
      </c>
      <c r="M149" s="167">
        <f>IF(B149="","",IF(F149=0,0,IF(Simulador!$F$11='Tabla Parámetros'!$W$1,'Tabla Parámetros'!$W$28,IF(Simulador!$F$11='Tabla Parámetros'!$Y$1,'Tabla Parámetros'!$Y$12))))</f>
        <v>299</v>
      </c>
      <c r="N149" s="167">
        <f>IF(B149="","",IF(F149=0,0,IF(Simulador!$N$7='Tabla Parámetros'!$C$31,AportPat!L129,0)))</f>
        <v>0</v>
      </c>
      <c r="O149" s="167">
        <f>Simulador!O517</f>
        <v>0</v>
      </c>
      <c r="P149" s="167">
        <v>0</v>
      </c>
      <c r="Q149" s="167">
        <f t="shared" si="35"/>
        <v>10720.884210717657</v>
      </c>
      <c r="R149" s="167">
        <f t="shared" si="36"/>
        <v>730937.51945676596</v>
      </c>
      <c r="U149" s="6"/>
      <c r="V149" s="6"/>
      <c r="W149" s="6"/>
      <c r="X149" s="256">
        <f t="shared" si="31"/>
        <v>10720.884210717653</v>
      </c>
      <c r="Z149" s="201">
        <f t="shared" si="37"/>
        <v>3598.8574210525858</v>
      </c>
      <c r="AA149" s="201">
        <f t="shared" si="38"/>
        <v>6823.0267896650703</v>
      </c>
      <c r="AB149" s="202">
        <f t="shared" si="39"/>
        <v>10421.884210717657</v>
      </c>
      <c r="AC149" s="201">
        <f t="shared" si="40"/>
        <v>3598.857421052583</v>
      </c>
      <c r="AD149" s="201">
        <f t="shared" si="41"/>
        <v>6823.0267896650703</v>
      </c>
      <c r="AE149" s="201">
        <f t="shared" si="51"/>
        <v>10421.884210717653</v>
      </c>
      <c r="AF149" s="201">
        <f t="shared" si="43"/>
        <v>3598.8574210525867</v>
      </c>
      <c r="AG149" s="201">
        <f t="shared" si="44"/>
        <v>6823.0267896650703</v>
      </c>
      <c r="AH149" s="201">
        <f t="shared" si="50"/>
        <v>10421.884210717657</v>
      </c>
    </row>
    <row r="150" spans="2:34" x14ac:dyDescent="0.3">
      <c r="B150" s="179">
        <f t="shared" si="45"/>
        <v>127</v>
      </c>
      <c r="C150" s="180">
        <f t="shared" si="46"/>
        <v>30.4</v>
      </c>
      <c r="D150" s="165">
        <f>IF(B150="","",Simulador!$F$62)</f>
        <v>0.11</v>
      </c>
      <c r="E150" s="167"/>
      <c r="F150" s="167">
        <f t="shared" si="47"/>
        <v>730937.51945676596</v>
      </c>
      <c r="G150" s="166"/>
      <c r="H150" s="167">
        <f t="shared" si="33"/>
        <v>3632.286807763694</v>
      </c>
      <c r="I150" s="167">
        <f t="shared" si="48"/>
        <v>6789.5974029539593</v>
      </c>
      <c r="J150" s="167">
        <f t="shared" si="32"/>
        <v>10421.884210717653</v>
      </c>
      <c r="K150" s="167">
        <f t="shared" si="34"/>
        <v>0</v>
      </c>
      <c r="L150" s="167">
        <f t="shared" si="49"/>
        <v>0</v>
      </c>
      <c r="M150" s="167">
        <f>IF(B150="","",IF(F150=0,0,IF(Simulador!$F$11='Tabla Parámetros'!$W$1,'Tabla Parámetros'!$W$28,IF(Simulador!$F$11='Tabla Parámetros'!$Y$1,'Tabla Parámetros'!$Y$12))))</f>
        <v>299</v>
      </c>
      <c r="N150" s="167">
        <f>IF(B150="","",IF(F150=0,0,IF(Simulador!$N$7='Tabla Parámetros'!$C$31,AportPat!L130,0)))</f>
        <v>0</v>
      </c>
      <c r="O150" s="167">
        <f>Simulador!O518</f>
        <v>0</v>
      </c>
      <c r="P150" s="167">
        <v>0</v>
      </c>
      <c r="Q150" s="167">
        <f t="shared" si="35"/>
        <v>10720.884210717653</v>
      </c>
      <c r="R150" s="167">
        <f t="shared" si="36"/>
        <v>727305.23264900222</v>
      </c>
      <c r="U150" s="6"/>
      <c r="V150" s="6"/>
      <c r="W150" s="6"/>
      <c r="X150" s="256">
        <f t="shared" si="31"/>
        <v>10720.884210717653</v>
      </c>
      <c r="Z150" s="201">
        <f t="shared" si="37"/>
        <v>3632.2868077636963</v>
      </c>
      <c r="AA150" s="201">
        <f t="shared" si="38"/>
        <v>6789.5974029539593</v>
      </c>
      <c r="AB150" s="202">
        <f t="shared" si="39"/>
        <v>10421.884210717655</v>
      </c>
      <c r="AC150" s="201">
        <f t="shared" si="40"/>
        <v>3632.286807763694</v>
      </c>
      <c r="AD150" s="201">
        <f t="shared" si="41"/>
        <v>6789.5974029539593</v>
      </c>
      <c r="AE150" s="201">
        <f t="shared" si="51"/>
        <v>10421.884210717653</v>
      </c>
      <c r="AF150" s="201">
        <f t="shared" si="43"/>
        <v>3632.286807763694</v>
      </c>
      <c r="AG150" s="201">
        <f t="shared" si="44"/>
        <v>6789.5974029539593</v>
      </c>
      <c r="AH150" s="201">
        <f t="shared" si="50"/>
        <v>10421.884210717653</v>
      </c>
    </row>
    <row r="151" spans="2:34" x14ac:dyDescent="0.3">
      <c r="B151" s="179">
        <f t="shared" si="45"/>
        <v>128</v>
      </c>
      <c r="C151" s="180">
        <f t="shared" si="46"/>
        <v>30.4</v>
      </c>
      <c r="D151" s="165">
        <f>IF(B151="","",Simulador!$F$62)</f>
        <v>0.11</v>
      </c>
      <c r="E151" s="167"/>
      <c r="F151" s="167">
        <f t="shared" si="47"/>
        <v>727305.23264900222</v>
      </c>
      <c r="G151" s="166"/>
      <c r="H151" s="167">
        <f t="shared" si="33"/>
        <v>3666.026716333592</v>
      </c>
      <c r="I151" s="167">
        <f t="shared" si="48"/>
        <v>6755.8574943840649</v>
      </c>
      <c r="J151" s="167">
        <f t="shared" si="32"/>
        <v>10421.884210717657</v>
      </c>
      <c r="K151" s="167">
        <f t="shared" si="34"/>
        <v>0</v>
      </c>
      <c r="L151" s="167">
        <f t="shared" si="49"/>
        <v>0</v>
      </c>
      <c r="M151" s="167">
        <f>IF(B151="","",IF(F151=0,0,IF(Simulador!$F$11='Tabla Parámetros'!$W$1,'Tabla Parámetros'!$W$28,IF(Simulador!$F$11='Tabla Parámetros'!$Y$1,'Tabla Parámetros'!$Y$12))))</f>
        <v>299</v>
      </c>
      <c r="N151" s="167">
        <f>IF(B151="","",IF(F151=0,0,IF(Simulador!$N$7='Tabla Parámetros'!$C$31,AportPat!L131,0)))</f>
        <v>0</v>
      </c>
      <c r="O151" s="167">
        <f>Simulador!O519</f>
        <v>0</v>
      </c>
      <c r="P151" s="167">
        <v>0</v>
      </c>
      <c r="Q151" s="167">
        <f t="shared" si="35"/>
        <v>10720.884210717657</v>
      </c>
      <c r="R151" s="167">
        <f t="shared" si="36"/>
        <v>723639.20593266864</v>
      </c>
      <c r="U151" s="6"/>
      <c r="V151" s="6"/>
      <c r="W151" s="6"/>
      <c r="X151" s="256">
        <f t="shared" ref="X151:X214" si="52">IF(B153="","",IF(F153=0,0,PMT($E$1/360*C153,$E$2,-$H$2)+K153+(L153/1.16)+M153+O153))</f>
        <v>10720.884210717653</v>
      </c>
      <c r="Z151" s="201">
        <f t="shared" si="37"/>
        <v>3666.0267163335902</v>
      </c>
      <c r="AA151" s="201">
        <f t="shared" si="38"/>
        <v>6755.8574943840649</v>
      </c>
      <c r="AB151" s="202">
        <f t="shared" si="39"/>
        <v>10421.884210717655</v>
      </c>
      <c r="AC151" s="201">
        <f t="shared" si="40"/>
        <v>3666.0267163335884</v>
      </c>
      <c r="AD151" s="201">
        <f t="shared" si="41"/>
        <v>6755.8574943840649</v>
      </c>
      <c r="AE151" s="201">
        <f t="shared" si="51"/>
        <v>10421.884210717653</v>
      </c>
      <c r="AF151" s="201">
        <f t="shared" si="43"/>
        <v>3666.026716333592</v>
      </c>
      <c r="AG151" s="201">
        <f t="shared" si="44"/>
        <v>6755.8574943840649</v>
      </c>
      <c r="AH151" s="201">
        <f t="shared" si="50"/>
        <v>10421.884210717657</v>
      </c>
    </row>
    <row r="152" spans="2:34" x14ac:dyDescent="0.3">
      <c r="B152" s="181">
        <f t="shared" si="45"/>
        <v>129</v>
      </c>
      <c r="C152" s="180">
        <f t="shared" si="46"/>
        <v>30.4</v>
      </c>
      <c r="D152" s="165">
        <f>IF(B152="","",Simulador!$F$62)</f>
        <v>0.11</v>
      </c>
      <c r="E152" s="167"/>
      <c r="F152" s="167">
        <f t="shared" si="47"/>
        <v>723639.20593266864</v>
      </c>
      <c r="G152" s="166"/>
      <c r="H152" s="167">
        <f t="shared" si="33"/>
        <v>3700.0800311653093</v>
      </c>
      <c r="I152" s="167">
        <f t="shared" si="48"/>
        <v>6721.8041795523441</v>
      </c>
      <c r="J152" s="167">
        <f t="shared" ref="J152:J202" si="53">IF(D152="","",IF(F152=0,0,IF($R$2=$Z$22,AB152,IF($R$2=$AC$22,AE152,IF($R$2=$AF$22,AH152,)))))</f>
        <v>10421.884210717653</v>
      </c>
      <c r="K152" s="167">
        <f t="shared" si="34"/>
        <v>0</v>
      </c>
      <c r="L152" s="167">
        <f t="shared" si="49"/>
        <v>0</v>
      </c>
      <c r="M152" s="167">
        <f>IF(B152="","",IF(F152=0,0,IF(Simulador!$F$11='Tabla Parámetros'!$W$1,'Tabla Parámetros'!$W$28,IF(Simulador!$F$11='Tabla Parámetros'!$Y$1,'Tabla Parámetros'!$Y$12))))</f>
        <v>299</v>
      </c>
      <c r="N152" s="167">
        <f>IF(B152="","",IF(F152=0,0,IF(Simulador!$N$7='Tabla Parámetros'!$C$31,AportPat!L132,0)))</f>
        <v>0</v>
      </c>
      <c r="O152" s="167">
        <f>Simulador!O520</f>
        <v>0</v>
      </c>
      <c r="P152" s="167">
        <v>0</v>
      </c>
      <c r="Q152" s="167">
        <f t="shared" si="35"/>
        <v>10720.884210717653</v>
      </c>
      <c r="R152" s="167">
        <f t="shared" si="36"/>
        <v>719939.12590150337</v>
      </c>
      <c r="U152" s="6"/>
      <c r="V152" s="6"/>
      <c r="W152" s="6"/>
      <c r="X152" s="256">
        <f t="shared" si="52"/>
        <v>10720.884210717653</v>
      </c>
      <c r="Z152" s="201">
        <f t="shared" si="37"/>
        <v>3700.0800311653111</v>
      </c>
      <c r="AA152" s="201">
        <f t="shared" si="38"/>
        <v>6721.8041795523441</v>
      </c>
      <c r="AB152" s="202">
        <f t="shared" si="39"/>
        <v>10421.884210717655</v>
      </c>
      <c r="AC152" s="201">
        <f t="shared" si="40"/>
        <v>3700.0800311653093</v>
      </c>
      <c r="AD152" s="201">
        <f t="shared" si="41"/>
        <v>6721.8041795523441</v>
      </c>
      <c r="AE152" s="201">
        <f t="shared" si="51"/>
        <v>10421.884210717653</v>
      </c>
      <c r="AF152" s="201">
        <f t="shared" si="43"/>
        <v>3700.0800311653093</v>
      </c>
      <c r="AG152" s="201">
        <f t="shared" si="44"/>
        <v>6721.8041795523441</v>
      </c>
      <c r="AH152" s="201">
        <f t="shared" si="50"/>
        <v>10421.884210717653</v>
      </c>
    </row>
    <row r="153" spans="2:34" x14ac:dyDescent="0.3">
      <c r="B153" s="179">
        <f t="shared" si="45"/>
        <v>130</v>
      </c>
      <c r="C153" s="180">
        <f t="shared" si="46"/>
        <v>30.4</v>
      </c>
      <c r="D153" s="165">
        <f>IF(B153="","",Simulador!$F$62)</f>
        <v>0.11</v>
      </c>
      <c r="E153" s="167"/>
      <c r="F153" s="167">
        <f t="shared" si="47"/>
        <v>719939.12590150337</v>
      </c>
      <c r="G153" s="166"/>
      <c r="H153" s="167">
        <f t="shared" ref="H153:H216" si="54">IF(B153="","",IF((J153-I153)&gt;F153,F153,IF($R$2=$Z$22,Z153,IF($R$2=$AC$22,AC153,IF($R$2=$AF$22,AF153,)))))</f>
        <v>3734.4496634548004</v>
      </c>
      <c r="I153" s="167">
        <f t="shared" si="48"/>
        <v>6687.4345472628529</v>
      </c>
      <c r="J153" s="167">
        <f t="shared" si="53"/>
        <v>10421.884210717653</v>
      </c>
      <c r="K153" s="167">
        <f t="shared" ref="K153:K216" si="55">IF(B153="","",F153*$I$2)</f>
        <v>0</v>
      </c>
      <c r="L153" s="167">
        <f t="shared" si="49"/>
        <v>0</v>
      </c>
      <c r="M153" s="167">
        <f>IF(B153="","",IF(F153=0,0,IF(Simulador!$F$11='Tabla Parámetros'!$W$1,'Tabla Parámetros'!$W$28,IF(Simulador!$F$11='Tabla Parámetros'!$Y$1,'Tabla Parámetros'!$Y$12))))</f>
        <v>299</v>
      </c>
      <c r="N153" s="167">
        <f>IF(B153="","",IF(F153=0,0,IF(Simulador!$N$7='Tabla Parámetros'!$C$31,AportPat!L133,0)))</f>
        <v>0</v>
      </c>
      <c r="O153" s="167">
        <f>Simulador!O521</f>
        <v>0</v>
      </c>
      <c r="P153" s="167">
        <v>0</v>
      </c>
      <c r="Q153" s="167">
        <f t="shared" ref="Q153:Q216" si="56">IF(B153="","",H153+I153+K153+L153+M153)</f>
        <v>10720.884210717653</v>
      </c>
      <c r="R153" s="167">
        <f t="shared" ref="R153:R216" si="57">IF(B153="","",F153-H153)</f>
        <v>716204.67623804859</v>
      </c>
      <c r="U153" s="6"/>
      <c r="V153" s="6"/>
      <c r="W153" s="6"/>
      <c r="X153" s="256">
        <f t="shared" si="52"/>
        <v>10720.884210717653</v>
      </c>
      <c r="Z153" s="201">
        <f t="shared" ref="Z153:Z216" si="58">IF(F153=0,0,PPMT(D153/360*30.4,B153,$E$2,-$F$24)+N153+O153)</f>
        <v>3734.4496634548022</v>
      </c>
      <c r="AA153" s="201">
        <f t="shared" ref="AA153:AA216" si="59">(D153/360*C153)*F153</f>
        <v>6687.4345472628529</v>
      </c>
      <c r="AB153" s="202">
        <f t="shared" ref="AB153:AB216" si="60">Z153+AA153</f>
        <v>10421.884210717655</v>
      </c>
      <c r="AC153" s="201">
        <f t="shared" ref="AC153:AC216" si="61">AE153-AD153</f>
        <v>3734.4496634548004</v>
      </c>
      <c r="AD153" s="201">
        <f t="shared" ref="AD153:AD216" si="62">(D153/360*C153)*F153</f>
        <v>6687.4345472628529</v>
      </c>
      <c r="AE153" s="201">
        <f t="shared" si="51"/>
        <v>10421.884210717653</v>
      </c>
      <c r="AF153" s="201">
        <f t="shared" ref="AF153:AF216" si="63">AH153-AG153</f>
        <v>3734.4496634548004</v>
      </c>
      <c r="AG153" s="201">
        <f t="shared" ref="AG153:AG216" si="64">(D153/360*C153)*F153</f>
        <v>6687.4345472628529</v>
      </c>
      <c r="AH153" s="201">
        <f t="shared" si="50"/>
        <v>10421.884210717653</v>
      </c>
    </row>
    <row r="154" spans="2:34" x14ac:dyDescent="0.3">
      <c r="B154" s="179">
        <f t="shared" ref="B154:B217" si="65">IF(B153="","",IF(B153=$E$2,"",B153+1))</f>
        <v>131</v>
      </c>
      <c r="C154" s="180">
        <f t="shared" ref="C154:C217" si="66">IF(B154="","",30.4)</f>
        <v>30.4</v>
      </c>
      <c r="D154" s="165">
        <f>IF(B154="","",Simulador!$F$62)</f>
        <v>0.11</v>
      </c>
      <c r="E154" s="167"/>
      <c r="F154" s="167">
        <f t="shared" ref="F154:F217" si="67">IF(B154="","",F153-H153)</f>
        <v>716204.67623804859</v>
      </c>
      <c r="G154" s="166"/>
      <c r="H154" s="167">
        <f t="shared" si="54"/>
        <v>3769.1385514397844</v>
      </c>
      <c r="I154" s="167">
        <f t="shared" ref="I154:I217" si="68">IF(C154="","",IF($R$2=$Z$22,AA154,IF($R$2=$AC$22,AD154,IF($R$2=$AF$22,AG154,))))</f>
        <v>6652.7456592778726</v>
      </c>
      <c r="J154" s="167">
        <f t="shared" si="53"/>
        <v>10421.884210717657</v>
      </c>
      <c r="K154" s="167">
        <f t="shared" si="55"/>
        <v>0</v>
      </c>
      <c r="L154" s="167">
        <f t="shared" ref="L154:L217" si="69">IF(B154="","",IF(F154=0,0,$L$1*$J$2))</f>
        <v>0</v>
      </c>
      <c r="M154" s="167">
        <f>IF(B154="","",IF(F154=0,0,IF(Simulador!$F$11='Tabla Parámetros'!$W$1,'Tabla Parámetros'!$W$28,IF(Simulador!$F$11='Tabla Parámetros'!$Y$1,'Tabla Parámetros'!$Y$12))))</f>
        <v>299</v>
      </c>
      <c r="N154" s="167">
        <f>IF(B154="","",IF(F154=0,0,IF(Simulador!$N$7='Tabla Parámetros'!$C$31,AportPat!L134,0)))</f>
        <v>0</v>
      </c>
      <c r="O154" s="167">
        <f>Simulador!O522</f>
        <v>0</v>
      </c>
      <c r="P154" s="167">
        <v>0</v>
      </c>
      <c r="Q154" s="167">
        <f t="shared" si="56"/>
        <v>10720.884210717657</v>
      </c>
      <c r="R154" s="167">
        <f t="shared" si="57"/>
        <v>712435.53768660885</v>
      </c>
      <c r="U154" s="6"/>
      <c r="V154" s="6"/>
      <c r="W154" s="6"/>
      <c r="X154" s="256">
        <f t="shared" si="52"/>
        <v>10720.884210717653</v>
      </c>
      <c r="Z154" s="201">
        <f t="shared" si="58"/>
        <v>3769.1385514397816</v>
      </c>
      <c r="AA154" s="201">
        <f t="shared" si="59"/>
        <v>6652.7456592778726</v>
      </c>
      <c r="AB154" s="202">
        <f t="shared" si="60"/>
        <v>10421.884210717653</v>
      </c>
      <c r="AC154" s="201">
        <f t="shared" si="61"/>
        <v>3769.1385514397807</v>
      </c>
      <c r="AD154" s="201">
        <f t="shared" si="62"/>
        <v>6652.7456592778726</v>
      </c>
      <c r="AE154" s="201">
        <f t="shared" si="51"/>
        <v>10421.884210717653</v>
      </c>
      <c r="AF154" s="201">
        <f t="shared" si="63"/>
        <v>3769.1385514397844</v>
      </c>
      <c r="AG154" s="201">
        <f t="shared" si="64"/>
        <v>6652.7456592778726</v>
      </c>
      <c r="AH154" s="201">
        <f t="shared" ref="AH154:AH217" si="70">PMT($E$1/360*30.4,$E$2-B153,-F154)+N154+O154</f>
        <v>10421.884210717657</v>
      </c>
    </row>
    <row r="155" spans="2:34" x14ac:dyDescent="0.3">
      <c r="B155" s="179">
        <f t="shared" si="65"/>
        <v>132</v>
      </c>
      <c r="C155" s="180">
        <f t="shared" si="66"/>
        <v>30.4</v>
      </c>
      <c r="D155" s="165">
        <f>IF(B155="","",Simulador!$F$62)</f>
        <v>0.11</v>
      </c>
      <c r="E155" s="167"/>
      <c r="F155" s="167">
        <f t="shared" si="67"/>
        <v>712435.53768660885</v>
      </c>
      <c r="G155" s="166"/>
      <c r="H155" s="167">
        <f t="shared" si="54"/>
        <v>3804.1496606509354</v>
      </c>
      <c r="I155" s="167">
        <f t="shared" si="68"/>
        <v>6617.7345500667216</v>
      </c>
      <c r="J155" s="167">
        <f t="shared" si="53"/>
        <v>10421.884210717657</v>
      </c>
      <c r="K155" s="167">
        <f t="shared" si="55"/>
        <v>0</v>
      </c>
      <c r="L155" s="167">
        <f t="shared" si="69"/>
        <v>0</v>
      </c>
      <c r="M155" s="167">
        <f>IF(B155="","",IF(F155=0,0,IF(Simulador!$F$11='Tabla Parámetros'!$W$1,'Tabla Parámetros'!$W$28,IF(Simulador!$F$11='Tabla Parámetros'!$Y$1,'Tabla Parámetros'!$Y$12))))</f>
        <v>299</v>
      </c>
      <c r="N155" s="167">
        <f>IF(B155="","",IF(F155=0,0,IF(Simulador!$N$7='Tabla Parámetros'!$C$31,AportPat!L135,0)))</f>
        <v>0</v>
      </c>
      <c r="O155" s="167">
        <f>Simulador!O523</f>
        <v>0</v>
      </c>
      <c r="P155" s="167">
        <v>0</v>
      </c>
      <c r="Q155" s="167">
        <f t="shared" si="56"/>
        <v>10720.884210717657</v>
      </c>
      <c r="R155" s="167">
        <f t="shared" si="57"/>
        <v>708631.38802595786</v>
      </c>
      <c r="U155" s="6"/>
      <c r="V155" s="6"/>
      <c r="W155" s="6"/>
      <c r="X155" s="256">
        <f t="shared" si="52"/>
        <v>10720.884210717653</v>
      </c>
      <c r="Z155" s="201">
        <f t="shared" si="58"/>
        <v>3804.1496606509336</v>
      </c>
      <c r="AA155" s="201">
        <f t="shared" si="59"/>
        <v>6617.7345500667216</v>
      </c>
      <c r="AB155" s="202">
        <f t="shared" si="60"/>
        <v>10421.884210717655</v>
      </c>
      <c r="AC155" s="201">
        <f t="shared" si="61"/>
        <v>3804.1496606509318</v>
      </c>
      <c r="AD155" s="201">
        <f t="shared" si="62"/>
        <v>6617.7345500667216</v>
      </c>
      <c r="AE155" s="201">
        <f t="shared" ref="AE155:AE218" si="71">IF(F155=0,0,PMT($E$1/360*30.4,$E$2,-$H$2)+N155+O155)</f>
        <v>10421.884210717653</v>
      </c>
      <c r="AF155" s="201">
        <f t="shared" si="63"/>
        <v>3804.1496606509354</v>
      </c>
      <c r="AG155" s="201">
        <f t="shared" si="64"/>
        <v>6617.7345500667216</v>
      </c>
      <c r="AH155" s="201">
        <f t="shared" si="70"/>
        <v>10421.884210717657</v>
      </c>
    </row>
    <row r="156" spans="2:34" x14ac:dyDescent="0.3">
      <c r="B156" s="181">
        <f t="shared" si="65"/>
        <v>133</v>
      </c>
      <c r="C156" s="180">
        <f t="shared" si="66"/>
        <v>30.4</v>
      </c>
      <c r="D156" s="165">
        <f>IF(B156="","",Simulador!$F$62)</f>
        <v>0.11</v>
      </c>
      <c r="E156" s="167"/>
      <c r="F156" s="167">
        <f t="shared" si="67"/>
        <v>708631.38802595786</v>
      </c>
      <c r="G156" s="166"/>
      <c r="H156" s="167">
        <f t="shared" si="54"/>
        <v>3839.485984165427</v>
      </c>
      <c r="I156" s="167">
        <f t="shared" si="68"/>
        <v>6582.39822655223</v>
      </c>
      <c r="J156" s="167">
        <f t="shared" si="53"/>
        <v>10421.884210717657</v>
      </c>
      <c r="K156" s="167">
        <f t="shared" si="55"/>
        <v>0</v>
      </c>
      <c r="L156" s="167">
        <f t="shared" si="69"/>
        <v>0</v>
      </c>
      <c r="M156" s="167">
        <f>IF(B156="","",IF(F156=0,0,IF(Simulador!$F$11='Tabla Parámetros'!$W$1,'Tabla Parámetros'!$W$28,IF(Simulador!$F$11='Tabla Parámetros'!$Y$1,'Tabla Parámetros'!$Y$12))))</f>
        <v>299</v>
      </c>
      <c r="N156" s="167">
        <f>IF(B156="","",IF(F156=0,0,IF(Simulador!$N$7='Tabla Parámetros'!$C$31,AportPat!L136,0)))</f>
        <v>0</v>
      </c>
      <c r="O156" s="167">
        <f>Simulador!O524</f>
        <v>0</v>
      </c>
      <c r="P156" s="167">
        <v>0</v>
      </c>
      <c r="Q156" s="167">
        <f t="shared" si="56"/>
        <v>10720.884210717657</v>
      </c>
      <c r="R156" s="167">
        <f t="shared" si="57"/>
        <v>704791.9020417924</v>
      </c>
      <c r="U156" s="6"/>
      <c r="V156" s="6"/>
      <c r="W156" s="6"/>
      <c r="X156" s="256">
        <f t="shared" si="52"/>
        <v>10720.884210717653</v>
      </c>
      <c r="Z156" s="201">
        <f t="shared" si="58"/>
        <v>3839.4859841654247</v>
      </c>
      <c r="AA156" s="201">
        <f t="shared" si="59"/>
        <v>6582.39822655223</v>
      </c>
      <c r="AB156" s="202">
        <f t="shared" si="60"/>
        <v>10421.884210717655</v>
      </c>
      <c r="AC156" s="201">
        <f t="shared" si="61"/>
        <v>3839.4859841654234</v>
      </c>
      <c r="AD156" s="201">
        <f t="shared" si="62"/>
        <v>6582.39822655223</v>
      </c>
      <c r="AE156" s="201">
        <f t="shared" si="71"/>
        <v>10421.884210717653</v>
      </c>
      <c r="AF156" s="201">
        <f t="shared" si="63"/>
        <v>3839.485984165427</v>
      </c>
      <c r="AG156" s="201">
        <f t="shared" si="64"/>
        <v>6582.39822655223</v>
      </c>
      <c r="AH156" s="201">
        <f t="shared" si="70"/>
        <v>10421.884210717657</v>
      </c>
    </row>
    <row r="157" spans="2:34" x14ac:dyDescent="0.3">
      <c r="B157" s="179">
        <f t="shared" si="65"/>
        <v>134</v>
      </c>
      <c r="C157" s="180">
        <f t="shared" si="66"/>
        <v>30.4</v>
      </c>
      <c r="D157" s="165">
        <f>IF(B157="","",Simulador!$F$62)</f>
        <v>0.11</v>
      </c>
      <c r="E157" s="167"/>
      <c r="F157" s="167">
        <f t="shared" si="67"/>
        <v>704791.9020417924</v>
      </c>
      <c r="G157" s="166"/>
      <c r="H157" s="167">
        <f t="shared" si="54"/>
        <v>3875.1505428627825</v>
      </c>
      <c r="I157" s="167">
        <f t="shared" si="68"/>
        <v>6546.7336678548709</v>
      </c>
      <c r="J157" s="167">
        <f t="shared" si="53"/>
        <v>10421.884210717653</v>
      </c>
      <c r="K157" s="167">
        <f t="shared" si="55"/>
        <v>0</v>
      </c>
      <c r="L157" s="167">
        <f t="shared" si="69"/>
        <v>0</v>
      </c>
      <c r="M157" s="167">
        <f>IF(B157="","",IF(F157=0,0,IF(Simulador!$F$11='Tabla Parámetros'!$W$1,'Tabla Parámetros'!$W$28,IF(Simulador!$F$11='Tabla Parámetros'!$Y$1,'Tabla Parámetros'!$Y$12))))</f>
        <v>299</v>
      </c>
      <c r="N157" s="167">
        <f>IF(B157="","",IF(F157=0,0,IF(Simulador!$N$7='Tabla Parámetros'!$C$31,AportPat!L137,0)))</f>
        <v>0</v>
      </c>
      <c r="O157" s="167">
        <f>Simulador!O525</f>
        <v>0</v>
      </c>
      <c r="P157" s="167">
        <v>0</v>
      </c>
      <c r="Q157" s="167">
        <f t="shared" si="56"/>
        <v>10720.884210717653</v>
      </c>
      <c r="R157" s="167">
        <f t="shared" si="57"/>
        <v>700916.75149892957</v>
      </c>
      <c r="U157" s="6"/>
      <c r="V157" s="6"/>
      <c r="W157" s="6"/>
      <c r="X157" s="256">
        <f t="shared" si="52"/>
        <v>10720.884210717653</v>
      </c>
      <c r="Z157" s="201">
        <f t="shared" si="58"/>
        <v>3875.1505428627834</v>
      </c>
      <c r="AA157" s="201">
        <f t="shared" si="59"/>
        <v>6546.7336678548709</v>
      </c>
      <c r="AB157" s="202">
        <f t="shared" si="60"/>
        <v>10421.884210717653</v>
      </c>
      <c r="AC157" s="201">
        <f t="shared" si="61"/>
        <v>3875.1505428627825</v>
      </c>
      <c r="AD157" s="201">
        <f t="shared" si="62"/>
        <v>6546.7336678548709</v>
      </c>
      <c r="AE157" s="201">
        <f t="shared" si="71"/>
        <v>10421.884210717653</v>
      </c>
      <c r="AF157" s="201">
        <f t="shared" si="63"/>
        <v>3875.1505428627825</v>
      </c>
      <c r="AG157" s="201">
        <f t="shared" si="64"/>
        <v>6546.7336678548709</v>
      </c>
      <c r="AH157" s="201">
        <f t="shared" si="70"/>
        <v>10421.884210717653</v>
      </c>
    </row>
    <row r="158" spans="2:34" x14ac:dyDescent="0.3">
      <c r="B158" s="179">
        <f t="shared" si="65"/>
        <v>135</v>
      </c>
      <c r="C158" s="180">
        <f t="shared" si="66"/>
        <v>30.4</v>
      </c>
      <c r="D158" s="165">
        <f>IF(B158="","",Simulador!$F$62)</f>
        <v>0.11</v>
      </c>
      <c r="E158" s="167"/>
      <c r="F158" s="167">
        <f t="shared" si="67"/>
        <v>700916.75149892957</v>
      </c>
      <c r="G158" s="166"/>
      <c r="H158" s="167">
        <f t="shared" si="54"/>
        <v>3911.1463856831524</v>
      </c>
      <c r="I158" s="167">
        <f t="shared" si="68"/>
        <v>6510.7378250345009</v>
      </c>
      <c r="J158" s="167">
        <f t="shared" si="53"/>
        <v>10421.884210717653</v>
      </c>
      <c r="K158" s="167">
        <f t="shared" si="55"/>
        <v>0</v>
      </c>
      <c r="L158" s="167">
        <f t="shared" si="69"/>
        <v>0</v>
      </c>
      <c r="M158" s="167">
        <f>IF(B158="","",IF(F158=0,0,IF(Simulador!$F$11='Tabla Parámetros'!$W$1,'Tabla Parámetros'!$W$28,IF(Simulador!$F$11='Tabla Parámetros'!$Y$1,'Tabla Parámetros'!$Y$12))))</f>
        <v>299</v>
      </c>
      <c r="N158" s="167">
        <f>IF(B158="","",IF(F158=0,0,IF(Simulador!$N$7='Tabla Parámetros'!$C$31,AportPat!L138,0)))</f>
        <v>0</v>
      </c>
      <c r="O158" s="167">
        <f>Simulador!O526</f>
        <v>0</v>
      </c>
      <c r="P158" s="167">
        <v>0</v>
      </c>
      <c r="Q158" s="167">
        <f t="shared" si="56"/>
        <v>10720.884210717653</v>
      </c>
      <c r="R158" s="167">
        <f t="shared" si="57"/>
        <v>697005.60511324648</v>
      </c>
      <c r="U158" s="6"/>
      <c r="V158" s="6"/>
      <c r="W158" s="6"/>
      <c r="X158" s="256">
        <f t="shared" si="52"/>
        <v>10720.884210717653</v>
      </c>
      <c r="Z158" s="201">
        <f t="shared" si="58"/>
        <v>3911.1463856831538</v>
      </c>
      <c r="AA158" s="201">
        <f t="shared" si="59"/>
        <v>6510.7378250345009</v>
      </c>
      <c r="AB158" s="202">
        <f t="shared" si="60"/>
        <v>10421.884210717655</v>
      </c>
      <c r="AC158" s="201">
        <f t="shared" si="61"/>
        <v>3911.1463856831524</v>
      </c>
      <c r="AD158" s="201">
        <f t="shared" si="62"/>
        <v>6510.7378250345009</v>
      </c>
      <c r="AE158" s="201">
        <f t="shared" si="71"/>
        <v>10421.884210717653</v>
      </c>
      <c r="AF158" s="201">
        <f t="shared" si="63"/>
        <v>3911.1463856831524</v>
      </c>
      <c r="AG158" s="201">
        <f t="shared" si="64"/>
        <v>6510.7378250345009</v>
      </c>
      <c r="AH158" s="201">
        <f t="shared" si="70"/>
        <v>10421.884210717653</v>
      </c>
    </row>
    <row r="159" spans="2:34" x14ac:dyDescent="0.3">
      <c r="B159" s="179">
        <f t="shared" si="65"/>
        <v>136</v>
      </c>
      <c r="C159" s="180">
        <f t="shared" si="66"/>
        <v>30.4</v>
      </c>
      <c r="D159" s="165">
        <f>IF(B159="","",Simulador!$F$62)</f>
        <v>0.11</v>
      </c>
      <c r="E159" s="167"/>
      <c r="F159" s="167">
        <f t="shared" si="67"/>
        <v>697005.60511324648</v>
      </c>
      <c r="G159" s="166"/>
      <c r="H159" s="167">
        <f t="shared" si="54"/>
        <v>3947.4765898879459</v>
      </c>
      <c r="I159" s="167">
        <f t="shared" si="68"/>
        <v>6474.407620829711</v>
      </c>
      <c r="J159" s="167">
        <f t="shared" si="53"/>
        <v>10421.884210717657</v>
      </c>
      <c r="K159" s="167">
        <f t="shared" si="55"/>
        <v>0</v>
      </c>
      <c r="L159" s="167">
        <f t="shared" si="69"/>
        <v>0</v>
      </c>
      <c r="M159" s="167">
        <f>IF(B159="","",IF(F159=0,0,IF(Simulador!$F$11='Tabla Parámetros'!$W$1,'Tabla Parámetros'!$W$28,IF(Simulador!$F$11='Tabla Parámetros'!$Y$1,'Tabla Parámetros'!$Y$12))))</f>
        <v>299</v>
      </c>
      <c r="N159" s="167">
        <f>IF(B159="","",IF(F159=0,0,IF(Simulador!$N$7='Tabla Parámetros'!$C$31,AportPat!L139,0)))</f>
        <v>0</v>
      </c>
      <c r="O159" s="167">
        <f>Simulador!O527</f>
        <v>0</v>
      </c>
      <c r="P159" s="167">
        <v>0</v>
      </c>
      <c r="Q159" s="167">
        <f t="shared" si="56"/>
        <v>10720.884210717657</v>
      </c>
      <c r="R159" s="167">
        <f t="shared" si="57"/>
        <v>693058.12852335849</v>
      </c>
      <c r="U159" s="6"/>
      <c r="V159" s="6"/>
      <c r="W159" s="6"/>
      <c r="X159" s="256">
        <f t="shared" si="52"/>
        <v>10720.884210717653</v>
      </c>
      <c r="Z159" s="201">
        <f t="shared" si="58"/>
        <v>3947.4765898879441</v>
      </c>
      <c r="AA159" s="201">
        <f t="shared" si="59"/>
        <v>6474.407620829711</v>
      </c>
      <c r="AB159" s="202">
        <f t="shared" si="60"/>
        <v>10421.884210717655</v>
      </c>
      <c r="AC159" s="201">
        <f t="shared" si="61"/>
        <v>3947.4765898879423</v>
      </c>
      <c r="AD159" s="201">
        <f t="shared" si="62"/>
        <v>6474.407620829711</v>
      </c>
      <c r="AE159" s="201">
        <f t="shared" si="71"/>
        <v>10421.884210717653</v>
      </c>
      <c r="AF159" s="201">
        <f t="shared" si="63"/>
        <v>3947.4765898879459</v>
      </c>
      <c r="AG159" s="201">
        <f t="shared" si="64"/>
        <v>6474.407620829711</v>
      </c>
      <c r="AH159" s="201">
        <f t="shared" si="70"/>
        <v>10421.884210717657</v>
      </c>
    </row>
    <row r="160" spans="2:34" x14ac:dyDescent="0.3">
      <c r="B160" s="181">
        <f t="shared" si="65"/>
        <v>137</v>
      </c>
      <c r="C160" s="180">
        <f t="shared" si="66"/>
        <v>30.4</v>
      </c>
      <c r="D160" s="165">
        <f>IF(B160="","",Simulador!$F$62)</f>
        <v>0.11</v>
      </c>
      <c r="E160" s="167"/>
      <c r="F160" s="167">
        <f t="shared" si="67"/>
        <v>693058.12852335849</v>
      </c>
      <c r="G160" s="166"/>
      <c r="H160" s="167">
        <f t="shared" si="54"/>
        <v>3984.1442613229001</v>
      </c>
      <c r="I160" s="167">
        <f t="shared" si="68"/>
        <v>6437.7399493947514</v>
      </c>
      <c r="J160" s="167">
        <f t="shared" si="53"/>
        <v>10421.884210717652</v>
      </c>
      <c r="K160" s="167">
        <f t="shared" si="55"/>
        <v>0</v>
      </c>
      <c r="L160" s="167">
        <f t="shared" si="69"/>
        <v>0</v>
      </c>
      <c r="M160" s="167">
        <f>IF(B160="","",IF(F160=0,0,IF(Simulador!$F$11='Tabla Parámetros'!$W$1,'Tabla Parámetros'!$W$28,IF(Simulador!$F$11='Tabla Parámetros'!$Y$1,'Tabla Parámetros'!$Y$12))))</f>
        <v>299</v>
      </c>
      <c r="N160" s="167">
        <f>IF(B160="","",IF(F160=0,0,IF(Simulador!$N$7='Tabla Parámetros'!$C$31,AportPat!L140,0)))</f>
        <v>0</v>
      </c>
      <c r="O160" s="167">
        <f>Simulador!O528</f>
        <v>0</v>
      </c>
      <c r="P160" s="167">
        <v>0</v>
      </c>
      <c r="Q160" s="167">
        <f t="shared" si="56"/>
        <v>10720.884210717652</v>
      </c>
      <c r="R160" s="167">
        <f t="shared" si="57"/>
        <v>689073.98426203558</v>
      </c>
      <c r="U160" s="6"/>
      <c r="V160" s="6"/>
      <c r="W160" s="6"/>
      <c r="X160" s="256">
        <f t="shared" si="52"/>
        <v>10720.884210717653</v>
      </c>
      <c r="Z160" s="201">
        <f t="shared" si="58"/>
        <v>3984.1442613229028</v>
      </c>
      <c r="AA160" s="201">
        <f t="shared" si="59"/>
        <v>6437.7399493947514</v>
      </c>
      <c r="AB160" s="202">
        <f t="shared" si="60"/>
        <v>10421.884210717653</v>
      </c>
      <c r="AC160" s="201">
        <f t="shared" si="61"/>
        <v>3984.1442613229019</v>
      </c>
      <c r="AD160" s="201">
        <f t="shared" si="62"/>
        <v>6437.7399493947514</v>
      </c>
      <c r="AE160" s="201">
        <f t="shared" si="71"/>
        <v>10421.884210717653</v>
      </c>
      <c r="AF160" s="201">
        <f t="shared" si="63"/>
        <v>3984.1442613229001</v>
      </c>
      <c r="AG160" s="201">
        <f t="shared" si="64"/>
        <v>6437.7399493947514</v>
      </c>
      <c r="AH160" s="201">
        <f t="shared" si="70"/>
        <v>10421.884210717652</v>
      </c>
    </row>
    <row r="161" spans="2:34" x14ac:dyDescent="0.3">
      <c r="B161" s="179">
        <f t="shared" si="65"/>
        <v>138</v>
      </c>
      <c r="C161" s="180">
        <f t="shared" si="66"/>
        <v>30.4</v>
      </c>
      <c r="D161" s="165">
        <f>IF(B161="","",Simulador!$F$62)</f>
        <v>0.11</v>
      </c>
      <c r="E161" s="167"/>
      <c r="F161" s="167">
        <f t="shared" si="67"/>
        <v>689073.98426203558</v>
      </c>
      <c r="G161" s="166"/>
      <c r="H161" s="167">
        <f t="shared" si="54"/>
        <v>4021.1525346836343</v>
      </c>
      <c r="I161" s="167">
        <f t="shared" si="68"/>
        <v>6400.7316760340191</v>
      </c>
      <c r="J161" s="167">
        <f t="shared" si="53"/>
        <v>10421.884210717653</v>
      </c>
      <c r="K161" s="167">
        <f t="shared" si="55"/>
        <v>0</v>
      </c>
      <c r="L161" s="167">
        <f t="shared" si="69"/>
        <v>0</v>
      </c>
      <c r="M161" s="167">
        <f>IF(B161="","",IF(F161=0,0,IF(Simulador!$F$11='Tabla Parámetros'!$W$1,'Tabla Parámetros'!$W$28,IF(Simulador!$F$11='Tabla Parámetros'!$Y$1,'Tabla Parámetros'!$Y$12))))</f>
        <v>299</v>
      </c>
      <c r="N161" s="167">
        <f>IF(B161="","",IF(F161=0,0,IF(Simulador!$N$7='Tabla Parámetros'!$C$31,AportPat!L141,0)))</f>
        <v>0</v>
      </c>
      <c r="O161" s="167">
        <f>Simulador!O529</f>
        <v>0</v>
      </c>
      <c r="P161" s="167">
        <v>0</v>
      </c>
      <c r="Q161" s="167">
        <f t="shared" si="56"/>
        <v>10720.884210717653</v>
      </c>
      <c r="R161" s="167">
        <f t="shared" si="57"/>
        <v>685052.83172735199</v>
      </c>
      <c r="U161" s="6"/>
      <c r="V161" s="6"/>
      <c r="W161" s="6"/>
      <c r="X161" s="256">
        <f t="shared" si="52"/>
        <v>10720.884210717653</v>
      </c>
      <c r="Z161" s="201">
        <f t="shared" si="58"/>
        <v>4021.1525346836352</v>
      </c>
      <c r="AA161" s="201">
        <f t="shared" si="59"/>
        <v>6400.7316760340191</v>
      </c>
      <c r="AB161" s="202">
        <f t="shared" si="60"/>
        <v>10421.884210717653</v>
      </c>
      <c r="AC161" s="201">
        <f t="shared" si="61"/>
        <v>4021.1525346836343</v>
      </c>
      <c r="AD161" s="201">
        <f t="shared" si="62"/>
        <v>6400.7316760340191</v>
      </c>
      <c r="AE161" s="201">
        <f t="shared" si="71"/>
        <v>10421.884210717653</v>
      </c>
      <c r="AF161" s="201">
        <f t="shared" si="63"/>
        <v>4021.1525346836343</v>
      </c>
      <c r="AG161" s="201">
        <f t="shared" si="64"/>
        <v>6400.7316760340191</v>
      </c>
      <c r="AH161" s="201">
        <f t="shared" si="70"/>
        <v>10421.884210717653</v>
      </c>
    </row>
    <row r="162" spans="2:34" x14ac:dyDescent="0.3">
      <c r="B162" s="179">
        <f t="shared" si="65"/>
        <v>139</v>
      </c>
      <c r="C162" s="180">
        <f t="shared" si="66"/>
        <v>30.4</v>
      </c>
      <c r="D162" s="165">
        <f>IF(B162="","",Simulador!$F$62)</f>
        <v>0.11</v>
      </c>
      <c r="E162" s="167"/>
      <c r="F162" s="167">
        <f t="shared" si="67"/>
        <v>685052.83172735199</v>
      </c>
      <c r="G162" s="166"/>
      <c r="H162" s="167">
        <f t="shared" si="54"/>
        <v>4058.5045737835881</v>
      </c>
      <c r="I162" s="167">
        <f t="shared" si="68"/>
        <v>6363.3796369340689</v>
      </c>
      <c r="J162" s="167">
        <f t="shared" si="53"/>
        <v>10421.884210717657</v>
      </c>
      <c r="K162" s="167">
        <f t="shared" si="55"/>
        <v>0</v>
      </c>
      <c r="L162" s="167">
        <f t="shared" si="69"/>
        <v>0</v>
      </c>
      <c r="M162" s="167">
        <f>IF(B162="","",IF(F162=0,0,IF(Simulador!$F$11='Tabla Parámetros'!$W$1,'Tabla Parámetros'!$W$28,IF(Simulador!$F$11='Tabla Parámetros'!$Y$1,'Tabla Parámetros'!$Y$12))))</f>
        <v>299</v>
      </c>
      <c r="N162" s="167">
        <f>IF(B162="","",IF(F162=0,0,IF(Simulador!$N$7='Tabla Parámetros'!$C$31,AportPat!L142,0)))</f>
        <v>0</v>
      </c>
      <c r="O162" s="167">
        <f>Simulador!O530</f>
        <v>0</v>
      </c>
      <c r="P162" s="167">
        <v>0</v>
      </c>
      <c r="Q162" s="167">
        <f t="shared" si="56"/>
        <v>10720.884210717657</v>
      </c>
      <c r="R162" s="167">
        <f t="shared" si="57"/>
        <v>680994.32715356839</v>
      </c>
      <c r="U162" s="6"/>
      <c r="V162" s="6"/>
      <c r="W162" s="6"/>
      <c r="X162" s="256">
        <f t="shared" si="52"/>
        <v>10720.884210717653</v>
      </c>
      <c r="Z162" s="201">
        <f t="shared" si="58"/>
        <v>4058.5045737835853</v>
      </c>
      <c r="AA162" s="201">
        <f t="shared" si="59"/>
        <v>6363.3796369340689</v>
      </c>
      <c r="AB162" s="202">
        <f t="shared" si="60"/>
        <v>10421.884210717653</v>
      </c>
      <c r="AC162" s="201">
        <f t="shared" si="61"/>
        <v>4058.5045737835844</v>
      </c>
      <c r="AD162" s="201">
        <f t="shared" si="62"/>
        <v>6363.3796369340689</v>
      </c>
      <c r="AE162" s="201">
        <f t="shared" si="71"/>
        <v>10421.884210717653</v>
      </c>
      <c r="AF162" s="201">
        <f t="shared" si="63"/>
        <v>4058.5045737835881</v>
      </c>
      <c r="AG162" s="201">
        <f t="shared" si="64"/>
        <v>6363.3796369340689</v>
      </c>
      <c r="AH162" s="201">
        <f t="shared" si="70"/>
        <v>10421.884210717657</v>
      </c>
    </row>
    <row r="163" spans="2:34" x14ac:dyDescent="0.3">
      <c r="B163" s="179">
        <f t="shared" si="65"/>
        <v>140</v>
      </c>
      <c r="C163" s="180">
        <f t="shared" si="66"/>
        <v>30.4</v>
      </c>
      <c r="D163" s="165">
        <f>IF(B163="","",Simulador!$F$62)</f>
        <v>0.11</v>
      </c>
      <c r="E163" s="167"/>
      <c r="F163" s="167">
        <f t="shared" si="67"/>
        <v>680994.32715356839</v>
      </c>
      <c r="G163" s="166"/>
      <c r="H163" s="167">
        <f t="shared" si="54"/>
        <v>4096.2035718245115</v>
      </c>
      <c r="I163" s="167">
        <f t="shared" si="68"/>
        <v>6325.6806388931454</v>
      </c>
      <c r="J163" s="167">
        <f t="shared" si="53"/>
        <v>10421.884210717657</v>
      </c>
      <c r="K163" s="167">
        <f t="shared" si="55"/>
        <v>0</v>
      </c>
      <c r="L163" s="167">
        <f t="shared" si="69"/>
        <v>0</v>
      </c>
      <c r="M163" s="167">
        <f>IF(B163="","",IF(F163=0,0,IF(Simulador!$F$11='Tabla Parámetros'!$W$1,'Tabla Parámetros'!$W$28,IF(Simulador!$F$11='Tabla Parámetros'!$Y$1,'Tabla Parámetros'!$Y$12))))</f>
        <v>299</v>
      </c>
      <c r="N163" s="167">
        <f>IF(B163="","",IF(F163=0,0,IF(Simulador!$N$7='Tabla Parámetros'!$C$31,AportPat!L143,0)))</f>
        <v>0</v>
      </c>
      <c r="O163" s="167">
        <f>Simulador!O531</f>
        <v>0</v>
      </c>
      <c r="P163" s="167">
        <v>0</v>
      </c>
      <c r="Q163" s="167">
        <f t="shared" si="56"/>
        <v>10720.884210717657</v>
      </c>
      <c r="R163" s="167">
        <f t="shared" si="57"/>
        <v>676898.12358174392</v>
      </c>
      <c r="U163" s="6"/>
      <c r="V163" s="6"/>
      <c r="W163" s="6"/>
      <c r="X163" s="256">
        <f t="shared" si="52"/>
        <v>10720.884210717653</v>
      </c>
      <c r="Z163" s="201">
        <f t="shared" si="58"/>
        <v>4096.2035718245088</v>
      </c>
      <c r="AA163" s="201">
        <f t="shared" si="59"/>
        <v>6325.6806388931454</v>
      </c>
      <c r="AB163" s="202">
        <f t="shared" si="60"/>
        <v>10421.884210717653</v>
      </c>
      <c r="AC163" s="201">
        <f t="shared" si="61"/>
        <v>4096.2035718245079</v>
      </c>
      <c r="AD163" s="201">
        <f t="shared" si="62"/>
        <v>6325.6806388931454</v>
      </c>
      <c r="AE163" s="201">
        <f t="shared" si="71"/>
        <v>10421.884210717653</v>
      </c>
      <c r="AF163" s="201">
        <f t="shared" si="63"/>
        <v>4096.2035718245115</v>
      </c>
      <c r="AG163" s="201">
        <f t="shared" si="64"/>
        <v>6325.6806388931454</v>
      </c>
      <c r="AH163" s="201">
        <f t="shared" si="70"/>
        <v>10421.884210717657</v>
      </c>
    </row>
    <row r="164" spans="2:34" x14ac:dyDescent="0.3">
      <c r="B164" s="181">
        <f t="shared" si="65"/>
        <v>141</v>
      </c>
      <c r="C164" s="180">
        <f t="shared" si="66"/>
        <v>30.4</v>
      </c>
      <c r="D164" s="165">
        <f>IF(B164="","",Simulador!$F$62)</f>
        <v>0.11</v>
      </c>
      <c r="E164" s="167"/>
      <c r="F164" s="167">
        <f t="shared" si="67"/>
        <v>676898.12358174392</v>
      </c>
      <c r="G164" s="166"/>
      <c r="H164" s="167">
        <f t="shared" si="54"/>
        <v>4134.2527516694581</v>
      </c>
      <c r="I164" s="167">
        <f t="shared" si="68"/>
        <v>6287.6314590481988</v>
      </c>
      <c r="J164" s="167">
        <f t="shared" si="53"/>
        <v>10421.884210717657</v>
      </c>
      <c r="K164" s="167">
        <f t="shared" si="55"/>
        <v>0</v>
      </c>
      <c r="L164" s="167">
        <f t="shared" si="69"/>
        <v>0</v>
      </c>
      <c r="M164" s="167">
        <f>IF(B164="","",IF(F164=0,0,IF(Simulador!$F$11='Tabla Parámetros'!$W$1,'Tabla Parámetros'!$W$28,IF(Simulador!$F$11='Tabla Parámetros'!$Y$1,'Tabla Parámetros'!$Y$12))))</f>
        <v>299</v>
      </c>
      <c r="N164" s="167">
        <f>IF(B164="","",IF(F164=0,0,IF(Simulador!$N$7='Tabla Parámetros'!$C$31,AportPat!L144,0)))</f>
        <v>0</v>
      </c>
      <c r="O164" s="167">
        <f>Simulador!O532</f>
        <v>0</v>
      </c>
      <c r="P164" s="167">
        <v>0</v>
      </c>
      <c r="Q164" s="167">
        <f t="shared" si="56"/>
        <v>10720.884210717657</v>
      </c>
      <c r="R164" s="167">
        <f t="shared" si="57"/>
        <v>672763.87083007442</v>
      </c>
      <c r="U164" s="6"/>
      <c r="V164" s="6"/>
      <c r="W164" s="6"/>
      <c r="X164" s="256">
        <f t="shared" si="52"/>
        <v>10720.884210717653</v>
      </c>
      <c r="Z164" s="201">
        <f t="shared" si="58"/>
        <v>4134.2527516694563</v>
      </c>
      <c r="AA164" s="201">
        <f t="shared" si="59"/>
        <v>6287.6314590481988</v>
      </c>
      <c r="AB164" s="202">
        <f t="shared" si="60"/>
        <v>10421.884210717655</v>
      </c>
      <c r="AC164" s="201">
        <f t="shared" si="61"/>
        <v>4134.2527516694545</v>
      </c>
      <c r="AD164" s="201">
        <f t="shared" si="62"/>
        <v>6287.6314590481988</v>
      </c>
      <c r="AE164" s="201">
        <f t="shared" si="71"/>
        <v>10421.884210717653</v>
      </c>
      <c r="AF164" s="201">
        <f t="shared" si="63"/>
        <v>4134.2527516694581</v>
      </c>
      <c r="AG164" s="201">
        <f t="shared" si="64"/>
        <v>6287.6314590481988</v>
      </c>
      <c r="AH164" s="201">
        <f t="shared" si="70"/>
        <v>10421.884210717657</v>
      </c>
    </row>
    <row r="165" spans="2:34" x14ac:dyDescent="0.3">
      <c r="B165" s="179">
        <f t="shared" si="65"/>
        <v>142</v>
      </c>
      <c r="C165" s="180">
        <f t="shared" si="66"/>
        <v>30.4</v>
      </c>
      <c r="D165" s="165">
        <f>IF(B165="","",Simulador!$F$62)</f>
        <v>0.11</v>
      </c>
      <c r="E165" s="167"/>
      <c r="F165" s="167">
        <f t="shared" si="67"/>
        <v>672763.87083007442</v>
      </c>
      <c r="G165" s="166"/>
      <c r="H165" s="167">
        <f t="shared" si="54"/>
        <v>4172.6553661182998</v>
      </c>
      <c r="I165" s="167">
        <f t="shared" si="68"/>
        <v>6249.2288445993572</v>
      </c>
      <c r="J165" s="167">
        <f t="shared" si="53"/>
        <v>10421.884210717657</v>
      </c>
      <c r="K165" s="167">
        <f t="shared" si="55"/>
        <v>0</v>
      </c>
      <c r="L165" s="167">
        <f t="shared" si="69"/>
        <v>0</v>
      </c>
      <c r="M165" s="167">
        <f>IF(B165="","",IF(F165=0,0,IF(Simulador!$F$11='Tabla Parámetros'!$W$1,'Tabla Parámetros'!$W$28,IF(Simulador!$F$11='Tabla Parámetros'!$Y$1,'Tabla Parámetros'!$Y$12))))</f>
        <v>299</v>
      </c>
      <c r="N165" s="167">
        <f>IF(B165="","",IF(F165=0,0,IF(Simulador!$N$7='Tabla Parámetros'!$C$31,AportPat!L145,0)))</f>
        <v>0</v>
      </c>
      <c r="O165" s="167">
        <f>Simulador!O533</f>
        <v>0</v>
      </c>
      <c r="P165" s="167">
        <v>0</v>
      </c>
      <c r="Q165" s="167">
        <f t="shared" si="56"/>
        <v>10720.884210717657</v>
      </c>
      <c r="R165" s="167">
        <f t="shared" si="57"/>
        <v>668591.21546395612</v>
      </c>
      <c r="U165" s="6"/>
      <c r="V165" s="6"/>
      <c r="W165" s="6"/>
      <c r="X165" s="256">
        <f t="shared" si="52"/>
        <v>10720.884210717653</v>
      </c>
      <c r="Z165" s="201">
        <f t="shared" si="58"/>
        <v>4172.655366118297</v>
      </c>
      <c r="AA165" s="201">
        <f t="shared" si="59"/>
        <v>6249.2288445993572</v>
      </c>
      <c r="AB165" s="202">
        <f t="shared" si="60"/>
        <v>10421.884210717653</v>
      </c>
      <c r="AC165" s="201">
        <f t="shared" si="61"/>
        <v>4172.6553661182961</v>
      </c>
      <c r="AD165" s="201">
        <f t="shared" si="62"/>
        <v>6249.2288445993572</v>
      </c>
      <c r="AE165" s="201">
        <f t="shared" si="71"/>
        <v>10421.884210717653</v>
      </c>
      <c r="AF165" s="201">
        <f t="shared" si="63"/>
        <v>4172.6553661182998</v>
      </c>
      <c r="AG165" s="201">
        <f t="shared" si="64"/>
        <v>6249.2288445993572</v>
      </c>
      <c r="AH165" s="201">
        <f t="shared" si="70"/>
        <v>10421.884210717657</v>
      </c>
    </row>
    <row r="166" spans="2:34" x14ac:dyDescent="0.3">
      <c r="B166" s="179">
        <f t="shared" si="65"/>
        <v>143</v>
      </c>
      <c r="C166" s="180">
        <f t="shared" si="66"/>
        <v>30.4</v>
      </c>
      <c r="D166" s="165">
        <f>IF(B166="","",Simulador!$F$62)</f>
        <v>0.11</v>
      </c>
      <c r="E166" s="167"/>
      <c r="F166" s="167">
        <f t="shared" si="67"/>
        <v>668591.21546395612</v>
      </c>
      <c r="G166" s="166"/>
      <c r="H166" s="167">
        <f t="shared" si="54"/>
        <v>4211.4146981857948</v>
      </c>
      <c r="I166" s="167">
        <f t="shared" si="68"/>
        <v>6210.4695125318585</v>
      </c>
      <c r="J166" s="167">
        <f t="shared" si="53"/>
        <v>10421.884210717653</v>
      </c>
      <c r="K166" s="167">
        <f t="shared" si="55"/>
        <v>0</v>
      </c>
      <c r="L166" s="167">
        <f t="shared" si="69"/>
        <v>0</v>
      </c>
      <c r="M166" s="167">
        <f>IF(B166="","",IF(F166=0,0,IF(Simulador!$F$11='Tabla Parámetros'!$W$1,'Tabla Parámetros'!$W$28,IF(Simulador!$F$11='Tabla Parámetros'!$Y$1,'Tabla Parámetros'!$Y$12))))</f>
        <v>299</v>
      </c>
      <c r="N166" s="167">
        <f>IF(B166="","",IF(F166=0,0,IF(Simulador!$N$7='Tabla Parámetros'!$C$31,AportPat!L146,0)))</f>
        <v>0</v>
      </c>
      <c r="O166" s="167">
        <f>Simulador!O534</f>
        <v>0</v>
      </c>
      <c r="P166" s="167">
        <v>0</v>
      </c>
      <c r="Q166" s="167">
        <f t="shared" si="56"/>
        <v>10720.884210717653</v>
      </c>
      <c r="R166" s="167">
        <f t="shared" si="57"/>
        <v>664379.80076577037</v>
      </c>
      <c r="U166" s="6"/>
      <c r="V166" s="6"/>
      <c r="W166" s="6"/>
      <c r="X166" s="256">
        <f t="shared" si="52"/>
        <v>10720.884210717653</v>
      </c>
      <c r="Z166" s="201">
        <f t="shared" si="58"/>
        <v>4211.4146981857957</v>
      </c>
      <c r="AA166" s="201">
        <f t="shared" si="59"/>
        <v>6210.4695125318585</v>
      </c>
      <c r="AB166" s="202">
        <f t="shared" si="60"/>
        <v>10421.884210717653</v>
      </c>
      <c r="AC166" s="201">
        <f t="shared" si="61"/>
        <v>4211.4146981857948</v>
      </c>
      <c r="AD166" s="201">
        <f t="shared" si="62"/>
        <v>6210.4695125318585</v>
      </c>
      <c r="AE166" s="201">
        <f t="shared" si="71"/>
        <v>10421.884210717653</v>
      </c>
      <c r="AF166" s="201">
        <f t="shared" si="63"/>
        <v>4211.4146981857948</v>
      </c>
      <c r="AG166" s="201">
        <f t="shared" si="64"/>
        <v>6210.4695125318585</v>
      </c>
      <c r="AH166" s="201">
        <f t="shared" si="70"/>
        <v>10421.884210717653</v>
      </c>
    </row>
    <row r="167" spans="2:34" x14ac:dyDescent="0.3">
      <c r="B167" s="179">
        <f t="shared" si="65"/>
        <v>144</v>
      </c>
      <c r="C167" s="180">
        <f t="shared" si="66"/>
        <v>30.4</v>
      </c>
      <c r="D167" s="165">
        <f>IF(B167="","",Simulador!$F$62)</f>
        <v>0.11</v>
      </c>
      <c r="E167" s="167"/>
      <c r="F167" s="167">
        <f t="shared" si="67"/>
        <v>664379.80076577037</v>
      </c>
      <c r="G167" s="166"/>
      <c r="H167" s="167">
        <f t="shared" si="54"/>
        <v>4250.5340613822755</v>
      </c>
      <c r="I167" s="167">
        <f t="shared" si="68"/>
        <v>6171.3501493353779</v>
      </c>
      <c r="J167" s="167">
        <f t="shared" si="53"/>
        <v>10421.884210717653</v>
      </c>
      <c r="K167" s="167">
        <f t="shared" si="55"/>
        <v>0</v>
      </c>
      <c r="L167" s="167">
        <f t="shared" si="69"/>
        <v>0</v>
      </c>
      <c r="M167" s="167">
        <f>IF(B167="","",IF(F167=0,0,IF(Simulador!$F$11='Tabla Parámetros'!$W$1,'Tabla Parámetros'!$W$28,IF(Simulador!$F$11='Tabla Parámetros'!$Y$1,'Tabla Parámetros'!$Y$12))))</f>
        <v>299</v>
      </c>
      <c r="N167" s="167">
        <f>IF(B167="","",IF(F167=0,0,IF(Simulador!$N$7='Tabla Parámetros'!$C$31,AportPat!L147,0)))</f>
        <v>0</v>
      </c>
      <c r="O167" s="167">
        <f>Simulador!O535</f>
        <v>0</v>
      </c>
      <c r="P167" s="167">
        <v>0</v>
      </c>
      <c r="Q167" s="167">
        <f t="shared" si="56"/>
        <v>10720.884210717653</v>
      </c>
      <c r="R167" s="167">
        <f t="shared" si="57"/>
        <v>660129.26670438808</v>
      </c>
      <c r="U167" s="6"/>
      <c r="V167" s="6"/>
      <c r="W167" s="6"/>
      <c r="X167" s="256">
        <f t="shared" si="52"/>
        <v>10720.884210717653</v>
      </c>
      <c r="Z167" s="201">
        <f t="shared" si="58"/>
        <v>4250.5340613822773</v>
      </c>
      <c r="AA167" s="201">
        <f t="shared" si="59"/>
        <v>6171.3501493353779</v>
      </c>
      <c r="AB167" s="202">
        <f t="shared" si="60"/>
        <v>10421.884210717655</v>
      </c>
      <c r="AC167" s="201">
        <f t="shared" si="61"/>
        <v>4250.5340613822755</v>
      </c>
      <c r="AD167" s="201">
        <f t="shared" si="62"/>
        <v>6171.3501493353779</v>
      </c>
      <c r="AE167" s="201">
        <f t="shared" si="71"/>
        <v>10421.884210717653</v>
      </c>
      <c r="AF167" s="201">
        <f t="shared" si="63"/>
        <v>4250.5340613822755</v>
      </c>
      <c r="AG167" s="201">
        <f t="shared" si="64"/>
        <v>6171.3501493353779</v>
      </c>
      <c r="AH167" s="201">
        <f t="shared" si="70"/>
        <v>10421.884210717653</v>
      </c>
    </row>
    <row r="168" spans="2:34" x14ac:dyDescent="0.3">
      <c r="B168" s="181">
        <f t="shared" si="65"/>
        <v>145</v>
      </c>
      <c r="C168" s="180">
        <f t="shared" si="66"/>
        <v>30.4</v>
      </c>
      <c r="D168" s="165">
        <f>IF(B168="","",Simulador!$F$62)</f>
        <v>0.11</v>
      </c>
      <c r="E168" s="167"/>
      <c r="F168" s="167">
        <f t="shared" si="67"/>
        <v>660129.26670438808</v>
      </c>
      <c r="G168" s="166"/>
      <c r="H168" s="167">
        <f t="shared" si="54"/>
        <v>4290.0167999968971</v>
      </c>
      <c r="I168" s="167">
        <f t="shared" si="68"/>
        <v>6131.8674107207598</v>
      </c>
      <c r="J168" s="167">
        <f t="shared" si="53"/>
        <v>10421.884210717657</v>
      </c>
      <c r="K168" s="167">
        <f t="shared" si="55"/>
        <v>0</v>
      </c>
      <c r="L168" s="167">
        <f t="shared" si="69"/>
        <v>0</v>
      </c>
      <c r="M168" s="167">
        <f>IF(B168="","",IF(F168=0,0,IF(Simulador!$F$11='Tabla Parámetros'!$W$1,'Tabla Parámetros'!$W$28,IF(Simulador!$F$11='Tabla Parámetros'!$Y$1,'Tabla Parámetros'!$Y$12))))</f>
        <v>299</v>
      </c>
      <c r="N168" s="167">
        <f>IF(B168="","",IF(F168=0,0,IF(Simulador!$N$7='Tabla Parámetros'!$C$31,AportPat!L148,0)))</f>
        <v>0</v>
      </c>
      <c r="O168" s="167">
        <f>Simulador!O536</f>
        <v>0</v>
      </c>
      <c r="P168" s="167">
        <v>0</v>
      </c>
      <c r="Q168" s="167">
        <f t="shared" si="56"/>
        <v>10720.884210717657</v>
      </c>
      <c r="R168" s="167">
        <f t="shared" si="57"/>
        <v>655839.24990439124</v>
      </c>
      <c r="U168" s="6"/>
      <c r="V168" s="6"/>
      <c r="W168" s="6"/>
      <c r="X168" s="256">
        <f t="shared" si="52"/>
        <v>10720.884210717653</v>
      </c>
      <c r="Z168" s="201">
        <f t="shared" si="58"/>
        <v>4290.0167999968953</v>
      </c>
      <c r="AA168" s="201">
        <f t="shared" si="59"/>
        <v>6131.8674107207598</v>
      </c>
      <c r="AB168" s="202">
        <f t="shared" si="60"/>
        <v>10421.884210717655</v>
      </c>
      <c r="AC168" s="201">
        <f t="shared" si="61"/>
        <v>4290.0167999968935</v>
      </c>
      <c r="AD168" s="201">
        <f t="shared" si="62"/>
        <v>6131.8674107207598</v>
      </c>
      <c r="AE168" s="201">
        <f t="shared" si="71"/>
        <v>10421.884210717653</v>
      </c>
      <c r="AF168" s="201">
        <f t="shared" si="63"/>
        <v>4290.0167999968971</v>
      </c>
      <c r="AG168" s="201">
        <f t="shared" si="64"/>
        <v>6131.8674107207598</v>
      </c>
      <c r="AH168" s="201">
        <f t="shared" si="70"/>
        <v>10421.884210717657</v>
      </c>
    </row>
    <row r="169" spans="2:34" x14ac:dyDescent="0.3">
      <c r="B169" s="179">
        <f t="shared" si="65"/>
        <v>146</v>
      </c>
      <c r="C169" s="180">
        <f t="shared" si="66"/>
        <v>30.4</v>
      </c>
      <c r="D169" s="165">
        <f>IF(B169="","",Simulador!$F$62)</f>
        <v>0.11</v>
      </c>
      <c r="E169" s="167"/>
      <c r="F169" s="167">
        <f t="shared" si="67"/>
        <v>655839.24990439124</v>
      </c>
      <c r="G169" s="166"/>
      <c r="H169" s="167">
        <f t="shared" si="54"/>
        <v>4329.8662893835308</v>
      </c>
      <c r="I169" s="167">
        <f t="shared" si="68"/>
        <v>6092.0179213341225</v>
      </c>
      <c r="J169" s="167">
        <f t="shared" si="53"/>
        <v>10421.884210717653</v>
      </c>
      <c r="K169" s="167">
        <f t="shared" si="55"/>
        <v>0</v>
      </c>
      <c r="L169" s="167">
        <f t="shared" si="69"/>
        <v>0</v>
      </c>
      <c r="M169" s="167">
        <f>IF(B169="","",IF(F169=0,0,IF(Simulador!$F$11='Tabla Parámetros'!$W$1,'Tabla Parámetros'!$W$28,IF(Simulador!$F$11='Tabla Parámetros'!$Y$1,'Tabla Parámetros'!$Y$12))))</f>
        <v>299</v>
      </c>
      <c r="N169" s="167">
        <f>IF(B169="","",IF(F169=0,0,IF(Simulador!$N$7='Tabla Parámetros'!$C$31,AportPat!L149,0)))</f>
        <v>0</v>
      </c>
      <c r="O169" s="167">
        <f>Simulador!O537</f>
        <v>0</v>
      </c>
      <c r="P169" s="167">
        <v>0</v>
      </c>
      <c r="Q169" s="167">
        <f t="shared" si="56"/>
        <v>10720.884210717653</v>
      </c>
      <c r="R169" s="167">
        <f t="shared" si="57"/>
        <v>651509.38361500774</v>
      </c>
      <c r="U169" s="6"/>
      <c r="V169" s="6"/>
      <c r="W169" s="6"/>
      <c r="X169" s="256">
        <f t="shared" si="52"/>
        <v>10720.884210717653</v>
      </c>
      <c r="Z169" s="201">
        <f t="shared" si="58"/>
        <v>4329.8662893835335</v>
      </c>
      <c r="AA169" s="201">
        <f t="shared" si="59"/>
        <v>6092.0179213341225</v>
      </c>
      <c r="AB169" s="202">
        <f t="shared" si="60"/>
        <v>10421.884210717657</v>
      </c>
      <c r="AC169" s="201">
        <f t="shared" si="61"/>
        <v>4329.8662893835308</v>
      </c>
      <c r="AD169" s="201">
        <f t="shared" si="62"/>
        <v>6092.0179213341225</v>
      </c>
      <c r="AE169" s="201">
        <f t="shared" si="71"/>
        <v>10421.884210717653</v>
      </c>
      <c r="AF169" s="201">
        <f t="shared" si="63"/>
        <v>4329.8662893835308</v>
      </c>
      <c r="AG169" s="201">
        <f t="shared" si="64"/>
        <v>6092.0179213341225</v>
      </c>
      <c r="AH169" s="201">
        <f t="shared" si="70"/>
        <v>10421.884210717653</v>
      </c>
    </row>
    <row r="170" spans="2:34" x14ac:dyDescent="0.3">
      <c r="B170" s="179">
        <f t="shared" si="65"/>
        <v>147</v>
      </c>
      <c r="C170" s="180">
        <f t="shared" si="66"/>
        <v>30.4</v>
      </c>
      <c r="D170" s="165">
        <f>IF(B170="","",Simulador!$F$62)</f>
        <v>0.11</v>
      </c>
      <c r="E170" s="167"/>
      <c r="F170" s="167">
        <f t="shared" si="67"/>
        <v>651509.38361500774</v>
      </c>
      <c r="G170" s="166"/>
      <c r="H170" s="167">
        <f t="shared" si="54"/>
        <v>4370.0859362493629</v>
      </c>
      <c r="I170" s="167">
        <f t="shared" si="68"/>
        <v>6051.798274468294</v>
      </c>
      <c r="J170" s="167">
        <f t="shared" si="53"/>
        <v>10421.884210717657</v>
      </c>
      <c r="K170" s="167">
        <f t="shared" si="55"/>
        <v>0</v>
      </c>
      <c r="L170" s="167">
        <f t="shared" si="69"/>
        <v>0</v>
      </c>
      <c r="M170" s="167">
        <f>IF(B170="","",IF(F170=0,0,IF(Simulador!$F$11='Tabla Parámetros'!$W$1,'Tabla Parámetros'!$W$28,IF(Simulador!$F$11='Tabla Parámetros'!$Y$1,'Tabla Parámetros'!$Y$12))))</f>
        <v>299</v>
      </c>
      <c r="N170" s="167">
        <f>IF(B170="","",IF(F170=0,0,IF(Simulador!$N$7='Tabla Parámetros'!$C$31,AportPat!L150,0)))</f>
        <v>0</v>
      </c>
      <c r="O170" s="167">
        <f>Simulador!O538</f>
        <v>0</v>
      </c>
      <c r="P170" s="167">
        <v>0</v>
      </c>
      <c r="Q170" s="167">
        <f t="shared" si="56"/>
        <v>10720.884210717657</v>
      </c>
      <c r="R170" s="167">
        <f t="shared" si="57"/>
        <v>647139.29767875839</v>
      </c>
      <c r="U170" s="6"/>
      <c r="V170" s="6"/>
      <c r="W170" s="6"/>
      <c r="X170" s="256">
        <f t="shared" si="52"/>
        <v>10720.884210717653</v>
      </c>
      <c r="Z170" s="201">
        <f t="shared" si="58"/>
        <v>4370.085936249362</v>
      </c>
      <c r="AA170" s="201">
        <f t="shared" si="59"/>
        <v>6051.798274468294</v>
      </c>
      <c r="AB170" s="202">
        <f t="shared" si="60"/>
        <v>10421.884210717657</v>
      </c>
      <c r="AC170" s="201">
        <f t="shared" si="61"/>
        <v>4370.0859362493593</v>
      </c>
      <c r="AD170" s="201">
        <f t="shared" si="62"/>
        <v>6051.798274468294</v>
      </c>
      <c r="AE170" s="201">
        <f t="shared" si="71"/>
        <v>10421.884210717653</v>
      </c>
      <c r="AF170" s="201">
        <f t="shared" si="63"/>
        <v>4370.0859362493629</v>
      </c>
      <c r="AG170" s="201">
        <f t="shared" si="64"/>
        <v>6051.798274468294</v>
      </c>
      <c r="AH170" s="201">
        <f t="shared" si="70"/>
        <v>10421.884210717657</v>
      </c>
    </row>
    <row r="171" spans="2:34" x14ac:dyDescent="0.3">
      <c r="B171" s="179">
        <f t="shared" si="65"/>
        <v>148</v>
      </c>
      <c r="C171" s="180">
        <f t="shared" si="66"/>
        <v>30.4</v>
      </c>
      <c r="D171" s="165">
        <f>IF(B171="","",Simulador!$F$62)</f>
        <v>0.11</v>
      </c>
      <c r="E171" s="167"/>
      <c r="F171" s="167">
        <f t="shared" si="67"/>
        <v>647139.29767875839</v>
      </c>
      <c r="G171" s="166"/>
      <c r="H171" s="167">
        <f t="shared" si="54"/>
        <v>4410.6791789460794</v>
      </c>
      <c r="I171" s="167">
        <f t="shared" si="68"/>
        <v>6011.2050317715775</v>
      </c>
      <c r="J171" s="167">
        <f t="shared" si="53"/>
        <v>10421.884210717657</v>
      </c>
      <c r="K171" s="167">
        <f t="shared" si="55"/>
        <v>0</v>
      </c>
      <c r="L171" s="167">
        <f t="shared" si="69"/>
        <v>0</v>
      </c>
      <c r="M171" s="167">
        <f>IF(B171="","",IF(F171=0,0,IF(Simulador!$F$11='Tabla Parámetros'!$W$1,'Tabla Parámetros'!$W$28,IF(Simulador!$F$11='Tabla Parámetros'!$Y$1,'Tabla Parámetros'!$Y$12))))</f>
        <v>299</v>
      </c>
      <c r="N171" s="167">
        <f>IF(B171="","",IF(F171=0,0,IF(Simulador!$N$7='Tabla Parámetros'!$C$31,AportPat!L151,0)))</f>
        <v>0</v>
      </c>
      <c r="O171" s="167">
        <f>Simulador!O539</f>
        <v>0</v>
      </c>
      <c r="P171" s="167">
        <v>0</v>
      </c>
      <c r="Q171" s="167">
        <f t="shared" si="56"/>
        <v>10720.884210717657</v>
      </c>
      <c r="R171" s="167">
        <f t="shared" si="57"/>
        <v>642728.61849981232</v>
      </c>
      <c r="U171" s="6"/>
      <c r="V171" s="6"/>
      <c r="W171" s="6"/>
      <c r="X171" s="256">
        <f t="shared" si="52"/>
        <v>10720.884210717653</v>
      </c>
      <c r="Z171" s="201">
        <f t="shared" si="58"/>
        <v>4410.6791789460785</v>
      </c>
      <c r="AA171" s="201">
        <f t="shared" si="59"/>
        <v>6011.2050317715775</v>
      </c>
      <c r="AB171" s="202">
        <f t="shared" si="60"/>
        <v>10421.884210717657</v>
      </c>
      <c r="AC171" s="201">
        <f t="shared" si="61"/>
        <v>4410.6791789460758</v>
      </c>
      <c r="AD171" s="201">
        <f t="shared" si="62"/>
        <v>6011.2050317715775</v>
      </c>
      <c r="AE171" s="201">
        <f t="shared" si="71"/>
        <v>10421.884210717653</v>
      </c>
      <c r="AF171" s="201">
        <f t="shared" si="63"/>
        <v>4410.6791789460794</v>
      </c>
      <c r="AG171" s="201">
        <f t="shared" si="64"/>
        <v>6011.2050317715775</v>
      </c>
      <c r="AH171" s="201">
        <f t="shared" si="70"/>
        <v>10421.884210717657</v>
      </c>
    </row>
    <row r="172" spans="2:34" x14ac:dyDescent="0.3">
      <c r="B172" s="181">
        <f t="shared" si="65"/>
        <v>149</v>
      </c>
      <c r="C172" s="180">
        <f t="shared" si="66"/>
        <v>30.4</v>
      </c>
      <c r="D172" s="165">
        <f>IF(B172="","",Simulador!$F$62)</f>
        <v>0.11</v>
      </c>
      <c r="E172" s="167"/>
      <c r="F172" s="167">
        <f t="shared" si="67"/>
        <v>642728.61849981232</v>
      </c>
      <c r="G172" s="166"/>
      <c r="H172" s="167">
        <f t="shared" si="54"/>
        <v>4451.649487763847</v>
      </c>
      <c r="I172" s="167">
        <f t="shared" si="68"/>
        <v>5970.2347229538118</v>
      </c>
      <c r="J172" s="167">
        <f t="shared" si="53"/>
        <v>10421.884210717659</v>
      </c>
      <c r="K172" s="167">
        <f t="shared" si="55"/>
        <v>0</v>
      </c>
      <c r="L172" s="167">
        <f t="shared" si="69"/>
        <v>0</v>
      </c>
      <c r="M172" s="167">
        <f>IF(B172="","",IF(F172=0,0,IF(Simulador!$F$11='Tabla Parámetros'!$W$1,'Tabla Parámetros'!$W$28,IF(Simulador!$F$11='Tabla Parámetros'!$Y$1,'Tabla Parámetros'!$Y$12))))</f>
        <v>299</v>
      </c>
      <c r="N172" s="167">
        <f>IF(B172="","",IF(F172=0,0,IF(Simulador!$N$7='Tabla Parámetros'!$C$31,AportPat!L152,0)))</f>
        <v>0</v>
      </c>
      <c r="O172" s="167">
        <f>Simulador!O540</f>
        <v>0</v>
      </c>
      <c r="P172" s="167">
        <v>0</v>
      </c>
      <c r="Q172" s="167">
        <f t="shared" si="56"/>
        <v>10720.884210717659</v>
      </c>
      <c r="R172" s="167">
        <f t="shared" si="57"/>
        <v>638276.96901204844</v>
      </c>
      <c r="U172" s="6"/>
      <c r="V172" s="6"/>
      <c r="W172" s="6"/>
      <c r="X172" s="256">
        <f t="shared" si="52"/>
        <v>10720.884210717653</v>
      </c>
      <c r="Z172" s="201">
        <f t="shared" si="58"/>
        <v>4451.6494877638443</v>
      </c>
      <c r="AA172" s="201">
        <f t="shared" si="59"/>
        <v>5970.2347229538118</v>
      </c>
      <c r="AB172" s="202">
        <f t="shared" si="60"/>
        <v>10421.884210717657</v>
      </c>
      <c r="AC172" s="201">
        <f t="shared" si="61"/>
        <v>4451.6494877638415</v>
      </c>
      <c r="AD172" s="201">
        <f t="shared" si="62"/>
        <v>5970.2347229538118</v>
      </c>
      <c r="AE172" s="201">
        <f t="shared" si="71"/>
        <v>10421.884210717653</v>
      </c>
      <c r="AF172" s="201">
        <f t="shared" si="63"/>
        <v>4451.649487763847</v>
      </c>
      <c r="AG172" s="201">
        <f t="shared" si="64"/>
        <v>5970.2347229538118</v>
      </c>
      <c r="AH172" s="201">
        <f t="shared" si="70"/>
        <v>10421.884210717659</v>
      </c>
    </row>
    <row r="173" spans="2:34" x14ac:dyDescent="0.3">
      <c r="B173" s="179">
        <f t="shared" si="65"/>
        <v>150</v>
      </c>
      <c r="C173" s="180">
        <f t="shared" si="66"/>
        <v>30.4</v>
      </c>
      <c r="D173" s="165">
        <f>IF(B173="","",Simulador!$F$62)</f>
        <v>0.11</v>
      </c>
      <c r="E173" s="167"/>
      <c r="F173" s="167">
        <f t="shared" si="67"/>
        <v>638276.96901204844</v>
      </c>
      <c r="G173" s="166"/>
      <c r="H173" s="167">
        <f t="shared" si="54"/>
        <v>4493.0003652279629</v>
      </c>
      <c r="I173" s="167">
        <f t="shared" si="68"/>
        <v>5928.8838454896941</v>
      </c>
      <c r="J173" s="167">
        <f t="shared" si="53"/>
        <v>10421.884210717657</v>
      </c>
      <c r="K173" s="167">
        <f t="shared" si="55"/>
        <v>0</v>
      </c>
      <c r="L173" s="167">
        <f t="shared" si="69"/>
        <v>0</v>
      </c>
      <c r="M173" s="167">
        <f>IF(B173="","",IF(F173=0,0,IF(Simulador!$F$11='Tabla Parámetros'!$W$1,'Tabla Parámetros'!$W$28,IF(Simulador!$F$11='Tabla Parámetros'!$Y$1,'Tabla Parámetros'!$Y$12))))</f>
        <v>299</v>
      </c>
      <c r="N173" s="167">
        <f>IF(B173="","",IF(F173=0,0,IF(Simulador!$N$7='Tabla Parámetros'!$C$31,AportPat!L153,0)))</f>
        <v>0</v>
      </c>
      <c r="O173" s="167">
        <f>Simulador!O541</f>
        <v>0</v>
      </c>
      <c r="P173" s="167">
        <v>0</v>
      </c>
      <c r="Q173" s="167">
        <f t="shared" si="56"/>
        <v>10720.884210717657</v>
      </c>
      <c r="R173" s="167">
        <f t="shared" si="57"/>
        <v>633783.96864682052</v>
      </c>
      <c r="U173" s="6"/>
      <c r="V173" s="6"/>
      <c r="W173" s="6"/>
      <c r="X173" s="256">
        <f t="shared" si="52"/>
        <v>10720.884210717653</v>
      </c>
      <c r="Z173" s="201">
        <f t="shared" si="58"/>
        <v>4493.0003652279611</v>
      </c>
      <c r="AA173" s="201">
        <f t="shared" si="59"/>
        <v>5928.8838454896941</v>
      </c>
      <c r="AB173" s="202">
        <f t="shared" si="60"/>
        <v>10421.884210717655</v>
      </c>
      <c r="AC173" s="201">
        <f t="shared" si="61"/>
        <v>4493.0003652279593</v>
      </c>
      <c r="AD173" s="201">
        <f t="shared" si="62"/>
        <v>5928.8838454896941</v>
      </c>
      <c r="AE173" s="201">
        <f t="shared" si="71"/>
        <v>10421.884210717653</v>
      </c>
      <c r="AF173" s="201">
        <f t="shared" si="63"/>
        <v>4493.0003652279629</v>
      </c>
      <c r="AG173" s="201">
        <f t="shared" si="64"/>
        <v>5928.8838454896941</v>
      </c>
      <c r="AH173" s="201">
        <f t="shared" si="70"/>
        <v>10421.884210717657</v>
      </c>
    </row>
    <row r="174" spans="2:34" x14ac:dyDescent="0.3">
      <c r="B174" s="179">
        <f t="shared" si="65"/>
        <v>151</v>
      </c>
      <c r="C174" s="180">
        <f t="shared" si="66"/>
        <v>30.4</v>
      </c>
      <c r="D174" s="165">
        <f>IF(B174="","",Simulador!$F$62)</f>
        <v>0.11</v>
      </c>
      <c r="E174" s="167"/>
      <c r="F174" s="167">
        <f t="shared" si="67"/>
        <v>633783.96864682052</v>
      </c>
      <c r="G174" s="166"/>
      <c r="H174" s="167">
        <f t="shared" si="54"/>
        <v>4534.7353463983027</v>
      </c>
      <c r="I174" s="167">
        <f t="shared" si="68"/>
        <v>5887.1488643193543</v>
      </c>
      <c r="J174" s="167">
        <f t="shared" si="53"/>
        <v>10421.884210717657</v>
      </c>
      <c r="K174" s="167">
        <f t="shared" si="55"/>
        <v>0</v>
      </c>
      <c r="L174" s="167">
        <f t="shared" si="69"/>
        <v>0</v>
      </c>
      <c r="M174" s="167">
        <f>IF(B174="","",IF(F174=0,0,IF(Simulador!$F$11='Tabla Parámetros'!$W$1,'Tabla Parámetros'!$W$28,IF(Simulador!$F$11='Tabla Parámetros'!$Y$1,'Tabla Parámetros'!$Y$12))))</f>
        <v>299</v>
      </c>
      <c r="N174" s="167">
        <f>IF(B174="","",IF(F174=0,0,IF(Simulador!$N$7='Tabla Parámetros'!$C$31,AportPat!L154,0)))</f>
        <v>0</v>
      </c>
      <c r="O174" s="167">
        <f>Simulador!O542</f>
        <v>0</v>
      </c>
      <c r="P174" s="167">
        <v>0</v>
      </c>
      <c r="Q174" s="167">
        <f t="shared" si="56"/>
        <v>10720.884210717657</v>
      </c>
      <c r="R174" s="167">
        <f t="shared" si="57"/>
        <v>629249.2333004222</v>
      </c>
      <c r="U174" s="6"/>
      <c r="V174" s="6"/>
      <c r="W174" s="6"/>
      <c r="X174" s="256">
        <f t="shared" si="52"/>
        <v>10720.884210717653</v>
      </c>
      <c r="Z174" s="201">
        <f t="shared" si="58"/>
        <v>4534.7353463983018</v>
      </c>
      <c r="AA174" s="201">
        <f t="shared" si="59"/>
        <v>5887.1488643193543</v>
      </c>
      <c r="AB174" s="202">
        <f t="shared" si="60"/>
        <v>10421.884210717657</v>
      </c>
      <c r="AC174" s="201">
        <f t="shared" si="61"/>
        <v>4534.735346398299</v>
      </c>
      <c r="AD174" s="201">
        <f t="shared" si="62"/>
        <v>5887.1488643193543</v>
      </c>
      <c r="AE174" s="201">
        <f t="shared" si="71"/>
        <v>10421.884210717653</v>
      </c>
      <c r="AF174" s="201">
        <f t="shared" si="63"/>
        <v>4534.7353463983027</v>
      </c>
      <c r="AG174" s="201">
        <f t="shared" si="64"/>
        <v>5887.1488643193543</v>
      </c>
      <c r="AH174" s="201">
        <f t="shared" si="70"/>
        <v>10421.884210717657</v>
      </c>
    </row>
    <row r="175" spans="2:34" x14ac:dyDescent="0.3">
      <c r="B175" s="179">
        <f t="shared" si="65"/>
        <v>152</v>
      </c>
      <c r="C175" s="180">
        <f t="shared" si="66"/>
        <v>30.4</v>
      </c>
      <c r="D175" s="165">
        <f>IF(B175="","",Simulador!$F$62)</f>
        <v>0.11</v>
      </c>
      <c r="E175" s="167"/>
      <c r="F175" s="167">
        <f t="shared" si="67"/>
        <v>629249.2333004222</v>
      </c>
      <c r="G175" s="166"/>
      <c r="H175" s="167">
        <f t="shared" si="54"/>
        <v>4576.8579991715151</v>
      </c>
      <c r="I175" s="167">
        <f t="shared" si="68"/>
        <v>5845.0262115461437</v>
      </c>
      <c r="J175" s="167">
        <f t="shared" si="53"/>
        <v>10421.884210717659</v>
      </c>
      <c r="K175" s="167">
        <f t="shared" si="55"/>
        <v>0</v>
      </c>
      <c r="L175" s="167">
        <f t="shared" si="69"/>
        <v>0</v>
      </c>
      <c r="M175" s="167">
        <f>IF(B175="","",IF(F175=0,0,IF(Simulador!$F$11='Tabla Parámetros'!$W$1,'Tabla Parámetros'!$W$28,IF(Simulador!$F$11='Tabla Parámetros'!$Y$1,'Tabla Parámetros'!$Y$12))))</f>
        <v>299</v>
      </c>
      <c r="N175" s="167">
        <f>IF(B175="","",IF(F175=0,0,IF(Simulador!$N$7='Tabla Parámetros'!$C$31,AportPat!L155,0)))</f>
        <v>0</v>
      </c>
      <c r="O175" s="167">
        <f>Simulador!O543</f>
        <v>0</v>
      </c>
      <c r="P175" s="167">
        <v>0</v>
      </c>
      <c r="Q175" s="167">
        <f t="shared" si="56"/>
        <v>10720.884210717659</v>
      </c>
      <c r="R175" s="167">
        <f t="shared" si="57"/>
        <v>624672.37530125072</v>
      </c>
      <c r="U175" s="6"/>
      <c r="V175" s="6"/>
      <c r="W175" s="6"/>
      <c r="X175" s="256">
        <f t="shared" si="52"/>
        <v>10720.884210717653</v>
      </c>
      <c r="Z175" s="201">
        <f t="shared" si="58"/>
        <v>4576.8579991715123</v>
      </c>
      <c r="AA175" s="201">
        <f t="shared" si="59"/>
        <v>5845.0262115461437</v>
      </c>
      <c r="AB175" s="202">
        <f t="shared" si="60"/>
        <v>10421.884210717657</v>
      </c>
      <c r="AC175" s="201">
        <f t="shared" si="61"/>
        <v>4576.8579991715096</v>
      </c>
      <c r="AD175" s="201">
        <f t="shared" si="62"/>
        <v>5845.0262115461437</v>
      </c>
      <c r="AE175" s="201">
        <f t="shared" si="71"/>
        <v>10421.884210717653</v>
      </c>
      <c r="AF175" s="201">
        <f t="shared" si="63"/>
        <v>4576.8579991715151</v>
      </c>
      <c r="AG175" s="201">
        <f t="shared" si="64"/>
        <v>5845.0262115461437</v>
      </c>
      <c r="AH175" s="201">
        <f t="shared" si="70"/>
        <v>10421.884210717659</v>
      </c>
    </row>
    <row r="176" spans="2:34" x14ac:dyDescent="0.3">
      <c r="B176" s="181">
        <f t="shared" si="65"/>
        <v>153</v>
      </c>
      <c r="C176" s="180">
        <f t="shared" si="66"/>
        <v>30.4</v>
      </c>
      <c r="D176" s="165">
        <f>IF(B176="","",Simulador!$F$62)</f>
        <v>0.11</v>
      </c>
      <c r="E176" s="167"/>
      <c r="F176" s="167">
        <f t="shared" si="67"/>
        <v>624672.37530125072</v>
      </c>
      <c r="G176" s="166"/>
      <c r="H176" s="167">
        <f t="shared" si="54"/>
        <v>4619.3719245860411</v>
      </c>
      <c r="I176" s="167">
        <f t="shared" si="68"/>
        <v>5802.5122861316177</v>
      </c>
      <c r="J176" s="167">
        <f t="shared" si="53"/>
        <v>10421.884210717659</v>
      </c>
      <c r="K176" s="167">
        <f t="shared" si="55"/>
        <v>0</v>
      </c>
      <c r="L176" s="167">
        <f t="shared" si="69"/>
        <v>0</v>
      </c>
      <c r="M176" s="167">
        <f>IF(B176="","",IF(F176=0,0,IF(Simulador!$F$11='Tabla Parámetros'!$W$1,'Tabla Parámetros'!$W$28,IF(Simulador!$F$11='Tabla Parámetros'!$Y$1,'Tabla Parámetros'!$Y$12))))</f>
        <v>299</v>
      </c>
      <c r="N176" s="167">
        <f>IF(B176="","",IF(F176=0,0,IF(Simulador!$N$7='Tabla Parámetros'!$C$31,AportPat!L156,0)))</f>
        <v>0</v>
      </c>
      <c r="O176" s="167">
        <f>Simulador!O544</f>
        <v>0</v>
      </c>
      <c r="P176" s="167">
        <v>0</v>
      </c>
      <c r="Q176" s="167">
        <f t="shared" si="56"/>
        <v>10720.884210717659</v>
      </c>
      <c r="R176" s="167">
        <f t="shared" si="57"/>
        <v>620053.00337666471</v>
      </c>
      <c r="U176" s="6"/>
      <c r="V176" s="6"/>
      <c r="W176" s="6"/>
      <c r="X176" s="256">
        <f t="shared" si="52"/>
        <v>10720.884210717653</v>
      </c>
      <c r="Z176" s="201">
        <f t="shared" si="58"/>
        <v>4619.3719245860393</v>
      </c>
      <c r="AA176" s="201">
        <f t="shared" si="59"/>
        <v>5802.5122861316177</v>
      </c>
      <c r="AB176" s="202">
        <f t="shared" si="60"/>
        <v>10421.884210717657</v>
      </c>
      <c r="AC176" s="201">
        <f t="shared" si="61"/>
        <v>4619.3719245860357</v>
      </c>
      <c r="AD176" s="201">
        <f t="shared" si="62"/>
        <v>5802.5122861316177</v>
      </c>
      <c r="AE176" s="201">
        <f t="shared" si="71"/>
        <v>10421.884210717653</v>
      </c>
      <c r="AF176" s="201">
        <f t="shared" si="63"/>
        <v>4619.3719245860411</v>
      </c>
      <c r="AG176" s="201">
        <f t="shared" si="64"/>
        <v>5802.5122861316177</v>
      </c>
      <c r="AH176" s="201">
        <f t="shared" si="70"/>
        <v>10421.884210717659</v>
      </c>
    </row>
    <row r="177" spans="2:34" x14ac:dyDescent="0.3">
      <c r="B177" s="179">
        <f t="shared" si="65"/>
        <v>154</v>
      </c>
      <c r="C177" s="180">
        <f t="shared" si="66"/>
        <v>30.4</v>
      </c>
      <c r="D177" s="165">
        <f>IF(B177="","",Simulador!$F$62)</f>
        <v>0.11</v>
      </c>
      <c r="E177" s="167"/>
      <c r="F177" s="167">
        <f t="shared" si="67"/>
        <v>620053.00337666471</v>
      </c>
      <c r="G177" s="166"/>
      <c r="H177" s="167">
        <f t="shared" si="54"/>
        <v>4662.2807571299736</v>
      </c>
      <c r="I177" s="167">
        <f t="shared" si="68"/>
        <v>5759.6034535876852</v>
      </c>
      <c r="J177" s="167">
        <f t="shared" si="53"/>
        <v>10421.884210717659</v>
      </c>
      <c r="K177" s="167">
        <f t="shared" si="55"/>
        <v>0</v>
      </c>
      <c r="L177" s="167">
        <f t="shared" si="69"/>
        <v>0</v>
      </c>
      <c r="M177" s="167">
        <f>IF(B177="","",IF(F177=0,0,IF(Simulador!$F$11='Tabla Parámetros'!$W$1,'Tabla Parámetros'!$W$28,IF(Simulador!$F$11='Tabla Parámetros'!$Y$1,'Tabla Parámetros'!$Y$12))))</f>
        <v>299</v>
      </c>
      <c r="N177" s="167">
        <f>IF(B177="","",IF(F177=0,0,IF(Simulador!$N$7='Tabla Parámetros'!$C$31,AportPat!L157,0)))</f>
        <v>0</v>
      </c>
      <c r="O177" s="167">
        <f>Simulador!O545</f>
        <v>0</v>
      </c>
      <c r="P177" s="167">
        <v>0</v>
      </c>
      <c r="Q177" s="167">
        <f t="shared" si="56"/>
        <v>10720.884210717659</v>
      </c>
      <c r="R177" s="167">
        <f t="shared" si="57"/>
        <v>615390.7226195347</v>
      </c>
      <c r="U177" s="6"/>
      <c r="V177" s="6"/>
      <c r="W177" s="6"/>
      <c r="X177" s="256">
        <f t="shared" si="52"/>
        <v>10720.884210717653</v>
      </c>
      <c r="Z177" s="201">
        <f t="shared" si="58"/>
        <v>4662.2807571299709</v>
      </c>
      <c r="AA177" s="201">
        <f t="shared" si="59"/>
        <v>5759.6034535876852</v>
      </c>
      <c r="AB177" s="202">
        <f t="shared" si="60"/>
        <v>10421.884210717657</v>
      </c>
      <c r="AC177" s="201">
        <f t="shared" si="61"/>
        <v>4662.2807571299682</v>
      </c>
      <c r="AD177" s="201">
        <f t="shared" si="62"/>
        <v>5759.6034535876852</v>
      </c>
      <c r="AE177" s="201">
        <f t="shared" si="71"/>
        <v>10421.884210717653</v>
      </c>
      <c r="AF177" s="201">
        <f t="shared" si="63"/>
        <v>4662.2807571299736</v>
      </c>
      <c r="AG177" s="201">
        <f t="shared" si="64"/>
        <v>5759.6034535876852</v>
      </c>
      <c r="AH177" s="201">
        <f t="shared" si="70"/>
        <v>10421.884210717659</v>
      </c>
    </row>
    <row r="178" spans="2:34" x14ac:dyDescent="0.3">
      <c r="B178" s="179">
        <f t="shared" si="65"/>
        <v>155</v>
      </c>
      <c r="C178" s="180">
        <f t="shared" si="66"/>
        <v>30.4</v>
      </c>
      <c r="D178" s="165">
        <f>IF(B178="","",Simulador!$F$62)</f>
        <v>0.11</v>
      </c>
      <c r="E178" s="167"/>
      <c r="F178" s="167">
        <f t="shared" si="67"/>
        <v>615390.7226195347</v>
      </c>
      <c r="G178" s="166"/>
      <c r="H178" s="167">
        <f t="shared" si="54"/>
        <v>4705.5881650517576</v>
      </c>
      <c r="I178" s="167">
        <f t="shared" si="68"/>
        <v>5716.2960456658993</v>
      </c>
      <c r="J178" s="167">
        <f t="shared" si="53"/>
        <v>10421.884210717657</v>
      </c>
      <c r="K178" s="167">
        <f t="shared" si="55"/>
        <v>0</v>
      </c>
      <c r="L178" s="167">
        <f t="shared" si="69"/>
        <v>0</v>
      </c>
      <c r="M178" s="167">
        <f>IF(B178="","",IF(F178=0,0,IF(Simulador!$F$11='Tabla Parámetros'!$W$1,'Tabla Parámetros'!$W$28,IF(Simulador!$F$11='Tabla Parámetros'!$Y$1,'Tabla Parámetros'!$Y$12))))</f>
        <v>299</v>
      </c>
      <c r="N178" s="167">
        <f>IF(B178="","",IF(F178=0,0,IF(Simulador!$N$7='Tabla Parámetros'!$C$31,AportPat!L158,0)))</f>
        <v>0</v>
      </c>
      <c r="O178" s="167">
        <f>Simulador!O546</f>
        <v>0</v>
      </c>
      <c r="P178" s="167">
        <v>0</v>
      </c>
      <c r="Q178" s="167">
        <f t="shared" si="56"/>
        <v>10720.884210717657</v>
      </c>
      <c r="R178" s="167">
        <f t="shared" si="57"/>
        <v>610685.13445448293</v>
      </c>
      <c r="U178" s="6"/>
      <c r="V178" s="6"/>
      <c r="W178" s="6"/>
      <c r="X178" s="256">
        <f t="shared" si="52"/>
        <v>10720.884210717653</v>
      </c>
      <c r="Z178" s="201">
        <f t="shared" si="58"/>
        <v>4705.5881650517558</v>
      </c>
      <c r="AA178" s="201">
        <f t="shared" si="59"/>
        <v>5716.2960456658993</v>
      </c>
      <c r="AB178" s="202">
        <f t="shared" si="60"/>
        <v>10421.884210717655</v>
      </c>
      <c r="AC178" s="201">
        <f t="shared" si="61"/>
        <v>4705.588165051754</v>
      </c>
      <c r="AD178" s="201">
        <f t="shared" si="62"/>
        <v>5716.2960456658993</v>
      </c>
      <c r="AE178" s="201">
        <f t="shared" si="71"/>
        <v>10421.884210717653</v>
      </c>
      <c r="AF178" s="201">
        <f t="shared" si="63"/>
        <v>4705.5881650517576</v>
      </c>
      <c r="AG178" s="201">
        <f t="shared" si="64"/>
        <v>5716.2960456658993</v>
      </c>
      <c r="AH178" s="201">
        <f t="shared" si="70"/>
        <v>10421.884210717657</v>
      </c>
    </row>
    <row r="179" spans="2:34" x14ac:dyDescent="0.3">
      <c r="B179" s="179">
        <f t="shared" si="65"/>
        <v>156</v>
      </c>
      <c r="C179" s="180">
        <f t="shared" si="66"/>
        <v>30.4</v>
      </c>
      <c r="D179" s="165">
        <f>IF(B179="","",Simulador!$F$62)</f>
        <v>0.11</v>
      </c>
      <c r="E179" s="167"/>
      <c r="F179" s="167">
        <f t="shared" si="67"/>
        <v>610685.13445448293</v>
      </c>
      <c r="G179" s="166"/>
      <c r="H179" s="167">
        <f t="shared" si="54"/>
        <v>4749.2978506737954</v>
      </c>
      <c r="I179" s="167">
        <f t="shared" si="68"/>
        <v>5672.5863600438634</v>
      </c>
      <c r="J179" s="167">
        <f t="shared" si="53"/>
        <v>10421.884210717659</v>
      </c>
      <c r="K179" s="167">
        <f t="shared" si="55"/>
        <v>0</v>
      </c>
      <c r="L179" s="167">
        <f t="shared" si="69"/>
        <v>0</v>
      </c>
      <c r="M179" s="167">
        <f>IF(B179="","",IF(F179=0,0,IF(Simulador!$F$11='Tabla Parámetros'!$W$1,'Tabla Parámetros'!$W$28,IF(Simulador!$F$11='Tabla Parámetros'!$Y$1,'Tabla Parámetros'!$Y$12))))</f>
        <v>299</v>
      </c>
      <c r="N179" s="167">
        <f>IF(B179="","",IF(F179=0,0,IF(Simulador!$N$7='Tabla Parámetros'!$C$31,AportPat!L159,0)))</f>
        <v>0</v>
      </c>
      <c r="O179" s="167">
        <f>Simulador!O547</f>
        <v>0</v>
      </c>
      <c r="P179" s="167">
        <v>0</v>
      </c>
      <c r="Q179" s="167">
        <f t="shared" si="56"/>
        <v>10720.884210717659</v>
      </c>
      <c r="R179" s="167">
        <f t="shared" si="57"/>
        <v>605935.83660380915</v>
      </c>
      <c r="U179" s="6"/>
      <c r="V179" s="6"/>
      <c r="W179" s="6"/>
      <c r="X179" s="256">
        <f t="shared" si="52"/>
        <v>10720.884210717653</v>
      </c>
      <c r="Z179" s="201">
        <f t="shared" si="58"/>
        <v>4749.2978506737927</v>
      </c>
      <c r="AA179" s="201">
        <f t="shared" si="59"/>
        <v>5672.5863600438634</v>
      </c>
      <c r="AB179" s="202">
        <f t="shared" si="60"/>
        <v>10421.884210717657</v>
      </c>
      <c r="AC179" s="201">
        <f t="shared" si="61"/>
        <v>4749.29785067379</v>
      </c>
      <c r="AD179" s="201">
        <f t="shared" si="62"/>
        <v>5672.5863600438634</v>
      </c>
      <c r="AE179" s="201">
        <f t="shared" si="71"/>
        <v>10421.884210717653</v>
      </c>
      <c r="AF179" s="201">
        <f t="shared" si="63"/>
        <v>4749.2978506737954</v>
      </c>
      <c r="AG179" s="201">
        <f t="shared" si="64"/>
        <v>5672.5863600438634</v>
      </c>
      <c r="AH179" s="201">
        <f t="shared" si="70"/>
        <v>10421.884210717659</v>
      </c>
    </row>
    <row r="180" spans="2:34" x14ac:dyDescent="0.3">
      <c r="B180" s="181">
        <f t="shared" si="65"/>
        <v>157</v>
      </c>
      <c r="C180" s="180">
        <f t="shared" si="66"/>
        <v>30.4</v>
      </c>
      <c r="D180" s="165">
        <f>IF(B180="","",Simulador!$F$62)</f>
        <v>0.11</v>
      </c>
      <c r="E180" s="167"/>
      <c r="F180" s="167">
        <f t="shared" si="67"/>
        <v>605935.83660380915</v>
      </c>
      <c r="G180" s="166"/>
      <c r="H180" s="167">
        <f t="shared" si="54"/>
        <v>4793.4135507089431</v>
      </c>
      <c r="I180" s="167">
        <f t="shared" si="68"/>
        <v>5628.4706600087156</v>
      </c>
      <c r="J180" s="167">
        <f t="shared" si="53"/>
        <v>10421.884210717659</v>
      </c>
      <c r="K180" s="167">
        <f t="shared" si="55"/>
        <v>0</v>
      </c>
      <c r="L180" s="167">
        <f t="shared" si="69"/>
        <v>0</v>
      </c>
      <c r="M180" s="167">
        <f>IF(B180="","",IF(F180=0,0,IF(Simulador!$F$11='Tabla Parámetros'!$W$1,'Tabla Parámetros'!$W$28,IF(Simulador!$F$11='Tabla Parámetros'!$Y$1,'Tabla Parámetros'!$Y$12))))</f>
        <v>299</v>
      </c>
      <c r="N180" s="167">
        <f>IF(B180="","",IF(F180=0,0,IF(Simulador!$N$7='Tabla Parámetros'!$C$31,AportPat!L160,0)))</f>
        <v>0</v>
      </c>
      <c r="O180" s="167">
        <f>Simulador!O548</f>
        <v>0</v>
      </c>
      <c r="P180" s="167">
        <v>0</v>
      </c>
      <c r="Q180" s="167">
        <f t="shared" si="56"/>
        <v>10720.884210717659</v>
      </c>
      <c r="R180" s="167">
        <f t="shared" si="57"/>
        <v>601142.42305310024</v>
      </c>
      <c r="U180" s="6"/>
      <c r="V180" s="6"/>
      <c r="W180" s="6"/>
      <c r="X180" s="256">
        <f t="shared" si="52"/>
        <v>10720.884210717653</v>
      </c>
      <c r="Z180" s="201">
        <f t="shared" si="58"/>
        <v>4793.4135507089404</v>
      </c>
      <c r="AA180" s="201">
        <f t="shared" si="59"/>
        <v>5628.4706600087156</v>
      </c>
      <c r="AB180" s="202">
        <f t="shared" si="60"/>
        <v>10421.884210717657</v>
      </c>
      <c r="AC180" s="201">
        <f t="shared" si="61"/>
        <v>4793.4135507089377</v>
      </c>
      <c r="AD180" s="201">
        <f t="shared" si="62"/>
        <v>5628.4706600087156</v>
      </c>
      <c r="AE180" s="201">
        <f t="shared" si="71"/>
        <v>10421.884210717653</v>
      </c>
      <c r="AF180" s="201">
        <f t="shared" si="63"/>
        <v>4793.4135507089431</v>
      </c>
      <c r="AG180" s="201">
        <f t="shared" si="64"/>
        <v>5628.4706600087156</v>
      </c>
      <c r="AH180" s="201">
        <f t="shared" si="70"/>
        <v>10421.884210717659</v>
      </c>
    </row>
    <row r="181" spans="2:34" x14ac:dyDescent="0.3">
      <c r="B181" s="179">
        <f t="shared" si="65"/>
        <v>158</v>
      </c>
      <c r="C181" s="180">
        <f t="shared" si="66"/>
        <v>30.4</v>
      </c>
      <c r="D181" s="165">
        <f>IF(B181="","",Simulador!$F$62)</f>
        <v>0.11</v>
      </c>
      <c r="E181" s="167"/>
      <c r="F181" s="167">
        <f t="shared" si="67"/>
        <v>601142.42305310024</v>
      </c>
      <c r="G181" s="166"/>
      <c r="H181" s="167">
        <f t="shared" si="54"/>
        <v>4837.9390365799727</v>
      </c>
      <c r="I181" s="167">
        <f t="shared" si="68"/>
        <v>5583.9451741376861</v>
      </c>
      <c r="J181" s="167">
        <f t="shared" si="53"/>
        <v>10421.884210717659</v>
      </c>
      <c r="K181" s="167">
        <f t="shared" si="55"/>
        <v>0</v>
      </c>
      <c r="L181" s="167">
        <f t="shared" si="69"/>
        <v>0</v>
      </c>
      <c r="M181" s="167">
        <f>IF(B181="","",IF(F181=0,0,IF(Simulador!$F$11='Tabla Parámetros'!$W$1,'Tabla Parámetros'!$W$28,IF(Simulador!$F$11='Tabla Parámetros'!$Y$1,'Tabla Parámetros'!$Y$12))))</f>
        <v>299</v>
      </c>
      <c r="N181" s="167">
        <f>IF(B181="","",IF(F181=0,0,IF(Simulador!$N$7='Tabla Parámetros'!$C$31,AportPat!L161,0)))</f>
        <v>0</v>
      </c>
      <c r="O181" s="167">
        <f>Simulador!O549</f>
        <v>0</v>
      </c>
      <c r="P181" s="167">
        <v>0</v>
      </c>
      <c r="Q181" s="167">
        <f t="shared" si="56"/>
        <v>10720.884210717659</v>
      </c>
      <c r="R181" s="167">
        <f t="shared" si="57"/>
        <v>596304.48401652032</v>
      </c>
      <c r="U181" s="6"/>
      <c r="V181" s="6"/>
      <c r="W181" s="6"/>
      <c r="X181" s="256">
        <f t="shared" si="52"/>
        <v>10720.884210717653</v>
      </c>
      <c r="Z181" s="201">
        <f t="shared" si="58"/>
        <v>4837.93903657997</v>
      </c>
      <c r="AA181" s="201">
        <f t="shared" si="59"/>
        <v>5583.9451741376861</v>
      </c>
      <c r="AB181" s="202">
        <f t="shared" si="60"/>
        <v>10421.884210717657</v>
      </c>
      <c r="AC181" s="201">
        <f t="shared" si="61"/>
        <v>4837.9390365799673</v>
      </c>
      <c r="AD181" s="201">
        <f t="shared" si="62"/>
        <v>5583.9451741376861</v>
      </c>
      <c r="AE181" s="201">
        <f t="shared" si="71"/>
        <v>10421.884210717653</v>
      </c>
      <c r="AF181" s="201">
        <f t="shared" si="63"/>
        <v>4837.9390365799727</v>
      </c>
      <c r="AG181" s="201">
        <f t="shared" si="64"/>
        <v>5583.9451741376861</v>
      </c>
      <c r="AH181" s="201">
        <f t="shared" si="70"/>
        <v>10421.884210717659</v>
      </c>
    </row>
    <row r="182" spans="2:34" x14ac:dyDescent="0.3">
      <c r="B182" s="179">
        <f t="shared" si="65"/>
        <v>159</v>
      </c>
      <c r="C182" s="180">
        <f t="shared" si="66"/>
        <v>30.4</v>
      </c>
      <c r="D182" s="165">
        <f>IF(B182="","",Simulador!$F$62)</f>
        <v>0.11</v>
      </c>
      <c r="E182" s="167"/>
      <c r="F182" s="167">
        <f t="shared" si="67"/>
        <v>596304.48401652032</v>
      </c>
      <c r="G182" s="166"/>
      <c r="H182" s="167">
        <f t="shared" si="54"/>
        <v>4882.8781147419813</v>
      </c>
      <c r="I182" s="167">
        <f t="shared" si="68"/>
        <v>5539.0060959756775</v>
      </c>
      <c r="J182" s="167">
        <f t="shared" si="53"/>
        <v>10421.884210717659</v>
      </c>
      <c r="K182" s="167">
        <f t="shared" si="55"/>
        <v>0</v>
      </c>
      <c r="L182" s="167">
        <f t="shared" si="69"/>
        <v>0</v>
      </c>
      <c r="M182" s="167">
        <f>IF(B182="","",IF(F182=0,0,IF(Simulador!$F$11='Tabla Parámetros'!$W$1,'Tabla Parámetros'!$W$28,IF(Simulador!$F$11='Tabla Parámetros'!$Y$1,'Tabla Parámetros'!$Y$12))))</f>
        <v>299</v>
      </c>
      <c r="N182" s="167">
        <f>IF(B182="","",IF(F182=0,0,IF(Simulador!$N$7='Tabla Parámetros'!$C$31,AportPat!L162,0)))</f>
        <v>0</v>
      </c>
      <c r="O182" s="167">
        <f>Simulador!O550</f>
        <v>0</v>
      </c>
      <c r="P182" s="167">
        <v>0</v>
      </c>
      <c r="Q182" s="167">
        <f t="shared" si="56"/>
        <v>10720.884210717659</v>
      </c>
      <c r="R182" s="167">
        <f t="shared" si="57"/>
        <v>591421.60590177833</v>
      </c>
      <c r="U182" s="6"/>
      <c r="V182" s="6"/>
      <c r="W182" s="6"/>
      <c r="X182" s="256">
        <f t="shared" si="52"/>
        <v>10720.884210717653</v>
      </c>
      <c r="Z182" s="201">
        <f t="shared" si="58"/>
        <v>4882.8781147419804</v>
      </c>
      <c r="AA182" s="201">
        <f t="shared" si="59"/>
        <v>5539.0060959756775</v>
      </c>
      <c r="AB182" s="202">
        <f t="shared" si="60"/>
        <v>10421.884210717657</v>
      </c>
      <c r="AC182" s="201">
        <f t="shared" si="61"/>
        <v>4882.8781147419759</v>
      </c>
      <c r="AD182" s="201">
        <f t="shared" si="62"/>
        <v>5539.0060959756775</v>
      </c>
      <c r="AE182" s="201">
        <f t="shared" si="71"/>
        <v>10421.884210717653</v>
      </c>
      <c r="AF182" s="201">
        <f t="shared" si="63"/>
        <v>4882.8781147419813</v>
      </c>
      <c r="AG182" s="201">
        <f t="shared" si="64"/>
        <v>5539.0060959756775</v>
      </c>
      <c r="AH182" s="201">
        <f t="shared" si="70"/>
        <v>10421.884210717659</v>
      </c>
    </row>
    <row r="183" spans="2:34" x14ac:dyDescent="0.3">
      <c r="B183" s="179">
        <f t="shared" si="65"/>
        <v>160</v>
      </c>
      <c r="C183" s="180">
        <f t="shared" si="66"/>
        <v>30.4</v>
      </c>
      <c r="D183" s="165">
        <f>IF(B183="","",Simulador!$F$62)</f>
        <v>0.11</v>
      </c>
      <c r="E183" s="167"/>
      <c r="F183" s="167">
        <f t="shared" si="67"/>
        <v>591421.60590177833</v>
      </c>
      <c r="G183" s="166"/>
      <c r="H183" s="167">
        <f t="shared" si="54"/>
        <v>4928.2346270078069</v>
      </c>
      <c r="I183" s="167">
        <f t="shared" si="68"/>
        <v>5493.6495837098519</v>
      </c>
      <c r="J183" s="167">
        <f t="shared" si="53"/>
        <v>10421.884210717659</v>
      </c>
      <c r="K183" s="167">
        <f t="shared" si="55"/>
        <v>0</v>
      </c>
      <c r="L183" s="167">
        <f t="shared" si="69"/>
        <v>0</v>
      </c>
      <c r="M183" s="167">
        <f>IF(B183="","",IF(F183=0,0,IF(Simulador!$F$11='Tabla Parámetros'!$W$1,'Tabla Parámetros'!$W$28,IF(Simulador!$F$11='Tabla Parámetros'!$Y$1,'Tabla Parámetros'!$Y$12))))</f>
        <v>299</v>
      </c>
      <c r="N183" s="167">
        <f>IF(B183="","",IF(F183=0,0,IF(Simulador!$N$7='Tabla Parámetros'!$C$31,AportPat!L163,0)))</f>
        <v>0</v>
      </c>
      <c r="O183" s="167">
        <f>Simulador!O551</f>
        <v>0</v>
      </c>
      <c r="P183" s="167">
        <v>0</v>
      </c>
      <c r="Q183" s="167">
        <f t="shared" si="56"/>
        <v>10720.884210717659</v>
      </c>
      <c r="R183" s="167">
        <f t="shared" si="57"/>
        <v>586493.37127477047</v>
      </c>
      <c r="U183" s="6"/>
      <c r="V183" s="6"/>
      <c r="W183" s="6"/>
      <c r="X183" s="256">
        <f t="shared" si="52"/>
        <v>10720.884210717653</v>
      </c>
      <c r="Z183" s="201">
        <f t="shared" si="58"/>
        <v>4928.2346270078051</v>
      </c>
      <c r="AA183" s="201">
        <f t="shared" si="59"/>
        <v>5493.6495837098519</v>
      </c>
      <c r="AB183" s="202">
        <f t="shared" si="60"/>
        <v>10421.884210717657</v>
      </c>
      <c r="AC183" s="201">
        <f t="shared" si="61"/>
        <v>4928.2346270078015</v>
      </c>
      <c r="AD183" s="201">
        <f t="shared" si="62"/>
        <v>5493.6495837098519</v>
      </c>
      <c r="AE183" s="201">
        <f t="shared" si="71"/>
        <v>10421.884210717653</v>
      </c>
      <c r="AF183" s="201">
        <f t="shared" si="63"/>
        <v>4928.2346270078069</v>
      </c>
      <c r="AG183" s="201">
        <f t="shared" si="64"/>
        <v>5493.6495837098519</v>
      </c>
      <c r="AH183" s="201">
        <f t="shared" si="70"/>
        <v>10421.884210717659</v>
      </c>
    </row>
    <row r="184" spans="2:34" x14ac:dyDescent="0.3">
      <c r="B184" s="181">
        <f t="shared" si="65"/>
        <v>161</v>
      </c>
      <c r="C184" s="180">
        <f t="shared" si="66"/>
        <v>30.4</v>
      </c>
      <c r="D184" s="165">
        <f>IF(B184="","",Simulador!$F$62)</f>
        <v>0.11</v>
      </c>
      <c r="E184" s="167"/>
      <c r="F184" s="167">
        <f t="shared" si="67"/>
        <v>586493.37127477047</v>
      </c>
      <c r="G184" s="166"/>
      <c r="H184" s="167">
        <f t="shared" si="54"/>
        <v>4974.0124508764584</v>
      </c>
      <c r="I184" s="167">
        <f t="shared" si="68"/>
        <v>5447.8717598412004</v>
      </c>
      <c r="J184" s="167">
        <f t="shared" si="53"/>
        <v>10421.884210717659</v>
      </c>
      <c r="K184" s="167">
        <f t="shared" si="55"/>
        <v>0</v>
      </c>
      <c r="L184" s="167">
        <f t="shared" si="69"/>
        <v>0</v>
      </c>
      <c r="M184" s="167">
        <f>IF(B184="","",IF(F184=0,0,IF(Simulador!$F$11='Tabla Parámetros'!$W$1,'Tabla Parámetros'!$W$28,IF(Simulador!$F$11='Tabla Parámetros'!$Y$1,'Tabla Parámetros'!$Y$12))))</f>
        <v>299</v>
      </c>
      <c r="N184" s="167">
        <f>IF(B184="","",IF(F184=0,0,IF(Simulador!$N$7='Tabla Parámetros'!$C$31,AportPat!L164,0)))</f>
        <v>0</v>
      </c>
      <c r="O184" s="167">
        <f>Simulador!O552</f>
        <v>0</v>
      </c>
      <c r="P184" s="167">
        <v>0</v>
      </c>
      <c r="Q184" s="167">
        <f t="shared" si="56"/>
        <v>10720.884210717659</v>
      </c>
      <c r="R184" s="167">
        <f t="shared" si="57"/>
        <v>581519.35882389406</v>
      </c>
      <c r="U184" s="6"/>
      <c r="V184" s="6"/>
      <c r="W184" s="6"/>
      <c r="X184" s="256">
        <f t="shared" si="52"/>
        <v>10720.884210717653</v>
      </c>
      <c r="Z184" s="201">
        <f t="shared" si="58"/>
        <v>4974.0124508764557</v>
      </c>
      <c r="AA184" s="201">
        <f t="shared" si="59"/>
        <v>5447.8717598412004</v>
      </c>
      <c r="AB184" s="202">
        <f t="shared" si="60"/>
        <v>10421.884210717657</v>
      </c>
      <c r="AC184" s="201">
        <f t="shared" si="61"/>
        <v>4974.0124508764529</v>
      </c>
      <c r="AD184" s="201">
        <f t="shared" si="62"/>
        <v>5447.8717598412004</v>
      </c>
      <c r="AE184" s="201">
        <f t="shared" si="71"/>
        <v>10421.884210717653</v>
      </c>
      <c r="AF184" s="201">
        <f t="shared" si="63"/>
        <v>4974.0124508764584</v>
      </c>
      <c r="AG184" s="201">
        <f t="shared" si="64"/>
        <v>5447.8717598412004</v>
      </c>
      <c r="AH184" s="201">
        <f t="shared" si="70"/>
        <v>10421.884210717659</v>
      </c>
    </row>
    <row r="185" spans="2:34" x14ac:dyDescent="0.3">
      <c r="B185" s="179">
        <f t="shared" si="65"/>
        <v>162</v>
      </c>
      <c r="C185" s="180">
        <f t="shared" si="66"/>
        <v>30.4</v>
      </c>
      <c r="D185" s="165">
        <f>IF(B185="","",Simulador!$F$62)</f>
        <v>0.11</v>
      </c>
      <c r="E185" s="167"/>
      <c r="F185" s="167">
        <f t="shared" si="67"/>
        <v>581519.35882389406</v>
      </c>
      <c r="G185" s="166"/>
      <c r="H185" s="167">
        <f t="shared" si="54"/>
        <v>5020.2154998645992</v>
      </c>
      <c r="I185" s="167">
        <f t="shared" si="68"/>
        <v>5401.6687108530596</v>
      </c>
      <c r="J185" s="167">
        <f t="shared" si="53"/>
        <v>10421.884210717659</v>
      </c>
      <c r="K185" s="167">
        <f t="shared" si="55"/>
        <v>0</v>
      </c>
      <c r="L185" s="167">
        <f t="shared" si="69"/>
        <v>0</v>
      </c>
      <c r="M185" s="167">
        <f>IF(B185="","",IF(F185=0,0,IF(Simulador!$F$11='Tabla Parámetros'!$W$1,'Tabla Parámetros'!$W$28,IF(Simulador!$F$11='Tabla Parámetros'!$Y$1,'Tabla Parámetros'!$Y$12))))</f>
        <v>299</v>
      </c>
      <c r="N185" s="167">
        <f>IF(B185="","",IF(F185=0,0,IF(Simulador!$N$7='Tabla Parámetros'!$C$31,AportPat!L165,0)))</f>
        <v>0</v>
      </c>
      <c r="O185" s="167">
        <f>Simulador!O553</f>
        <v>0</v>
      </c>
      <c r="P185" s="167">
        <v>0</v>
      </c>
      <c r="Q185" s="167">
        <f t="shared" si="56"/>
        <v>10720.884210717659</v>
      </c>
      <c r="R185" s="167">
        <f t="shared" si="57"/>
        <v>576499.14332402952</v>
      </c>
      <c r="U185" s="6"/>
      <c r="V185" s="6"/>
      <c r="W185" s="6"/>
      <c r="X185" s="256">
        <f t="shared" si="52"/>
        <v>10720.884210717653</v>
      </c>
      <c r="Z185" s="201">
        <f t="shared" si="58"/>
        <v>5020.2154998645965</v>
      </c>
      <c r="AA185" s="201">
        <f t="shared" si="59"/>
        <v>5401.6687108530596</v>
      </c>
      <c r="AB185" s="202">
        <f t="shared" si="60"/>
        <v>10421.884210717657</v>
      </c>
      <c r="AC185" s="201">
        <f t="shared" si="61"/>
        <v>5020.2154998645938</v>
      </c>
      <c r="AD185" s="201">
        <f t="shared" si="62"/>
        <v>5401.6687108530596</v>
      </c>
      <c r="AE185" s="201">
        <f t="shared" si="71"/>
        <v>10421.884210717653</v>
      </c>
      <c r="AF185" s="201">
        <f t="shared" si="63"/>
        <v>5020.2154998645992</v>
      </c>
      <c r="AG185" s="201">
        <f t="shared" si="64"/>
        <v>5401.6687108530596</v>
      </c>
      <c r="AH185" s="201">
        <f t="shared" si="70"/>
        <v>10421.884210717659</v>
      </c>
    </row>
    <row r="186" spans="2:34" x14ac:dyDescent="0.3">
      <c r="B186" s="179">
        <f t="shared" si="65"/>
        <v>163</v>
      </c>
      <c r="C186" s="180">
        <f t="shared" si="66"/>
        <v>30.4</v>
      </c>
      <c r="D186" s="165">
        <f>IF(B186="","",Simulador!$F$62)</f>
        <v>0.11</v>
      </c>
      <c r="E186" s="167"/>
      <c r="F186" s="167">
        <f t="shared" si="67"/>
        <v>576499.14332402952</v>
      </c>
      <c r="G186" s="166"/>
      <c r="H186" s="167">
        <f t="shared" si="54"/>
        <v>5066.8477238411206</v>
      </c>
      <c r="I186" s="167">
        <f t="shared" si="68"/>
        <v>5355.03648687654</v>
      </c>
      <c r="J186" s="167">
        <f t="shared" si="53"/>
        <v>10421.884210717661</v>
      </c>
      <c r="K186" s="167">
        <f t="shared" si="55"/>
        <v>0</v>
      </c>
      <c r="L186" s="167">
        <f t="shared" si="69"/>
        <v>0</v>
      </c>
      <c r="M186" s="167">
        <f>IF(B186="","",IF(F186=0,0,IF(Simulador!$F$11='Tabla Parámetros'!$W$1,'Tabla Parámetros'!$W$28,IF(Simulador!$F$11='Tabla Parámetros'!$Y$1,'Tabla Parámetros'!$Y$12))))</f>
        <v>299</v>
      </c>
      <c r="N186" s="167">
        <f>IF(B186="","",IF(F186=0,0,IF(Simulador!$N$7='Tabla Parámetros'!$C$31,AportPat!L166,0)))</f>
        <v>0</v>
      </c>
      <c r="O186" s="167">
        <f>Simulador!O554</f>
        <v>0</v>
      </c>
      <c r="P186" s="167">
        <v>0</v>
      </c>
      <c r="Q186" s="167">
        <f t="shared" si="56"/>
        <v>10720.884210717661</v>
      </c>
      <c r="R186" s="167">
        <f t="shared" si="57"/>
        <v>571432.29560018843</v>
      </c>
      <c r="U186" s="6"/>
      <c r="V186" s="6"/>
      <c r="W186" s="6"/>
      <c r="X186" s="256">
        <f t="shared" si="52"/>
        <v>10720.884210717653</v>
      </c>
      <c r="Z186" s="201">
        <f t="shared" si="58"/>
        <v>5066.8477238411169</v>
      </c>
      <c r="AA186" s="201">
        <f t="shared" si="59"/>
        <v>5355.03648687654</v>
      </c>
      <c r="AB186" s="202">
        <f t="shared" si="60"/>
        <v>10421.884210717657</v>
      </c>
      <c r="AC186" s="201">
        <f t="shared" si="61"/>
        <v>5066.8477238411133</v>
      </c>
      <c r="AD186" s="201">
        <f t="shared" si="62"/>
        <v>5355.03648687654</v>
      </c>
      <c r="AE186" s="201">
        <f t="shared" si="71"/>
        <v>10421.884210717653</v>
      </c>
      <c r="AF186" s="201">
        <f t="shared" si="63"/>
        <v>5066.8477238411206</v>
      </c>
      <c r="AG186" s="201">
        <f t="shared" si="64"/>
        <v>5355.03648687654</v>
      </c>
      <c r="AH186" s="201">
        <f t="shared" si="70"/>
        <v>10421.884210717661</v>
      </c>
    </row>
    <row r="187" spans="2:34" x14ac:dyDescent="0.3">
      <c r="B187" s="179">
        <f t="shared" si="65"/>
        <v>164</v>
      </c>
      <c r="C187" s="180">
        <f t="shared" si="66"/>
        <v>30.4</v>
      </c>
      <c r="D187" s="165">
        <f>IF(B187="","",Simulador!$F$62)</f>
        <v>0.11</v>
      </c>
      <c r="E187" s="167"/>
      <c r="F187" s="167">
        <f t="shared" si="67"/>
        <v>571432.29560018843</v>
      </c>
      <c r="G187" s="166"/>
      <c r="H187" s="167">
        <f t="shared" si="54"/>
        <v>5113.9131093647993</v>
      </c>
      <c r="I187" s="167">
        <f t="shared" si="68"/>
        <v>5307.9711013528613</v>
      </c>
      <c r="J187" s="167">
        <f t="shared" si="53"/>
        <v>10421.884210717661</v>
      </c>
      <c r="K187" s="167">
        <f t="shared" si="55"/>
        <v>0</v>
      </c>
      <c r="L187" s="167">
        <f t="shared" si="69"/>
        <v>0</v>
      </c>
      <c r="M187" s="167">
        <f>IF(B187="","",IF(F187=0,0,IF(Simulador!$F$11='Tabla Parámetros'!$W$1,'Tabla Parámetros'!$W$28,IF(Simulador!$F$11='Tabla Parámetros'!$Y$1,'Tabla Parámetros'!$Y$12))))</f>
        <v>299</v>
      </c>
      <c r="N187" s="167">
        <f>IF(B187="","",IF(F187=0,0,IF(Simulador!$N$7='Tabla Parámetros'!$C$31,AportPat!L167,0)))</f>
        <v>0</v>
      </c>
      <c r="O187" s="167">
        <f>Simulador!O555</f>
        <v>0</v>
      </c>
      <c r="P187" s="167">
        <v>0</v>
      </c>
      <c r="Q187" s="167">
        <f t="shared" si="56"/>
        <v>10720.884210717661</v>
      </c>
      <c r="R187" s="167">
        <f t="shared" si="57"/>
        <v>566318.38249082363</v>
      </c>
      <c r="U187" s="6"/>
      <c r="V187" s="6"/>
      <c r="W187" s="6"/>
      <c r="X187" s="256">
        <f t="shared" si="52"/>
        <v>10720.884210717653</v>
      </c>
      <c r="Z187" s="201">
        <f t="shared" si="58"/>
        <v>5113.9131093647966</v>
      </c>
      <c r="AA187" s="201">
        <f t="shared" si="59"/>
        <v>5307.9711013528613</v>
      </c>
      <c r="AB187" s="202">
        <f t="shared" si="60"/>
        <v>10421.884210717657</v>
      </c>
      <c r="AC187" s="201">
        <f t="shared" si="61"/>
        <v>5113.913109364792</v>
      </c>
      <c r="AD187" s="201">
        <f t="shared" si="62"/>
        <v>5307.9711013528613</v>
      </c>
      <c r="AE187" s="201">
        <f t="shared" si="71"/>
        <v>10421.884210717653</v>
      </c>
      <c r="AF187" s="201">
        <f t="shared" si="63"/>
        <v>5113.9131093647993</v>
      </c>
      <c r="AG187" s="201">
        <f t="shared" si="64"/>
        <v>5307.9711013528613</v>
      </c>
      <c r="AH187" s="201">
        <f t="shared" si="70"/>
        <v>10421.884210717661</v>
      </c>
    </row>
    <row r="188" spans="2:34" x14ac:dyDescent="0.3">
      <c r="B188" s="181">
        <f t="shared" si="65"/>
        <v>165</v>
      </c>
      <c r="C188" s="180">
        <f t="shared" si="66"/>
        <v>30.4</v>
      </c>
      <c r="D188" s="165">
        <f>IF(B188="","",Simulador!$F$62)</f>
        <v>0.11</v>
      </c>
      <c r="E188" s="167"/>
      <c r="F188" s="167">
        <f t="shared" si="67"/>
        <v>566318.38249082363</v>
      </c>
      <c r="G188" s="166"/>
      <c r="H188" s="167">
        <f t="shared" si="54"/>
        <v>5161.4156800251194</v>
      </c>
      <c r="I188" s="167">
        <f t="shared" si="68"/>
        <v>5260.4685306925394</v>
      </c>
      <c r="J188" s="167">
        <f t="shared" si="53"/>
        <v>10421.884210717659</v>
      </c>
      <c r="K188" s="167">
        <f t="shared" si="55"/>
        <v>0</v>
      </c>
      <c r="L188" s="167">
        <f t="shared" si="69"/>
        <v>0</v>
      </c>
      <c r="M188" s="167">
        <f>IF(B188="","",IF(F188=0,0,IF(Simulador!$F$11='Tabla Parámetros'!$W$1,'Tabla Parámetros'!$W$28,IF(Simulador!$F$11='Tabla Parámetros'!$Y$1,'Tabla Parámetros'!$Y$12))))</f>
        <v>299</v>
      </c>
      <c r="N188" s="167">
        <f>IF(B188="","",IF(F188=0,0,IF(Simulador!$N$7='Tabla Parámetros'!$C$31,AportPat!L168,0)))</f>
        <v>0</v>
      </c>
      <c r="O188" s="167">
        <f>Simulador!O556</f>
        <v>0</v>
      </c>
      <c r="P188" s="167">
        <v>0</v>
      </c>
      <c r="Q188" s="167">
        <f t="shared" si="56"/>
        <v>10720.884210717659</v>
      </c>
      <c r="R188" s="167">
        <f t="shared" si="57"/>
        <v>561156.96681079851</v>
      </c>
      <c r="U188" s="6"/>
      <c r="V188" s="6"/>
      <c r="W188" s="6"/>
      <c r="X188" s="256">
        <f t="shared" si="52"/>
        <v>10720.884210717653</v>
      </c>
      <c r="Z188" s="201">
        <f t="shared" si="58"/>
        <v>5161.4156800251185</v>
      </c>
      <c r="AA188" s="201">
        <f t="shared" si="59"/>
        <v>5260.4685306925394</v>
      </c>
      <c r="AB188" s="202">
        <f t="shared" si="60"/>
        <v>10421.884210717657</v>
      </c>
      <c r="AC188" s="201">
        <f t="shared" si="61"/>
        <v>5161.4156800251139</v>
      </c>
      <c r="AD188" s="201">
        <f t="shared" si="62"/>
        <v>5260.4685306925394</v>
      </c>
      <c r="AE188" s="201">
        <f t="shared" si="71"/>
        <v>10421.884210717653</v>
      </c>
      <c r="AF188" s="201">
        <f t="shared" si="63"/>
        <v>5161.4156800251194</v>
      </c>
      <c r="AG188" s="201">
        <f t="shared" si="64"/>
        <v>5260.4685306925394</v>
      </c>
      <c r="AH188" s="201">
        <f t="shared" si="70"/>
        <v>10421.884210717659</v>
      </c>
    </row>
    <row r="189" spans="2:34" x14ac:dyDescent="0.3">
      <c r="B189" s="179">
        <f t="shared" si="65"/>
        <v>166</v>
      </c>
      <c r="C189" s="180">
        <f t="shared" si="66"/>
        <v>30.4</v>
      </c>
      <c r="D189" s="165">
        <f>IF(B189="","",Simulador!$F$62)</f>
        <v>0.11</v>
      </c>
      <c r="E189" s="167"/>
      <c r="F189" s="167">
        <f t="shared" si="67"/>
        <v>561156.96681079851</v>
      </c>
      <c r="G189" s="166"/>
      <c r="H189" s="167">
        <f t="shared" si="54"/>
        <v>5209.3594967862437</v>
      </c>
      <c r="I189" s="167">
        <f t="shared" si="68"/>
        <v>5212.524713931417</v>
      </c>
      <c r="J189" s="167">
        <f t="shared" si="53"/>
        <v>10421.884210717661</v>
      </c>
      <c r="K189" s="167">
        <f t="shared" si="55"/>
        <v>0</v>
      </c>
      <c r="L189" s="167">
        <f t="shared" si="69"/>
        <v>0</v>
      </c>
      <c r="M189" s="167">
        <f>IF(B189="","",IF(F189=0,0,IF(Simulador!$F$11='Tabla Parámetros'!$W$1,'Tabla Parámetros'!$W$28,IF(Simulador!$F$11='Tabla Parámetros'!$Y$1,'Tabla Parámetros'!$Y$12))))</f>
        <v>299</v>
      </c>
      <c r="N189" s="167">
        <f>IF(B189="","",IF(F189=0,0,IF(Simulador!$N$7='Tabla Parámetros'!$C$31,AportPat!L169,0)))</f>
        <v>0</v>
      </c>
      <c r="O189" s="167">
        <f>Simulador!O557</f>
        <v>0</v>
      </c>
      <c r="P189" s="167">
        <v>0</v>
      </c>
      <c r="Q189" s="167">
        <f t="shared" si="56"/>
        <v>10720.884210717661</v>
      </c>
      <c r="R189" s="167">
        <f t="shared" si="57"/>
        <v>555947.60731401225</v>
      </c>
      <c r="U189" s="6"/>
      <c r="V189" s="6"/>
      <c r="W189" s="6"/>
      <c r="X189" s="256">
        <f t="shared" si="52"/>
        <v>10720.884210717653</v>
      </c>
      <c r="Z189" s="201">
        <f t="shared" si="58"/>
        <v>5209.3594967862409</v>
      </c>
      <c r="AA189" s="201">
        <f t="shared" si="59"/>
        <v>5212.524713931417</v>
      </c>
      <c r="AB189" s="202">
        <f t="shared" si="60"/>
        <v>10421.884210717657</v>
      </c>
      <c r="AC189" s="201">
        <f t="shared" si="61"/>
        <v>5209.3594967862364</v>
      </c>
      <c r="AD189" s="201">
        <f t="shared" si="62"/>
        <v>5212.524713931417</v>
      </c>
      <c r="AE189" s="201">
        <f t="shared" si="71"/>
        <v>10421.884210717653</v>
      </c>
      <c r="AF189" s="201">
        <f t="shared" si="63"/>
        <v>5209.3594967862437</v>
      </c>
      <c r="AG189" s="201">
        <f t="shared" si="64"/>
        <v>5212.524713931417</v>
      </c>
      <c r="AH189" s="201">
        <f t="shared" si="70"/>
        <v>10421.884210717661</v>
      </c>
    </row>
    <row r="190" spans="2:34" x14ac:dyDescent="0.3">
      <c r="B190" s="179">
        <f t="shared" si="65"/>
        <v>167</v>
      </c>
      <c r="C190" s="180">
        <f t="shared" si="66"/>
        <v>30.4</v>
      </c>
      <c r="D190" s="165">
        <f>IF(B190="","",Simulador!$F$62)</f>
        <v>0.11</v>
      </c>
      <c r="E190" s="167"/>
      <c r="F190" s="167">
        <f t="shared" si="67"/>
        <v>555947.60731401225</v>
      </c>
      <c r="G190" s="166"/>
      <c r="H190" s="167">
        <f t="shared" si="54"/>
        <v>5257.7486583341697</v>
      </c>
      <c r="I190" s="167">
        <f t="shared" si="68"/>
        <v>5164.1355523834909</v>
      </c>
      <c r="J190" s="167">
        <f t="shared" si="53"/>
        <v>10421.884210717661</v>
      </c>
      <c r="K190" s="167">
        <f t="shared" si="55"/>
        <v>0</v>
      </c>
      <c r="L190" s="167">
        <f t="shared" si="69"/>
        <v>0</v>
      </c>
      <c r="M190" s="167">
        <f>IF(B190="","",IF(F190=0,0,IF(Simulador!$F$11='Tabla Parámetros'!$W$1,'Tabla Parámetros'!$W$28,IF(Simulador!$F$11='Tabla Parámetros'!$Y$1,'Tabla Parámetros'!$Y$12))))</f>
        <v>299</v>
      </c>
      <c r="N190" s="167">
        <f>IF(B190="","",IF(F190=0,0,IF(Simulador!$N$7='Tabla Parámetros'!$C$31,AportPat!L170,0)))</f>
        <v>0</v>
      </c>
      <c r="O190" s="167">
        <f>Simulador!O558</f>
        <v>0</v>
      </c>
      <c r="P190" s="167">
        <v>0</v>
      </c>
      <c r="Q190" s="167">
        <f t="shared" si="56"/>
        <v>10720.884210717661</v>
      </c>
      <c r="R190" s="167">
        <f t="shared" si="57"/>
        <v>550689.85865567811</v>
      </c>
      <c r="U190" s="6"/>
      <c r="V190" s="6"/>
      <c r="W190" s="6"/>
      <c r="X190" s="256">
        <f t="shared" si="52"/>
        <v>10720.884210717653</v>
      </c>
      <c r="Z190" s="201">
        <f t="shared" si="58"/>
        <v>5257.7486583341661</v>
      </c>
      <c r="AA190" s="201">
        <f t="shared" si="59"/>
        <v>5164.1355523834909</v>
      </c>
      <c r="AB190" s="202">
        <f t="shared" si="60"/>
        <v>10421.884210717657</v>
      </c>
      <c r="AC190" s="201">
        <f t="shared" si="61"/>
        <v>5257.7486583341624</v>
      </c>
      <c r="AD190" s="201">
        <f t="shared" si="62"/>
        <v>5164.1355523834909</v>
      </c>
      <c r="AE190" s="201">
        <f t="shared" si="71"/>
        <v>10421.884210717653</v>
      </c>
      <c r="AF190" s="201">
        <f t="shared" si="63"/>
        <v>5257.7486583341697</v>
      </c>
      <c r="AG190" s="201">
        <f t="shared" si="64"/>
        <v>5164.1355523834909</v>
      </c>
      <c r="AH190" s="201">
        <f t="shared" si="70"/>
        <v>10421.884210717661</v>
      </c>
    </row>
    <row r="191" spans="2:34" x14ac:dyDescent="0.3">
      <c r="B191" s="179">
        <f t="shared" si="65"/>
        <v>168</v>
      </c>
      <c r="C191" s="180">
        <f t="shared" si="66"/>
        <v>30.4</v>
      </c>
      <c r="D191" s="165">
        <f>IF(B191="","",Simulador!$F$62)</f>
        <v>0.11</v>
      </c>
      <c r="E191" s="167"/>
      <c r="F191" s="167">
        <f t="shared" si="67"/>
        <v>550689.85865567811</v>
      </c>
      <c r="G191" s="166"/>
      <c r="H191" s="167">
        <f t="shared" si="54"/>
        <v>5306.5873014271401</v>
      </c>
      <c r="I191" s="167">
        <f t="shared" si="68"/>
        <v>5115.2969092905205</v>
      </c>
      <c r="J191" s="167">
        <f t="shared" si="53"/>
        <v>10421.884210717661</v>
      </c>
      <c r="K191" s="167">
        <f t="shared" si="55"/>
        <v>0</v>
      </c>
      <c r="L191" s="167">
        <f t="shared" si="69"/>
        <v>0</v>
      </c>
      <c r="M191" s="167">
        <f>IF(B191="","",IF(F191=0,0,IF(Simulador!$F$11='Tabla Parámetros'!$W$1,'Tabla Parámetros'!$W$28,IF(Simulador!$F$11='Tabla Parámetros'!$Y$1,'Tabla Parámetros'!$Y$12))))</f>
        <v>299</v>
      </c>
      <c r="N191" s="167">
        <f>IF(B191="","",IF(F191=0,0,IF(Simulador!$N$7='Tabla Parámetros'!$C$31,AportPat!L171,0)))</f>
        <v>0</v>
      </c>
      <c r="O191" s="167">
        <f>Simulador!O559</f>
        <v>0</v>
      </c>
      <c r="P191" s="167">
        <v>0</v>
      </c>
      <c r="Q191" s="167">
        <f t="shared" si="56"/>
        <v>10720.884210717661</v>
      </c>
      <c r="R191" s="167">
        <f t="shared" si="57"/>
        <v>545383.27135425096</v>
      </c>
      <c r="U191" s="6"/>
      <c r="V191" s="6"/>
      <c r="W191" s="6"/>
      <c r="X191" s="256">
        <f t="shared" si="52"/>
        <v>10720.884210717653</v>
      </c>
      <c r="Z191" s="201">
        <f t="shared" si="58"/>
        <v>5306.5873014271365</v>
      </c>
      <c r="AA191" s="201">
        <f t="shared" si="59"/>
        <v>5115.2969092905205</v>
      </c>
      <c r="AB191" s="202">
        <f t="shared" si="60"/>
        <v>10421.884210717657</v>
      </c>
      <c r="AC191" s="201">
        <f t="shared" si="61"/>
        <v>5306.5873014271328</v>
      </c>
      <c r="AD191" s="201">
        <f t="shared" si="62"/>
        <v>5115.2969092905205</v>
      </c>
      <c r="AE191" s="201">
        <f t="shared" si="71"/>
        <v>10421.884210717653</v>
      </c>
      <c r="AF191" s="201">
        <f t="shared" si="63"/>
        <v>5306.5873014271401</v>
      </c>
      <c r="AG191" s="201">
        <f t="shared" si="64"/>
        <v>5115.2969092905205</v>
      </c>
      <c r="AH191" s="201">
        <f t="shared" si="70"/>
        <v>10421.884210717661</v>
      </c>
    </row>
    <row r="192" spans="2:34" x14ac:dyDescent="0.3">
      <c r="B192" s="181">
        <f t="shared" si="65"/>
        <v>169</v>
      </c>
      <c r="C192" s="180">
        <f t="shared" si="66"/>
        <v>30.4</v>
      </c>
      <c r="D192" s="165">
        <f>IF(B192="","",Simulador!$F$62)</f>
        <v>0.11</v>
      </c>
      <c r="E192" s="167"/>
      <c r="F192" s="167">
        <f t="shared" si="67"/>
        <v>545383.27135425096</v>
      </c>
      <c r="G192" s="166"/>
      <c r="H192" s="167">
        <f t="shared" si="54"/>
        <v>5355.8796012492858</v>
      </c>
      <c r="I192" s="167">
        <f t="shared" si="68"/>
        <v>5066.0046094683748</v>
      </c>
      <c r="J192" s="167">
        <f t="shared" si="53"/>
        <v>10421.884210717661</v>
      </c>
      <c r="K192" s="167">
        <f t="shared" si="55"/>
        <v>0</v>
      </c>
      <c r="L192" s="167">
        <f t="shared" si="69"/>
        <v>0</v>
      </c>
      <c r="M192" s="167">
        <f>IF(B192="","",IF(F192=0,0,IF(Simulador!$F$11='Tabla Parámetros'!$W$1,'Tabla Parámetros'!$W$28,IF(Simulador!$F$11='Tabla Parámetros'!$Y$1,'Tabla Parámetros'!$Y$12))))</f>
        <v>299</v>
      </c>
      <c r="N192" s="167">
        <f>IF(B192="","",IF(F192=0,0,IF(Simulador!$N$7='Tabla Parámetros'!$C$31,AportPat!L172,0)))</f>
        <v>0</v>
      </c>
      <c r="O192" s="167">
        <f>Simulador!O560</f>
        <v>0</v>
      </c>
      <c r="P192" s="167">
        <v>0</v>
      </c>
      <c r="Q192" s="167">
        <f t="shared" si="56"/>
        <v>10720.884210717661</v>
      </c>
      <c r="R192" s="167">
        <f t="shared" si="57"/>
        <v>540027.39175300172</v>
      </c>
      <c r="U192" s="6"/>
      <c r="V192" s="6"/>
      <c r="W192" s="6"/>
      <c r="X192" s="256">
        <f t="shared" si="52"/>
        <v>10720.884210717653</v>
      </c>
      <c r="Z192" s="201">
        <f t="shared" si="58"/>
        <v>5355.8796012492821</v>
      </c>
      <c r="AA192" s="201">
        <f t="shared" si="59"/>
        <v>5066.0046094683748</v>
      </c>
      <c r="AB192" s="202">
        <f t="shared" si="60"/>
        <v>10421.884210717657</v>
      </c>
      <c r="AC192" s="201">
        <f t="shared" si="61"/>
        <v>5355.8796012492785</v>
      </c>
      <c r="AD192" s="201">
        <f t="shared" si="62"/>
        <v>5066.0046094683748</v>
      </c>
      <c r="AE192" s="201">
        <f t="shared" si="71"/>
        <v>10421.884210717653</v>
      </c>
      <c r="AF192" s="201">
        <f t="shared" si="63"/>
        <v>5355.8796012492858</v>
      </c>
      <c r="AG192" s="201">
        <f t="shared" si="64"/>
        <v>5066.0046094683748</v>
      </c>
      <c r="AH192" s="201">
        <f t="shared" si="70"/>
        <v>10421.884210717661</v>
      </c>
    </row>
    <row r="193" spans="2:34" x14ac:dyDescent="0.3">
      <c r="B193" s="179">
        <f t="shared" si="65"/>
        <v>170</v>
      </c>
      <c r="C193" s="180">
        <f t="shared" si="66"/>
        <v>30.4</v>
      </c>
      <c r="D193" s="165">
        <f>IF(B193="","",Simulador!$F$62)</f>
        <v>0.11</v>
      </c>
      <c r="E193" s="167"/>
      <c r="F193" s="167">
        <f t="shared" si="67"/>
        <v>540027.39175300172</v>
      </c>
      <c r="G193" s="166"/>
      <c r="H193" s="167">
        <f t="shared" si="54"/>
        <v>5405.6297717675561</v>
      </c>
      <c r="I193" s="167">
        <f t="shared" si="68"/>
        <v>5016.2544389501045</v>
      </c>
      <c r="J193" s="167">
        <f t="shared" si="53"/>
        <v>10421.884210717661</v>
      </c>
      <c r="K193" s="167">
        <f t="shared" si="55"/>
        <v>0</v>
      </c>
      <c r="L193" s="167">
        <f t="shared" si="69"/>
        <v>0</v>
      </c>
      <c r="M193" s="167">
        <f>IF(B193="","",IF(F193=0,0,IF(Simulador!$F$11='Tabla Parámetros'!$W$1,'Tabla Parámetros'!$W$28,IF(Simulador!$F$11='Tabla Parámetros'!$Y$1,'Tabla Parámetros'!$Y$12))))</f>
        <v>299</v>
      </c>
      <c r="N193" s="167">
        <f>IF(B193="","",IF(F193=0,0,IF(Simulador!$N$7='Tabla Parámetros'!$C$31,AportPat!L173,0)))</f>
        <v>0</v>
      </c>
      <c r="O193" s="167">
        <f>Simulador!O561</f>
        <v>0</v>
      </c>
      <c r="P193" s="167">
        <v>0</v>
      </c>
      <c r="Q193" s="167">
        <f t="shared" si="56"/>
        <v>10720.884210717661</v>
      </c>
      <c r="R193" s="167">
        <f t="shared" si="57"/>
        <v>534621.76198123419</v>
      </c>
      <c r="U193" s="6"/>
      <c r="V193" s="6"/>
      <c r="W193" s="6"/>
      <c r="X193" s="256">
        <f t="shared" si="52"/>
        <v>10720.884210717653</v>
      </c>
      <c r="Z193" s="201">
        <f t="shared" si="58"/>
        <v>5405.6297717675525</v>
      </c>
      <c r="AA193" s="201">
        <f t="shared" si="59"/>
        <v>5016.2544389501045</v>
      </c>
      <c r="AB193" s="202">
        <f t="shared" si="60"/>
        <v>10421.884210717657</v>
      </c>
      <c r="AC193" s="201">
        <f t="shared" si="61"/>
        <v>5405.6297717675488</v>
      </c>
      <c r="AD193" s="201">
        <f t="shared" si="62"/>
        <v>5016.2544389501045</v>
      </c>
      <c r="AE193" s="201">
        <f t="shared" si="71"/>
        <v>10421.884210717653</v>
      </c>
      <c r="AF193" s="201">
        <f t="shared" si="63"/>
        <v>5405.6297717675561</v>
      </c>
      <c r="AG193" s="201">
        <f t="shared" si="64"/>
        <v>5016.2544389501045</v>
      </c>
      <c r="AH193" s="201">
        <f t="shared" si="70"/>
        <v>10421.884210717661</v>
      </c>
    </row>
    <row r="194" spans="2:34" x14ac:dyDescent="0.3">
      <c r="B194" s="179">
        <f t="shared" si="65"/>
        <v>171</v>
      </c>
      <c r="C194" s="180">
        <f t="shared" si="66"/>
        <v>30.4</v>
      </c>
      <c r="D194" s="165">
        <f>IF(B194="","",Simulador!$F$62)</f>
        <v>0.11</v>
      </c>
      <c r="E194" s="167"/>
      <c r="F194" s="167">
        <f t="shared" si="67"/>
        <v>534621.76198123419</v>
      </c>
      <c r="G194" s="166"/>
      <c r="H194" s="167">
        <f t="shared" si="54"/>
        <v>5455.8420660919764</v>
      </c>
      <c r="I194" s="167">
        <f t="shared" si="68"/>
        <v>4966.042144625686</v>
      </c>
      <c r="J194" s="167">
        <f t="shared" si="53"/>
        <v>10421.884210717662</v>
      </c>
      <c r="K194" s="167">
        <f t="shared" si="55"/>
        <v>0</v>
      </c>
      <c r="L194" s="167">
        <f t="shared" si="69"/>
        <v>0</v>
      </c>
      <c r="M194" s="167">
        <f>IF(B194="","",IF(F194=0,0,IF(Simulador!$F$11='Tabla Parámetros'!$W$1,'Tabla Parámetros'!$W$28,IF(Simulador!$F$11='Tabla Parámetros'!$Y$1,'Tabla Parámetros'!$Y$12))))</f>
        <v>299</v>
      </c>
      <c r="N194" s="167">
        <f>IF(B194="","",IF(F194=0,0,IF(Simulador!$N$7='Tabla Parámetros'!$C$31,AportPat!L174,0)))</f>
        <v>0</v>
      </c>
      <c r="O194" s="167">
        <f>Simulador!O562</f>
        <v>0</v>
      </c>
      <c r="P194" s="167">
        <v>0</v>
      </c>
      <c r="Q194" s="167">
        <f t="shared" si="56"/>
        <v>10720.884210717662</v>
      </c>
      <c r="R194" s="167">
        <f t="shared" si="57"/>
        <v>529165.91991514224</v>
      </c>
      <c r="U194" s="6"/>
      <c r="V194" s="6"/>
      <c r="W194" s="6"/>
      <c r="X194" s="256">
        <f t="shared" si="52"/>
        <v>10720.884210717653</v>
      </c>
      <c r="Z194" s="201">
        <f t="shared" si="58"/>
        <v>5455.8420660919728</v>
      </c>
      <c r="AA194" s="201">
        <f t="shared" si="59"/>
        <v>4966.042144625686</v>
      </c>
      <c r="AB194" s="202">
        <f t="shared" si="60"/>
        <v>10421.884210717659</v>
      </c>
      <c r="AC194" s="201">
        <f t="shared" si="61"/>
        <v>5455.8420660919674</v>
      </c>
      <c r="AD194" s="201">
        <f t="shared" si="62"/>
        <v>4966.042144625686</v>
      </c>
      <c r="AE194" s="201">
        <f t="shared" si="71"/>
        <v>10421.884210717653</v>
      </c>
      <c r="AF194" s="201">
        <f t="shared" si="63"/>
        <v>5455.8420660919764</v>
      </c>
      <c r="AG194" s="201">
        <f t="shared" si="64"/>
        <v>4966.042144625686</v>
      </c>
      <c r="AH194" s="201">
        <f t="shared" si="70"/>
        <v>10421.884210717662</v>
      </c>
    </row>
    <row r="195" spans="2:34" x14ac:dyDescent="0.3">
      <c r="B195" s="179">
        <f t="shared" si="65"/>
        <v>172</v>
      </c>
      <c r="C195" s="180">
        <f t="shared" si="66"/>
        <v>30.4</v>
      </c>
      <c r="D195" s="165">
        <f>IF(B195="","",Simulador!$F$62)</f>
        <v>0.11</v>
      </c>
      <c r="E195" s="167"/>
      <c r="F195" s="167">
        <f t="shared" si="67"/>
        <v>529165.91991514224</v>
      </c>
      <c r="G195" s="166"/>
      <c r="H195" s="167">
        <f t="shared" si="54"/>
        <v>5506.5207768392302</v>
      </c>
      <c r="I195" s="167">
        <f t="shared" si="68"/>
        <v>4915.3634338784323</v>
      </c>
      <c r="J195" s="167">
        <f t="shared" si="53"/>
        <v>10421.884210717662</v>
      </c>
      <c r="K195" s="167">
        <f t="shared" si="55"/>
        <v>0</v>
      </c>
      <c r="L195" s="167">
        <f t="shared" si="69"/>
        <v>0</v>
      </c>
      <c r="M195" s="167">
        <f>IF(B195="","",IF(F195=0,0,IF(Simulador!$F$11='Tabla Parámetros'!$W$1,'Tabla Parámetros'!$W$28,IF(Simulador!$F$11='Tabla Parámetros'!$Y$1,'Tabla Parámetros'!$Y$12))))</f>
        <v>299</v>
      </c>
      <c r="N195" s="167">
        <f>IF(B195="","",IF(F195=0,0,IF(Simulador!$N$7='Tabla Parámetros'!$C$31,AportPat!L175,0)))</f>
        <v>0</v>
      </c>
      <c r="O195" s="167">
        <f>Simulador!O563</f>
        <v>0</v>
      </c>
      <c r="P195" s="167">
        <v>0</v>
      </c>
      <c r="Q195" s="167">
        <f t="shared" si="56"/>
        <v>10720.884210717662</v>
      </c>
      <c r="R195" s="167">
        <f t="shared" si="57"/>
        <v>523659.39913830301</v>
      </c>
      <c r="U195" s="6"/>
      <c r="V195" s="6"/>
      <c r="W195" s="6"/>
      <c r="X195" s="256">
        <f t="shared" si="52"/>
        <v>10720.884210717653</v>
      </c>
      <c r="Z195" s="201">
        <f t="shared" si="58"/>
        <v>5506.5207768392265</v>
      </c>
      <c r="AA195" s="201">
        <f t="shared" si="59"/>
        <v>4915.3634338784323</v>
      </c>
      <c r="AB195" s="202">
        <f t="shared" si="60"/>
        <v>10421.884210717659</v>
      </c>
      <c r="AC195" s="201">
        <f t="shared" si="61"/>
        <v>5506.5207768392211</v>
      </c>
      <c r="AD195" s="201">
        <f t="shared" si="62"/>
        <v>4915.3634338784323</v>
      </c>
      <c r="AE195" s="201">
        <f t="shared" si="71"/>
        <v>10421.884210717653</v>
      </c>
      <c r="AF195" s="201">
        <f t="shared" si="63"/>
        <v>5506.5207768392302</v>
      </c>
      <c r="AG195" s="201">
        <f t="shared" si="64"/>
        <v>4915.3634338784323</v>
      </c>
      <c r="AH195" s="201">
        <f t="shared" si="70"/>
        <v>10421.884210717662</v>
      </c>
    </row>
    <row r="196" spans="2:34" x14ac:dyDescent="0.3">
      <c r="B196" s="181">
        <f t="shared" si="65"/>
        <v>173</v>
      </c>
      <c r="C196" s="180">
        <f t="shared" si="66"/>
        <v>30.4</v>
      </c>
      <c r="D196" s="165">
        <f>IF(B196="","",Simulador!$F$62)</f>
        <v>0.11</v>
      </c>
      <c r="E196" s="167"/>
      <c r="F196" s="167">
        <f t="shared" si="67"/>
        <v>523659.39913830301</v>
      </c>
      <c r="G196" s="166"/>
      <c r="H196" s="167">
        <f t="shared" si="54"/>
        <v>5557.6702364996481</v>
      </c>
      <c r="I196" s="167">
        <f t="shared" si="68"/>
        <v>4864.2139742180143</v>
      </c>
      <c r="J196" s="167">
        <f t="shared" si="53"/>
        <v>10421.884210717662</v>
      </c>
      <c r="K196" s="167">
        <f t="shared" si="55"/>
        <v>0</v>
      </c>
      <c r="L196" s="167">
        <f t="shared" si="69"/>
        <v>0</v>
      </c>
      <c r="M196" s="167">
        <f>IF(B196="","",IF(F196=0,0,IF(Simulador!$F$11='Tabla Parámetros'!$W$1,'Tabla Parámetros'!$W$28,IF(Simulador!$F$11='Tabla Parámetros'!$Y$1,'Tabla Parámetros'!$Y$12))))</f>
        <v>299</v>
      </c>
      <c r="N196" s="167">
        <f>IF(B196="","",IF(F196=0,0,IF(Simulador!$N$7='Tabla Parámetros'!$C$31,AportPat!L176,0)))</f>
        <v>0</v>
      </c>
      <c r="O196" s="167">
        <f>Simulador!O564</f>
        <v>0</v>
      </c>
      <c r="P196" s="167">
        <v>0</v>
      </c>
      <c r="Q196" s="167">
        <f t="shared" si="56"/>
        <v>10720.884210717662</v>
      </c>
      <c r="R196" s="167">
        <f t="shared" si="57"/>
        <v>518101.72890180338</v>
      </c>
      <c r="U196" s="6"/>
      <c r="V196" s="6"/>
      <c r="W196" s="6"/>
      <c r="X196" s="256">
        <f t="shared" si="52"/>
        <v>10720.884210717653</v>
      </c>
      <c r="Z196" s="201">
        <f t="shared" si="58"/>
        <v>5557.6702364996445</v>
      </c>
      <c r="AA196" s="201">
        <f t="shared" si="59"/>
        <v>4864.2139742180143</v>
      </c>
      <c r="AB196" s="202">
        <f t="shared" si="60"/>
        <v>10421.884210717659</v>
      </c>
      <c r="AC196" s="201">
        <f t="shared" si="61"/>
        <v>5557.670236499639</v>
      </c>
      <c r="AD196" s="201">
        <f t="shared" si="62"/>
        <v>4864.2139742180143</v>
      </c>
      <c r="AE196" s="201">
        <f t="shared" si="71"/>
        <v>10421.884210717653</v>
      </c>
      <c r="AF196" s="201">
        <f t="shared" si="63"/>
        <v>5557.6702364996481</v>
      </c>
      <c r="AG196" s="201">
        <f t="shared" si="64"/>
        <v>4864.2139742180143</v>
      </c>
      <c r="AH196" s="201">
        <f t="shared" si="70"/>
        <v>10421.884210717662</v>
      </c>
    </row>
    <row r="197" spans="2:34" x14ac:dyDescent="0.3">
      <c r="B197" s="179">
        <f t="shared" si="65"/>
        <v>174</v>
      </c>
      <c r="C197" s="180">
        <f t="shared" si="66"/>
        <v>30.4</v>
      </c>
      <c r="D197" s="165">
        <f>IF(B197="","",Simulador!$F$62)</f>
        <v>0.11</v>
      </c>
      <c r="E197" s="167"/>
      <c r="F197" s="167">
        <f t="shared" si="67"/>
        <v>518101.72890180338</v>
      </c>
      <c r="G197" s="166"/>
      <c r="H197" s="167">
        <f t="shared" si="54"/>
        <v>5609.2948178075767</v>
      </c>
      <c r="I197" s="167">
        <f t="shared" si="68"/>
        <v>4812.5893929100839</v>
      </c>
      <c r="J197" s="167">
        <f t="shared" si="53"/>
        <v>10421.884210717661</v>
      </c>
      <c r="K197" s="167">
        <f t="shared" si="55"/>
        <v>0</v>
      </c>
      <c r="L197" s="167">
        <f t="shared" si="69"/>
        <v>0</v>
      </c>
      <c r="M197" s="167">
        <f>IF(B197="","",IF(F197=0,0,IF(Simulador!$F$11='Tabla Parámetros'!$W$1,'Tabla Parámetros'!$W$28,IF(Simulador!$F$11='Tabla Parámetros'!$Y$1,'Tabla Parámetros'!$Y$12))))</f>
        <v>299</v>
      </c>
      <c r="N197" s="167">
        <f>IF(B197="","",IF(F197=0,0,IF(Simulador!$N$7='Tabla Parámetros'!$C$31,AportPat!L177,0)))</f>
        <v>0</v>
      </c>
      <c r="O197" s="167">
        <f>Simulador!O565</f>
        <v>0</v>
      </c>
      <c r="P197" s="167">
        <v>0</v>
      </c>
      <c r="Q197" s="167">
        <f t="shared" si="56"/>
        <v>10720.884210717661</v>
      </c>
      <c r="R197" s="167">
        <f t="shared" si="57"/>
        <v>512492.43408399582</v>
      </c>
      <c r="U197" s="6"/>
      <c r="V197" s="6"/>
      <c r="W197" s="6"/>
      <c r="X197" s="256">
        <f t="shared" si="52"/>
        <v>10720.884210717653</v>
      </c>
      <c r="Z197" s="201">
        <f t="shared" si="58"/>
        <v>5609.294817807574</v>
      </c>
      <c r="AA197" s="201">
        <f t="shared" si="59"/>
        <v>4812.5893929100839</v>
      </c>
      <c r="AB197" s="202">
        <f t="shared" si="60"/>
        <v>10421.884210717657</v>
      </c>
      <c r="AC197" s="201">
        <f t="shared" si="61"/>
        <v>5609.2948178075694</v>
      </c>
      <c r="AD197" s="201">
        <f t="shared" si="62"/>
        <v>4812.5893929100839</v>
      </c>
      <c r="AE197" s="201">
        <f t="shared" si="71"/>
        <v>10421.884210717653</v>
      </c>
      <c r="AF197" s="201">
        <f t="shared" si="63"/>
        <v>5609.2948178075767</v>
      </c>
      <c r="AG197" s="201">
        <f t="shared" si="64"/>
        <v>4812.5893929100839</v>
      </c>
      <c r="AH197" s="201">
        <f t="shared" si="70"/>
        <v>10421.884210717661</v>
      </c>
    </row>
    <row r="198" spans="2:34" x14ac:dyDescent="0.3">
      <c r="B198" s="179">
        <f t="shared" si="65"/>
        <v>175</v>
      </c>
      <c r="C198" s="180">
        <f t="shared" si="66"/>
        <v>30.4</v>
      </c>
      <c r="D198" s="165">
        <f>IF(B198="","",Simulador!$F$62)</f>
        <v>0.11</v>
      </c>
      <c r="E198" s="167"/>
      <c r="F198" s="167">
        <f t="shared" si="67"/>
        <v>512492.43408399582</v>
      </c>
      <c r="G198" s="166"/>
      <c r="H198" s="167">
        <f t="shared" si="54"/>
        <v>5661.3989341152146</v>
      </c>
      <c r="I198" s="167">
        <f t="shared" si="68"/>
        <v>4760.4852766024496</v>
      </c>
      <c r="J198" s="167">
        <f t="shared" si="53"/>
        <v>10421.884210717664</v>
      </c>
      <c r="K198" s="167">
        <f t="shared" si="55"/>
        <v>0</v>
      </c>
      <c r="L198" s="167">
        <f t="shared" si="69"/>
        <v>0</v>
      </c>
      <c r="M198" s="167">
        <f>IF(B198="","",IF(F198=0,0,IF(Simulador!$F$11='Tabla Parámetros'!$W$1,'Tabla Parámetros'!$W$28,IF(Simulador!$F$11='Tabla Parámetros'!$Y$1,'Tabla Parámetros'!$Y$12))))</f>
        <v>299</v>
      </c>
      <c r="N198" s="167">
        <f>IF(B198="","",IF(F198=0,0,IF(Simulador!$N$7='Tabla Parámetros'!$C$31,AportPat!L178,0)))</f>
        <v>0</v>
      </c>
      <c r="O198" s="167">
        <f>Simulador!O566</f>
        <v>0</v>
      </c>
      <c r="P198" s="167">
        <v>0</v>
      </c>
      <c r="Q198" s="167">
        <f t="shared" si="56"/>
        <v>10720.884210717664</v>
      </c>
      <c r="R198" s="167">
        <f t="shared" si="57"/>
        <v>506831.03514988063</v>
      </c>
      <c r="U198" s="6"/>
      <c r="V198" s="6"/>
      <c r="W198" s="6"/>
      <c r="X198" s="256">
        <f t="shared" si="52"/>
        <v>10720.884210717653</v>
      </c>
      <c r="Z198" s="201">
        <f t="shared" si="58"/>
        <v>5661.3989341152082</v>
      </c>
      <c r="AA198" s="201">
        <f t="shared" si="59"/>
        <v>4760.4852766024496</v>
      </c>
      <c r="AB198" s="202">
        <f t="shared" si="60"/>
        <v>10421.884210717657</v>
      </c>
      <c r="AC198" s="201">
        <f t="shared" si="61"/>
        <v>5661.3989341152037</v>
      </c>
      <c r="AD198" s="201">
        <f t="shared" si="62"/>
        <v>4760.4852766024496</v>
      </c>
      <c r="AE198" s="201">
        <f t="shared" si="71"/>
        <v>10421.884210717653</v>
      </c>
      <c r="AF198" s="201">
        <f t="shared" si="63"/>
        <v>5661.3989341152146</v>
      </c>
      <c r="AG198" s="201">
        <f t="shared" si="64"/>
        <v>4760.4852766024496</v>
      </c>
      <c r="AH198" s="201">
        <f t="shared" si="70"/>
        <v>10421.884210717664</v>
      </c>
    </row>
    <row r="199" spans="2:34" x14ac:dyDescent="0.3">
      <c r="B199" s="179">
        <f t="shared" si="65"/>
        <v>176</v>
      </c>
      <c r="C199" s="180">
        <f t="shared" si="66"/>
        <v>30.4</v>
      </c>
      <c r="D199" s="165">
        <f>IF(B199="","",Simulador!$F$62)</f>
        <v>0.11</v>
      </c>
      <c r="E199" s="167"/>
      <c r="F199" s="167">
        <f t="shared" si="67"/>
        <v>506831.03514988063</v>
      </c>
      <c r="G199" s="166"/>
      <c r="H199" s="167">
        <f t="shared" si="54"/>
        <v>5713.9870397698824</v>
      </c>
      <c r="I199" s="167">
        <f t="shared" si="68"/>
        <v>4707.8971709477801</v>
      </c>
      <c r="J199" s="167">
        <f t="shared" si="53"/>
        <v>10421.884210717662</v>
      </c>
      <c r="K199" s="167">
        <f t="shared" si="55"/>
        <v>0</v>
      </c>
      <c r="L199" s="167">
        <f t="shared" si="69"/>
        <v>0</v>
      </c>
      <c r="M199" s="167">
        <f>IF(B199="","",IF(F199=0,0,IF(Simulador!$F$11='Tabla Parámetros'!$W$1,'Tabla Parámetros'!$W$28,IF(Simulador!$F$11='Tabla Parámetros'!$Y$1,'Tabla Parámetros'!$Y$12))))</f>
        <v>299</v>
      </c>
      <c r="N199" s="167">
        <f>IF(B199="","",IF(F199=0,0,IF(Simulador!$N$7='Tabla Parámetros'!$C$31,AportPat!L179,0)))</f>
        <v>0</v>
      </c>
      <c r="O199" s="167">
        <f>Simulador!O567</f>
        <v>0</v>
      </c>
      <c r="P199" s="167">
        <v>0</v>
      </c>
      <c r="Q199" s="167">
        <f t="shared" si="56"/>
        <v>10720.884210717662</v>
      </c>
      <c r="R199" s="167">
        <f t="shared" si="57"/>
        <v>501117.04811011074</v>
      </c>
      <c r="U199" s="6"/>
      <c r="V199" s="6"/>
      <c r="W199" s="6"/>
      <c r="X199" s="256">
        <f t="shared" si="52"/>
        <v>10720.884210717653</v>
      </c>
      <c r="Z199" s="201">
        <f t="shared" si="58"/>
        <v>5713.9870397698796</v>
      </c>
      <c r="AA199" s="201">
        <f t="shared" si="59"/>
        <v>4707.8971709477801</v>
      </c>
      <c r="AB199" s="202">
        <f t="shared" si="60"/>
        <v>10421.884210717661</v>
      </c>
      <c r="AC199" s="201">
        <f t="shared" si="61"/>
        <v>5713.9870397698733</v>
      </c>
      <c r="AD199" s="201">
        <f t="shared" si="62"/>
        <v>4707.8971709477801</v>
      </c>
      <c r="AE199" s="201">
        <f t="shared" si="71"/>
        <v>10421.884210717653</v>
      </c>
      <c r="AF199" s="201">
        <f t="shared" si="63"/>
        <v>5713.9870397698824</v>
      </c>
      <c r="AG199" s="201">
        <f t="shared" si="64"/>
        <v>4707.8971709477801</v>
      </c>
      <c r="AH199" s="201">
        <f t="shared" si="70"/>
        <v>10421.884210717662</v>
      </c>
    </row>
    <row r="200" spans="2:34" x14ac:dyDescent="0.3">
      <c r="B200" s="181">
        <f t="shared" si="65"/>
        <v>177</v>
      </c>
      <c r="C200" s="180">
        <f t="shared" si="66"/>
        <v>30.4</v>
      </c>
      <c r="D200" s="165">
        <f>IF(B200="","",Simulador!$F$62)</f>
        <v>0.11</v>
      </c>
      <c r="E200" s="167"/>
      <c r="F200" s="167">
        <f t="shared" si="67"/>
        <v>501117.04811011074</v>
      </c>
      <c r="G200" s="166"/>
      <c r="H200" s="167">
        <f t="shared" si="54"/>
        <v>5767.0636304948584</v>
      </c>
      <c r="I200" s="167">
        <f t="shared" si="68"/>
        <v>4654.8205802228058</v>
      </c>
      <c r="J200" s="167">
        <f t="shared" si="53"/>
        <v>10421.884210717664</v>
      </c>
      <c r="K200" s="167">
        <f t="shared" si="55"/>
        <v>0</v>
      </c>
      <c r="L200" s="167">
        <f t="shared" si="69"/>
        <v>0</v>
      </c>
      <c r="M200" s="167">
        <f>IF(B200="","",IF(F200=0,0,IF(Simulador!$F$11='Tabla Parámetros'!$W$1,'Tabla Parámetros'!$W$28,IF(Simulador!$F$11='Tabla Parámetros'!$Y$1,'Tabla Parámetros'!$Y$12))))</f>
        <v>299</v>
      </c>
      <c r="N200" s="167">
        <f>IF(B200="","",IF(F200=0,0,IF(Simulador!$N$7='Tabla Parámetros'!$C$31,AportPat!L180,0)))</f>
        <v>0</v>
      </c>
      <c r="O200" s="167">
        <f>Simulador!O568</f>
        <v>0</v>
      </c>
      <c r="P200" s="167">
        <v>0</v>
      </c>
      <c r="Q200" s="167">
        <f t="shared" si="56"/>
        <v>10720.884210717664</v>
      </c>
      <c r="R200" s="167">
        <f t="shared" si="57"/>
        <v>495349.98447961587</v>
      </c>
      <c r="U200" s="6"/>
      <c r="V200" s="6"/>
      <c r="W200" s="6"/>
      <c r="X200" s="256">
        <f t="shared" si="52"/>
        <v>10720.884210717653</v>
      </c>
      <c r="Z200" s="201">
        <f t="shared" si="58"/>
        <v>5767.0636304948521</v>
      </c>
      <c r="AA200" s="201">
        <f t="shared" si="59"/>
        <v>4654.8205802228058</v>
      </c>
      <c r="AB200" s="202">
        <f t="shared" si="60"/>
        <v>10421.884210717657</v>
      </c>
      <c r="AC200" s="201">
        <f t="shared" si="61"/>
        <v>5767.0636304948475</v>
      </c>
      <c r="AD200" s="201">
        <f t="shared" si="62"/>
        <v>4654.8205802228058</v>
      </c>
      <c r="AE200" s="201">
        <f t="shared" si="71"/>
        <v>10421.884210717653</v>
      </c>
      <c r="AF200" s="201">
        <f t="shared" si="63"/>
        <v>5767.0636304948584</v>
      </c>
      <c r="AG200" s="201">
        <f t="shared" si="64"/>
        <v>4654.8205802228058</v>
      </c>
      <c r="AH200" s="201">
        <f t="shared" si="70"/>
        <v>10421.884210717664</v>
      </c>
    </row>
    <row r="201" spans="2:34" x14ac:dyDescent="0.3">
      <c r="B201" s="179">
        <f t="shared" si="65"/>
        <v>178</v>
      </c>
      <c r="C201" s="180">
        <f t="shared" si="66"/>
        <v>30.4</v>
      </c>
      <c r="D201" s="165">
        <f>IF(B201="","",Simulador!$F$62)</f>
        <v>0.11</v>
      </c>
      <c r="E201" s="167"/>
      <c r="F201" s="167">
        <f t="shared" si="67"/>
        <v>495349.98447961587</v>
      </c>
      <c r="G201" s="166"/>
      <c r="H201" s="167">
        <f t="shared" si="54"/>
        <v>5820.6332437736737</v>
      </c>
      <c r="I201" s="167">
        <f t="shared" si="68"/>
        <v>4601.2509669439869</v>
      </c>
      <c r="J201" s="167">
        <f t="shared" si="53"/>
        <v>10421.884210717661</v>
      </c>
      <c r="K201" s="167">
        <f t="shared" si="55"/>
        <v>0</v>
      </c>
      <c r="L201" s="167">
        <f t="shared" si="69"/>
        <v>0</v>
      </c>
      <c r="M201" s="167">
        <f>IF(B201="","",IF(F201=0,0,IF(Simulador!$F$11='Tabla Parámetros'!$W$1,'Tabla Parámetros'!$W$28,IF(Simulador!$F$11='Tabla Parámetros'!$Y$1,'Tabla Parámetros'!$Y$12))))</f>
        <v>299</v>
      </c>
      <c r="N201" s="167">
        <f>IF(B201="","",IF(F201=0,0,IF(Simulador!$N$7='Tabla Parámetros'!$C$31,AportPat!L181,0)))</f>
        <v>0</v>
      </c>
      <c r="O201" s="167">
        <f>Simulador!O569</f>
        <v>0</v>
      </c>
      <c r="P201" s="167">
        <v>0</v>
      </c>
      <c r="Q201" s="167">
        <f t="shared" si="56"/>
        <v>10720.884210717661</v>
      </c>
      <c r="R201" s="167">
        <f t="shared" si="57"/>
        <v>489529.35123584222</v>
      </c>
      <c r="U201" s="6"/>
      <c r="V201" s="6"/>
      <c r="W201" s="6"/>
      <c r="X201" s="256">
        <f t="shared" si="52"/>
        <v>10720.884210717653</v>
      </c>
      <c r="Z201" s="201">
        <f t="shared" si="58"/>
        <v>5820.6332437736719</v>
      </c>
      <c r="AA201" s="201">
        <f t="shared" si="59"/>
        <v>4601.2509669439869</v>
      </c>
      <c r="AB201" s="202">
        <f t="shared" si="60"/>
        <v>10421.884210717659</v>
      </c>
      <c r="AC201" s="201">
        <f t="shared" si="61"/>
        <v>5820.6332437736664</v>
      </c>
      <c r="AD201" s="201">
        <f t="shared" si="62"/>
        <v>4601.2509669439869</v>
      </c>
      <c r="AE201" s="201">
        <f t="shared" si="71"/>
        <v>10421.884210717653</v>
      </c>
      <c r="AF201" s="201">
        <f t="shared" si="63"/>
        <v>5820.6332437736737</v>
      </c>
      <c r="AG201" s="201">
        <f t="shared" si="64"/>
        <v>4601.2509669439869</v>
      </c>
      <c r="AH201" s="201">
        <f t="shared" si="70"/>
        <v>10421.884210717661</v>
      </c>
    </row>
    <row r="202" spans="2:34" x14ac:dyDescent="0.3">
      <c r="B202" s="179">
        <f t="shared" si="65"/>
        <v>179</v>
      </c>
      <c r="C202" s="180">
        <f t="shared" si="66"/>
        <v>30.4</v>
      </c>
      <c r="D202" s="165">
        <f>IF(B202="","",Simulador!$F$62)</f>
        <v>0.11</v>
      </c>
      <c r="E202" s="167"/>
      <c r="F202" s="167">
        <f t="shared" si="67"/>
        <v>489529.35123584222</v>
      </c>
      <c r="G202" s="166"/>
      <c r="H202" s="167">
        <f t="shared" si="54"/>
        <v>5874.7004592380617</v>
      </c>
      <c r="I202" s="167">
        <f t="shared" si="68"/>
        <v>4547.1837514796007</v>
      </c>
      <c r="J202" s="167">
        <f t="shared" si="53"/>
        <v>10421.884210717662</v>
      </c>
      <c r="K202" s="167">
        <f t="shared" si="55"/>
        <v>0</v>
      </c>
      <c r="L202" s="167">
        <f t="shared" si="69"/>
        <v>0</v>
      </c>
      <c r="M202" s="167">
        <f>IF(B202="","",IF(F202=0,0,IF(Simulador!$F$11='Tabla Parámetros'!$W$1,'Tabla Parámetros'!$W$28,IF(Simulador!$F$11='Tabla Parámetros'!$Y$1,'Tabla Parámetros'!$Y$12))))</f>
        <v>299</v>
      </c>
      <c r="N202" s="167">
        <f>IF(B202="","",IF(F202=0,0,IF(Simulador!$N$7='Tabla Parámetros'!$C$31,AportPat!L182,0)))</f>
        <v>0</v>
      </c>
      <c r="O202" s="167">
        <f>Simulador!O570</f>
        <v>0</v>
      </c>
      <c r="P202" s="167">
        <v>0</v>
      </c>
      <c r="Q202" s="167">
        <f t="shared" si="56"/>
        <v>10720.884210717662</v>
      </c>
      <c r="R202" s="167">
        <f t="shared" si="57"/>
        <v>483654.65077660413</v>
      </c>
      <c r="U202" s="6"/>
      <c r="V202" s="6"/>
      <c r="W202" s="6"/>
      <c r="X202" s="256">
        <f t="shared" si="52"/>
        <v>10720.884210717653</v>
      </c>
      <c r="Z202" s="201">
        <f t="shared" si="58"/>
        <v>5874.7004592380581</v>
      </c>
      <c r="AA202" s="201">
        <f t="shared" si="59"/>
        <v>4547.1837514796007</v>
      </c>
      <c r="AB202" s="202">
        <f t="shared" si="60"/>
        <v>10421.884210717659</v>
      </c>
      <c r="AC202" s="201">
        <f t="shared" si="61"/>
        <v>5874.7004592380526</v>
      </c>
      <c r="AD202" s="201">
        <f t="shared" si="62"/>
        <v>4547.1837514796007</v>
      </c>
      <c r="AE202" s="201">
        <f t="shared" si="71"/>
        <v>10421.884210717653</v>
      </c>
      <c r="AF202" s="201">
        <f t="shared" si="63"/>
        <v>5874.7004592380617</v>
      </c>
      <c r="AG202" s="201">
        <f t="shared" si="64"/>
        <v>4547.1837514796007</v>
      </c>
      <c r="AH202" s="201">
        <f t="shared" si="70"/>
        <v>10421.884210717662</v>
      </c>
    </row>
    <row r="203" spans="2:34" x14ac:dyDescent="0.3">
      <c r="B203" s="179">
        <f t="shared" si="65"/>
        <v>180</v>
      </c>
      <c r="C203" s="180">
        <f t="shared" si="66"/>
        <v>30.4</v>
      </c>
      <c r="D203" s="165">
        <f>IF(B203="","",Simulador!$F$62)</f>
        <v>0.11</v>
      </c>
      <c r="E203" s="167"/>
      <c r="F203" s="167">
        <f t="shared" si="67"/>
        <v>483654.65077660413</v>
      </c>
      <c r="G203" s="166"/>
      <c r="H203" s="167">
        <f t="shared" si="54"/>
        <v>5929.2698990594308</v>
      </c>
      <c r="I203" s="167">
        <f t="shared" si="68"/>
        <v>4492.6143116582334</v>
      </c>
      <c r="J203" s="167">
        <f>IF(D203="","",IF(F203=0,0,IF($R$2=$Z$22,AB203,IF($R$2=$AC$22,AE203,IF($R$2=$AF$22,AH203,)))))</f>
        <v>10421.884210717664</v>
      </c>
      <c r="K203" s="167">
        <f t="shared" si="55"/>
        <v>0</v>
      </c>
      <c r="L203" s="167">
        <f t="shared" si="69"/>
        <v>0</v>
      </c>
      <c r="M203" s="167">
        <f>IF(B203="","",IF(F203=0,0,IF(Simulador!$F$11='Tabla Parámetros'!$W$1,'Tabla Parámetros'!$W$28,IF(Simulador!$F$11='Tabla Parámetros'!$Y$1,'Tabla Parámetros'!$Y$12))))</f>
        <v>299</v>
      </c>
      <c r="N203" s="167">
        <f>IF(B203="","",IF(F203=0,0,IF(Simulador!$N$7='Tabla Parámetros'!$C$31,AportPat!L183,0)))</f>
        <v>0</v>
      </c>
      <c r="O203" s="167">
        <f>Simulador!O571</f>
        <v>0</v>
      </c>
      <c r="P203" s="167">
        <v>0</v>
      </c>
      <c r="Q203" s="167">
        <f t="shared" si="56"/>
        <v>10720.884210717664</v>
      </c>
      <c r="R203" s="167">
        <f t="shared" si="57"/>
        <v>477725.3808775447</v>
      </c>
      <c r="U203" s="6"/>
      <c r="V203" s="6"/>
      <c r="W203" s="6"/>
      <c r="X203" s="256">
        <f t="shared" si="52"/>
        <v>10720.884210717653</v>
      </c>
      <c r="Z203" s="201">
        <f t="shared" si="58"/>
        <v>5929.2698990594254</v>
      </c>
      <c r="AA203" s="201">
        <f t="shared" si="59"/>
        <v>4492.6143116582334</v>
      </c>
      <c r="AB203" s="202">
        <f t="shared" si="60"/>
        <v>10421.884210717659</v>
      </c>
      <c r="AC203" s="201">
        <f t="shared" si="61"/>
        <v>5929.2698990594199</v>
      </c>
      <c r="AD203" s="201">
        <f t="shared" si="62"/>
        <v>4492.6143116582334</v>
      </c>
      <c r="AE203" s="201">
        <f t="shared" si="71"/>
        <v>10421.884210717653</v>
      </c>
      <c r="AF203" s="201">
        <f t="shared" si="63"/>
        <v>5929.2698990594308</v>
      </c>
      <c r="AG203" s="201">
        <f t="shared" si="64"/>
        <v>4492.6143116582334</v>
      </c>
      <c r="AH203" s="201">
        <f t="shared" si="70"/>
        <v>10421.884210717664</v>
      </c>
    </row>
    <row r="204" spans="2:34" x14ac:dyDescent="0.3">
      <c r="B204" s="181">
        <f t="shared" si="65"/>
        <v>181</v>
      </c>
      <c r="C204" s="180">
        <f t="shared" si="66"/>
        <v>30.4</v>
      </c>
      <c r="D204" s="165">
        <f>IF(B204="","",Simulador!$F$62)</f>
        <v>0.11</v>
      </c>
      <c r="E204" s="167"/>
      <c r="F204" s="167">
        <f t="shared" si="67"/>
        <v>477725.3808775447</v>
      </c>
      <c r="G204" s="166"/>
      <c r="H204" s="167">
        <f t="shared" si="54"/>
        <v>5984.3462283440258</v>
      </c>
      <c r="I204" s="167">
        <f t="shared" si="68"/>
        <v>4437.5379823736366</v>
      </c>
      <c r="J204" s="167">
        <f t="shared" ref="J204:J263" si="72">IF(D204="","",IF(F204=0,0,IF($R$2=$Z$22,AB204,IF($R$2=$AC$22,AE204,IF($R$2=$AF$22,AH204,)))))</f>
        <v>10421.884210717662</v>
      </c>
      <c r="K204" s="167">
        <f t="shared" si="55"/>
        <v>0</v>
      </c>
      <c r="L204" s="167">
        <f t="shared" si="69"/>
        <v>0</v>
      </c>
      <c r="M204" s="167">
        <f>IF(B204="","",IF(F204=0,0,IF(Simulador!$F$11='Tabla Parámetros'!$W$1,'Tabla Parámetros'!$W$28,IF(Simulador!$F$11='Tabla Parámetros'!$Y$1,'Tabla Parámetros'!$Y$12))))</f>
        <v>299</v>
      </c>
      <c r="N204" s="167">
        <f>IF(B204="","",IF(F204=0,0,IF(Simulador!$N$7='Tabla Parámetros'!$C$31,AportPat!L184,0)))</f>
        <v>0</v>
      </c>
      <c r="O204" s="167">
        <f>Simulador!O572</f>
        <v>0</v>
      </c>
      <c r="P204" s="167">
        <v>0</v>
      </c>
      <c r="Q204" s="167">
        <f t="shared" si="56"/>
        <v>10720.884210717662</v>
      </c>
      <c r="R204" s="167">
        <f t="shared" si="57"/>
        <v>471741.03464920068</v>
      </c>
      <c r="U204" s="6"/>
      <c r="V204" s="6"/>
      <c r="W204" s="6"/>
      <c r="X204" s="256">
        <f t="shared" si="52"/>
        <v>10720.884210717653</v>
      </c>
      <c r="Z204" s="201">
        <f t="shared" si="58"/>
        <v>5984.3462283440222</v>
      </c>
      <c r="AA204" s="201">
        <f t="shared" si="59"/>
        <v>4437.5379823736366</v>
      </c>
      <c r="AB204" s="202">
        <f t="shared" si="60"/>
        <v>10421.884210717659</v>
      </c>
      <c r="AC204" s="201">
        <f t="shared" si="61"/>
        <v>5984.3462283440167</v>
      </c>
      <c r="AD204" s="201">
        <f t="shared" si="62"/>
        <v>4437.5379823736366</v>
      </c>
      <c r="AE204" s="201">
        <f t="shared" si="71"/>
        <v>10421.884210717653</v>
      </c>
      <c r="AF204" s="201">
        <f t="shared" si="63"/>
        <v>5984.3462283440258</v>
      </c>
      <c r="AG204" s="201">
        <f t="shared" si="64"/>
        <v>4437.5379823736366</v>
      </c>
      <c r="AH204" s="201">
        <f t="shared" si="70"/>
        <v>10421.884210717662</v>
      </c>
    </row>
    <row r="205" spans="2:34" x14ac:dyDescent="0.3">
      <c r="B205" s="179">
        <f t="shared" si="65"/>
        <v>182</v>
      </c>
      <c r="C205" s="180">
        <f t="shared" si="66"/>
        <v>30.4</v>
      </c>
      <c r="D205" s="165">
        <f>IF(B205="","",Simulador!$F$62)</f>
        <v>0.11</v>
      </c>
      <c r="E205" s="167"/>
      <c r="F205" s="167">
        <f t="shared" si="67"/>
        <v>471741.03464920068</v>
      </c>
      <c r="G205" s="166"/>
      <c r="H205" s="167">
        <f t="shared" si="54"/>
        <v>6039.934155531756</v>
      </c>
      <c r="I205" s="167">
        <f t="shared" si="68"/>
        <v>4381.9500551859082</v>
      </c>
      <c r="J205" s="167">
        <f t="shared" si="72"/>
        <v>10421.884210717664</v>
      </c>
      <c r="K205" s="167">
        <f t="shared" si="55"/>
        <v>0</v>
      </c>
      <c r="L205" s="167">
        <f t="shared" si="69"/>
        <v>0</v>
      </c>
      <c r="M205" s="167">
        <f>IF(B205="","",IF(F205=0,0,IF(Simulador!$F$11='Tabla Parámetros'!$W$1,'Tabla Parámetros'!$W$28,IF(Simulador!$F$11='Tabla Parámetros'!$Y$1,'Tabla Parámetros'!$Y$12))))</f>
        <v>299</v>
      </c>
      <c r="N205" s="167">
        <f>IF(B205="","",IF(F205=0,0,IF(Simulador!$N$7='Tabla Parámetros'!$C$31,AportPat!L185,0)))</f>
        <v>0</v>
      </c>
      <c r="O205" s="167">
        <f>Simulador!O573</f>
        <v>0</v>
      </c>
      <c r="P205" s="167">
        <v>0</v>
      </c>
      <c r="Q205" s="167">
        <f t="shared" si="56"/>
        <v>10720.884210717664</v>
      </c>
      <c r="R205" s="167">
        <f t="shared" si="57"/>
        <v>465701.10049366893</v>
      </c>
      <c r="U205" s="6"/>
      <c r="V205" s="6"/>
      <c r="W205" s="6"/>
      <c r="X205" s="256">
        <f t="shared" si="52"/>
        <v>10720.884210717653</v>
      </c>
      <c r="Z205" s="201">
        <f t="shared" si="58"/>
        <v>6039.9341555317496</v>
      </c>
      <c r="AA205" s="201">
        <f t="shared" si="59"/>
        <v>4381.9500551859082</v>
      </c>
      <c r="AB205" s="202">
        <f t="shared" si="60"/>
        <v>10421.884210717657</v>
      </c>
      <c r="AC205" s="201">
        <f t="shared" si="61"/>
        <v>6039.9341555317451</v>
      </c>
      <c r="AD205" s="201">
        <f t="shared" si="62"/>
        <v>4381.9500551859082</v>
      </c>
      <c r="AE205" s="201">
        <f t="shared" si="71"/>
        <v>10421.884210717653</v>
      </c>
      <c r="AF205" s="201">
        <f t="shared" si="63"/>
        <v>6039.934155531756</v>
      </c>
      <c r="AG205" s="201">
        <f t="shared" si="64"/>
        <v>4381.9500551859082</v>
      </c>
      <c r="AH205" s="201">
        <f t="shared" si="70"/>
        <v>10421.884210717664</v>
      </c>
    </row>
    <row r="206" spans="2:34" x14ac:dyDescent="0.3">
      <c r="B206" s="179">
        <f t="shared" si="65"/>
        <v>183</v>
      </c>
      <c r="C206" s="180">
        <f t="shared" si="66"/>
        <v>30.4</v>
      </c>
      <c r="D206" s="165">
        <f>IF(B206="","",Simulador!$F$62)</f>
        <v>0.11</v>
      </c>
      <c r="E206" s="167"/>
      <c r="F206" s="167">
        <f t="shared" si="67"/>
        <v>465701.10049366893</v>
      </c>
      <c r="G206" s="166"/>
      <c r="H206" s="167">
        <f t="shared" si="54"/>
        <v>6096.0384327986958</v>
      </c>
      <c r="I206" s="167">
        <f t="shared" si="68"/>
        <v>4325.8457779189685</v>
      </c>
      <c r="J206" s="167">
        <f t="shared" si="72"/>
        <v>10421.884210717664</v>
      </c>
      <c r="K206" s="167">
        <f t="shared" si="55"/>
        <v>0</v>
      </c>
      <c r="L206" s="167">
        <f t="shared" si="69"/>
        <v>0</v>
      </c>
      <c r="M206" s="167">
        <f>IF(B206="","",IF(F206=0,0,IF(Simulador!$F$11='Tabla Parámetros'!$W$1,'Tabla Parámetros'!$W$28,IF(Simulador!$F$11='Tabla Parámetros'!$Y$1,'Tabla Parámetros'!$Y$12))))</f>
        <v>299</v>
      </c>
      <c r="N206" s="167">
        <f>IF(B206="","",IF(F206=0,0,IF(Simulador!$N$7='Tabla Parámetros'!$C$31,AportPat!L186,0)))</f>
        <v>0</v>
      </c>
      <c r="O206" s="167">
        <f>Simulador!O574</f>
        <v>0</v>
      </c>
      <c r="P206" s="167">
        <v>0</v>
      </c>
      <c r="Q206" s="167">
        <f t="shared" si="56"/>
        <v>10720.884210717664</v>
      </c>
      <c r="R206" s="167">
        <f t="shared" si="57"/>
        <v>459605.06206087023</v>
      </c>
      <c r="U206" s="6"/>
      <c r="V206" s="6"/>
      <c r="W206" s="6"/>
      <c r="X206" s="256">
        <f t="shared" si="52"/>
        <v>10720.884210717653</v>
      </c>
      <c r="Z206" s="201">
        <f t="shared" si="58"/>
        <v>6096.0384327986894</v>
      </c>
      <c r="AA206" s="201">
        <f t="shared" si="59"/>
        <v>4325.8457779189685</v>
      </c>
      <c r="AB206" s="202">
        <f t="shared" si="60"/>
        <v>10421.884210717657</v>
      </c>
      <c r="AC206" s="201">
        <f t="shared" si="61"/>
        <v>6096.0384327986849</v>
      </c>
      <c r="AD206" s="201">
        <f t="shared" si="62"/>
        <v>4325.8457779189685</v>
      </c>
      <c r="AE206" s="201">
        <f t="shared" si="71"/>
        <v>10421.884210717653</v>
      </c>
      <c r="AF206" s="201">
        <f t="shared" si="63"/>
        <v>6096.0384327986958</v>
      </c>
      <c r="AG206" s="201">
        <f t="shared" si="64"/>
        <v>4325.8457779189685</v>
      </c>
      <c r="AH206" s="201">
        <f t="shared" si="70"/>
        <v>10421.884210717664</v>
      </c>
    </row>
    <row r="207" spans="2:34" x14ac:dyDescent="0.3">
      <c r="B207" s="179">
        <f t="shared" si="65"/>
        <v>184</v>
      </c>
      <c r="C207" s="180">
        <f t="shared" si="66"/>
        <v>30.4</v>
      </c>
      <c r="D207" s="165">
        <f>IF(B207="","",Simulador!$F$62)</f>
        <v>0.11</v>
      </c>
      <c r="E207" s="167"/>
      <c r="F207" s="167">
        <f t="shared" si="67"/>
        <v>459605.06206087023</v>
      </c>
      <c r="G207" s="166"/>
      <c r="H207" s="167">
        <f t="shared" si="54"/>
        <v>6152.6638564633568</v>
      </c>
      <c r="I207" s="167">
        <f t="shared" si="68"/>
        <v>4269.2203542543057</v>
      </c>
      <c r="J207" s="167">
        <f t="shared" si="72"/>
        <v>10421.884210717662</v>
      </c>
      <c r="K207" s="167">
        <f t="shared" si="55"/>
        <v>0</v>
      </c>
      <c r="L207" s="167">
        <f t="shared" si="69"/>
        <v>0</v>
      </c>
      <c r="M207" s="167">
        <f>IF(B207="","",IF(F207=0,0,IF(Simulador!$F$11='Tabla Parámetros'!$W$1,'Tabla Parámetros'!$W$28,IF(Simulador!$F$11='Tabla Parámetros'!$Y$1,'Tabla Parámetros'!$Y$12))))</f>
        <v>299</v>
      </c>
      <c r="N207" s="167">
        <f>IF(B207="","",IF(F207=0,0,IF(Simulador!$N$7='Tabla Parámetros'!$C$31,AportPat!L187,0)))</f>
        <v>0</v>
      </c>
      <c r="O207" s="167">
        <f>Simulador!O575</f>
        <v>0</v>
      </c>
      <c r="P207" s="167">
        <v>0</v>
      </c>
      <c r="Q207" s="167">
        <f t="shared" si="56"/>
        <v>10720.884210717662</v>
      </c>
      <c r="R207" s="167">
        <f t="shared" si="57"/>
        <v>453452.3982044069</v>
      </c>
      <c r="U207" s="6"/>
      <c r="V207" s="6"/>
      <c r="W207" s="6"/>
      <c r="X207" s="256">
        <f t="shared" si="52"/>
        <v>10720.884210717653</v>
      </c>
      <c r="Z207" s="201">
        <f t="shared" si="58"/>
        <v>6152.6638564633531</v>
      </c>
      <c r="AA207" s="201">
        <f t="shared" si="59"/>
        <v>4269.2203542543057</v>
      </c>
      <c r="AB207" s="202">
        <f t="shared" si="60"/>
        <v>10421.884210717659</v>
      </c>
      <c r="AC207" s="201">
        <f t="shared" si="61"/>
        <v>6152.6638564633477</v>
      </c>
      <c r="AD207" s="201">
        <f t="shared" si="62"/>
        <v>4269.2203542543057</v>
      </c>
      <c r="AE207" s="201">
        <f t="shared" si="71"/>
        <v>10421.884210717653</v>
      </c>
      <c r="AF207" s="201">
        <f t="shared" si="63"/>
        <v>6152.6638564633568</v>
      </c>
      <c r="AG207" s="201">
        <f t="shared" si="64"/>
        <v>4269.2203542543057</v>
      </c>
      <c r="AH207" s="201">
        <f t="shared" si="70"/>
        <v>10421.884210717662</v>
      </c>
    </row>
    <row r="208" spans="2:34" x14ac:dyDescent="0.3">
      <c r="B208" s="181">
        <f t="shared" si="65"/>
        <v>185</v>
      </c>
      <c r="C208" s="180">
        <f t="shared" si="66"/>
        <v>30.4</v>
      </c>
      <c r="D208" s="165">
        <f>IF(B208="","",Simulador!$F$62)</f>
        <v>0.11</v>
      </c>
      <c r="E208" s="167"/>
      <c r="F208" s="167">
        <f t="shared" si="67"/>
        <v>453452.3982044069</v>
      </c>
      <c r="G208" s="166"/>
      <c r="H208" s="167">
        <f t="shared" si="54"/>
        <v>6209.8152673967297</v>
      </c>
      <c r="I208" s="167">
        <f t="shared" si="68"/>
        <v>4212.0689433209345</v>
      </c>
      <c r="J208" s="167">
        <f t="shared" si="72"/>
        <v>10421.884210717664</v>
      </c>
      <c r="K208" s="167">
        <f t="shared" si="55"/>
        <v>0</v>
      </c>
      <c r="L208" s="167">
        <f t="shared" si="69"/>
        <v>0</v>
      </c>
      <c r="M208" s="167">
        <f>IF(B208="","",IF(F208=0,0,IF(Simulador!$F$11='Tabla Parámetros'!$W$1,'Tabla Parámetros'!$W$28,IF(Simulador!$F$11='Tabla Parámetros'!$Y$1,'Tabla Parámetros'!$Y$12))))</f>
        <v>299</v>
      </c>
      <c r="N208" s="167">
        <f>IF(B208="","",IF(F208=0,0,IF(Simulador!$N$7='Tabla Parámetros'!$C$31,AportPat!L188,0)))</f>
        <v>0</v>
      </c>
      <c r="O208" s="167">
        <f>Simulador!O576</f>
        <v>0</v>
      </c>
      <c r="P208" s="167">
        <v>0</v>
      </c>
      <c r="Q208" s="167">
        <f t="shared" si="56"/>
        <v>10720.884210717664</v>
      </c>
      <c r="R208" s="167">
        <f t="shared" si="57"/>
        <v>447242.58293701016</v>
      </c>
      <c r="U208" s="6"/>
      <c r="V208" s="6"/>
      <c r="W208" s="6"/>
      <c r="X208" s="256">
        <f t="shared" si="52"/>
        <v>10720.884210717653</v>
      </c>
      <c r="Z208" s="201">
        <f t="shared" si="58"/>
        <v>6209.8152673967234</v>
      </c>
      <c r="AA208" s="201">
        <f t="shared" si="59"/>
        <v>4212.0689433209345</v>
      </c>
      <c r="AB208" s="202">
        <f t="shared" si="60"/>
        <v>10421.884210717657</v>
      </c>
      <c r="AC208" s="201">
        <f t="shared" si="61"/>
        <v>6209.8152673967188</v>
      </c>
      <c r="AD208" s="201">
        <f t="shared" si="62"/>
        <v>4212.0689433209345</v>
      </c>
      <c r="AE208" s="201">
        <f t="shared" si="71"/>
        <v>10421.884210717653</v>
      </c>
      <c r="AF208" s="201">
        <f t="shared" si="63"/>
        <v>6209.8152673967297</v>
      </c>
      <c r="AG208" s="201">
        <f t="shared" si="64"/>
        <v>4212.0689433209345</v>
      </c>
      <c r="AH208" s="201">
        <f t="shared" si="70"/>
        <v>10421.884210717664</v>
      </c>
    </row>
    <row r="209" spans="2:34" x14ac:dyDescent="0.3">
      <c r="B209" s="179">
        <f t="shared" si="65"/>
        <v>186</v>
      </c>
      <c r="C209" s="180">
        <f t="shared" si="66"/>
        <v>30.4</v>
      </c>
      <c r="D209" s="165">
        <f>IF(B209="","",Simulador!$F$62)</f>
        <v>0.11</v>
      </c>
      <c r="E209" s="167"/>
      <c r="F209" s="167">
        <f t="shared" si="67"/>
        <v>447242.58293701016</v>
      </c>
      <c r="G209" s="166"/>
      <c r="H209" s="167">
        <f t="shared" si="54"/>
        <v>6267.4975514361031</v>
      </c>
      <c r="I209" s="167">
        <f t="shared" si="68"/>
        <v>4154.3866592815612</v>
      </c>
      <c r="J209" s="167">
        <f t="shared" si="72"/>
        <v>10421.884210717664</v>
      </c>
      <c r="K209" s="167">
        <f t="shared" si="55"/>
        <v>0</v>
      </c>
      <c r="L209" s="167">
        <f t="shared" si="69"/>
        <v>0</v>
      </c>
      <c r="M209" s="167">
        <f>IF(B209="","",IF(F209=0,0,IF(Simulador!$F$11='Tabla Parámetros'!$W$1,'Tabla Parámetros'!$W$28,IF(Simulador!$F$11='Tabla Parámetros'!$Y$1,'Tabla Parámetros'!$Y$12))))</f>
        <v>299</v>
      </c>
      <c r="N209" s="167">
        <f>IF(B209="","",IF(F209=0,0,IF(Simulador!$N$7='Tabla Parámetros'!$C$31,AportPat!L189,0)))</f>
        <v>0</v>
      </c>
      <c r="O209" s="167">
        <f>Simulador!O577</f>
        <v>0</v>
      </c>
      <c r="P209" s="167">
        <v>0</v>
      </c>
      <c r="Q209" s="167">
        <f t="shared" si="56"/>
        <v>10720.884210717664</v>
      </c>
      <c r="R209" s="167">
        <f t="shared" si="57"/>
        <v>440975.08538557403</v>
      </c>
      <c r="U209" s="6"/>
      <c r="V209" s="6"/>
      <c r="W209" s="6"/>
      <c r="X209" s="256">
        <f t="shared" si="52"/>
        <v>10720.884210717653</v>
      </c>
      <c r="Z209" s="201">
        <f t="shared" si="58"/>
        <v>6267.4975514360976</v>
      </c>
      <c r="AA209" s="201">
        <f t="shared" si="59"/>
        <v>4154.3866592815612</v>
      </c>
      <c r="AB209" s="202">
        <f t="shared" si="60"/>
        <v>10421.884210717659</v>
      </c>
      <c r="AC209" s="201">
        <f t="shared" si="61"/>
        <v>6267.4975514360922</v>
      </c>
      <c r="AD209" s="201">
        <f t="shared" si="62"/>
        <v>4154.3866592815612</v>
      </c>
      <c r="AE209" s="201">
        <f t="shared" si="71"/>
        <v>10421.884210717653</v>
      </c>
      <c r="AF209" s="201">
        <f t="shared" si="63"/>
        <v>6267.4975514361031</v>
      </c>
      <c r="AG209" s="201">
        <f t="shared" si="64"/>
        <v>4154.3866592815612</v>
      </c>
      <c r="AH209" s="201">
        <f t="shared" si="70"/>
        <v>10421.884210717664</v>
      </c>
    </row>
    <row r="210" spans="2:34" x14ac:dyDescent="0.3">
      <c r="B210" s="179">
        <f t="shared" si="65"/>
        <v>187</v>
      </c>
      <c r="C210" s="180">
        <f t="shared" si="66"/>
        <v>30.4</v>
      </c>
      <c r="D210" s="165">
        <f>IF(B210="","",Simulador!$F$62)</f>
        <v>0.11</v>
      </c>
      <c r="E210" s="167"/>
      <c r="F210" s="167">
        <f t="shared" si="67"/>
        <v>440975.08538557403</v>
      </c>
      <c r="G210" s="166"/>
      <c r="H210" s="167">
        <f t="shared" si="54"/>
        <v>6325.7156398027773</v>
      </c>
      <c r="I210" s="167">
        <f t="shared" si="68"/>
        <v>4096.1685709148869</v>
      </c>
      <c r="J210" s="167">
        <f t="shared" si="72"/>
        <v>10421.884210717664</v>
      </c>
      <c r="K210" s="167">
        <f t="shared" si="55"/>
        <v>0</v>
      </c>
      <c r="L210" s="167">
        <f t="shared" si="69"/>
        <v>0</v>
      </c>
      <c r="M210" s="167">
        <f>IF(B210="","",IF(F210=0,0,IF(Simulador!$F$11='Tabla Parámetros'!$W$1,'Tabla Parámetros'!$W$28,IF(Simulador!$F$11='Tabla Parámetros'!$Y$1,'Tabla Parámetros'!$Y$12))))</f>
        <v>299</v>
      </c>
      <c r="N210" s="167">
        <f>IF(B210="","",IF(F210=0,0,IF(Simulador!$N$7='Tabla Parámetros'!$C$31,AportPat!L190,0)))</f>
        <v>0</v>
      </c>
      <c r="O210" s="167">
        <f>Simulador!O578</f>
        <v>0</v>
      </c>
      <c r="P210" s="167">
        <v>0</v>
      </c>
      <c r="Q210" s="167">
        <f t="shared" si="56"/>
        <v>10720.884210717664</v>
      </c>
      <c r="R210" s="167">
        <f t="shared" si="57"/>
        <v>434649.36974577123</v>
      </c>
      <c r="U210" s="6"/>
      <c r="V210" s="6"/>
      <c r="W210" s="6"/>
      <c r="X210" s="256">
        <f t="shared" si="52"/>
        <v>10720.884210717653</v>
      </c>
      <c r="Z210" s="201">
        <f t="shared" si="58"/>
        <v>6325.7156398027701</v>
      </c>
      <c r="AA210" s="201">
        <f t="shared" si="59"/>
        <v>4096.1685709148869</v>
      </c>
      <c r="AB210" s="202">
        <f t="shared" si="60"/>
        <v>10421.884210717657</v>
      </c>
      <c r="AC210" s="201">
        <f t="shared" si="61"/>
        <v>6325.7156398027664</v>
      </c>
      <c r="AD210" s="201">
        <f t="shared" si="62"/>
        <v>4096.1685709148869</v>
      </c>
      <c r="AE210" s="201">
        <f t="shared" si="71"/>
        <v>10421.884210717653</v>
      </c>
      <c r="AF210" s="201">
        <f t="shared" si="63"/>
        <v>6325.7156398027773</v>
      </c>
      <c r="AG210" s="201">
        <f t="shared" si="64"/>
        <v>4096.1685709148869</v>
      </c>
      <c r="AH210" s="201">
        <f t="shared" si="70"/>
        <v>10421.884210717664</v>
      </c>
    </row>
    <row r="211" spans="2:34" x14ac:dyDescent="0.3">
      <c r="B211" s="179">
        <f t="shared" si="65"/>
        <v>188</v>
      </c>
      <c r="C211" s="180">
        <f t="shared" si="66"/>
        <v>30.4</v>
      </c>
      <c r="D211" s="165">
        <f>IF(B211="","",Simulador!$F$62)</f>
        <v>0.11</v>
      </c>
      <c r="E211" s="167"/>
      <c r="F211" s="167">
        <f t="shared" si="67"/>
        <v>434649.36974577123</v>
      </c>
      <c r="G211" s="166"/>
      <c r="H211" s="167">
        <f t="shared" si="54"/>
        <v>6384.4745095236121</v>
      </c>
      <c r="I211" s="167">
        <f t="shared" si="68"/>
        <v>4037.4097011940526</v>
      </c>
      <c r="J211" s="167">
        <f t="shared" si="72"/>
        <v>10421.884210717664</v>
      </c>
      <c r="K211" s="167">
        <f t="shared" si="55"/>
        <v>0</v>
      </c>
      <c r="L211" s="167">
        <f t="shared" si="69"/>
        <v>0</v>
      </c>
      <c r="M211" s="167">
        <f>IF(B211="","",IF(F211=0,0,IF(Simulador!$F$11='Tabla Parámetros'!$W$1,'Tabla Parámetros'!$W$28,IF(Simulador!$F$11='Tabla Parámetros'!$Y$1,'Tabla Parámetros'!$Y$12))))</f>
        <v>299</v>
      </c>
      <c r="N211" s="167">
        <f>IF(B211="","",IF(F211=0,0,IF(Simulador!$N$7='Tabla Parámetros'!$C$31,AportPat!L191,0)))</f>
        <v>0</v>
      </c>
      <c r="O211" s="167">
        <f>Simulador!O579</f>
        <v>0</v>
      </c>
      <c r="P211" s="167">
        <v>0</v>
      </c>
      <c r="Q211" s="167">
        <f t="shared" si="56"/>
        <v>10720.884210717664</v>
      </c>
      <c r="R211" s="167">
        <f t="shared" si="57"/>
        <v>428264.89523624763</v>
      </c>
      <c r="U211" s="6"/>
      <c r="V211" s="6"/>
      <c r="W211" s="6"/>
      <c r="X211" s="256">
        <f t="shared" si="52"/>
        <v>10720.884210717653</v>
      </c>
      <c r="Z211" s="201">
        <f t="shared" si="58"/>
        <v>6384.4745095236058</v>
      </c>
      <c r="AA211" s="201">
        <f t="shared" si="59"/>
        <v>4037.4097011940526</v>
      </c>
      <c r="AB211" s="202">
        <f t="shared" si="60"/>
        <v>10421.884210717659</v>
      </c>
      <c r="AC211" s="201">
        <f t="shared" si="61"/>
        <v>6384.4745095236012</v>
      </c>
      <c r="AD211" s="201">
        <f t="shared" si="62"/>
        <v>4037.4097011940526</v>
      </c>
      <c r="AE211" s="201">
        <f t="shared" si="71"/>
        <v>10421.884210717653</v>
      </c>
      <c r="AF211" s="201">
        <f t="shared" si="63"/>
        <v>6384.4745095236121</v>
      </c>
      <c r="AG211" s="201">
        <f t="shared" si="64"/>
        <v>4037.4097011940526</v>
      </c>
      <c r="AH211" s="201">
        <f t="shared" si="70"/>
        <v>10421.884210717664</v>
      </c>
    </row>
    <row r="212" spans="2:34" x14ac:dyDescent="0.3">
      <c r="B212" s="181">
        <f t="shared" si="65"/>
        <v>189</v>
      </c>
      <c r="C212" s="180">
        <f t="shared" si="66"/>
        <v>30.4</v>
      </c>
      <c r="D212" s="165">
        <f>IF(B212="","",Simulador!$F$62)</f>
        <v>0.11</v>
      </c>
      <c r="E212" s="167"/>
      <c r="F212" s="167">
        <f t="shared" si="67"/>
        <v>428264.89523624763</v>
      </c>
      <c r="G212" s="166"/>
      <c r="H212" s="167">
        <f t="shared" si="54"/>
        <v>6443.7791838565181</v>
      </c>
      <c r="I212" s="167">
        <f t="shared" si="68"/>
        <v>3978.1050268611443</v>
      </c>
      <c r="J212" s="167">
        <f t="shared" si="72"/>
        <v>10421.884210717662</v>
      </c>
      <c r="K212" s="167">
        <f t="shared" si="55"/>
        <v>0</v>
      </c>
      <c r="L212" s="167">
        <f t="shared" si="69"/>
        <v>0</v>
      </c>
      <c r="M212" s="167">
        <f>IF(B212="","",IF(F212=0,0,IF(Simulador!$F$11='Tabla Parámetros'!$W$1,'Tabla Parámetros'!$W$28,IF(Simulador!$F$11='Tabla Parámetros'!$Y$1,'Tabla Parámetros'!$Y$12))))</f>
        <v>299</v>
      </c>
      <c r="N212" s="167">
        <f>IF(B212="","",IF(F212=0,0,IF(Simulador!$N$7='Tabla Parámetros'!$C$31,AportPat!L192,0)))</f>
        <v>0</v>
      </c>
      <c r="O212" s="167">
        <f>Simulador!O580</f>
        <v>0</v>
      </c>
      <c r="P212" s="167">
        <v>0</v>
      </c>
      <c r="Q212" s="167">
        <f t="shared" si="56"/>
        <v>10720.884210717662</v>
      </c>
      <c r="R212" s="167">
        <f t="shared" si="57"/>
        <v>421821.11605239112</v>
      </c>
      <c r="U212" s="6"/>
      <c r="V212" s="6"/>
      <c r="W212" s="6"/>
      <c r="X212" s="256">
        <f t="shared" si="52"/>
        <v>10720.884210717653</v>
      </c>
      <c r="Z212" s="201">
        <f t="shared" si="58"/>
        <v>6443.7791838565136</v>
      </c>
      <c r="AA212" s="201">
        <f t="shared" si="59"/>
        <v>3978.1050268611443</v>
      </c>
      <c r="AB212" s="202">
        <f t="shared" si="60"/>
        <v>10421.884210717657</v>
      </c>
      <c r="AC212" s="201">
        <f t="shared" si="61"/>
        <v>6443.779183856509</v>
      </c>
      <c r="AD212" s="201">
        <f t="shared" si="62"/>
        <v>3978.1050268611443</v>
      </c>
      <c r="AE212" s="201">
        <f t="shared" si="71"/>
        <v>10421.884210717653</v>
      </c>
      <c r="AF212" s="201">
        <f t="shared" si="63"/>
        <v>6443.7791838565181</v>
      </c>
      <c r="AG212" s="201">
        <f t="shared" si="64"/>
        <v>3978.1050268611443</v>
      </c>
      <c r="AH212" s="201">
        <f t="shared" si="70"/>
        <v>10421.884210717662</v>
      </c>
    </row>
    <row r="213" spans="2:34" x14ac:dyDescent="0.3">
      <c r="B213" s="179">
        <f t="shared" si="65"/>
        <v>190</v>
      </c>
      <c r="C213" s="180">
        <f t="shared" si="66"/>
        <v>30.4</v>
      </c>
      <c r="D213" s="165">
        <f>IF(B213="","",Simulador!$F$62)</f>
        <v>0.11</v>
      </c>
      <c r="E213" s="167"/>
      <c r="F213" s="167">
        <f t="shared" si="67"/>
        <v>421821.11605239112</v>
      </c>
      <c r="G213" s="166"/>
      <c r="H213" s="167">
        <f t="shared" si="54"/>
        <v>6503.6347327198964</v>
      </c>
      <c r="I213" s="167">
        <f t="shared" si="68"/>
        <v>3918.249477997766</v>
      </c>
      <c r="J213" s="167">
        <f t="shared" si="72"/>
        <v>10421.884210717662</v>
      </c>
      <c r="K213" s="167">
        <f t="shared" si="55"/>
        <v>0</v>
      </c>
      <c r="L213" s="167">
        <f t="shared" si="69"/>
        <v>0</v>
      </c>
      <c r="M213" s="167">
        <f>IF(B213="","",IF(F213=0,0,IF(Simulador!$F$11='Tabla Parámetros'!$W$1,'Tabla Parámetros'!$W$28,IF(Simulador!$F$11='Tabla Parámetros'!$Y$1,'Tabla Parámetros'!$Y$12))))</f>
        <v>299</v>
      </c>
      <c r="N213" s="167">
        <f>IF(B213="","",IF(F213=0,0,IF(Simulador!$N$7='Tabla Parámetros'!$C$31,AportPat!L193,0)))</f>
        <v>0</v>
      </c>
      <c r="O213" s="167">
        <f>Simulador!O581</f>
        <v>0</v>
      </c>
      <c r="P213" s="167">
        <v>0</v>
      </c>
      <c r="Q213" s="167">
        <f t="shared" si="56"/>
        <v>10720.884210717662</v>
      </c>
      <c r="R213" s="167">
        <f t="shared" si="57"/>
        <v>415317.48131967121</v>
      </c>
      <c r="U213" s="6"/>
      <c r="V213" s="6"/>
      <c r="W213" s="6"/>
      <c r="X213" s="256">
        <f t="shared" si="52"/>
        <v>10720.884210717653</v>
      </c>
      <c r="Z213" s="201">
        <f t="shared" si="58"/>
        <v>6503.634732719891</v>
      </c>
      <c r="AA213" s="201">
        <f t="shared" si="59"/>
        <v>3918.249477997766</v>
      </c>
      <c r="AB213" s="202">
        <f t="shared" si="60"/>
        <v>10421.884210717657</v>
      </c>
      <c r="AC213" s="201">
        <f t="shared" si="61"/>
        <v>6503.6347327198873</v>
      </c>
      <c r="AD213" s="201">
        <f t="shared" si="62"/>
        <v>3918.249477997766</v>
      </c>
      <c r="AE213" s="201">
        <f t="shared" si="71"/>
        <v>10421.884210717653</v>
      </c>
      <c r="AF213" s="201">
        <f t="shared" si="63"/>
        <v>6503.6347327198964</v>
      </c>
      <c r="AG213" s="201">
        <f t="shared" si="64"/>
        <v>3918.249477997766</v>
      </c>
      <c r="AH213" s="201">
        <f t="shared" si="70"/>
        <v>10421.884210717662</v>
      </c>
    </row>
    <row r="214" spans="2:34" x14ac:dyDescent="0.3">
      <c r="B214" s="179">
        <f t="shared" si="65"/>
        <v>191</v>
      </c>
      <c r="C214" s="180">
        <f t="shared" si="66"/>
        <v>30.4</v>
      </c>
      <c r="D214" s="165">
        <f>IF(B214="","",Simulador!$F$62)</f>
        <v>0.11</v>
      </c>
      <c r="E214" s="167"/>
      <c r="F214" s="167">
        <f t="shared" si="67"/>
        <v>415317.48131967121</v>
      </c>
      <c r="G214" s="166"/>
      <c r="H214" s="167">
        <f t="shared" si="54"/>
        <v>6564.0462731260504</v>
      </c>
      <c r="I214" s="167">
        <f t="shared" si="68"/>
        <v>3857.8379375916124</v>
      </c>
      <c r="J214" s="167">
        <f t="shared" si="72"/>
        <v>10421.884210717662</v>
      </c>
      <c r="K214" s="167">
        <f t="shared" si="55"/>
        <v>0</v>
      </c>
      <c r="L214" s="167">
        <f t="shared" si="69"/>
        <v>0</v>
      </c>
      <c r="M214" s="167">
        <f>IF(B214="","",IF(F214=0,0,IF(Simulador!$F$11='Tabla Parámetros'!$W$1,'Tabla Parámetros'!$W$28,IF(Simulador!$F$11='Tabla Parámetros'!$Y$1,'Tabla Parámetros'!$Y$12))))</f>
        <v>299</v>
      </c>
      <c r="N214" s="167">
        <f>IF(B214="","",IF(F214=0,0,IF(Simulador!$N$7='Tabla Parámetros'!$C$31,AportPat!L194,0)))</f>
        <v>0</v>
      </c>
      <c r="O214" s="167">
        <f>Simulador!O582</f>
        <v>0</v>
      </c>
      <c r="P214" s="167">
        <v>0</v>
      </c>
      <c r="Q214" s="167">
        <f t="shared" si="56"/>
        <v>10720.884210717662</v>
      </c>
      <c r="R214" s="167">
        <f t="shared" si="57"/>
        <v>408753.43504654517</v>
      </c>
      <c r="U214" s="6"/>
      <c r="V214" s="6"/>
      <c r="W214" s="6"/>
      <c r="X214" s="256">
        <f t="shared" si="52"/>
        <v>10720.884210717653</v>
      </c>
      <c r="Z214" s="201">
        <f t="shared" si="58"/>
        <v>6564.0462731260459</v>
      </c>
      <c r="AA214" s="201">
        <f t="shared" si="59"/>
        <v>3857.8379375916124</v>
      </c>
      <c r="AB214" s="202">
        <f t="shared" si="60"/>
        <v>10421.884210717659</v>
      </c>
      <c r="AC214" s="201">
        <f t="shared" si="61"/>
        <v>6564.0462731260413</v>
      </c>
      <c r="AD214" s="201">
        <f t="shared" si="62"/>
        <v>3857.8379375916124</v>
      </c>
      <c r="AE214" s="201">
        <f t="shared" si="71"/>
        <v>10421.884210717653</v>
      </c>
      <c r="AF214" s="201">
        <f t="shared" si="63"/>
        <v>6564.0462731260504</v>
      </c>
      <c r="AG214" s="201">
        <f t="shared" si="64"/>
        <v>3857.8379375916124</v>
      </c>
      <c r="AH214" s="201">
        <f t="shared" si="70"/>
        <v>10421.884210717662</v>
      </c>
    </row>
    <row r="215" spans="2:34" x14ac:dyDescent="0.3">
      <c r="B215" s="179">
        <f t="shared" si="65"/>
        <v>192</v>
      </c>
      <c r="C215" s="180">
        <f t="shared" si="66"/>
        <v>30.4</v>
      </c>
      <c r="D215" s="165">
        <f>IF(B215="","",Simulador!$F$62)</f>
        <v>0.11</v>
      </c>
      <c r="E215" s="167"/>
      <c r="F215" s="167">
        <f t="shared" si="67"/>
        <v>408753.43504654517</v>
      </c>
      <c r="G215" s="166"/>
      <c r="H215" s="167">
        <f t="shared" si="54"/>
        <v>6625.0189696186426</v>
      </c>
      <c r="I215" s="167">
        <f t="shared" si="68"/>
        <v>3796.8652410990194</v>
      </c>
      <c r="J215" s="167">
        <f t="shared" si="72"/>
        <v>10421.884210717662</v>
      </c>
      <c r="K215" s="167">
        <f t="shared" si="55"/>
        <v>0</v>
      </c>
      <c r="L215" s="167">
        <f t="shared" si="69"/>
        <v>0</v>
      </c>
      <c r="M215" s="167">
        <f>IF(B215="","",IF(F215=0,0,IF(Simulador!$F$11='Tabla Parámetros'!$W$1,'Tabla Parámetros'!$W$28,IF(Simulador!$F$11='Tabla Parámetros'!$Y$1,'Tabla Parámetros'!$Y$12))))</f>
        <v>299</v>
      </c>
      <c r="N215" s="167">
        <f>IF(B215="","",IF(F215=0,0,IF(Simulador!$N$7='Tabla Parámetros'!$C$31,AportPat!L195,0)))</f>
        <v>0</v>
      </c>
      <c r="O215" s="167">
        <f>Simulador!O583</f>
        <v>0</v>
      </c>
      <c r="P215" s="167">
        <v>0</v>
      </c>
      <c r="Q215" s="167">
        <f t="shared" si="56"/>
        <v>10720.884210717662</v>
      </c>
      <c r="R215" s="167">
        <f t="shared" si="57"/>
        <v>402128.41607692651</v>
      </c>
      <c r="U215" s="6"/>
      <c r="V215" s="6"/>
      <c r="W215" s="6"/>
      <c r="X215" s="256">
        <f t="shared" ref="X215:X261" si="73">IF(B217="","",IF(F217=0,0,PMT($E$1/360*C217,$E$2,-$H$2)+K217+(L217/1.16)+M217+O217))</f>
        <v>10720.884210717653</v>
      </c>
      <c r="Z215" s="201">
        <f t="shared" si="58"/>
        <v>6625.0189696186389</v>
      </c>
      <c r="AA215" s="201">
        <f t="shared" si="59"/>
        <v>3796.8652410990194</v>
      </c>
      <c r="AB215" s="202">
        <f t="shared" si="60"/>
        <v>10421.884210717659</v>
      </c>
      <c r="AC215" s="201">
        <f t="shared" si="61"/>
        <v>6625.0189696186335</v>
      </c>
      <c r="AD215" s="201">
        <f t="shared" si="62"/>
        <v>3796.8652410990194</v>
      </c>
      <c r="AE215" s="201">
        <f t="shared" si="71"/>
        <v>10421.884210717653</v>
      </c>
      <c r="AF215" s="201">
        <f t="shared" si="63"/>
        <v>6625.0189696186426</v>
      </c>
      <c r="AG215" s="201">
        <f t="shared" si="64"/>
        <v>3796.8652410990194</v>
      </c>
      <c r="AH215" s="201">
        <f t="shared" si="70"/>
        <v>10421.884210717662</v>
      </c>
    </row>
    <row r="216" spans="2:34" x14ac:dyDescent="0.3">
      <c r="B216" s="181">
        <f t="shared" si="65"/>
        <v>193</v>
      </c>
      <c r="C216" s="180">
        <f t="shared" si="66"/>
        <v>30.4</v>
      </c>
      <c r="D216" s="165">
        <f>IF(B216="","",Simulador!$F$62)</f>
        <v>0.11</v>
      </c>
      <c r="E216" s="167"/>
      <c r="F216" s="167">
        <f t="shared" si="67"/>
        <v>402128.41607692651</v>
      </c>
      <c r="G216" s="166"/>
      <c r="H216" s="167">
        <f t="shared" si="54"/>
        <v>6686.5580347142113</v>
      </c>
      <c r="I216" s="167">
        <f t="shared" si="68"/>
        <v>3735.3261760034507</v>
      </c>
      <c r="J216" s="167">
        <f t="shared" si="72"/>
        <v>10421.884210717662</v>
      </c>
      <c r="K216" s="167">
        <f t="shared" si="55"/>
        <v>0</v>
      </c>
      <c r="L216" s="167">
        <f t="shared" si="69"/>
        <v>0</v>
      </c>
      <c r="M216" s="167">
        <f>IF(B216="","",IF(F216=0,0,IF(Simulador!$F$11='Tabla Parámetros'!$W$1,'Tabla Parámetros'!$W$28,IF(Simulador!$F$11='Tabla Parámetros'!$Y$1,'Tabla Parámetros'!$Y$12))))</f>
        <v>299</v>
      </c>
      <c r="N216" s="167">
        <f>IF(B216="","",IF(F216=0,0,IF(Simulador!$N$7='Tabla Parámetros'!$C$31,AportPat!L196,0)))</f>
        <v>0</v>
      </c>
      <c r="O216" s="167">
        <f>Simulador!O584</f>
        <v>0</v>
      </c>
      <c r="P216" s="167">
        <v>0</v>
      </c>
      <c r="Q216" s="167">
        <f t="shared" si="56"/>
        <v>10720.884210717662</v>
      </c>
      <c r="R216" s="167">
        <f t="shared" si="57"/>
        <v>395441.85804221232</v>
      </c>
      <c r="U216" s="6"/>
      <c r="V216" s="6"/>
      <c r="W216" s="6"/>
      <c r="X216" s="256">
        <f t="shared" si="73"/>
        <v>10720.884210717653</v>
      </c>
      <c r="Z216" s="201">
        <f t="shared" si="58"/>
        <v>6686.5580347142068</v>
      </c>
      <c r="AA216" s="201">
        <f t="shared" si="59"/>
        <v>3735.3261760034507</v>
      </c>
      <c r="AB216" s="202">
        <f t="shared" si="60"/>
        <v>10421.884210717657</v>
      </c>
      <c r="AC216" s="201">
        <f t="shared" si="61"/>
        <v>6686.5580347142022</v>
      </c>
      <c r="AD216" s="201">
        <f t="shared" si="62"/>
        <v>3735.3261760034507</v>
      </c>
      <c r="AE216" s="201">
        <f t="shared" si="71"/>
        <v>10421.884210717653</v>
      </c>
      <c r="AF216" s="201">
        <f t="shared" si="63"/>
        <v>6686.5580347142113</v>
      </c>
      <c r="AG216" s="201">
        <f t="shared" si="64"/>
        <v>3735.3261760034507</v>
      </c>
      <c r="AH216" s="201">
        <f t="shared" si="70"/>
        <v>10421.884210717662</v>
      </c>
    </row>
    <row r="217" spans="2:34" x14ac:dyDescent="0.3">
      <c r="B217" s="179">
        <f t="shared" si="65"/>
        <v>194</v>
      </c>
      <c r="C217" s="180">
        <f t="shared" si="66"/>
        <v>30.4</v>
      </c>
      <c r="D217" s="165">
        <f>IF(B217="","",Simulador!$F$62)</f>
        <v>0.11</v>
      </c>
      <c r="E217" s="167"/>
      <c r="F217" s="167">
        <f t="shared" si="67"/>
        <v>395441.85804221232</v>
      </c>
      <c r="G217" s="166"/>
      <c r="H217" s="167">
        <f t="shared" ref="H217:H263" si="74">IF(B217="","",IF((J217-I217)&gt;F217,F217,IF($R$2=$Z$22,Z217,IF($R$2=$AC$22,AC217,IF($R$2=$AF$22,AF217,)))))</f>
        <v>6748.6687293477789</v>
      </c>
      <c r="I217" s="167">
        <f t="shared" si="68"/>
        <v>3673.215481369883</v>
      </c>
      <c r="J217" s="167">
        <f t="shared" si="72"/>
        <v>10421.884210717662</v>
      </c>
      <c r="K217" s="167">
        <f t="shared" ref="K217:K263" si="75">IF(B217="","",F217*$I$2)</f>
        <v>0</v>
      </c>
      <c r="L217" s="167">
        <f t="shared" si="69"/>
        <v>0</v>
      </c>
      <c r="M217" s="167">
        <f>IF(B217="","",IF(F217=0,0,IF(Simulador!$F$11='Tabla Parámetros'!$W$1,'Tabla Parámetros'!$W$28,IF(Simulador!$F$11='Tabla Parámetros'!$Y$1,'Tabla Parámetros'!$Y$12))))</f>
        <v>299</v>
      </c>
      <c r="N217" s="167">
        <f>IF(B217="","",IF(F217=0,0,IF(Simulador!$N$7='Tabla Parámetros'!$C$31,AportPat!L197,0)))</f>
        <v>0</v>
      </c>
      <c r="O217" s="167">
        <f>Simulador!O585</f>
        <v>0</v>
      </c>
      <c r="P217" s="167">
        <v>0</v>
      </c>
      <c r="Q217" s="167">
        <f t="shared" ref="Q217:Q263" si="76">IF(B217="","",H217+I217+K217+L217+M217)</f>
        <v>10720.884210717662</v>
      </c>
      <c r="R217" s="167">
        <f t="shared" ref="R217:R263" si="77">IF(B217="","",F217-H217)</f>
        <v>388693.18931286456</v>
      </c>
      <c r="U217" s="6"/>
      <c r="V217" s="6"/>
      <c r="W217" s="6"/>
      <c r="X217" s="256">
        <f t="shared" si="73"/>
        <v>10720.884210717653</v>
      </c>
      <c r="Z217" s="201">
        <f t="shared" ref="Z217:Z263" si="78">IF(F217=0,0,PPMT(D217/360*30.4,B217,$E$2,-$F$24)+N217+O217)</f>
        <v>6748.6687293477744</v>
      </c>
      <c r="AA217" s="201">
        <f t="shared" ref="AA217:AA263" si="79">(D217/360*C217)*F217</f>
        <v>3673.215481369883</v>
      </c>
      <c r="AB217" s="202">
        <f t="shared" ref="AB217:AB263" si="80">Z217+AA217</f>
        <v>10421.884210717657</v>
      </c>
      <c r="AC217" s="201">
        <f t="shared" ref="AC217:AC263" si="81">AE217-AD217</f>
        <v>6748.6687293477698</v>
      </c>
      <c r="AD217" s="201">
        <f t="shared" ref="AD217:AD263" si="82">(D217/360*C217)*F217</f>
        <v>3673.215481369883</v>
      </c>
      <c r="AE217" s="201">
        <f t="shared" si="71"/>
        <v>10421.884210717653</v>
      </c>
      <c r="AF217" s="201">
        <f t="shared" ref="AF217:AF263" si="83">AH217-AG217</f>
        <v>6748.6687293477789</v>
      </c>
      <c r="AG217" s="201">
        <f t="shared" ref="AG217:AG263" si="84">(D217/360*C217)*F217</f>
        <v>3673.215481369883</v>
      </c>
      <c r="AH217" s="201">
        <f t="shared" si="70"/>
        <v>10421.884210717662</v>
      </c>
    </row>
    <row r="218" spans="2:34" x14ac:dyDescent="0.3">
      <c r="B218" s="179">
        <f t="shared" ref="B218:B263" si="85">IF(B217="","",IF(B217=$E$2,"",B217+1))</f>
        <v>195</v>
      </c>
      <c r="C218" s="180">
        <f t="shared" ref="C218:C263" si="86">IF(B218="","",30.4)</f>
        <v>30.4</v>
      </c>
      <c r="D218" s="165">
        <f>IF(B218="","",Simulador!$F$62)</f>
        <v>0.11</v>
      </c>
      <c r="E218" s="167"/>
      <c r="F218" s="167">
        <f t="shared" ref="F218:F263" si="87">IF(B218="","",F217-H217)</f>
        <v>388693.18931286456</v>
      </c>
      <c r="G218" s="166"/>
      <c r="H218" s="167">
        <f t="shared" si="74"/>
        <v>6811.3563633226113</v>
      </c>
      <c r="I218" s="167">
        <f t="shared" ref="I218:I263" si="88">IF(C218="","",IF($R$2=$Z$22,AA218,IF($R$2=$AC$22,AD218,IF($R$2=$AF$22,AG218,))))</f>
        <v>3610.527847395053</v>
      </c>
      <c r="J218" s="167">
        <f t="shared" si="72"/>
        <v>10421.884210717664</v>
      </c>
      <c r="K218" s="167">
        <f t="shared" si="75"/>
        <v>0</v>
      </c>
      <c r="L218" s="167">
        <f t="shared" ref="L218:L263" si="89">IF(B218="","",IF(F218=0,0,$L$1*$J$2))</f>
        <v>0</v>
      </c>
      <c r="M218" s="167">
        <f>IF(B218="","",IF(F218=0,0,IF(Simulador!$F$11='Tabla Parámetros'!$W$1,'Tabla Parámetros'!$W$28,IF(Simulador!$F$11='Tabla Parámetros'!$Y$1,'Tabla Parámetros'!$Y$12))))</f>
        <v>299</v>
      </c>
      <c r="N218" s="167">
        <f>IF(B218="","",IF(F218=0,0,IF(Simulador!$N$7='Tabla Parámetros'!$C$31,AportPat!L198,0)))</f>
        <v>0</v>
      </c>
      <c r="O218" s="167">
        <f>Simulador!O586</f>
        <v>0</v>
      </c>
      <c r="P218" s="167">
        <v>0</v>
      </c>
      <c r="Q218" s="167">
        <f t="shared" si="76"/>
        <v>10720.884210717664</v>
      </c>
      <c r="R218" s="167">
        <f t="shared" si="77"/>
        <v>381881.83294954197</v>
      </c>
      <c r="U218" s="6"/>
      <c r="V218" s="6"/>
      <c r="W218" s="6"/>
      <c r="X218" s="256">
        <f t="shared" si="73"/>
        <v>10720.884210717653</v>
      </c>
      <c r="Z218" s="201">
        <f t="shared" si="78"/>
        <v>6811.3563633226049</v>
      </c>
      <c r="AA218" s="201">
        <f t="shared" si="79"/>
        <v>3610.527847395053</v>
      </c>
      <c r="AB218" s="202">
        <f t="shared" si="80"/>
        <v>10421.884210717657</v>
      </c>
      <c r="AC218" s="201">
        <f t="shared" si="81"/>
        <v>6811.3563633226004</v>
      </c>
      <c r="AD218" s="201">
        <f t="shared" si="82"/>
        <v>3610.527847395053</v>
      </c>
      <c r="AE218" s="201">
        <f t="shared" si="71"/>
        <v>10421.884210717653</v>
      </c>
      <c r="AF218" s="201">
        <f t="shared" si="83"/>
        <v>6811.3563633226113</v>
      </c>
      <c r="AG218" s="201">
        <f t="shared" si="84"/>
        <v>3610.527847395053</v>
      </c>
      <c r="AH218" s="201">
        <f t="shared" ref="AH218:AH263" si="90">PMT($E$1/360*30.4,$E$2-B217,-F218)+N218+O218</f>
        <v>10421.884210717664</v>
      </c>
    </row>
    <row r="219" spans="2:34" x14ac:dyDescent="0.3">
      <c r="B219" s="179">
        <f t="shared" si="85"/>
        <v>196</v>
      </c>
      <c r="C219" s="180">
        <f t="shared" si="86"/>
        <v>30.4</v>
      </c>
      <c r="D219" s="165">
        <f>IF(B219="","",Simulador!$F$62)</f>
        <v>0.11</v>
      </c>
      <c r="E219" s="167"/>
      <c r="F219" s="167">
        <f t="shared" si="87"/>
        <v>381881.83294954197</v>
      </c>
      <c r="G219" s="166"/>
      <c r="H219" s="167">
        <f t="shared" si="74"/>
        <v>6874.6262957641411</v>
      </c>
      <c r="I219" s="167">
        <f t="shared" si="88"/>
        <v>3547.2579149535231</v>
      </c>
      <c r="J219" s="167">
        <f t="shared" si="72"/>
        <v>10421.884210717664</v>
      </c>
      <c r="K219" s="167">
        <f t="shared" si="75"/>
        <v>0</v>
      </c>
      <c r="L219" s="167">
        <f t="shared" si="89"/>
        <v>0</v>
      </c>
      <c r="M219" s="167">
        <f>IF(B219="","",IF(F219=0,0,IF(Simulador!$F$11='Tabla Parámetros'!$W$1,'Tabla Parámetros'!$W$28,IF(Simulador!$F$11='Tabla Parámetros'!$Y$1,'Tabla Parámetros'!$Y$12))))</f>
        <v>299</v>
      </c>
      <c r="N219" s="167">
        <f>IF(B219="","",IF(F219=0,0,IF(Simulador!$N$7='Tabla Parámetros'!$C$31,AportPat!L199,0)))</f>
        <v>0</v>
      </c>
      <c r="O219" s="167">
        <f>Simulador!O587</f>
        <v>0</v>
      </c>
      <c r="P219" s="167">
        <v>0</v>
      </c>
      <c r="Q219" s="167">
        <f t="shared" si="76"/>
        <v>10720.884210717664</v>
      </c>
      <c r="R219" s="167">
        <f t="shared" si="77"/>
        <v>375007.20665377786</v>
      </c>
      <c r="U219" s="6"/>
      <c r="V219" s="6"/>
      <c r="W219" s="6"/>
      <c r="X219" s="256">
        <f t="shared" si="73"/>
        <v>10720.884210717653</v>
      </c>
      <c r="Z219" s="201">
        <f t="shared" si="78"/>
        <v>6874.6262957641356</v>
      </c>
      <c r="AA219" s="201">
        <f t="shared" si="79"/>
        <v>3547.2579149535231</v>
      </c>
      <c r="AB219" s="202">
        <f t="shared" si="80"/>
        <v>10421.884210717659</v>
      </c>
      <c r="AC219" s="201">
        <f t="shared" si="81"/>
        <v>6874.6262957641302</v>
      </c>
      <c r="AD219" s="201">
        <f t="shared" si="82"/>
        <v>3547.2579149535231</v>
      </c>
      <c r="AE219" s="201">
        <f t="shared" ref="AE219:AE263" si="91">IF(F219=0,0,PMT($E$1/360*30.4,$E$2,-$H$2)+N219+O219)</f>
        <v>10421.884210717653</v>
      </c>
      <c r="AF219" s="201">
        <f t="shared" si="83"/>
        <v>6874.6262957641411</v>
      </c>
      <c r="AG219" s="201">
        <f t="shared" si="84"/>
        <v>3547.2579149535231</v>
      </c>
      <c r="AH219" s="201">
        <f t="shared" si="90"/>
        <v>10421.884210717664</v>
      </c>
    </row>
    <row r="220" spans="2:34" x14ac:dyDescent="0.3">
      <c r="B220" s="181">
        <f t="shared" si="85"/>
        <v>197</v>
      </c>
      <c r="C220" s="180">
        <f t="shared" si="86"/>
        <v>30.4</v>
      </c>
      <c r="D220" s="165">
        <f>IF(B220="","",Simulador!$F$62)</f>
        <v>0.11</v>
      </c>
      <c r="E220" s="167"/>
      <c r="F220" s="167">
        <f t="shared" si="87"/>
        <v>375007.20665377786</v>
      </c>
      <c r="G220" s="166"/>
      <c r="H220" s="167">
        <f t="shared" si="74"/>
        <v>6938.4839355781278</v>
      </c>
      <c r="I220" s="167">
        <f t="shared" si="88"/>
        <v>3483.4002751395365</v>
      </c>
      <c r="J220" s="167">
        <f t="shared" si="72"/>
        <v>10421.884210717664</v>
      </c>
      <c r="K220" s="167">
        <f t="shared" si="75"/>
        <v>0</v>
      </c>
      <c r="L220" s="167">
        <f t="shared" si="89"/>
        <v>0</v>
      </c>
      <c r="M220" s="167">
        <f>IF(B220="","",IF(F220=0,0,IF(Simulador!$F$11='Tabla Parámetros'!$W$1,'Tabla Parámetros'!$W$28,IF(Simulador!$F$11='Tabla Parámetros'!$Y$1,'Tabla Parámetros'!$Y$12))))</f>
        <v>299</v>
      </c>
      <c r="N220" s="167">
        <f>IF(B220="","",IF(F220=0,0,IF(Simulador!$N$7='Tabla Parámetros'!$C$31,AportPat!L200,0)))</f>
        <v>0</v>
      </c>
      <c r="O220" s="167">
        <f>Simulador!O588</f>
        <v>0</v>
      </c>
      <c r="P220" s="167">
        <v>0</v>
      </c>
      <c r="Q220" s="167">
        <f t="shared" si="76"/>
        <v>10720.884210717664</v>
      </c>
      <c r="R220" s="167">
        <f t="shared" si="77"/>
        <v>368068.72271819972</v>
      </c>
      <c r="U220" s="6"/>
      <c r="V220" s="6"/>
      <c r="W220" s="6"/>
      <c r="X220" s="256">
        <f t="shared" si="73"/>
        <v>10720.884210717653</v>
      </c>
      <c r="Z220" s="201">
        <f t="shared" si="78"/>
        <v>6938.4839355781223</v>
      </c>
      <c r="AA220" s="201">
        <f t="shared" si="79"/>
        <v>3483.4002751395365</v>
      </c>
      <c r="AB220" s="202">
        <f t="shared" si="80"/>
        <v>10421.884210717659</v>
      </c>
      <c r="AC220" s="201">
        <f t="shared" si="81"/>
        <v>6938.4839355781169</v>
      </c>
      <c r="AD220" s="201">
        <f t="shared" si="82"/>
        <v>3483.4002751395365</v>
      </c>
      <c r="AE220" s="201">
        <f t="shared" si="91"/>
        <v>10421.884210717653</v>
      </c>
      <c r="AF220" s="201">
        <f t="shared" si="83"/>
        <v>6938.4839355781278</v>
      </c>
      <c r="AG220" s="201">
        <f t="shared" si="84"/>
        <v>3483.4002751395365</v>
      </c>
      <c r="AH220" s="201">
        <f t="shared" si="90"/>
        <v>10421.884210717664</v>
      </c>
    </row>
    <row r="221" spans="2:34" x14ac:dyDescent="0.3">
      <c r="B221" s="179">
        <f t="shared" si="85"/>
        <v>198</v>
      </c>
      <c r="C221" s="180">
        <f t="shared" si="86"/>
        <v>30.4</v>
      </c>
      <c r="D221" s="165">
        <f>IF(B221="","",Simulador!$F$62)</f>
        <v>0.11</v>
      </c>
      <c r="E221" s="167"/>
      <c r="F221" s="167">
        <f t="shared" si="87"/>
        <v>368068.72271819972</v>
      </c>
      <c r="G221" s="166"/>
      <c r="H221" s="167">
        <f t="shared" si="74"/>
        <v>7002.9347419130536</v>
      </c>
      <c r="I221" s="167">
        <f t="shared" si="88"/>
        <v>3418.9494688046102</v>
      </c>
      <c r="J221" s="167">
        <f t="shared" si="72"/>
        <v>10421.884210717664</v>
      </c>
      <c r="K221" s="167">
        <f t="shared" si="75"/>
        <v>0</v>
      </c>
      <c r="L221" s="167">
        <f t="shared" si="89"/>
        <v>0</v>
      </c>
      <c r="M221" s="167">
        <f>IF(B221="","",IF(F221=0,0,IF(Simulador!$F$11='Tabla Parámetros'!$W$1,'Tabla Parámetros'!$W$28,IF(Simulador!$F$11='Tabla Parámetros'!$Y$1,'Tabla Parámetros'!$Y$12))))</f>
        <v>299</v>
      </c>
      <c r="N221" s="167">
        <f>IF(B221="","",IF(F221=0,0,IF(Simulador!$N$7='Tabla Parámetros'!$C$31,AportPat!L201,0)))</f>
        <v>0</v>
      </c>
      <c r="O221" s="167">
        <f>Simulador!O589</f>
        <v>0</v>
      </c>
      <c r="P221" s="167">
        <v>0</v>
      </c>
      <c r="Q221" s="167">
        <f t="shared" si="76"/>
        <v>10720.884210717664</v>
      </c>
      <c r="R221" s="167">
        <f t="shared" si="77"/>
        <v>361065.78797628667</v>
      </c>
      <c r="U221" s="6"/>
      <c r="V221" s="6"/>
      <c r="W221" s="6"/>
      <c r="X221" s="256">
        <f t="shared" si="73"/>
        <v>10720.884210717653</v>
      </c>
      <c r="Z221" s="201">
        <f t="shared" si="78"/>
        <v>7002.9347419130472</v>
      </c>
      <c r="AA221" s="201">
        <f t="shared" si="79"/>
        <v>3418.9494688046102</v>
      </c>
      <c r="AB221" s="202">
        <f t="shared" si="80"/>
        <v>10421.884210717657</v>
      </c>
      <c r="AC221" s="201">
        <f t="shared" si="81"/>
        <v>7002.9347419130427</v>
      </c>
      <c r="AD221" s="201">
        <f t="shared" si="82"/>
        <v>3418.9494688046102</v>
      </c>
      <c r="AE221" s="201">
        <f t="shared" si="91"/>
        <v>10421.884210717653</v>
      </c>
      <c r="AF221" s="201">
        <f t="shared" si="83"/>
        <v>7002.9347419130536</v>
      </c>
      <c r="AG221" s="201">
        <f t="shared" si="84"/>
        <v>3418.9494688046102</v>
      </c>
      <c r="AH221" s="201">
        <f t="shared" si="90"/>
        <v>10421.884210717664</v>
      </c>
    </row>
    <row r="222" spans="2:34" x14ac:dyDescent="0.3">
      <c r="B222" s="179">
        <f t="shared" si="85"/>
        <v>199</v>
      </c>
      <c r="C222" s="180">
        <f t="shared" si="86"/>
        <v>30.4</v>
      </c>
      <c r="D222" s="165">
        <f>IF(B222="","",Simulador!$F$62)</f>
        <v>0.11</v>
      </c>
      <c r="E222" s="167"/>
      <c r="F222" s="167">
        <f t="shared" si="87"/>
        <v>361065.78797628667</v>
      </c>
      <c r="G222" s="166"/>
      <c r="H222" s="167">
        <f t="shared" si="74"/>
        <v>7067.9842246268236</v>
      </c>
      <c r="I222" s="167">
        <f t="shared" si="88"/>
        <v>3353.8999860908402</v>
      </c>
      <c r="J222" s="167">
        <f t="shared" si="72"/>
        <v>10421.884210717664</v>
      </c>
      <c r="K222" s="167">
        <f t="shared" si="75"/>
        <v>0</v>
      </c>
      <c r="L222" s="167">
        <f t="shared" si="89"/>
        <v>0</v>
      </c>
      <c r="M222" s="167">
        <f>IF(B222="","",IF(F222=0,0,IF(Simulador!$F$11='Tabla Parámetros'!$W$1,'Tabla Parámetros'!$W$28,IF(Simulador!$F$11='Tabla Parámetros'!$Y$1,'Tabla Parámetros'!$Y$12))))</f>
        <v>299</v>
      </c>
      <c r="N222" s="167">
        <f>IF(B222="","",IF(F222=0,0,IF(Simulador!$N$7='Tabla Parámetros'!$C$31,AportPat!L202,0)))</f>
        <v>0</v>
      </c>
      <c r="O222" s="167">
        <f>Simulador!O590</f>
        <v>0</v>
      </c>
      <c r="P222" s="167">
        <v>0</v>
      </c>
      <c r="Q222" s="167">
        <f t="shared" si="76"/>
        <v>10720.884210717664</v>
      </c>
      <c r="R222" s="167">
        <f t="shared" si="77"/>
        <v>353997.80375165981</v>
      </c>
      <c r="U222" s="6"/>
      <c r="V222" s="6"/>
      <c r="W222" s="6"/>
      <c r="X222" s="256">
        <f t="shared" si="73"/>
        <v>10720.884210717653</v>
      </c>
      <c r="Z222" s="201">
        <f t="shared" si="78"/>
        <v>7067.9842246268172</v>
      </c>
      <c r="AA222" s="201">
        <f t="shared" si="79"/>
        <v>3353.8999860908402</v>
      </c>
      <c r="AB222" s="202">
        <f t="shared" si="80"/>
        <v>10421.884210717657</v>
      </c>
      <c r="AC222" s="201">
        <f t="shared" si="81"/>
        <v>7067.9842246268126</v>
      </c>
      <c r="AD222" s="201">
        <f t="shared" si="82"/>
        <v>3353.8999860908402</v>
      </c>
      <c r="AE222" s="201">
        <f t="shared" si="91"/>
        <v>10421.884210717653</v>
      </c>
      <c r="AF222" s="201">
        <f t="shared" si="83"/>
        <v>7067.9842246268236</v>
      </c>
      <c r="AG222" s="201">
        <f t="shared" si="84"/>
        <v>3353.8999860908402</v>
      </c>
      <c r="AH222" s="201">
        <f t="shared" si="90"/>
        <v>10421.884210717664</v>
      </c>
    </row>
    <row r="223" spans="2:34" x14ac:dyDescent="0.3">
      <c r="B223" s="179">
        <f t="shared" si="85"/>
        <v>200</v>
      </c>
      <c r="C223" s="180">
        <f t="shared" si="86"/>
        <v>30.4</v>
      </c>
      <c r="D223" s="165">
        <f>IF(B223="","",Simulador!$F$62)</f>
        <v>0.11</v>
      </c>
      <c r="E223" s="167"/>
      <c r="F223" s="167">
        <f t="shared" si="87"/>
        <v>353997.80375165981</v>
      </c>
      <c r="G223" s="166"/>
      <c r="H223" s="167">
        <f t="shared" si="74"/>
        <v>7133.637944757802</v>
      </c>
      <c r="I223" s="167">
        <f t="shared" si="88"/>
        <v>3288.2462659598618</v>
      </c>
      <c r="J223" s="167">
        <f t="shared" si="72"/>
        <v>10421.884210717664</v>
      </c>
      <c r="K223" s="167">
        <f t="shared" si="75"/>
        <v>0</v>
      </c>
      <c r="L223" s="167">
        <f t="shared" si="89"/>
        <v>0</v>
      </c>
      <c r="M223" s="167">
        <f>IF(B223="","",IF(F223=0,0,IF(Simulador!$F$11='Tabla Parámetros'!$W$1,'Tabla Parámetros'!$W$28,IF(Simulador!$F$11='Tabla Parámetros'!$Y$1,'Tabla Parámetros'!$Y$12))))</f>
        <v>299</v>
      </c>
      <c r="N223" s="167">
        <f>IF(B223="","",IF(F223=0,0,IF(Simulador!$N$7='Tabla Parámetros'!$C$31,AportPat!L203,0)))</f>
        <v>0</v>
      </c>
      <c r="O223" s="167">
        <f>Simulador!O591</f>
        <v>0</v>
      </c>
      <c r="P223" s="167">
        <v>0</v>
      </c>
      <c r="Q223" s="167">
        <f t="shared" si="76"/>
        <v>10720.884210717664</v>
      </c>
      <c r="R223" s="167">
        <f t="shared" si="77"/>
        <v>346864.16580690199</v>
      </c>
      <c r="U223" s="6"/>
      <c r="V223" s="6"/>
      <c r="W223" s="6"/>
      <c r="X223" s="256">
        <f t="shared" si="73"/>
        <v>10720.884210717653</v>
      </c>
      <c r="Z223" s="201">
        <f t="shared" si="78"/>
        <v>7133.6379447577956</v>
      </c>
      <c r="AA223" s="201">
        <f t="shared" si="79"/>
        <v>3288.2462659598618</v>
      </c>
      <c r="AB223" s="202">
        <f t="shared" si="80"/>
        <v>10421.884210717657</v>
      </c>
      <c r="AC223" s="201">
        <f t="shared" si="81"/>
        <v>7133.637944757791</v>
      </c>
      <c r="AD223" s="201">
        <f t="shared" si="82"/>
        <v>3288.2462659598618</v>
      </c>
      <c r="AE223" s="201">
        <f t="shared" si="91"/>
        <v>10421.884210717653</v>
      </c>
      <c r="AF223" s="201">
        <f t="shared" si="83"/>
        <v>7133.637944757802</v>
      </c>
      <c r="AG223" s="201">
        <f t="shared" si="84"/>
        <v>3288.2462659598618</v>
      </c>
      <c r="AH223" s="201">
        <f t="shared" si="90"/>
        <v>10421.884210717664</v>
      </c>
    </row>
    <row r="224" spans="2:34" x14ac:dyDescent="0.3">
      <c r="B224" s="181">
        <f t="shared" si="85"/>
        <v>201</v>
      </c>
      <c r="C224" s="180">
        <f t="shared" si="86"/>
        <v>30.4</v>
      </c>
      <c r="D224" s="165">
        <f>IF(B224="","",Simulador!$F$62)</f>
        <v>0.11</v>
      </c>
      <c r="E224" s="167"/>
      <c r="F224" s="167">
        <f t="shared" si="87"/>
        <v>346864.16580690199</v>
      </c>
      <c r="G224" s="166"/>
      <c r="H224" s="167">
        <f t="shared" si="74"/>
        <v>7199.9015150002178</v>
      </c>
      <c r="I224" s="167">
        <f t="shared" si="88"/>
        <v>3221.982695717445</v>
      </c>
      <c r="J224" s="167">
        <f t="shared" si="72"/>
        <v>10421.884210717662</v>
      </c>
      <c r="K224" s="167">
        <f t="shared" si="75"/>
        <v>0</v>
      </c>
      <c r="L224" s="167">
        <f t="shared" si="89"/>
        <v>0</v>
      </c>
      <c r="M224" s="167">
        <f>IF(B224="","",IF(F224=0,0,IF(Simulador!$F$11='Tabla Parámetros'!$W$1,'Tabla Parámetros'!$W$28,IF(Simulador!$F$11='Tabla Parámetros'!$Y$1,'Tabla Parámetros'!$Y$12))))</f>
        <v>299</v>
      </c>
      <c r="N224" s="167">
        <f>IF(B224="","",IF(F224=0,0,IF(Simulador!$N$7='Tabla Parámetros'!$C$31,AportPat!L204,0)))</f>
        <v>0</v>
      </c>
      <c r="O224" s="167">
        <f>Simulador!O592</f>
        <v>0</v>
      </c>
      <c r="P224" s="167">
        <v>0</v>
      </c>
      <c r="Q224" s="167">
        <f t="shared" si="76"/>
        <v>10720.884210717662</v>
      </c>
      <c r="R224" s="167">
        <f t="shared" si="77"/>
        <v>339664.26429190178</v>
      </c>
      <c r="U224" s="6"/>
      <c r="V224" s="6"/>
      <c r="W224" s="6"/>
      <c r="X224" s="256">
        <f t="shared" si="73"/>
        <v>10720.884210717653</v>
      </c>
      <c r="Z224" s="201">
        <f t="shared" si="78"/>
        <v>7199.9015150002124</v>
      </c>
      <c r="AA224" s="201">
        <f t="shared" si="79"/>
        <v>3221.982695717445</v>
      </c>
      <c r="AB224" s="202">
        <f t="shared" si="80"/>
        <v>10421.884210717657</v>
      </c>
      <c r="AC224" s="201">
        <f t="shared" si="81"/>
        <v>7199.9015150002087</v>
      </c>
      <c r="AD224" s="201">
        <f t="shared" si="82"/>
        <v>3221.982695717445</v>
      </c>
      <c r="AE224" s="201">
        <f t="shared" si="91"/>
        <v>10421.884210717653</v>
      </c>
      <c r="AF224" s="201">
        <f t="shared" si="83"/>
        <v>7199.9015150002178</v>
      </c>
      <c r="AG224" s="201">
        <f t="shared" si="84"/>
        <v>3221.982695717445</v>
      </c>
      <c r="AH224" s="201">
        <f t="shared" si="90"/>
        <v>10421.884210717662</v>
      </c>
    </row>
    <row r="225" spans="2:34" x14ac:dyDescent="0.3">
      <c r="B225" s="179">
        <f t="shared" si="85"/>
        <v>202</v>
      </c>
      <c r="C225" s="180">
        <f t="shared" si="86"/>
        <v>30.4</v>
      </c>
      <c r="D225" s="165">
        <f>IF(B225="","",Simulador!$F$62)</f>
        <v>0.11</v>
      </c>
      <c r="E225" s="167"/>
      <c r="F225" s="167">
        <f t="shared" si="87"/>
        <v>339664.26429190178</v>
      </c>
      <c r="G225" s="166"/>
      <c r="H225" s="167">
        <f t="shared" si="74"/>
        <v>7266.7806001839972</v>
      </c>
      <c r="I225" s="167">
        <f t="shared" si="88"/>
        <v>3155.1036105336652</v>
      </c>
      <c r="J225" s="167">
        <f t="shared" si="72"/>
        <v>10421.884210717662</v>
      </c>
      <c r="K225" s="167">
        <f t="shared" si="75"/>
        <v>0</v>
      </c>
      <c r="L225" s="167">
        <f t="shared" si="89"/>
        <v>0</v>
      </c>
      <c r="M225" s="167">
        <f>IF(B225="","",IF(F225=0,0,IF(Simulador!$F$11='Tabla Parámetros'!$W$1,'Tabla Parámetros'!$W$28,IF(Simulador!$F$11='Tabla Parámetros'!$Y$1,'Tabla Parámetros'!$Y$12))))</f>
        <v>299</v>
      </c>
      <c r="N225" s="167">
        <f>IF(B225="","",IF(F225=0,0,IF(Simulador!$N$7='Tabla Parámetros'!$C$31,AportPat!L205,0)))</f>
        <v>0</v>
      </c>
      <c r="O225" s="167">
        <f>Simulador!O593</f>
        <v>0</v>
      </c>
      <c r="P225" s="167">
        <v>0</v>
      </c>
      <c r="Q225" s="167">
        <f t="shared" si="76"/>
        <v>10720.884210717662</v>
      </c>
      <c r="R225" s="167">
        <f t="shared" si="77"/>
        <v>332397.48369171779</v>
      </c>
      <c r="U225" s="6"/>
      <c r="V225" s="6"/>
      <c r="W225" s="6"/>
      <c r="X225" s="256">
        <f t="shared" si="73"/>
        <v>10720.884210717653</v>
      </c>
      <c r="Z225" s="201">
        <f t="shared" si="78"/>
        <v>7266.7806001839917</v>
      </c>
      <c r="AA225" s="201">
        <f t="shared" si="79"/>
        <v>3155.1036105336652</v>
      </c>
      <c r="AB225" s="202">
        <f t="shared" si="80"/>
        <v>10421.884210717657</v>
      </c>
      <c r="AC225" s="201">
        <f t="shared" si="81"/>
        <v>7266.7806001839881</v>
      </c>
      <c r="AD225" s="201">
        <f t="shared" si="82"/>
        <v>3155.1036105336652</v>
      </c>
      <c r="AE225" s="201">
        <f t="shared" si="91"/>
        <v>10421.884210717653</v>
      </c>
      <c r="AF225" s="201">
        <f t="shared" si="83"/>
        <v>7266.7806001839972</v>
      </c>
      <c r="AG225" s="201">
        <f t="shared" si="84"/>
        <v>3155.1036105336652</v>
      </c>
      <c r="AH225" s="201">
        <f t="shared" si="90"/>
        <v>10421.884210717662</v>
      </c>
    </row>
    <row r="226" spans="2:34" x14ac:dyDescent="0.3">
      <c r="B226" s="179">
        <f t="shared" si="85"/>
        <v>203</v>
      </c>
      <c r="C226" s="180">
        <f t="shared" si="86"/>
        <v>30.4</v>
      </c>
      <c r="D226" s="165">
        <f>IF(B226="","",Simulador!$F$62)</f>
        <v>0.11</v>
      </c>
      <c r="E226" s="167"/>
      <c r="F226" s="167">
        <f t="shared" si="87"/>
        <v>332397.48369171779</v>
      </c>
      <c r="G226" s="166"/>
      <c r="H226" s="167">
        <f t="shared" si="74"/>
        <v>7334.2809177590416</v>
      </c>
      <c r="I226" s="167">
        <f t="shared" si="88"/>
        <v>3087.6032929586227</v>
      </c>
      <c r="J226" s="167">
        <f t="shared" si="72"/>
        <v>10421.884210717664</v>
      </c>
      <c r="K226" s="167">
        <f t="shared" si="75"/>
        <v>0</v>
      </c>
      <c r="L226" s="167">
        <f t="shared" si="89"/>
        <v>0</v>
      </c>
      <c r="M226" s="167">
        <f>IF(B226="","",IF(F226=0,0,IF(Simulador!$F$11='Tabla Parámetros'!$W$1,'Tabla Parámetros'!$W$28,IF(Simulador!$F$11='Tabla Parámetros'!$Y$1,'Tabla Parámetros'!$Y$12))))</f>
        <v>299</v>
      </c>
      <c r="N226" s="167">
        <f>IF(B226="","",IF(F226=0,0,IF(Simulador!$N$7='Tabla Parámetros'!$C$31,AportPat!L206,0)))</f>
        <v>0</v>
      </c>
      <c r="O226" s="167">
        <f>Simulador!O594</f>
        <v>0</v>
      </c>
      <c r="P226" s="167">
        <v>0</v>
      </c>
      <c r="Q226" s="167">
        <f t="shared" si="76"/>
        <v>10720.884210717664</v>
      </c>
      <c r="R226" s="167">
        <f t="shared" si="77"/>
        <v>325063.20277395874</v>
      </c>
      <c r="U226" s="6"/>
      <c r="V226" s="6"/>
      <c r="W226" s="6"/>
      <c r="X226" s="256">
        <f t="shared" si="73"/>
        <v>10720.884210717653</v>
      </c>
      <c r="Z226" s="201">
        <f t="shared" si="78"/>
        <v>7334.2809177590343</v>
      </c>
      <c r="AA226" s="201">
        <f t="shared" si="79"/>
        <v>3087.6032929586227</v>
      </c>
      <c r="AB226" s="202">
        <f t="shared" si="80"/>
        <v>10421.884210717657</v>
      </c>
      <c r="AC226" s="201">
        <f t="shared" si="81"/>
        <v>7334.2809177590307</v>
      </c>
      <c r="AD226" s="201">
        <f t="shared" si="82"/>
        <v>3087.6032929586227</v>
      </c>
      <c r="AE226" s="201">
        <f t="shared" si="91"/>
        <v>10421.884210717653</v>
      </c>
      <c r="AF226" s="201">
        <f t="shared" si="83"/>
        <v>7334.2809177590416</v>
      </c>
      <c r="AG226" s="201">
        <f t="shared" si="84"/>
        <v>3087.6032929586227</v>
      </c>
      <c r="AH226" s="201">
        <f t="shared" si="90"/>
        <v>10421.884210717664</v>
      </c>
    </row>
    <row r="227" spans="2:34" x14ac:dyDescent="0.3">
      <c r="B227" s="179">
        <f t="shared" si="85"/>
        <v>204</v>
      </c>
      <c r="C227" s="180">
        <f t="shared" si="86"/>
        <v>30.4</v>
      </c>
      <c r="D227" s="165">
        <f>IF(B227="","",Simulador!$F$62)</f>
        <v>0.11</v>
      </c>
      <c r="E227" s="167"/>
      <c r="F227" s="167">
        <f t="shared" si="87"/>
        <v>325063.20277395874</v>
      </c>
      <c r="G227" s="166"/>
      <c r="H227" s="167">
        <f t="shared" si="74"/>
        <v>7402.4082382840033</v>
      </c>
      <c r="I227" s="167">
        <f t="shared" si="88"/>
        <v>3019.4759724336609</v>
      </c>
      <c r="J227" s="167">
        <f t="shared" si="72"/>
        <v>10421.884210717664</v>
      </c>
      <c r="K227" s="167">
        <f t="shared" si="75"/>
        <v>0</v>
      </c>
      <c r="L227" s="167">
        <f t="shared" si="89"/>
        <v>0</v>
      </c>
      <c r="M227" s="167">
        <f>IF(B227="","",IF(F227=0,0,IF(Simulador!$F$11='Tabla Parámetros'!$W$1,'Tabla Parámetros'!$W$28,IF(Simulador!$F$11='Tabla Parámetros'!$Y$1,'Tabla Parámetros'!$Y$12))))</f>
        <v>299</v>
      </c>
      <c r="N227" s="167">
        <f>IF(B227="","",IF(F227=0,0,IF(Simulador!$N$7='Tabla Parámetros'!$C$31,AportPat!L207,0)))</f>
        <v>0</v>
      </c>
      <c r="O227" s="167">
        <f>Simulador!O595</f>
        <v>0</v>
      </c>
      <c r="P227" s="167">
        <v>0</v>
      </c>
      <c r="Q227" s="167">
        <f t="shared" si="76"/>
        <v>10720.884210717664</v>
      </c>
      <c r="R227" s="167">
        <f t="shared" si="77"/>
        <v>317660.79453567474</v>
      </c>
      <c r="U227" s="6"/>
      <c r="V227" s="6"/>
      <c r="W227" s="6"/>
      <c r="X227" s="256">
        <f t="shared" si="73"/>
        <v>10720.884210717653</v>
      </c>
      <c r="Z227" s="201">
        <f t="shared" si="78"/>
        <v>7402.408238283997</v>
      </c>
      <c r="AA227" s="201">
        <f t="shared" si="79"/>
        <v>3019.4759724336609</v>
      </c>
      <c r="AB227" s="202">
        <f t="shared" si="80"/>
        <v>10421.884210717657</v>
      </c>
      <c r="AC227" s="201">
        <f t="shared" si="81"/>
        <v>7402.4082382839924</v>
      </c>
      <c r="AD227" s="201">
        <f t="shared" si="82"/>
        <v>3019.4759724336609</v>
      </c>
      <c r="AE227" s="201">
        <f t="shared" si="91"/>
        <v>10421.884210717653</v>
      </c>
      <c r="AF227" s="201">
        <f t="shared" si="83"/>
        <v>7402.4082382840033</v>
      </c>
      <c r="AG227" s="201">
        <f t="shared" si="84"/>
        <v>3019.4759724336609</v>
      </c>
      <c r="AH227" s="201">
        <f t="shared" si="90"/>
        <v>10421.884210717664</v>
      </c>
    </row>
    <row r="228" spans="2:34" x14ac:dyDescent="0.3">
      <c r="B228" s="181">
        <f t="shared" si="85"/>
        <v>205</v>
      </c>
      <c r="C228" s="180">
        <f t="shared" si="86"/>
        <v>30.4</v>
      </c>
      <c r="D228" s="165">
        <f>IF(B228="","",Simulador!$F$62)</f>
        <v>0.11</v>
      </c>
      <c r="E228" s="167"/>
      <c r="F228" s="167">
        <f t="shared" si="87"/>
        <v>317660.79453567474</v>
      </c>
      <c r="G228" s="166"/>
      <c r="H228" s="167">
        <f t="shared" si="74"/>
        <v>7471.1683859196173</v>
      </c>
      <c r="I228" s="167">
        <f t="shared" si="88"/>
        <v>2950.7158247980451</v>
      </c>
      <c r="J228" s="167">
        <f t="shared" si="72"/>
        <v>10421.884210717662</v>
      </c>
      <c r="K228" s="167">
        <f t="shared" si="75"/>
        <v>0</v>
      </c>
      <c r="L228" s="167">
        <f t="shared" si="89"/>
        <v>0</v>
      </c>
      <c r="M228" s="167">
        <f>IF(B228="","",IF(F228=0,0,IF(Simulador!$F$11='Tabla Parámetros'!$W$1,'Tabla Parámetros'!$W$28,IF(Simulador!$F$11='Tabla Parámetros'!$Y$1,'Tabla Parámetros'!$Y$12))))</f>
        <v>299</v>
      </c>
      <c r="N228" s="167">
        <f>IF(B228="","",IF(F228=0,0,IF(Simulador!$N$7='Tabla Parámetros'!$C$31,AportPat!L208,0)))</f>
        <v>0</v>
      </c>
      <c r="O228" s="167">
        <f>Simulador!O596</f>
        <v>0</v>
      </c>
      <c r="P228" s="167">
        <v>0</v>
      </c>
      <c r="Q228" s="167">
        <f t="shared" si="76"/>
        <v>10720.884210717662</v>
      </c>
      <c r="R228" s="167">
        <f t="shared" si="77"/>
        <v>310189.62614975515</v>
      </c>
      <c r="U228" s="6"/>
      <c r="V228" s="6"/>
      <c r="W228" s="6"/>
      <c r="X228" s="256">
        <f t="shared" si="73"/>
        <v>10720.884210717653</v>
      </c>
      <c r="Z228" s="201">
        <f t="shared" si="78"/>
        <v>7471.1683859196119</v>
      </c>
      <c r="AA228" s="201">
        <f t="shared" si="79"/>
        <v>2950.7158247980451</v>
      </c>
      <c r="AB228" s="202">
        <f t="shared" si="80"/>
        <v>10421.884210717657</v>
      </c>
      <c r="AC228" s="201">
        <f t="shared" si="81"/>
        <v>7471.1683859196082</v>
      </c>
      <c r="AD228" s="201">
        <f t="shared" si="82"/>
        <v>2950.7158247980451</v>
      </c>
      <c r="AE228" s="201">
        <f t="shared" si="91"/>
        <v>10421.884210717653</v>
      </c>
      <c r="AF228" s="201">
        <f t="shared" si="83"/>
        <v>7471.1683859196173</v>
      </c>
      <c r="AG228" s="201">
        <f t="shared" si="84"/>
        <v>2950.7158247980451</v>
      </c>
      <c r="AH228" s="201">
        <f t="shared" si="90"/>
        <v>10421.884210717662</v>
      </c>
    </row>
    <row r="229" spans="2:34" x14ac:dyDescent="0.3">
      <c r="B229" s="179">
        <f t="shared" si="85"/>
        <v>206</v>
      </c>
      <c r="C229" s="180">
        <f t="shared" si="86"/>
        <v>30.4</v>
      </c>
      <c r="D229" s="165">
        <f>IF(B229="","",Simulador!$F$62)</f>
        <v>0.11</v>
      </c>
      <c r="E229" s="167"/>
      <c r="F229" s="167">
        <f t="shared" si="87"/>
        <v>310189.62614975515</v>
      </c>
      <c r="G229" s="166"/>
      <c r="H229" s="167">
        <f t="shared" si="74"/>
        <v>7540.5672389266056</v>
      </c>
      <c r="I229" s="167">
        <f t="shared" si="88"/>
        <v>2881.3169717910587</v>
      </c>
      <c r="J229" s="167">
        <f t="shared" si="72"/>
        <v>10421.884210717664</v>
      </c>
      <c r="K229" s="167">
        <f t="shared" si="75"/>
        <v>0</v>
      </c>
      <c r="L229" s="167">
        <f t="shared" si="89"/>
        <v>0</v>
      </c>
      <c r="M229" s="167">
        <f>IF(B229="","",IF(F229=0,0,IF(Simulador!$F$11='Tabla Parámetros'!$W$1,'Tabla Parámetros'!$W$28,IF(Simulador!$F$11='Tabla Parámetros'!$Y$1,'Tabla Parámetros'!$Y$12))))</f>
        <v>299</v>
      </c>
      <c r="N229" s="167">
        <f>IF(B229="","",IF(F229=0,0,IF(Simulador!$N$7='Tabla Parámetros'!$C$31,AportPat!L209,0)))</f>
        <v>0</v>
      </c>
      <c r="O229" s="167">
        <f>Simulador!O597</f>
        <v>0</v>
      </c>
      <c r="P229" s="167">
        <v>0</v>
      </c>
      <c r="Q229" s="167">
        <f t="shared" si="76"/>
        <v>10720.884210717664</v>
      </c>
      <c r="R229" s="167">
        <f t="shared" si="77"/>
        <v>302649.05891082855</v>
      </c>
      <c r="U229" s="6"/>
      <c r="V229" s="6"/>
      <c r="W229" s="6"/>
      <c r="X229" s="256">
        <f t="shared" si="73"/>
        <v>10720.884210717653</v>
      </c>
      <c r="Z229" s="201">
        <f t="shared" si="78"/>
        <v>7540.5672389265983</v>
      </c>
      <c r="AA229" s="201">
        <f t="shared" si="79"/>
        <v>2881.3169717910587</v>
      </c>
      <c r="AB229" s="202">
        <f t="shared" si="80"/>
        <v>10421.884210717657</v>
      </c>
      <c r="AC229" s="201">
        <f t="shared" si="81"/>
        <v>7540.5672389265947</v>
      </c>
      <c r="AD229" s="201">
        <f t="shared" si="82"/>
        <v>2881.3169717910587</v>
      </c>
      <c r="AE229" s="201">
        <f t="shared" si="91"/>
        <v>10421.884210717653</v>
      </c>
      <c r="AF229" s="201">
        <f t="shared" si="83"/>
        <v>7540.5672389266056</v>
      </c>
      <c r="AG229" s="201">
        <f t="shared" si="84"/>
        <v>2881.3169717910587</v>
      </c>
      <c r="AH229" s="201">
        <f t="shared" si="90"/>
        <v>10421.884210717664</v>
      </c>
    </row>
    <row r="230" spans="2:34" x14ac:dyDescent="0.3">
      <c r="B230" s="179">
        <f t="shared" si="85"/>
        <v>207</v>
      </c>
      <c r="C230" s="180">
        <f t="shared" si="86"/>
        <v>30.4</v>
      </c>
      <c r="D230" s="165">
        <f>IF(B230="","",Simulador!$F$62)</f>
        <v>0.11</v>
      </c>
      <c r="E230" s="167"/>
      <c r="F230" s="167">
        <f t="shared" si="87"/>
        <v>302649.05891082855</v>
      </c>
      <c r="G230" s="166"/>
      <c r="H230" s="167">
        <f t="shared" si="74"/>
        <v>7610.6107301681905</v>
      </c>
      <c r="I230" s="167">
        <f t="shared" si="88"/>
        <v>2811.2734805494738</v>
      </c>
      <c r="J230" s="167">
        <f t="shared" si="72"/>
        <v>10421.884210717664</v>
      </c>
      <c r="K230" s="167">
        <f t="shared" si="75"/>
        <v>0</v>
      </c>
      <c r="L230" s="167">
        <f t="shared" si="89"/>
        <v>0</v>
      </c>
      <c r="M230" s="167">
        <f>IF(B230="","",IF(F230=0,0,IF(Simulador!$F$11='Tabla Parámetros'!$W$1,'Tabla Parámetros'!$W$28,IF(Simulador!$F$11='Tabla Parámetros'!$Y$1,'Tabla Parámetros'!$Y$12))))</f>
        <v>299</v>
      </c>
      <c r="N230" s="167">
        <f>IF(B230="","",IF(F230=0,0,IF(Simulador!$N$7='Tabla Parámetros'!$C$31,AportPat!L210,0)))</f>
        <v>0</v>
      </c>
      <c r="O230" s="167">
        <f>Simulador!O598</f>
        <v>0</v>
      </c>
      <c r="P230" s="167">
        <v>0</v>
      </c>
      <c r="Q230" s="167">
        <f t="shared" si="76"/>
        <v>10720.884210717664</v>
      </c>
      <c r="R230" s="167">
        <f t="shared" si="77"/>
        <v>295038.44818066037</v>
      </c>
      <c r="U230" s="6"/>
      <c r="V230" s="6"/>
      <c r="W230" s="6"/>
      <c r="X230" s="256">
        <f t="shared" si="73"/>
        <v>10720.884210717653</v>
      </c>
      <c r="Z230" s="201">
        <f t="shared" si="78"/>
        <v>7610.6107301681832</v>
      </c>
      <c r="AA230" s="201">
        <f t="shared" si="79"/>
        <v>2811.2734805494738</v>
      </c>
      <c r="AB230" s="202">
        <f t="shared" si="80"/>
        <v>10421.884210717657</v>
      </c>
      <c r="AC230" s="201">
        <f t="shared" si="81"/>
        <v>7610.6107301681795</v>
      </c>
      <c r="AD230" s="201">
        <f t="shared" si="82"/>
        <v>2811.2734805494738</v>
      </c>
      <c r="AE230" s="201">
        <f t="shared" si="91"/>
        <v>10421.884210717653</v>
      </c>
      <c r="AF230" s="201">
        <f t="shared" si="83"/>
        <v>7610.6107301681905</v>
      </c>
      <c r="AG230" s="201">
        <f t="shared" si="84"/>
        <v>2811.2734805494738</v>
      </c>
      <c r="AH230" s="201">
        <f t="shared" si="90"/>
        <v>10421.884210717664</v>
      </c>
    </row>
    <row r="231" spans="2:34" x14ac:dyDescent="0.3">
      <c r="B231" s="179">
        <f t="shared" si="85"/>
        <v>208</v>
      </c>
      <c r="C231" s="180">
        <f t="shared" si="86"/>
        <v>30.4</v>
      </c>
      <c r="D231" s="165">
        <f>IF(B231="","",Simulador!$F$62)</f>
        <v>0.11</v>
      </c>
      <c r="E231" s="167"/>
      <c r="F231" s="167">
        <f t="shared" si="87"/>
        <v>295038.44818066037</v>
      </c>
      <c r="G231" s="166"/>
      <c r="H231" s="167">
        <f t="shared" si="74"/>
        <v>7681.304847617308</v>
      </c>
      <c r="I231" s="167">
        <f t="shared" si="88"/>
        <v>2740.5793631003562</v>
      </c>
      <c r="J231" s="167">
        <f t="shared" si="72"/>
        <v>10421.884210717664</v>
      </c>
      <c r="K231" s="167">
        <f t="shared" si="75"/>
        <v>0</v>
      </c>
      <c r="L231" s="167">
        <f t="shared" si="89"/>
        <v>0</v>
      </c>
      <c r="M231" s="167">
        <f>IF(B231="","",IF(F231=0,0,IF(Simulador!$F$11='Tabla Parámetros'!$W$1,'Tabla Parámetros'!$W$28,IF(Simulador!$F$11='Tabla Parámetros'!$Y$1,'Tabla Parámetros'!$Y$12))))</f>
        <v>299</v>
      </c>
      <c r="N231" s="167">
        <f>IF(B231="","",IF(F231=0,0,IF(Simulador!$N$7='Tabla Parámetros'!$C$31,AportPat!L211,0)))</f>
        <v>0</v>
      </c>
      <c r="O231" s="167">
        <f>Simulador!O599</f>
        <v>0</v>
      </c>
      <c r="P231" s="167">
        <v>0</v>
      </c>
      <c r="Q231" s="167">
        <f t="shared" si="76"/>
        <v>10720.884210717664</v>
      </c>
      <c r="R231" s="167">
        <f t="shared" si="77"/>
        <v>287357.14333304309</v>
      </c>
      <c r="U231" s="6"/>
      <c r="V231" s="6"/>
      <c r="W231" s="6"/>
      <c r="X231" s="256">
        <f t="shared" si="73"/>
        <v>10720.884210717653</v>
      </c>
      <c r="Z231" s="201">
        <f t="shared" si="78"/>
        <v>7681.3048476173017</v>
      </c>
      <c r="AA231" s="201">
        <f t="shared" si="79"/>
        <v>2740.5793631003562</v>
      </c>
      <c r="AB231" s="202">
        <f t="shared" si="80"/>
        <v>10421.884210717657</v>
      </c>
      <c r="AC231" s="201">
        <f t="shared" si="81"/>
        <v>7681.3048476172971</v>
      </c>
      <c r="AD231" s="201">
        <f t="shared" si="82"/>
        <v>2740.5793631003562</v>
      </c>
      <c r="AE231" s="201">
        <f t="shared" si="91"/>
        <v>10421.884210717653</v>
      </c>
      <c r="AF231" s="201">
        <f t="shared" si="83"/>
        <v>7681.304847617308</v>
      </c>
      <c r="AG231" s="201">
        <f t="shared" si="84"/>
        <v>2740.5793631003562</v>
      </c>
      <c r="AH231" s="201">
        <f t="shared" si="90"/>
        <v>10421.884210717664</v>
      </c>
    </row>
    <row r="232" spans="2:34" x14ac:dyDescent="0.3">
      <c r="B232" s="181">
        <f t="shared" si="85"/>
        <v>209</v>
      </c>
      <c r="C232" s="180">
        <f t="shared" si="86"/>
        <v>30.4</v>
      </c>
      <c r="D232" s="165">
        <f>IF(B232="","",Simulador!$F$62)</f>
        <v>0.11</v>
      </c>
      <c r="E232" s="167"/>
      <c r="F232" s="167">
        <f t="shared" si="87"/>
        <v>287357.14333304309</v>
      </c>
      <c r="G232" s="166"/>
      <c r="H232" s="167">
        <f t="shared" si="74"/>
        <v>7752.6556348685117</v>
      </c>
      <c r="I232" s="167">
        <f t="shared" si="88"/>
        <v>2669.2285758491557</v>
      </c>
      <c r="J232" s="167">
        <f t="shared" si="72"/>
        <v>10421.884210717668</v>
      </c>
      <c r="K232" s="167">
        <f t="shared" si="75"/>
        <v>0</v>
      </c>
      <c r="L232" s="167">
        <f t="shared" si="89"/>
        <v>0</v>
      </c>
      <c r="M232" s="167">
        <f>IF(B232="","",IF(F232=0,0,IF(Simulador!$F$11='Tabla Parámetros'!$W$1,'Tabla Parámetros'!$W$28,IF(Simulador!$F$11='Tabla Parámetros'!$Y$1,'Tabla Parámetros'!$Y$12))))</f>
        <v>299</v>
      </c>
      <c r="N232" s="167">
        <f>IF(B232="","",IF(F232=0,0,IF(Simulador!$N$7='Tabla Parámetros'!$C$31,AportPat!L212,0)))</f>
        <v>0</v>
      </c>
      <c r="O232" s="167">
        <f>Simulador!O600</f>
        <v>0</v>
      </c>
      <c r="P232" s="167">
        <v>0</v>
      </c>
      <c r="Q232" s="167">
        <f t="shared" si="76"/>
        <v>10720.884210717668</v>
      </c>
      <c r="R232" s="167">
        <f t="shared" si="77"/>
        <v>279604.48769817455</v>
      </c>
      <c r="U232" s="6"/>
      <c r="V232" s="6"/>
      <c r="W232" s="6"/>
      <c r="X232" s="256">
        <f t="shared" si="73"/>
        <v>10720.884210717653</v>
      </c>
      <c r="Z232" s="201">
        <f t="shared" si="78"/>
        <v>7752.6556348685017</v>
      </c>
      <c r="AA232" s="201">
        <f t="shared" si="79"/>
        <v>2669.2285758491557</v>
      </c>
      <c r="AB232" s="202">
        <f t="shared" si="80"/>
        <v>10421.884210717657</v>
      </c>
      <c r="AC232" s="201">
        <f t="shared" si="81"/>
        <v>7752.6556348684971</v>
      </c>
      <c r="AD232" s="201">
        <f t="shared" si="82"/>
        <v>2669.2285758491557</v>
      </c>
      <c r="AE232" s="201">
        <f t="shared" si="91"/>
        <v>10421.884210717653</v>
      </c>
      <c r="AF232" s="201">
        <f t="shared" si="83"/>
        <v>7752.6556348685117</v>
      </c>
      <c r="AG232" s="201">
        <f t="shared" si="84"/>
        <v>2669.2285758491557</v>
      </c>
      <c r="AH232" s="201">
        <f t="shared" si="90"/>
        <v>10421.884210717668</v>
      </c>
    </row>
    <row r="233" spans="2:34" x14ac:dyDescent="0.3">
      <c r="B233" s="179">
        <f t="shared" si="85"/>
        <v>210</v>
      </c>
      <c r="C233" s="180">
        <f t="shared" si="86"/>
        <v>30.4</v>
      </c>
      <c r="D233" s="165">
        <f>IF(B233="","",Simulador!$F$62)</f>
        <v>0.11</v>
      </c>
      <c r="E233" s="167"/>
      <c r="F233" s="167">
        <f t="shared" si="87"/>
        <v>279604.48769817455</v>
      </c>
      <c r="G233" s="166"/>
      <c r="H233" s="167">
        <f t="shared" si="74"/>
        <v>7824.6691916546206</v>
      </c>
      <c r="I233" s="167">
        <f t="shared" si="88"/>
        <v>2597.2150190630432</v>
      </c>
      <c r="J233" s="167">
        <f t="shared" si="72"/>
        <v>10421.884210717664</v>
      </c>
      <c r="K233" s="167">
        <f t="shared" si="75"/>
        <v>0</v>
      </c>
      <c r="L233" s="167">
        <f t="shared" si="89"/>
        <v>0</v>
      </c>
      <c r="M233" s="167">
        <f>IF(B233="","",IF(F233=0,0,IF(Simulador!$F$11='Tabla Parámetros'!$W$1,'Tabla Parámetros'!$W$28,IF(Simulador!$F$11='Tabla Parámetros'!$Y$1,'Tabla Parámetros'!$Y$12))))</f>
        <v>299</v>
      </c>
      <c r="N233" s="167">
        <f>IF(B233="","",IF(F233=0,0,IF(Simulador!$N$7='Tabla Parámetros'!$C$31,AportPat!L213,0)))</f>
        <v>0</v>
      </c>
      <c r="O233" s="167">
        <f>Simulador!O601</f>
        <v>0</v>
      </c>
      <c r="P233" s="167">
        <v>0</v>
      </c>
      <c r="Q233" s="167">
        <f t="shared" si="76"/>
        <v>10720.884210717664</v>
      </c>
      <c r="R233" s="167">
        <f t="shared" si="77"/>
        <v>271779.81850651995</v>
      </c>
      <c r="U233" s="6"/>
      <c r="V233" s="6"/>
      <c r="W233" s="6"/>
      <c r="X233" s="256">
        <f t="shared" si="73"/>
        <v>10720.884210717653</v>
      </c>
      <c r="Z233" s="201">
        <f t="shared" si="78"/>
        <v>7824.6691916546133</v>
      </c>
      <c r="AA233" s="201">
        <f t="shared" si="79"/>
        <v>2597.2150190630432</v>
      </c>
      <c r="AB233" s="202">
        <f t="shared" si="80"/>
        <v>10421.884210717657</v>
      </c>
      <c r="AC233" s="201">
        <f t="shared" si="81"/>
        <v>7824.6691916546097</v>
      </c>
      <c r="AD233" s="201">
        <f t="shared" si="82"/>
        <v>2597.2150190630432</v>
      </c>
      <c r="AE233" s="201">
        <f t="shared" si="91"/>
        <v>10421.884210717653</v>
      </c>
      <c r="AF233" s="201">
        <f t="shared" si="83"/>
        <v>7824.6691916546206</v>
      </c>
      <c r="AG233" s="201">
        <f t="shared" si="84"/>
        <v>2597.2150190630432</v>
      </c>
      <c r="AH233" s="201">
        <f t="shared" si="90"/>
        <v>10421.884210717664</v>
      </c>
    </row>
    <row r="234" spans="2:34" x14ac:dyDescent="0.3">
      <c r="B234" s="179">
        <f t="shared" si="85"/>
        <v>211</v>
      </c>
      <c r="C234" s="180">
        <f t="shared" si="86"/>
        <v>30.4</v>
      </c>
      <c r="D234" s="165">
        <f>IF(B234="","",Simulador!$F$62)</f>
        <v>0.11</v>
      </c>
      <c r="E234" s="167"/>
      <c r="F234" s="167">
        <f t="shared" si="87"/>
        <v>271779.81850651995</v>
      </c>
      <c r="G234" s="166"/>
      <c r="H234" s="167">
        <f t="shared" si="74"/>
        <v>7897.3516743682158</v>
      </c>
      <c r="I234" s="167">
        <f t="shared" si="88"/>
        <v>2524.5325363494517</v>
      </c>
      <c r="J234" s="167">
        <f t="shared" si="72"/>
        <v>10421.884210717668</v>
      </c>
      <c r="K234" s="167">
        <f t="shared" si="75"/>
        <v>0</v>
      </c>
      <c r="L234" s="167">
        <f t="shared" si="89"/>
        <v>0</v>
      </c>
      <c r="M234" s="167">
        <f>IF(B234="","",IF(F234=0,0,IF(Simulador!$F$11='Tabla Parámetros'!$W$1,'Tabla Parámetros'!$W$28,IF(Simulador!$F$11='Tabla Parámetros'!$Y$1,'Tabla Parámetros'!$Y$12))))</f>
        <v>299</v>
      </c>
      <c r="N234" s="167">
        <f>IF(B234="","",IF(F234=0,0,IF(Simulador!$N$7='Tabla Parámetros'!$C$31,AportPat!L214,0)))</f>
        <v>0</v>
      </c>
      <c r="O234" s="167">
        <f>Simulador!O602</f>
        <v>0</v>
      </c>
      <c r="P234" s="167">
        <v>0</v>
      </c>
      <c r="Q234" s="167">
        <f t="shared" si="76"/>
        <v>10720.884210717668</v>
      </c>
      <c r="R234" s="167">
        <f t="shared" si="77"/>
        <v>263882.46683215175</v>
      </c>
      <c r="U234" s="6"/>
      <c r="V234" s="6"/>
      <c r="W234" s="6"/>
      <c r="X234" s="256">
        <f t="shared" si="73"/>
        <v>10720.884210717653</v>
      </c>
      <c r="Z234" s="201">
        <f t="shared" si="78"/>
        <v>7897.3516743682048</v>
      </c>
      <c r="AA234" s="201">
        <f t="shared" si="79"/>
        <v>2524.5325363494517</v>
      </c>
      <c r="AB234" s="202">
        <f t="shared" si="80"/>
        <v>10421.884210717657</v>
      </c>
      <c r="AC234" s="201">
        <f t="shared" si="81"/>
        <v>7897.3516743682012</v>
      </c>
      <c r="AD234" s="201">
        <f t="shared" si="82"/>
        <v>2524.5325363494517</v>
      </c>
      <c r="AE234" s="201">
        <f t="shared" si="91"/>
        <v>10421.884210717653</v>
      </c>
      <c r="AF234" s="201">
        <f t="shared" si="83"/>
        <v>7897.3516743682158</v>
      </c>
      <c r="AG234" s="201">
        <f t="shared" si="84"/>
        <v>2524.5325363494517</v>
      </c>
      <c r="AH234" s="201">
        <f t="shared" si="90"/>
        <v>10421.884210717668</v>
      </c>
    </row>
    <row r="235" spans="2:34" x14ac:dyDescent="0.3">
      <c r="B235" s="179">
        <f t="shared" si="85"/>
        <v>212</v>
      </c>
      <c r="C235" s="180">
        <f t="shared" si="86"/>
        <v>30.4</v>
      </c>
      <c r="D235" s="165">
        <f>IF(B235="","",Simulador!$F$62)</f>
        <v>0.11</v>
      </c>
      <c r="E235" s="167"/>
      <c r="F235" s="167">
        <f t="shared" si="87"/>
        <v>263882.46683215175</v>
      </c>
      <c r="G235" s="166"/>
      <c r="H235" s="167">
        <f t="shared" si="74"/>
        <v>7970.7092965879028</v>
      </c>
      <c r="I235" s="167">
        <f t="shared" si="88"/>
        <v>2451.1749141297651</v>
      </c>
      <c r="J235" s="167">
        <f t="shared" si="72"/>
        <v>10421.884210717668</v>
      </c>
      <c r="K235" s="167">
        <f t="shared" si="75"/>
        <v>0</v>
      </c>
      <c r="L235" s="167">
        <f t="shared" si="89"/>
        <v>0</v>
      </c>
      <c r="M235" s="167">
        <f>IF(B235="","",IF(F235=0,0,IF(Simulador!$F$11='Tabla Parámetros'!$W$1,'Tabla Parámetros'!$W$28,IF(Simulador!$F$11='Tabla Parámetros'!$Y$1,'Tabla Parámetros'!$Y$12))))</f>
        <v>299</v>
      </c>
      <c r="N235" s="167">
        <f>IF(B235="","",IF(F235=0,0,IF(Simulador!$N$7='Tabla Parámetros'!$C$31,AportPat!L215,0)))</f>
        <v>0</v>
      </c>
      <c r="O235" s="167">
        <f>Simulador!O603</f>
        <v>0</v>
      </c>
      <c r="P235" s="167">
        <v>0</v>
      </c>
      <c r="Q235" s="167">
        <f t="shared" si="76"/>
        <v>10720.884210717668</v>
      </c>
      <c r="R235" s="167">
        <f t="shared" si="77"/>
        <v>255911.75753556384</v>
      </c>
      <c r="U235" s="6"/>
      <c r="V235" s="6"/>
      <c r="W235" s="6"/>
      <c r="X235" s="256">
        <f t="shared" si="73"/>
        <v>10720.884210717653</v>
      </c>
      <c r="Z235" s="201">
        <f t="shared" si="78"/>
        <v>7970.7092965878928</v>
      </c>
      <c r="AA235" s="201">
        <f t="shared" si="79"/>
        <v>2451.1749141297651</v>
      </c>
      <c r="AB235" s="202">
        <f t="shared" si="80"/>
        <v>10421.884210717657</v>
      </c>
      <c r="AC235" s="201">
        <f t="shared" si="81"/>
        <v>7970.7092965878883</v>
      </c>
      <c r="AD235" s="201">
        <f t="shared" si="82"/>
        <v>2451.1749141297651</v>
      </c>
      <c r="AE235" s="201">
        <f t="shared" si="91"/>
        <v>10421.884210717653</v>
      </c>
      <c r="AF235" s="201">
        <f t="shared" si="83"/>
        <v>7970.7092965879028</v>
      </c>
      <c r="AG235" s="201">
        <f t="shared" si="84"/>
        <v>2451.1749141297651</v>
      </c>
      <c r="AH235" s="201">
        <f t="shared" si="90"/>
        <v>10421.884210717668</v>
      </c>
    </row>
    <row r="236" spans="2:34" x14ac:dyDescent="0.3">
      <c r="B236" s="181">
        <f t="shared" si="85"/>
        <v>213</v>
      </c>
      <c r="C236" s="180">
        <f t="shared" si="86"/>
        <v>30.4</v>
      </c>
      <c r="D236" s="165">
        <f>IF(B236="","",Simulador!$F$62)</f>
        <v>0.11</v>
      </c>
      <c r="E236" s="167"/>
      <c r="F236" s="167">
        <f t="shared" si="87"/>
        <v>255911.75753556384</v>
      </c>
      <c r="G236" s="166"/>
      <c r="H236" s="167">
        <f t="shared" si="74"/>
        <v>8044.7483296095415</v>
      </c>
      <c r="I236" s="167">
        <f t="shared" si="88"/>
        <v>2377.1358811081263</v>
      </c>
      <c r="J236" s="167">
        <f t="shared" si="72"/>
        <v>10421.884210717668</v>
      </c>
      <c r="K236" s="167">
        <f t="shared" si="75"/>
        <v>0</v>
      </c>
      <c r="L236" s="167">
        <f t="shared" si="89"/>
        <v>0</v>
      </c>
      <c r="M236" s="167">
        <f>IF(B236="","",IF(F236=0,0,IF(Simulador!$F$11='Tabla Parámetros'!$W$1,'Tabla Parámetros'!$W$28,IF(Simulador!$F$11='Tabla Parámetros'!$Y$1,'Tabla Parámetros'!$Y$12))))</f>
        <v>299</v>
      </c>
      <c r="N236" s="167">
        <f>IF(B236="","",IF(F236=0,0,IF(Simulador!$N$7='Tabla Parámetros'!$C$31,AportPat!L216,0)))</f>
        <v>0</v>
      </c>
      <c r="O236" s="167">
        <f>Simulador!O604</f>
        <v>0</v>
      </c>
      <c r="P236" s="167">
        <v>0</v>
      </c>
      <c r="Q236" s="167">
        <f t="shared" si="76"/>
        <v>10720.884210717668</v>
      </c>
      <c r="R236" s="167">
        <f t="shared" si="77"/>
        <v>247867.00920595429</v>
      </c>
      <c r="U236" s="6"/>
      <c r="V236" s="6"/>
      <c r="W236" s="6"/>
      <c r="X236" s="256">
        <f t="shared" si="73"/>
        <v>10720.884210717653</v>
      </c>
      <c r="Z236" s="201">
        <f t="shared" si="78"/>
        <v>8044.7483296095315</v>
      </c>
      <c r="AA236" s="201">
        <f t="shared" si="79"/>
        <v>2377.1358811081263</v>
      </c>
      <c r="AB236" s="202">
        <f t="shared" si="80"/>
        <v>10421.884210717657</v>
      </c>
      <c r="AC236" s="201">
        <f t="shared" si="81"/>
        <v>8044.748329609527</v>
      </c>
      <c r="AD236" s="201">
        <f t="shared" si="82"/>
        <v>2377.1358811081263</v>
      </c>
      <c r="AE236" s="201">
        <f t="shared" si="91"/>
        <v>10421.884210717653</v>
      </c>
      <c r="AF236" s="201">
        <f t="shared" si="83"/>
        <v>8044.7483296095415</v>
      </c>
      <c r="AG236" s="201">
        <f t="shared" si="84"/>
        <v>2377.1358811081263</v>
      </c>
      <c r="AH236" s="201">
        <f t="shared" si="90"/>
        <v>10421.884210717668</v>
      </c>
    </row>
    <row r="237" spans="2:34" x14ac:dyDescent="0.3">
      <c r="B237" s="179">
        <f t="shared" si="85"/>
        <v>214</v>
      </c>
      <c r="C237" s="180">
        <f t="shared" si="86"/>
        <v>30.4</v>
      </c>
      <c r="D237" s="165">
        <f>IF(B237="","",Simulador!$F$62)</f>
        <v>0.11</v>
      </c>
      <c r="E237" s="167"/>
      <c r="F237" s="167">
        <f t="shared" si="87"/>
        <v>247867.00920595429</v>
      </c>
      <c r="G237" s="166"/>
      <c r="H237" s="167">
        <f t="shared" si="74"/>
        <v>8119.4751029823592</v>
      </c>
      <c r="I237" s="167">
        <f t="shared" si="88"/>
        <v>2302.4091077353087</v>
      </c>
      <c r="J237" s="167">
        <f t="shared" si="72"/>
        <v>10421.884210717668</v>
      </c>
      <c r="K237" s="167">
        <f t="shared" si="75"/>
        <v>0</v>
      </c>
      <c r="L237" s="167">
        <f t="shared" si="89"/>
        <v>0</v>
      </c>
      <c r="M237" s="167">
        <f>IF(B237="","",IF(F237=0,0,IF(Simulador!$F$11='Tabla Parámetros'!$W$1,'Tabla Parámetros'!$W$28,IF(Simulador!$F$11='Tabla Parámetros'!$Y$1,'Tabla Parámetros'!$Y$12))))</f>
        <v>299</v>
      </c>
      <c r="N237" s="167">
        <f>IF(B237="","",IF(F237=0,0,IF(Simulador!$N$7='Tabla Parámetros'!$C$31,AportPat!L217,0)))</f>
        <v>0</v>
      </c>
      <c r="O237" s="167">
        <f>Simulador!O605</f>
        <v>0</v>
      </c>
      <c r="P237" s="167">
        <v>0</v>
      </c>
      <c r="Q237" s="167">
        <f t="shared" si="76"/>
        <v>10720.884210717668</v>
      </c>
      <c r="R237" s="167">
        <f t="shared" si="77"/>
        <v>239747.53410297193</v>
      </c>
      <c r="U237" s="6"/>
      <c r="V237" s="6"/>
      <c r="W237" s="6"/>
      <c r="X237" s="256">
        <f t="shared" si="73"/>
        <v>10720.884210717653</v>
      </c>
      <c r="Z237" s="201">
        <f t="shared" si="78"/>
        <v>8119.4751029823492</v>
      </c>
      <c r="AA237" s="201">
        <f t="shared" si="79"/>
        <v>2302.4091077353087</v>
      </c>
      <c r="AB237" s="202">
        <f t="shared" si="80"/>
        <v>10421.884210717657</v>
      </c>
      <c r="AC237" s="201">
        <f t="shared" si="81"/>
        <v>8119.4751029823447</v>
      </c>
      <c r="AD237" s="201">
        <f t="shared" si="82"/>
        <v>2302.4091077353087</v>
      </c>
      <c r="AE237" s="201">
        <f t="shared" si="91"/>
        <v>10421.884210717653</v>
      </c>
      <c r="AF237" s="201">
        <f t="shared" si="83"/>
        <v>8119.4751029823592</v>
      </c>
      <c r="AG237" s="201">
        <f t="shared" si="84"/>
        <v>2302.4091077353087</v>
      </c>
      <c r="AH237" s="201">
        <f t="shared" si="90"/>
        <v>10421.884210717668</v>
      </c>
    </row>
    <row r="238" spans="2:34" x14ac:dyDescent="0.3">
      <c r="B238" s="179">
        <f t="shared" si="85"/>
        <v>215</v>
      </c>
      <c r="C238" s="180">
        <f t="shared" si="86"/>
        <v>30.4</v>
      </c>
      <c r="D238" s="165">
        <f>IF(B238="","",Simulador!$F$62)</f>
        <v>0.11</v>
      </c>
      <c r="E238" s="167"/>
      <c r="F238" s="167">
        <f t="shared" si="87"/>
        <v>239747.53410297193</v>
      </c>
      <c r="G238" s="166"/>
      <c r="H238" s="167">
        <f t="shared" si="74"/>
        <v>8194.8960050500627</v>
      </c>
      <c r="I238" s="167">
        <f t="shared" si="88"/>
        <v>2226.9882056676056</v>
      </c>
      <c r="J238" s="167">
        <f t="shared" si="72"/>
        <v>10421.884210717668</v>
      </c>
      <c r="K238" s="167">
        <f t="shared" si="75"/>
        <v>0</v>
      </c>
      <c r="L238" s="167">
        <f t="shared" si="89"/>
        <v>0</v>
      </c>
      <c r="M238" s="167">
        <f>IF(B238="","",IF(F238=0,0,IF(Simulador!$F$11='Tabla Parámetros'!$W$1,'Tabla Parámetros'!$W$28,IF(Simulador!$F$11='Tabla Parámetros'!$Y$1,'Tabla Parámetros'!$Y$12))))</f>
        <v>299</v>
      </c>
      <c r="N238" s="167">
        <f>IF(B238="","",IF(F238=0,0,IF(Simulador!$N$7='Tabla Parámetros'!$C$31,AportPat!L218,0)))</f>
        <v>0</v>
      </c>
      <c r="O238" s="167">
        <f>Simulador!O606</f>
        <v>0</v>
      </c>
      <c r="P238" s="167">
        <v>0</v>
      </c>
      <c r="Q238" s="167">
        <f t="shared" si="76"/>
        <v>10720.884210717668</v>
      </c>
      <c r="R238" s="167">
        <f t="shared" si="77"/>
        <v>231552.63809792185</v>
      </c>
      <c r="U238" s="6"/>
      <c r="V238" s="6"/>
      <c r="W238" s="6"/>
      <c r="X238" s="256">
        <f t="shared" si="73"/>
        <v>10720.884210717653</v>
      </c>
      <c r="Z238" s="201">
        <f t="shared" si="78"/>
        <v>8194.89600505005</v>
      </c>
      <c r="AA238" s="201">
        <f t="shared" si="79"/>
        <v>2226.9882056676056</v>
      </c>
      <c r="AB238" s="202">
        <f t="shared" si="80"/>
        <v>10421.884210717655</v>
      </c>
      <c r="AC238" s="201">
        <f t="shared" si="81"/>
        <v>8194.8960050500482</v>
      </c>
      <c r="AD238" s="201">
        <f t="shared" si="82"/>
        <v>2226.9882056676056</v>
      </c>
      <c r="AE238" s="201">
        <f t="shared" si="91"/>
        <v>10421.884210717653</v>
      </c>
      <c r="AF238" s="201">
        <f t="shared" si="83"/>
        <v>8194.8960050500627</v>
      </c>
      <c r="AG238" s="201">
        <f t="shared" si="84"/>
        <v>2226.9882056676056</v>
      </c>
      <c r="AH238" s="201">
        <f t="shared" si="90"/>
        <v>10421.884210717668</v>
      </c>
    </row>
    <row r="239" spans="2:34" x14ac:dyDescent="0.3">
      <c r="B239" s="179">
        <f t="shared" si="85"/>
        <v>216</v>
      </c>
      <c r="C239" s="180">
        <f t="shared" si="86"/>
        <v>30.4</v>
      </c>
      <c r="D239" s="165">
        <f>IF(B239="","",Simulador!$F$62)</f>
        <v>0.11</v>
      </c>
      <c r="E239" s="167"/>
      <c r="F239" s="167">
        <f t="shared" si="87"/>
        <v>231552.63809792185</v>
      </c>
      <c r="G239" s="166"/>
      <c r="H239" s="167">
        <f t="shared" si="74"/>
        <v>8271.0174834969712</v>
      </c>
      <c r="I239" s="167">
        <f t="shared" si="88"/>
        <v>2150.8667272206962</v>
      </c>
      <c r="J239" s="167">
        <f t="shared" si="72"/>
        <v>10421.884210717668</v>
      </c>
      <c r="K239" s="167">
        <f t="shared" si="75"/>
        <v>0</v>
      </c>
      <c r="L239" s="167">
        <f t="shared" si="89"/>
        <v>0</v>
      </c>
      <c r="M239" s="167">
        <f>IF(B239="","",IF(F239=0,0,IF(Simulador!$F$11='Tabla Parámetros'!$W$1,'Tabla Parámetros'!$W$28,IF(Simulador!$F$11='Tabla Parámetros'!$Y$1,'Tabla Parámetros'!$Y$12))))</f>
        <v>299</v>
      </c>
      <c r="N239" s="167">
        <f>IF(B239="","",IF(F239=0,0,IF(Simulador!$N$7='Tabla Parámetros'!$C$31,AportPat!L219,0)))</f>
        <v>0</v>
      </c>
      <c r="O239" s="167">
        <f>Simulador!O607</f>
        <v>0</v>
      </c>
      <c r="P239" s="167">
        <v>0</v>
      </c>
      <c r="Q239" s="167">
        <f t="shared" si="76"/>
        <v>10720.884210717668</v>
      </c>
      <c r="R239" s="167">
        <f t="shared" si="77"/>
        <v>223281.62061442487</v>
      </c>
      <c r="U239" s="6"/>
      <c r="V239" s="6"/>
      <c r="W239" s="6"/>
      <c r="X239" s="256">
        <f t="shared" si="73"/>
        <v>10720.884210717653</v>
      </c>
      <c r="Z239" s="201">
        <f t="shared" si="78"/>
        <v>8271.0174834969603</v>
      </c>
      <c r="AA239" s="201">
        <f t="shared" si="79"/>
        <v>2150.8667272206962</v>
      </c>
      <c r="AB239" s="202">
        <f t="shared" si="80"/>
        <v>10421.884210717657</v>
      </c>
      <c r="AC239" s="201">
        <f t="shared" si="81"/>
        <v>8271.0174834969566</v>
      </c>
      <c r="AD239" s="201">
        <f t="shared" si="82"/>
        <v>2150.8667272206962</v>
      </c>
      <c r="AE239" s="201">
        <f t="shared" si="91"/>
        <v>10421.884210717653</v>
      </c>
      <c r="AF239" s="201">
        <f t="shared" si="83"/>
        <v>8271.0174834969712</v>
      </c>
      <c r="AG239" s="201">
        <f t="shared" si="84"/>
        <v>2150.8667272206962</v>
      </c>
      <c r="AH239" s="201">
        <f t="shared" si="90"/>
        <v>10421.884210717668</v>
      </c>
    </row>
    <row r="240" spans="2:34" x14ac:dyDescent="0.3">
      <c r="B240" s="181">
        <f t="shared" si="85"/>
        <v>217</v>
      </c>
      <c r="C240" s="180">
        <f t="shared" si="86"/>
        <v>30.4</v>
      </c>
      <c r="D240" s="165">
        <f>IF(B240="","",Simulador!$F$62)</f>
        <v>0.11</v>
      </c>
      <c r="E240" s="167"/>
      <c r="F240" s="167">
        <f t="shared" si="87"/>
        <v>223281.62061442487</v>
      </c>
      <c r="G240" s="166"/>
      <c r="H240" s="167">
        <f t="shared" si="74"/>
        <v>8347.8460458992286</v>
      </c>
      <c r="I240" s="167">
        <f t="shared" si="88"/>
        <v>2074.0381648184352</v>
      </c>
      <c r="J240" s="167">
        <f t="shared" si="72"/>
        <v>10421.884210717664</v>
      </c>
      <c r="K240" s="167">
        <f t="shared" si="75"/>
        <v>0</v>
      </c>
      <c r="L240" s="167">
        <f t="shared" si="89"/>
        <v>0</v>
      </c>
      <c r="M240" s="167">
        <f>IF(B240="","",IF(F240=0,0,IF(Simulador!$F$11='Tabla Parámetros'!$W$1,'Tabla Parámetros'!$W$28,IF(Simulador!$F$11='Tabla Parámetros'!$Y$1,'Tabla Parámetros'!$Y$12))))</f>
        <v>299</v>
      </c>
      <c r="N240" s="167">
        <f>IF(B240="","",IF(F240=0,0,IF(Simulador!$N$7='Tabla Parámetros'!$C$31,AportPat!L220,0)))</f>
        <v>0</v>
      </c>
      <c r="O240" s="167">
        <f>Simulador!O608</f>
        <v>0</v>
      </c>
      <c r="P240" s="167">
        <v>0</v>
      </c>
      <c r="Q240" s="167">
        <f t="shared" si="76"/>
        <v>10720.884210717664</v>
      </c>
      <c r="R240" s="167">
        <f t="shared" si="77"/>
        <v>214933.77456852564</v>
      </c>
      <c r="U240" s="6"/>
      <c r="V240" s="6"/>
      <c r="W240" s="6"/>
      <c r="X240" s="256">
        <f t="shared" si="73"/>
        <v>10720.884210717653</v>
      </c>
      <c r="Z240" s="201">
        <f t="shared" si="78"/>
        <v>8347.8460458992213</v>
      </c>
      <c r="AA240" s="201">
        <f t="shared" si="79"/>
        <v>2074.0381648184352</v>
      </c>
      <c r="AB240" s="202">
        <f t="shared" si="80"/>
        <v>10421.884210717657</v>
      </c>
      <c r="AC240" s="201">
        <f t="shared" si="81"/>
        <v>8347.8460458992176</v>
      </c>
      <c r="AD240" s="201">
        <f t="shared" si="82"/>
        <v>2074.0381648184352</v>
      </c>
      <c r="AE240" s="201">
        <f t="shared" si="91"/>
        <v>10421.884210717653</v>
      </c>
      <c r="AF240" s="201">
        <f t="shared" si="83"/>
        <v>8347.8460458992286</v>
      </c>
      <c r="AG240" s="201">
        <f t="shared" si="84"/>
        <v>2074.0381648184352</v>
      </c>
      <c r="AH240" s="201">
        <f t="shared" si="90"/>
        <v>10421.884210717664</v>
      </c>
    </row>
    <row r="241" spans="2:34" x14ac:dyDescent="0.3">
      <c r="B241" s="179">
        <f t="shared" si="85"/>
        <v>218</v>
      </c>
      <c r="C241" s="180">
        <f t="shared" si="86"/>
        <v>30.4</v>
      </c>
      <c r="D241" s="165">
        <f>IF(B241="","",Simulador!$F$62)</f>
        <v>0.11</v>
      </c>
      <c r="E241" s="167"/>
      <c r="F241" s="167">
        <f t="shared" si="87"/>
        <v>214933.77456852564</v>
      </c>
      <c r="G241" s="166"/>
      <c r="H241" s="167">
        <f t="shared" si="74"/>
        <v>8425.3882602811373</v>
      </c>
      <c r="I241" s="167">
        <f t="shared" si="88"/>
        <v>1996.495950436527</v>
      </c>
      <c r="J241" s="167">
        <f t="shared" si="72"/>
        <v>10421.884210717664</v>
      </c>
      <c r="K241" s="167">
        <f t="shared" si="75"/>
        <v>0</v>
      </c>
      <c r="L241" s="167">
        <f t="shared" si="89"/>
        <v>0</v>
      </c>
      <c r="M241" s="167">
        <f>IF(B241="","",IF(F241=0,0,IF(Simulador!$F$11='Tabla Parámetros'!$W$1,'Tabla Parámetros'!$W$28,IF(Simulador!$F$11='Tabla Parámetros'!$Y$1,'Tabla Parámetros'!$Y$12))))</f>
        <v>299</v>
      </c>
      <c r="N241" s="167">
        <f>IF(B241="","",IF(F241=0,0,IF(Simulador!$N$7='Tabla Parámetros'!$C$31,AportPat!L221,0)))</f>
        <v>0</v>
      </c>
      <c r="O241" s="167">
        <f>Simulador!O609</f>
        <v>0</v>
      </c>
      <c r="P241" s="167">
        <v>0</v>
      </c>
      <c r="Q241" s="167">
        <f t="shared" si="76"/>
        <v>10720.884210717664</v>
      </c>
      <c r="R241" s="167">
        <f t="shared" si="77"/>
        <v>206508.38630824449</v>
      </c>
      <c r="U241" s="6"/>
      <c r="V241" s="6"/>
      <c r="W241" s="6"/>
      <c r="X241" s="256">
        <f t="shared" si="73"/>
        <v>10720.884210717653</v>
      </c>
      <c r="Z241" s="201">
        <f t="shared" si="78"/>
        <v>8425.3882602811282</v>
      </c>
      <c r="AA241" s="201">
        <f t="shared" si="79"/>
        <v>1996.495950436527</v>
      </c>
      <c r="AB241" s="202">
        <f t="shared" si="80"/>
        <v>10421.884210717655</v>
      </c>
      <c r="AC241" s="201">
        <f t="shared" si="81"/>
        <v>8425.3882602811263</v>
      </c>
      <c r="AD241" s="201">
        <f t="shared" si="82"/>
        <v>1996.495950436527</v>
      </c>
      <c r="AE241" s="201">
        <f t="shared" si="91"/>
        <v>10421.884210717653</v>
      </c>
      <c r="AF241" s="201">
        <f t="shared" si="83"/>
        <v>8425.3882602811373</v>
      </c>
      <c r="AG241" s="201">
        <f t="shared" si="84"/>
        <v>1996.495950436527</v>
      </c>
      <c r="AH241" s="201">
        <f t="shared" si="90"/>
        <v>10421.884210717664</v>
      </c>
    </row>
    <row r="242" spans="2:34" x14ac:dyDescent="0.3">
      <c r="B242" s="179">
        <f t="shared" si="85"/>
        <v>219</v>
      </c>
      <c r="C242" s="180">
        <f t="shared" si="86"/>
        <v>30.4</v>
      </c>
      <c r="D242" s="165">
        <f>IF(B242="","",Simulador!$F$62)</f>
        <v>0.11</v>
      </c>
      <c r="E242" s="167"/>
      <c r="F242" s="167">
        <f t="shared" si="87"/>
        <v>206508.38630824449</v>
      </c>
      <c r="G242" s="166"/>
      <c r="H242" s="167">
        <f t="shared" si="74"/>
        <v>8503.6507556766355</v>
      </c>
      <c r="I242" s="167">
        <f t="shared" si="88"/>
        <v>1918.2334550410264</v>
      </c>
      <c r="J242" s="167">
        <f t="shared" si="72"/>
        <v>10421.884210717662</v>
      </c>
      <c r="K242" s="167">
        <f t="shared" si="75"/>
        <v>0</v>
      </c>
      <c r="L242" s="167">
        <f t="shared" si="89"/>
        <v>0</v>
      </c>
      <c r="M242" s="167">
        <f>IF(B242="","",IF(F242=0,0,IF(Simulador!$F$11='Tabla Parámetros'!$W$1,'Tabla Parámetros'!$W$28,IF(Simulador!$F$11='Tabla Parámetros'!$Y$1,'Tabla Parámetros'!$Y$12))))</f>
        <v>299</v>
      </c>
      <c r="N242" s="167">
        <f>IF(B242="","",IF(F242=0,0,IF(Simulador!$N$7='Tabla Parámetros'!$C$31,AportPat!L222,0)))</f>
        <v>0</v>
      </c>
      <c r="O242" s="167">
        <f>Simulador!O610</f>
        <v>0</v>
      </c>
      <c r="P242" s="167">
        <v>0</v>
      </c>
      <c r="Q242" s="167">
        <f t="shared" si="76"/>
        <v>10720.884210717662</v>
      </c>
      <c r="R242" s="167">
        <f t="shared" si="77"/>
        <v>198004.73555256784</v>
      </c>
      <c r="U242" s="6"/>
      <c r="V242" s="6"/>
      <c r="W242" s="6"/>
      <c r="X242" s="256">
        <f t="shared" si="73"/>
        <v>10720.884210717653</v>
      </c>
      <c r="Z242" s="201">
        <f t="shared" si="78"/>
        <v>8503.6507556766301</v>
      </c>
      <c r="AA242" s="201">
        <f t="shared" si="79"/>
        <v>1918.2334550410264</v>
      </c>
      <c r="AB242" s="202">
        <f t="shared" si="80"/>
        <v>10421.884210717657</v>
      </c>
      <c r="AC242" s="201">
        <f t="shared" si="81"/>
        <v>8503.6507556766264</v>
      </c>
      <c r="AD242" s="201">
        <f t="shared" si="82"/>
        <v>1918.2334550410264</v>
      </c>
      <c r="AE242" s="201">
        <f t="shared" si="91"/>
        <v>10421.884210717653</v>
      </c>
      <c r="AF242" s="201">
        <f t="shared" si="83"/>
        <v>8503.6507556766355</v>
      </c>
      <c r="AG242" s="201">
        <f t="shared" si="84"/>
        <v>1918.2334550410264</v>
      </c>
      <c r="AH242" s="201">
        <f t="shared" si="90"/>
        <v>10421.884210717662</v>
      </c>
    </row>
    <row r="243" spans="2:34" x14ac:dyDescent="0.3">
      <c r="B243" s="179">
        <f t="shared" si="85"/>
        <v>220</v>
      </c>
      <c r="C243" s="180">
        <f t="shared" si="86"/>
        <v>30.4</v>
      </c>
      <c r="D243" s="165">
        <f>IF(B243="","",Simulador!$F$62)</f>
        <v>0.11</v>
      </c>
      <c r="E243" s="167"/>
      <c r="F243" s="167">
        <f t="shared" si="87"/>
        <v>198004.73555256784</v>
      </c>
      <c r="G243" s="166"/>
      <c r="H243" s="167">
        <f t="shared" si="74"/>
        <v>8582.6402226960345</v>
      </c>
      <c r="I243" s="167">
        <f t="shared" si="88"/>
        <v>1839.24398802163</v>
      </c>
      <c r="J243" s="167">
        <f t="shared" si="72"/>
        <v>10421.884210717664</v>
      </c>
      <c r="K243" s="167">
        <f t="shared" si="75"/>
        <v>0</v>
      </c>
      <c r="L243" s="167">
        <f t="shared" si="89"/>
        <v>0</v>
      </c>
      <c r="M243" s="167">
        <f>IF(B243="","",IF(F243=0,0,IF(Simulador!$F$11='Tabla Parámetros'!$W$1,'Tabla Parámetros'!$W$28,IF(Simulador!$F$11='Tabla Parámetros'!$Y$1,'Tabla Parámetros'!$Y$12))))</f>
        <v>299</v>
      </c>
      <c r="N243" s="167">
        <f>IF(B243="","",IF(F243=0,0,IF(Simulador!$N$7='Tabla Parámetros'!$C$31,AportPat!L223,0)))</f>
        <v>0</v>
      </c>
      <c r="O243" s="167">
        <f>Simulador!O611</f>
        <v>0</v>
      </c>
      <c r="P243" s="167">
        <v>0</v>
      </c>
      <c r="Q243" s="167">
        <f t="shared" si="76"/>
        <v>10720.884210717664</v>
      </c>
      <c r="R243" s="167">
        <f t="shared" si="77"/>
        <v>189422.09532987181</v>
      </c>
      <c r="U243" s="6"/>
      <c r="V243" s="6"/>
      <c r="W243" s="6"/>
      <c r="X243" s="256">
        <f t="shared" si="73"/>
        <v>10720.884210717653</v>
      </c>
      <c r="Z243" s="201">
        <f t="shared" si="78"/>
        <v>8582.6402226960254</v>
      </c>
      <c r="AA243" s="201">
        <f t="shared" si="79"/>
        <v>1839.24398802163</v>
      </c>
      <c r="AB243" s="202">
        <f t="shared" si="80"/>
        <v>10421.884210717655</v>
      </c>
      <c r="AC243" s="201">
        <f t="shared" si="81"/>
        <v>8582.6402226960236</v>
      </c>
      <c r="AD243" s="201">
        <f t="shared" si="82"/>
        <v>1839.24398802163</v>
      </c>
      <c r="AE243" s="201">
        <f t="shared" si="91"/>
        <v>10421.884210717653</v>
      </c>
      <c r="AF243" s="201">
        <f t="shared" si="83"/>
        <v>8582.6402226960345</v>
      </c>
      <c r="AG243" s="201">
        <f t="shared" si="84"/>
        <v>1839.24398802163</v>
      </c>
      <c r="AH243" s="201">
        <f t="shared" si="90"/>
        <v>10421.884210717664</v>
      </c>
    </row>
    <row r="244" spans="2:34" x14ac:dyDescent="0.3">
      <c r="B244" s="181">
        <f t="shared" si="85"/>
        <v>221</v>
      </c>
      <c r="C244" s="180">
        <f t="shared" si="86"/>
        <v>30.4</v>
      </c>
      <c r="D244" s="165">
        <f>IF(B244="","",Simulador!$F$62)</f>
        <v>0.11</v>
      </c>
      <c r="E244" s="167"/>
      <c r="F244" s="167">
        <f t="shared" si="87"/>
        <v>189422.09532987181</v>
      </c>
      <c r="G244" s="166"/>
      <c r="H244" s="167">
        <f t="shared" si="74"/>
        <v>8662.3634140979648</v>
      </c>
      <c r="I244" s="167">
        <f t="shared" si="88"/>
        <v>1759.5207966196981</v>
      </c>
      <c r="J244" s="167">
        <f t="shared" si="72"/>
        <v>10421.884210717662</v>
      </c>
      <c r="K244" s="167">
        <f t="shared" si="75"/>
        <v>0</v>
      </c>
      <c r="L244" s="167">
        <f t="shared" si="89"/>
        <v>0</v>
      </c>
      <c r="M244" s="167">
        <f>IF(B244="","",IF(F244=0,0,IF(Simulador!$F$11='Tabla Parámetros'!$W$1,'Tabla Parámetros'!$W$28,IF(Simulador!$F$11='Tabla Parámetros'!$Y$1,'Tabla Parámetros'!$Y$12))))</f>
        <v>299</v>
      </c>
      <c r="N244" s="167">
        <f>IF(B244="","",IF(F244=0,0,IF(Simulador!$N$7='Tabla Parámetros'!$C$31,AportPat!L224,0)))</f>
        <v>0</v>
      </c>
      <c r="O244" s="167">
        <f>Simulador!O612</f>
        <v>0</v>
      </c>
      <c r="P244" s="167">
        <v>0</v>
      </c>
      <c r="Q244" s="167">
        <f t="shared" si="76"/>
        <v>10720.884210717662</v>
      </c>
      <c r="R244" s="167">
        <f t="shared" si="77"/>
        <v>180759.73191577385</v>
      </c>
      <c r="U244" s="6"/>
      <c r="V244" s="6"/>
      <c r="W244" s="6"/>
      <c r="X244" s="256">
        <f t="shared" si="73"/>
        <v>10720.884210717653</v>
      </c>
      <c r="Z244" s="201">
        <f t="shared" si="78"/>
        <v>8662.3634140979593</v>
      </c>
      <c r="AA244" s="201">
        <f t="shared" si="79"/>
        <v>1759.5207966196981</v>
      </c>
      <c r="AB244" s="202">
        <f t="shared" si="80"/>
        <v>10421.884210717657</v>
      </c>
      <c r="AC244" s="201">
        <f t="shared" si="81"/>
        <v>8662.3634140979557</v>
      </c>
      <c r="AD244" s="201">
        <f t="shared" si="82"/>
        <v>1759.5207966196981</v>
      </c>
      <c r="AE244" s="201">
        <f t="shared" si="91"/>
        <v>10421.884210717653</v>
      </c>
      <c r="AF244" s="201">
        <f t="shared" si="83"/>
        <v>8662.3634140979648</v>
      </c>
      <c r="AG244" s="201">
        <f t="shared" si="84"/>
        <v>1759.5207966196981</v>
      </c>
      <c r="AH244" s="201">
        <f t="shared" si="90"/>
        <v>10421.884210717662</v>
      </c>
    </row>
    <row r="245" spans="2:34" x14ac:dyDescent="0.3">
      <c r="B245" s="179">
        <f t="shared" si="85"/>
        <v>222</v>
      </c>
      <c r="C245" s="180">
        <f t="shared" si="86"/>
        <v>30.4</v>
      </c>
      <c r="D245" s="165">
        <f>IF(B245="","",Simulador!$F$62)</f>
        <v>0.11</v>
      </c>
      <c r="E245" s="167"/>
      <c r="F245" s="167">
        <f t="shared" si="87"/>
        <v>180759.73191577385</v>
      </c>
      <c r="G245" s="166"/>
      <c r="H245" s="167">
        <f t="shared" si="74"/>
        <v>8742.8271453666985</v>
      </c>
      <c r="I245" s="167">
        <f t="shared" si="88"/>
        <v>1679.0570653509658</v>
      </c>
      <c r="J245" s="167">
        <f t="shared" si="72"/>
        <v>10421.884210717664</v>
      </c>
      <c r="K245" s="167">
        <f t="shared" si="75"/>
        <v>0</v>
      </c>
      <c r="L245" s="167">
        <f t="shared" si="89"/>
        <v>0</v>
      </c>
      <c r="M245" s="167">
        <f>IF(B245="","",IF(F245=0,0,IF(Simulador!$F$11='Tabla Parámetros'!$W$1,'Tabla Parámetros'!$W$28,IF(Simulador!$F$11='Tabla Parámetros'!$Y$1,'Tabla Parámetros'!$Y$12))))</f>
        <v>299</v>
      </c>
      <c r="N245" s="167">
        <f>IF(B245="","",IF(F245=0,0,IF(Simulador!$N$7='Tabla Parámetros'!$C$31,AportPat!L225,0)))</f>
        <v>0</v>
      </c>
      <c r="O245" s="167">
        <f>Simulador!O613</f>
        <v>0</v>
      </c>
      <c r="P245" s="167">
        <v>0</v>
      </c>
      <c r="Q245" s="167">
        <f t="shared" si="76"/>
        <v>10720.884210717664</v>
      </c>
      <c r="R245" s="167">
        <f t="shared" si="77"/>
        <v>172016.90477040716</v>
      </c>
      <c r="U245" s="6"/>
      <c r="V245" s="6"/>
      <c r="W245" s="6"/>
      <c r="X245" s="256">
        <f t="shared" si="73"/>
        <v>10720.884210717653</v>
      </c>
      <c r="Z245" s="201">
        <f t="shared" si="78"/>
        <v>8742.8271453666894</v>
      </c>
      <c r="AA245" s="201">
        <f t="shared" si="79"/>
        <v>1679.0570653509658</v>
      </c>
      <c r="AB245" s="202">
        <f t="shared" si="80"/>
        <v>10421.884210717655</v>
      </c>
      <c r="AC245" s="201">
        <f t="shared" si="81"/>
        <v>8742.8271453666875</v>
      </c>
      <c r="AD245" s="201">
        <f t="shared" si="82"/>
        <v>1679.0570653509658</v>
      </c>
      <c r="AE245" s="201">
        <f t="shared" si="91"/>
        <v>10421.884210717653</v>
      </c>
      <c r="AF245" s="201">
        <f t="shared" si="83"/>
        <v>8742.8271453666985</v>
      </c>
      <c r="AG245" s="201">
        <f t="shared" si="84"/>
        <v>1679.0570653509658</v>
      </c>
      <c r="AH245" s="201">
        <f t="shared" si="90"/>
        <v>10421.884210717664</v>
      </c>
    </row>
    <row r="246" spans="2:34" x14ac:dyDescent="0.3">
      <c r="B246" s="179">
        <f t="shared" si="85"/>
        <v>223</v>
      </c>
      <c r="C246" s="180">
        <f t="shared" si="86"/>
        <v>30.4</v>
      </c>
      <c r="D246" s="165">
        <f>IF(B246="","",Simulador!$F$62)</f>
        <v>0.11</v>
      </c>
      <c r="E246" s="167"/>
      <c r="F246" s="167">
        <f t="shared" si="87"/>
        <v>172016.90477040716</v>
      </c>
      <c r="G246" s="166"/>
      <c r="H246" s="167">
        <f t="shared" si="74"/>
        <v>8824.0382952947712</v>
      </c>
      <c r="I246" s="167">
        <f t="shared" si="88"/>
        <v>1597.8459154228931</v>
      </c>
      <c r="J246" s="167">
        <f t="shared" si="72"/>
        <v>10421.884210717664</v>
      </c>
      <c r="K246" s="167">
        <f t="shared" si="75"/>
        <v>0</v>
      </c>
      <c r="L246" s="167">
        <f t="shared" si="89"/>
        <v>0</v>
      </c>
      <c r="M246" s="167">
        <f>IF(B246="","",IF(F246=0,0,IF(Simulador!$F$11='Tabla Parámetros'!$W$1,'Tabla Parámetros'!$W$28,IF(Simulador!$F$11='Tabla Parámetros'!$Y$1,'Tabla Parámetros'!$Y$12))))</f>
        <v>299</v>
      </c>
      <c r="N246" s="167">
        <f>IF(B246="","",IF(F246=0,0,IF(Simulador!$N$7='Tabla Parámetros'!$C$31,AportPat!L226,0)))</f>
        <v>0</v>
      </c>
      <c r="O246" s="167">
        <f>Simulador!O614</f>
        <v>0</v>
      </c>
      <c r="P246" s="167">
        <v>0</v>
      </c>
      <c r="Q246" s="167">
        <f t="shared" si="76"/>
        <v>10720.884210717664</v>
      </c>
      <c r="R246" s="167">
        <f t="shared" si="77"/>
        <v>163192.86647511239</v>
      </c>
      <c r="U246" s="6"/>
      <c r="V246" s="6"/>
      <c r="W246" s="6"/>
      <c r="X246" s="256">
        <f t="shared" si="73"/>
        <v>10720.884210717653</v>
      </c>
      <c r="Z246" s="201">
        <f t="shared" si="78"/>
        <v>8824.0382952947621</v>
      </c>
      <c r="AA246" s="201">
        <f t="shared" si="79"/>
        <v>1597.8459154228931</v>
      </c>
      <c r="AB246" s="202">
        <f t="shared" si="80"/>
        <v>10421.884210717655</v>
      </c>
      <c r="AC246" s="201">
        <f t="shared" si="81"/>
        <v>8824.0382952947602</v>
      </c>
      <c r="AD246" s="201">
        <f t="shared" si="82"/>
        <v>1597.8459154228931</v>
      </c>
      <c r="AE246" s="201">
        <f t="shared" si="91"/>
        <v>10421.884210717653</v>
      </c>
      <c r="AF246" s="201">
        <f t="shared" si="83"/>
        <v>8824.0382952947712</v>
      </c>
      <c r="AG246" s="201">
        <f t="shared" si="84"/>
        <v>1597.8459154228931</v>
      </c>
      <c r="AH246" s="201">
        <f t="shared" si="90"/>
        <v>10421.884210717664</v>
      </c>
    </row>
    <row r="247" spans="2:34" x14ac:dyDescent="0.3">
      <c r="B247" s="179">
        <f t="shared" si="85"/>
        <v>224</v>
      </c>
      <c r="C247" s="180">
        <f t="shared" si="86"/>
        <v>30.4</v>
      </c>
      <c r="D247" s="165">
        <f>IF(B247="","",Simulador!$F$62)</f>
        <v>0.11</v>
      </c>
      <c r="E247" s="167"/>
      <c r="F247" s="167">
        <f t="shared" si="87"/>
        <v>163192.86647511239</v>
      </c>
      <c r="G247" s="166"/>
      <c r="H247" s="167">
        <f t="shared" si="74"/>
        <v>8906.0038065710651</v>
      </c>
      <c r="I247" s="167">
        <f t="shared" si="88"/>
        <v>1515.8804041465994</v>
      </c>
      <c r="J247" s="167">
        <f t="shared" si="72"/>
        <v>10421.884210717664</v>
      </c>
      <c r="K247" s="167">
        <f t="shared" si="75"/>
        <v>0</v>
      </c>
      <c r="L247" s="167">
        <f t="shared" si="89"/>
        <v>0</v>
      </c>
      <c r="M247" s="167">
        <f>IF(B247="","",IF(F247=0,0,IF(Simulador!$F$11='Tabla Parámetros'!$W$1,'Tabla Parámetros'!$W$28,IF(Simulador!$F$11='Tabla Parámetros'!$Y$1,'Tabla Parámetros'!$Y$12))))</f>
        <v>299</v>
      </c>
      <c r="N247" s="167">
        <f>IF(B247="","",IF(F247=0,0,IF(Simulador!$N$7='Tabla Parámetros'!$C$31,AportPat!L227,0)))</f>
        <v>0</v>
      </c>
      <c r="O247" s="167">
        <f>Simulador!O615</f>
        <v>0</v>
      </c>
      <c r="P247" s="167">
        <v>0</v>
      </c>
      <c r="Q247" s="167">
        <f t="shared" si="76"/>
        <v>10720.884210717664</v>
      </c>
      <c r="R247" s="167">
        <f t="shared" si="77"/>
        <v>154286.86266854132</v>
      </c>
      <c r="U247" s="6"/>
      <c r="V247" s="6"/>
      <c r="W247" s="6"/>
      <c r="X247" s="256">
        <f t="shared" si="73"/>
        <v>10720.884210717653</v>
      </c>
      <c r="Z247" s="201">
        <f t="shared" si="78"/>
        <v>8906.003806571056</v>
      </c>
      <c r="AA247" s="201">
        <f t="shared" si="79"/>
        <v>1515.8804041465994</v>
      </c>
      <c r="AB247" s="202">
        <f t="shared" si="80"/>
        <v>10421.884210717655</v>
      </c>
      <c r="AC247" s="201">
        <f t="shared" si="81"/>
        <v>8906.0038065710542</v>
      </c>
      <c r="AD247" s="201">
        <f t="shared" si="82"/>
        <v>1515.8804041465994</v>
      </c>
      <c r="AE247" s="201">
        <f t="shared" si="91"/>
        <v>10421.884210717653</v>
      </c>
      <c r="AF247" s="201">
        <f t="shared" si="83"/>
        <v>8906.0038065710651</v>
      </c>
      <c r="AG247" s="201">
        <f t="shared" si="84"/>
        <v>1515.8804041465994</v>
      </c>
      <c r="AH247" s="201">
        <f t="shared" si="90"/>
        <v>10421.884210717664</v>
      </c>
    </row>
    <row r="248" spans="2:34" x14ac:dyDescent="0.3">
      <c r="B248" s="181">
        <f t="shared" si="85"/>
        <v>225</v>
      </c>
      <c r="C248" s="180">
        <f t="shared" si="86"/>
        <v>30.4</v>
      </c>
      <c r="D248" s="165">
        <f>IF(B248="","",Simulador!$F$62)</f>
        <v>0.11</v>
      </c>
      <c r="E248" s="167"/>
      <c r="F248" s="167">
        <f t="shared" si="87"/>
        <v>154286.86266854132</v>
      </c>
      <c r="G248" s="166"/>
      <c r="H248" s="167">
        <f t="shared" si="74"/>
        <v>8988.7306863743252</v>
      </c>
      <c r="I248" s="167">
        <f t="shared" si="88"/>
        <v>1433.1535243433393</v>
      </c>
      <c r="J248" s="167">
        <f t="shared" si="72"/>
        <v>10421.884210717664</v>
      </c>
      <c r="K248" s="167">
        <f t="shared" si="75"/>
        <v>0</v>
      </c>
      <c r="L248" s="167">
        <f t="shared" si="89"/>
        <v>0</v>
      </c>
      <c r="M248" s="167">
        <f>IF(B248="","",IF(F248=0,0,IF(Simulador!$F$11='Tabla Parámetros'!$W$1,'Tabla Parámetros'!$W$28,IF(Simulador!$F$11='Tabla Parámetros'!$Y$1,'Tabla Parámetros'!$Y$12))))</f>
        <v>299</v>
      </c>
      <c r="N248" s="167">
        <f>IF(B248="","",IF(F248=0,0,IF(Simulador!$N$7='Tabla Parámetros'!$C$31,AportPat!L228,0)))</f>
        <v>0</v>
      </c>
      <c r="O248" s="167">
        <f>Simulador!O616</f>
        <v>0</v>
      </c>
      <c r="P248" s="167">
        <v>0</v>
      </c>
      <c r="Q248" s="167">
        <f t="shared" si="76"/>
        <v>10720.884210717664</v>
      </c>
      <c r="R248" s="167">
        <f t="shared" si="77"/>
        <v>145298.13198216699</v>
      </c>
      <c r="U248" s="6"/>
      <c r="V248" s="6"/>
      <c r="W248" s="6"/>
      <c r="X248" s="256">
        <f t="shared" si="73"/>
        <v>10720.884210717653</v>
      </c>
      <c r="Z248" s="201">
        <f t="shared" si="78"/>
        <v>8988.7306863743161</v>
      </c>
      <c r="AA248" s="201">
        <f t="shared" si="79"/>
        <v>1433.1535243433393</v>
      </c>
      <c r="AB248" s="202">
        <f t="shared" si="80"/>
        <v>10421.884210717655</v>
      </c>
      <c r="AC248" s="201">
        <f t="shared" si="81"/>
        <v>8988.7306863743142</v>
      </c>
      <c r="AD248" s="201">
        <f t="shared" si="82"/>
        <v>1433.1535243433393</v>
      </c>
      <c r="AE248" s="201">
        <f t="shared" si="91"/>
        <v>10421.884210717653</v>
      </c>
      <c r="AF248" s="201">
        <f t="shared" si="83"/>
        <v>8988.7306863743252</v>
      </c>
      <c r="AG248" s="201">
        <f t="shared" si="84"/>
        <v>1433.1535243433393</v>
      </c>
      <c r="AH248" s="201">
        <f t="shared" si="90"/>
        <v>10421.884210717664</v>
      </c>
    </row>
    <row r="249" spans="2:34" x14ac:dyDescent="0.3">
      <c r="B249" s="179">
        <f t="shared" si="85"/>
        <v>226</v>
      </c>
      <c r="C249" s="180">
        <f t="shared" si="86"/>
        <v>30.4</v>
      </c>
      <c r="D249" s="165">
        <f>IF(B249="","",Simulador!$F$62)</f>
        <v>0.11</v>
      </c>
      <c r="E249" s="167"/>
      <c r="F249" s="167">
        <f t="shared" si="87"/>
        <v>145298.13198216699</v>
      </c>
      <c r="G249" s="166"/>
      <c r="H249" s="167">
        <f t="shared" si="74"/>
        <v>9072.2260069722051</v>
      </c>
      <c r="I249" s="167">
        <f t="shared" si="88"/>
        <v>1349.6582037454621</v>
      </c>
      <c r="J249" s="167">
        <f t="shared" si="72"/>
        <v>10421.884210717668</v>
      </c>
      <c r="K249" s="167">
        <f t="shared" si="75"/>
        <v>0</v>
      </c>
      <c r="L249" s="167">
        <f t="shared" si="89"/>
        <v>0</v>
      </c>
      <c r="M249" s="167">
        <f>IF(B249="","",IF(F249=0,0,IF(Simulador!$F$11='Tabla Parámetros'!$W$1,'Tabla Parámetros'!$W$28,IF(Simulador!$F$11='Tabla Parámetros'!$Y$1,'Tabla Parámetros'!$Y$12))))</f>
        <v>299</v>
      </c>
      <c r="N249" s="167">
        <f>IF(B249="","",IF(F249=0,0,IF(Simulador!$N$7='Tabla Parámetros'!$C$31,AportPat!L229,0)))</f>
        <v>0</v>
      </c>
      <c r="O249" s="167">
        <f>Simulador!O617</f>
        <v>0</v>
      </c>
      <c r="P249" s="167">
        <v>0</v>
      </c>
      <c r="Q249" s="167">
        <f t="shared" si="76"/>
        <v>10720.884210717668</v>
      </c>
      <c r="R249" s="167">
        <f t="shared" si="77"/>
        <v>136225.90597519479</v>
      </c>
      <c r="X249" s="256">
        <f t="shared" si="73"/>
        <v>10720.884210717653</v>
      </c>
      <c r="Z249" s="201">
        <f t="shared" si="78"/>
        <v>9072.2260069721924</v>
      </c>
      <c r="AA249" s="201">
        <f t="shared" si="79"/>
        <v>1349.6582037454621</v>
      </c>
      <c r="AB249" s="202">
        <f t="shared" si="80"/>
        <v>10421.884210717655</v>
      </c>
      <c r="AC249" s="201">
        <f t="shared" si="81"/>
        <v>9072.2260069721906</v>
      </c>
      <c r="AD249" s="201">
        <f t="shared" si="82"/>
        <v>1349.6582037454621</v>
      </c>
      <c r="AE249" s="201">
        <f t="shared" si="91"/>
        <v>10421.884210717653</v>
      </c>
      <c r="AF249" s="201">
        <f t="shared" si="83"/>
        <v>9072.2260069722051</v>
      </c>
      <c r="AG249" s="201">
        <f t="shared" si="84"/>
        <v>1349.6582037454621</v>
      </c>
      <c r="AH249" s="201">
        <f t="shared" si="90"/>
        <v>10421.884210717668</v>
      </c>
    </row>
    <row r="250" spans="2:34" x14ac:dyDescent="0.3">
      <c r="B250" s="179">
        <f t="shared" si="85"/>
        <v>227</v>
      </c>
      <c r="C250" s="180">
        <f t="shared" si="86"/>
        <v>30.4</v>
      </c>
      <c r="D250" s="165">
        <f>IF(B250="","",Simulador!$F$62)</f>
        <v>0.11</v>
      </c>
      <c r="E250" s="167"/>
      <c r="F250" s="167">
        <f t="shared" si="87"/>
        <v>136225.90597519479</v>
      </c>
      <c r="G250" s="166"/>
      <c r="H250" s="167">
        <f t="shared" si="74"/>
        <v>9156.4969063258577</v>
      </c>
      <c r="I250" s="167">
        <f t="shared" si="88"/>
        <v>1265.3873043918093</v>
      </c>
      <c r="J250" s="167">
        <f t="shared" si="72"/>
        <v>10421.884210717668</v>
      </c>
      <c r="K250" s="167">
        <f t="shared" si="75"/>
        <v>0</v>
      </c>
      <c r="L250" s="167">
        <f t="shared" si="89"/>
        <v>0</v>
      </c>
      <c r="M250" s="167">
        <f>IF(B250="","",IF(F250=0,0,IF(Simulador!$F$11='Tabla Parámetros'!$W$1,'Tabla Parámetros'!$W$28,IF(Simulador!$F$11='Tabla Parámetros'!$Y$1,'Tabla Parámetros'!$Y$12))))</f>
        <v>299</v>
      </c>
      <c r="N250" s="167">
        <f>IF(B250="","",IF(F250=0,0,IF(Simulador!$N$7='Tabla Parámetros'!$C$31,AportPat!L230,0)))</f>
        <v>0</v>
      </c>
      <c r="O250" s="167">
        <f>Simulador!O618</f>
        <v>0</v>
      </c>
      <c r="P250" s="167">
        <v>0</v>
      </c>
      <c r="Q250" s="167">
        <f t="shared" si="76"/>
        <v>10720.884210717668</v>
      </c>
      <c r="R250" s="167">
        <f t="shared" si="77"/>
        <v>127069.40906886893</v>
      </c>
      <c r="X250" s="256">
        <f t="shared" si="73"/>
        <v>10720.884210717653</v>
      </c>
      <c r="Z250" s="201">
        <f t="shared" si="78"/>
        <v>9156.4969063258468</v>
      </c>
      <c r="AA250" s="201">
        <f t="shared" si="79"/>
        <v>1265.3873043918093</v>
      </c>
      <c r="AB250" s="202">
        <f t="shared" si="80"/>
        <v>10421.884210717657</v>
      </c>
      <c r="AC250" s="201">
        <f t="shared" si="81"/>
        <v>9156.4969063258432</v>
      </c>
      <c r="AD250" s="201">
        <f t="shared" si="82"/>
        <v>1265.3873043918093</v>
      </c>
      <c r="AE250" s="201">
        <f t="shared" si="91"/>
        <v>10421.884210717653</v>
      </c>
      <c r="AF250" s="201">
        <f t="shared" si="83"/>
        <v>9156.4969063258577</v>
      </c>
      <c r="AG250" s="201">
        <f t="shared" si="84"/>
        <v>1265.3873043918093</v>
      </c>
      <c r="AH250" s="201">
        <f t="shared" si="90"/>
        <v>10421.884210717668</v>
      </c>
    </row>
    <row r="251" spans="2:34" x14ac:dyDescent="0.3">
      <c r="B251" s="179">
        <f t="shared" si="85"/>
        <v>228</v>
      </c>
      <c r="C251" s="180">
        <f t="shared" si="86"/>
        <v>30.4</v>
      </c>
      <c r="D251" s="165">
        <f>IF(B251="","",Simulador!$F$62)</f>
        <v>0.11</v>
      </c>
      <c r="E251" s="167"/>
      <c r="F251" s="167">
        <f t="shared" si="87"/>
        <v>127069.40906886893</v>
      </c>
      <c r="G251" s="166"/>
      <c r="H251" s="167">
        <f t="shared" si="74"/>
        <v>9241.5505887001709</v>
      </c>
      <c r="I251" s="167">
        <f t="shared" si="88"/>
        <v>1180.3336220174936</v>
      </c>
      <c r="J251" s="167">
        <f t="shared" si="72"/>
        <v>10421.884210717664</v>
      </c>
      <c r="K251" s="167">
        <f t="shared" si="75"/>
        <v>0</v>
      </c>
      <c r="L251" s="167">
        <f t="shared" si="89"/>
        <v>0</v>
      </c>
      <c r="M251" s="167">
        <f>IF(B251="","",IF(F251=0,0,IF(Simulador!$F$11='Tabla Parámetros'!$W$1,'Tabla Parámetros'!$W$28,IF(Simulador!$F$11='Tabla Parámetros'!$Y$1,'Tabla Parámetros'!$Y$12))))</f>
        <v>299</v>
      </c>
      <c r="N251" s="167">
        <f>IF(B251="","",IF(F251=0,0,IF(Simulador!$N$7='Tabla Parámetros'!$C$31,AportPat!L231,0)))</f>
        <v>0</v>
      </c>
      <c r="O251" s="167">
        <f>Simulador!O619</f>
        <v>0</v>
      </c>
      <c r="P251" s="167">
        <v>0</v>
      </c>
      <c r="Q251" s="167">
        <f t="shared" si="76"/>
        <v>10720.884210717664</v>
      </c>
      <c r="R251" s="167">
        <f t="shared" si="77"/>
        <v>117827.85848016877</v>
      </c>
      <c r="X251" s="256">
        <f t="shared" si="73"/>
        <v>10720.884210717653</v>
      </c>
      <c r="Z251" s="201">
        <f t="shared" si="78"/>
        <v>9241.5505887001618</v>
      </c>
      <c r="AA251" s="201">
        <f t="shared" si="79"/>
        <v>1180.3336220174936</v>
      </c>
      <c r="AB251" s="202">
        <f t="shared" si="80"/>
        <v>10421.884210717655</v>
      </c>
      <c r="AC251" s="201">
        <f t="shared" si="81"/>
        <v>9241.55058870016</v>
      </c>
      <c r="AD251" s="201">
        <f t="shared" si="82"/>
        <v>1180.3336220174936</v>
      </c>
      <c r="AE251" s="201">
        <f t="shared" si="91"/>
        <v>10421.884210717653</v>
      </c>
      <c r="AF251" s="201">
        <f t="shared" si="83"/>
        <v>9241.5505887001709</v>
      </c>
      <c r="AG251" s="201">
        <f t="shared" si="84"/>
        <v>1180.3336220174936</v>
      </c>
      <c r="AH251" s="201">
        <f t="shared" si="90"/>
        <v>10421.884210717664</v>
      </c>
    </row>
    <row r="252" spans="2:34" x14ac:dyDescent="0.3">
      <c r="B252" s="181">
        <f t="shared" si="85"/>
        <v>229</v>
      </c>
      <c r="C252" s="180">
        <f t="shared" si="86"/>
        <v>30.4</v>
      </c>
      <c r="D252" s="165">
        <f>IF(B252="","",Simulador!$F$62)</f>
        <v>0.11</v>
      </c>
      <c r="E252" s="167"/>
      <c r="F252" s="167">
        <f t="shared" si="87"/>
        <v>117827.85848016877</v>
      </c>
      <c r="G252" s="166"/>
      <c r="H252" s="167">
        <f t="shared" si="74"/>
        <v>9327.3943252796562</v>
      </c>
      <c r="I252" s="167">
        <f t="shared" si="88"/>
        <v>1094.4898854380119</v>
      </c>
      <c r="J252" s="167">
        <f t="shared" si="72"/>
        <v>10421.884210717668</v>
      </c>
      <c r="K252" s="167">
        <f t="shared" si="75"/>
        <v>0</v>
      </c>
      <c r="L252" s="167">
        <f t="shared" si="89"/>
        <v>0</v>
      </c>
      <c r="M252" s="167">
        <f>IF(B252="","",IF(F252=0,0,IF(Simulador!$F$11='Tabla Parámetros'!$W$1,'Tabla Parámetros'!$W$28,IF(Simulador!$F$11='Tabla Parámetros'!$Y$1,'Tabla Parámetros'!$Y$12))))</f>
        <v>299</v>
      </c>
      <c r="N252" s="167">
        <f>IF(B252="","",IF(F252=0,0,IF(Simulador!$N$7='Tabla Parámetros'!$C$31,AportPat!L232,0)))</f>
        <v>0</v>
      </c>
      <c r="O252" s="167">
        <f>Simulador!O620</f>
        <v>0</v>
      </c>
      <c r="P252" s="167">
        <v>0</v>
      </c>
      <c r="Q252" s="167">
        <f t="shared" si="76"/>
        <v>10720.884210717668</v>
      </c>
      <c r="R252" s="167">
        <f t="shared" si="77"/>
        <v>108500.46415488911</v>
      </c>
      <c r="X252" s="256">
        <f t="shared" si="73"/>
        <v>10720.884210717653</v>
      </c>
      <c r="Z252" s="201">
        <f t="shared" si="78"/>
        <v>9327.3943252796435</v>
      </c>
      <c r="AA252" s="201">
        <f t="shared" si="79"/>
        <v>1094.4898854380119</v>
      </c>
      <c r="AB252" s="202">
        <f t="shared" si="80"/>
        <v>10421.884210717655</v>
      </c>
      <c r="AC252" s="201">
        <f t="shared" si="81"/>
        <v>9327.3943252796416</v>
      </c>
      <c r="AD252" s="201">
        <f t="shared" si="82"/>
        <v>1094.4898854380119</v>
      </c>
      <c r="AE252" s="201">
        <f t="shared" si="91"/>
        <v>10421.884210717653</v>
      </c>
      <c r="AF252" s="201">
        <f t="shared" si="83"/>
        <v>9327.3943252796562</v>
      </c>
      <c r="AG252" s="201">
        <f t="shared" si="84"/>
        <v>1094.4898854380119</v>
      </c>
      <c r="AH252" s="201">
        <f t="shared" si="90"/>
        <v>10421.884210717668</v>
      </c>
    </row>
    <row r="253" spans="2:34" x14ac:dyDescent="0.3">
      <c r="B253" s="179">
        <f t="shared" si="85"/>
        <v>230</v>
      </c>
      <c r="C253" s="180">
        <f t="shared" si="86"/>
        <v>30.4</v>
      </c>
      <c r="D253" s="165">
        <f>IF(B253="","",Simulador!$F$62)</f>
        <v>0.11</v>
      </c>
      <c r="E253" s="167"/>
      <c r="F253" s="167">
        <f t="shared" si="87"/>
        <v>108500.46415488911</v>
      </c>
      <c r="G253" s="166"/>
      <c r="H253" s="167">
        <f t="shared" si="74"/>
        <v>9414.0354547900315</v>
      </c>
      <c r="I253" s="167">
        <f t="shared" si="88"/>
        <v>1007.8487559276365</v>
      </c>
      <c r="J253" s="167">
        <f t="shared" si="72"/>
        <v>10421.884210717668</v>
      </c>
      <c r="K253" s="167">
        <f t="shared" si="75"/>
        <v>0</v>
      </c>
      <c r="L253" s="167">
        <f t="shared" si="89"/>
        <v>0</v>
      </c>
      <c r="M253" s="167">
        <f>IF(B253="","",IF(F253=0,0,IF(Simulador!$F$11='Tabla Parámetros'!$W$1,'Tabla Parámetros'!$W$28,IF(Simulador!$F$11='Tabla Parámetros'!$Y$1,'Tabla Parámetros'!$Y$12))))</f>
        <v>299</v>
      </c>
      <c r="N253" s="167">
        <f>IF(B253="","",IF(F253=0,0,IF(Simulador!$N$7='Tabla Parámetros'!$C$31,AportPat!L233,0)))</f>
        <v>0</v>
      </c>
      <c r="O253" s="167">
        <f>Simulador!O621</f>
        <v>0</v>
      </c>
      <c r="P253" s="167">
        <v>0</v>
      </c>
      <c r="Q253" s="167">
        <f t="shared" si="76"/>
        <v>10720.884210717668</v>
      </c>
      <c r="R253" s="167">
        <f t="shared" si="77"/>
        <v>99086.428700099073</v>
      </c>
      <c r="X253" s="256">
        <f t="shared" si="73"/>
        <v>10720.884210717653</v>
      </c>
      <c r="Z253" s="201">
        <f t="shared" si="78"/>
        <v>9414.0354547900188</v>
      </c>
      <c r="AA253" s="201">
        <f t="shared" si="79"/>
        <v>1007.8487559276365</v>
      </c>
      <c r="AB253" s="202">
        <f t="shared" si="80"/>
        <v>10421.884210717655</v>
      </c>
      <c r="AC253" s="201">
        <f t="shared" si="81"/>
        <v>9414.035454790017</v>
      </c>
      <c r="AD253" s="201">
        <f t="shared" si="82"/>
        <v>1007.8487559276365</v>
      </c>
      <c r="AE253" s="201">
        <f t="shared" si="91"/>
        <v>10421.884210717653</v>
      </c>
      <c r="AF253" s="201">
        <f t="shared" si="83"/>
        <v>9414.0354547900315</v>
      </c>
      <c r="AG253" s="201">
        <f t="shared" si="84"/>
        <v>1007.8487559276365</v>
      </c>
      <c r="AH253" s="201">
        <f t="shared" si="90"/>
        <v>10421.884210717668</v>
      </c>
    </row>
    <row r="254" spans="2:34" x14ac:dyDescent="0.3">
      <c r="B254" s="179">
        <f t="shared" si="85"/>
        <v>231</v>
      </c>
      <c r="C254" s="180">
        <f t="shared" si="86"/>
        <v>30.4</v>
      </c>
      <c r="D254" s="165">
        <f>IF(B254="","",Simulador!$F$62)</f>
        <v>0.11</v>
      </c>
      <c r="E254" s="167"/>
      <c r="F254" s="167">
        <f t="shared" si="87"/>
        <v>99086.428700099073</v>
      </c>
      <c r="G254" s="166"/>
      <c r="H254" s="167">
        <f t="shared" si="74"/>
        <v>9501.4813841256364</v>
      </c>
      <c r="I254" s="167">
        <f t="shared" si="88"/>
        <v>920.40282659203137</v>
      </c>
      <c r="J254" s="167">
        <f t="shared" si="72"/>
        <v>10421.884210717668</v>
      </c>
      <c r="K254" s="167">
        <f t="shared" si="75"/>
        <v>0</v>
      </c>
      <c r="L254" s="167">
        <f t="shared" si="89"/>
        <v>0</v>
      </c>
      <c r="M254" s="167">
        <f>IF(B254="","",IF(F254=0,0,IF(Simulador!$F$11='Tabla Parámetros'!$W$1,'Tabla Parámetros'!$W$28,IF(Simulador!$F$11='Tabla Parámetros'!$Y$1,'Tabla Parámetros'!$Y$12))))</f>
        <v>299</v>
      </c>
      <c r="N254" s="167">
        <f>IF(B254="","",IF(F254=0,0,IF(Simulador!$N$7='Tabla Parámetros'!$C$31,AportPat!L234,0)))</f>
        <v>0</v>
      </c>
      <c r="O254" s="167">
        <f>Simulador!O622</f>
        <v>0</v>
      </c>
      <c r="P254" s="167">
        <v>0</v>
      </c>
      <c r="Q254" s="167">
        <f t="shared" si="76"/>
        <v>10720.884210717668</v>
      </c>
      <c r="R254" s="167">
        <f t="shared" si="77"/>
        <v>89584.947315973433</v>
      </c>
      <c r="X254" s="256">
        <f t="shared" si="73"/>
        <v>10720.884210717653</v>
      </c>
      <c r="Z254" s="201">
        <f t="shared" si="78"/>
        <v>9501.4813841256237</v>
      </c>
      <c r="AA254" s="201">
        <f t="shared" si="79"/>
        <v>920.40282659203137</v>
      </c>
      <c r="AB254" s="202">
        <f t="shared" si="80"/>
        <v>10421.884210717655</v>
      </c>
      <c r="AC254" s="201">
        <f t="shared" si="81"/>
        <v>9501.4813841256218</v>
      </c>
      <c r="AD254" s="201">
        <f t="shared" si="82"/>
        <v>920.40282659203137</v>
      </c>
      <c r="AE254" s="201">
        <f t="shared" si="91"/>
        <v>10421.884210717653</v>
      </c>
      <c r="AF254" s="201">
        <f t="shared" si="83"/>
        <v>9501.4813841256364</v>
      </c>
      <c r="AG254" s="201">
        <f t="shared" si="84"/>
        <v>920.40282659203137</v>
      </c>
      <c r="AH254" s="201">
        <f t="shared" si="90"/>
        <v>10421.884210717668</v>
      </c>
    </row>
    <row r="255" spans="2:34" x14ac:dyDescent="0.3">
      <c r="B255" s="179">
        <f t="shared" si="85"/>
        <v>232</v>
      </c>
      <c r="C255" s="180">
        <f t="shared" si="86"/>
        <v>30.4</v>
      </c>
      <c r="D255" s="165">
        <f>IF(B255="","",Simulador!$F$62)</f>
        <v>0.11</v>
      </c>
      <c r="E255" s="167"/>
      <c r="F255" s="167">
        <f t="shared" si="87"/>
        <v>89584.947315973433</v>
      </c>
      <c r="G255" s="166"/>
      <c r="H255" s="167">
        <f t="shared" si="74"/>
        <v>9589.7395889826221</v>
      </c>
      <c r="I255" s="167">
        <f t="shared" si="88"/>
        <v>832.14462173504205</v>
      </c>
      <c r="J255" s="167">
        <f t="shared" si="72"/>
        <v>10421.884210717664</v>
      </c>
      <c r="K255" s="167">
        <f t="shared" si="75"/>
        <v>0</v>
      </c>
      <c r="L255" s="167">
        <f t="shared" si="89"/>
        <v>0</v>
      </c>
      <c r="M255" s="167">
        <f>IF(B255="","",IF(F255=0,0,IF(Simulador!$F$11='Tabla Parámetros'!$W$1,'Tabla Parámetros'!$W$28,IF(Simulador!$F$11='Tabla Parámetros'!$Y$1,'Tabla Parámetros'!$Y$12))))</f>
        <v>299</v>
      </c>
      <c r="N255" s="167">
        <f>IF(B255="","",IF(F255=0,0,IF(Simulador!$N$7='Tabla Parámetros'!$C$31,AportPat!L235,0)))</f>
        <v>0</v>
      </c>
      <c r="O255" s="167">
        <f>Simulador!O623</f>
        <v>0</v>
      </c>
      <c r="P255" s="167">
        <v>0</v>
      </c>
      <c r="Q255" s="167">
        <f t="shared" si="76"/>
        <v>10720.884210717664</v>
      </c>
      <c r="R255" s="167">
        <f t="shared" si="77"/>
        <v>79995.207726990804</v>
      </c>
      <c r="X255" s="256">
        <f t="shared" si="73"/>
        <v>10720.884210717653</v>
      </c>
      <c r="Z255" s="201">
        <f t="shared" si="78"/>
        <v>9589.739588982613</v>
      </c>
      <c r="AA255" s="201">
        <f t="shared" si="79"/>
        <v>832.14462173504205</v>
      </c>
      <c r="AB255" s="202">
        <f t="shared" si="80"/>
        <v>10421.884210717655</v>
      </c>
      <c r="AC255" s="201">
        <f t="shared" si="81"/>
        <v>9589.7395889826112</v>
      </c>
      <c r="AD255" s="201">
        <f t="shared" si="82"/>
        <v>832.14462173504205</v>
      </c>
      <c r="AE255" s="201">
        <f t="shared" si="91"/>
        <v>10421.884210717653</v>
      </c>
      <c r="AF255" s="201">
        <f t="shared" si="83"/>
        <v>9589.7395889826221</v>
      </c>
      <c r="AG255" s="201">
        <f t="shared" si="84"/>
        <v>832.14462173504205</v>
      </c>
      <c r="AH255" s="201">
        <f t="shared" si="90"/>
        <v>10421.884210717664</v>
      </c>
    </row>
    <row r="256" spans="2:34" x14ac:dyDescent="0.3">
      <c r="B256" s="181">
        <f t="shared" si="85"/>
        <v>233</v>
      </c>
      <c r="C256" s="180">
        <f t="shared" si="86"/>
        <v>30.4</v>
      </c>
      <c r="D256" s="165">
        <f>IF(B256="","",Simulador!$F$62)</f>
        <v>0.11</v>
      </c>
      <c r="E256" s="167"/>
      <c r="F256" s="167">
        <f t="shared" si="87"/>
        <v>79995.207726990804</v>
      </c>
      <c r="G256" s="166"/>
      <c r="H256" s="167">
        <f t="shared" si="74"/>
        <v>9678.8176144980589</v>
      </c>
      <c r="I256" s="167">
        <f t="shared" si="88"/>
        <v>743.06659621960341</v>
      </c>
      <c r="J256" s="167">
        <f t="shared" si="72"/>
        <v>10421.884210717662</v>
      </c>
      <c r="K256" s="167">
        <f t="shared" si="75"/>
        <v>0</v>
      </c>
      <c r="L256" s="167">
        <f t="shared" si="89"/>
        <v>0</v>
      </c>
      <c r="M256" s="167">
        <f>IF(B256="","",IF(F256=0,0,IF(Simulador!$F$11='Tabla Parámetros'!$W$1,'Tabla Parámetros'!$W$28,IF(Simulador!$F$11='Tabla Parámetros'!$Y$1,'Tabla Parámetros'!$Y$12))))</f>
        <v>299</v>
      </c>
      <c r="N256" s="167">
        <f>IF(B256="","",IF(F256=0,0,IF(Simulador!$N$7='Tabla Parámetros'!$C$31,AportPat!L236,0)))</f>
        <v>0</v>
      </c>
      <c r="O256" s="167">
        <f>Simulador!O624</f>
        <v>0</v>
      </c>
      <c r="P256" s="167">
        <v>0</v>
      </c>
      <c r="Q256" s="167">
        <f t="shared" si="76"/>
        <v>10720.884210717662</v>
      </c>
      <c r="R256" s="167">
        <f t="shared" si="77"/>
        <v>70316.390112492751</v>
      </c>
      <c r="X256" s="256">
        <f t="shared" si="73"/>
        <v>10720.884210717653</v>
      </c>
      <c r="Z256" s="201">
        <f t="shared" si="78"/>
        <v>9678.8176144980516</v>
      </c>
      <c r="AA256" s="201">
        <f t="shared" si="79"/>
        <v>743.06659621960341</v>
      </c>
      <c r="AB256" s="202">
        <f t="shared" si="80"/>
        <v>10421.884210717655</v>
      </c>
      <c r="AC256" s="201">
        <f t="shared" si="81"/>
        <v>9678.8176144980498</v>
      </c>
      <c r="AD256" s="201">
        <f t="shared" si="82"/>
        <v>743.06659621960341</v>
      </c>
      <c r="AE256" s="201">
        <f t="shared" si="91"/>
        <v>10421.884210717653</v>
      </c>
      <c r="AF256" s="201">
        <f t="shared" si="83"/>
        <v>9678.8176144980589</v>
      </c>
      <c r="AG256" s="201">
        <f t="shared" si="84"/>
        <v>743.06659621960341</v>
      </c>
      <c r="AH256" s="201">
        <f t="shared" si="90"/>
        <v>10421.884210717662</v>
      </c>
    </row>
    <row r="257" spans="2:34" x14ac:dyDescent="0.3">
      <c r="B257" s="179">
        <f t="shared" si="85"/>
        <v>234</v>
      </c>
      <c r="C257" s="180">
        <f t="shared" si="86"/>
        <v>30.4</v>
      </c>
      <c r="D257" s="165">
        <f>IF(B257="","",Simulador!$F$62)</f>
        <v>0.11</v>
      </c>
      <c r="E257" s="167"/>
      <c r="F257" s="167">
        <f t="shared" si="87"/>
        <v>70316.390112492751</v>
      </c>
      <c r="G257" s="166"/>
      <c r="H257" s="167">
        <f t="shared" si="74"/>
        <v>9768.7230758949536</v>
      </c>
      <c r="I257" s="167">
        <f t="shared" si="88"/>
        <v>653.16113482271044</v>
      </c>
      <c r="J257" s="167">
        <f t="shared" si="72"/>
        <v>10421.884210717664</v>
      </c>
      <c r="K257" s="167">
        <f t="shared" si="75"/>
        <v>0</v>
      </c>
      <c r="L257" s="167">
        <f t="shared" si="89"/>
        <v>0</v>
      </c>
      <c r="M257" s="167">
        <f>IF(B257="","",IF(F257=0,0,IF(Simulador!$F$11='Tabla Parámetros'!$W$1,'Tabla Parámetros'!$W$28,IF(Simulador!$F$11='Tabla Parámetros'!$Y$1,'Tabla Parámetros'!$Y$12))))</f>
        <v>299</v>
      </c>
      <c r="N257" s="167">
        <f>IF(B257="","",IF(F257=0,0,IF(Simulador!$N$7='Tabla Parámetros'!$C$31,AportPat!L237,0)))</f>
        <v>0</v>
      </c>
      <c r="O257" s="167">
        <f>Simulador!O625</f>
        <v>0</v>
      </c>
      <c r="P257" s="167">
        <v>0</v>
      </c>
      <c r="Q257" s="167">
        <f t="shared" si="76"/>
        <v>10720.884210717664</v>
      </c>
      <c r="R257" s="167">
        <f t="shared" si="77"/>
        <v>60547.667036597799</v>
      </c>
      <c r="X257" s="256">
        <f t="shared" si="73"/>
        <v>10720.884210717653</v>
      </c>
      <c r="Z257" s="201">
        <f t="shared" si="78"/>
        <v>9768.7230758949445</v>
      </c>
      <c r="AA257" s="201">
        <f t="shared" si="79"/>
        <v>653.16113482271044</v>
      </c>
      <c r="AB257" s="202">
        <f t="shared" si="80"/>
        <v>10421.884210717655</v>
      </c>
      <c r="AC257" s="201">
        <f t="shared" si="81"/>
        <v>9768.7230758949427</v>
      </c>
      <c r="AD257" s="201">
        <f t="shared" si="82"/>
        <v>653.16113482271044</v>
      </c>
      <c r="AE257" s="201">
        <f t="shared" si="91"/>
        <v>10421.884210717653</v>
      </c>
      <c r="AF257" s="201">
        <f t="shared" si="83"/>
        <v>9768.7230758949536</v>
      </c>
      <c r="AG257" s="201">
        <f t="shared" si="84"/>
        <v>653.16113482271044</v>
      </c>
      <c r="AH257" s="201">
        <f t="shared" si="90"/>
        <v>10421.884210717664</v>
      </c>
    </row>
    <row r="258" spans="2:34" x14ac:dyDescent="0.3">
      <c r="B258" s="179">
        <f t="shared" si="85"/>
        <v>235</v>
      </c>
      <c r="C258" s="180">
        <f t="shared" si="86"/>
        <v>30.4</v>
      </c>
      <c r="D258" s="165">
        <f>IF(B258="","",Simulador!$F$62)</f>
        <v>0.11</v>
      </c>
      <c r="E258" s="167"/>
      <c r="F258" s="167">
        <f t="shared" si="87"/>
        <v>60547.667036597799</v>
      </c>
      <c r="G258" s="166"/>
      <c r="H258" s="167">
        <f t="shared" si="74"/>
        <v>9859.463659133271</v>
      </c>
      <c r="I258" s="167">
        <f t="shared" si="88"/>
        <v>562.42055158439734</v>
      </c>
      <c r="J258" s="167">
        <f t="shared" si="72"/>
        <v>10421.884210717668</v>
      </c>
      <c r="K258" s="167">
        <f t="shared" si="75"/>
        <v>0</v>
      </c>
      <c r="L258" s="167">
        <f t="shared" si="89"/>
        <v>0</v>
      </c>
      <c r="M258" s="167">
        <f>IF(B258="","",IF(F258=0,0,IF(Simulador!$F$11='Tabla Parámetros'!$W$1,'Tabla Parámetros'!$W$28,IF(Simulador!$F$11='Tabla Parámetros'!$Y$1,'Tabla Parámetros'!$Y$12))))</f>
        <v>299</v>
      </c>
      <c r="N258" s="167">
        <f>IF(B258="","",IF(F258=0,0,IF(Simulador!$N$7='Tabla Parámetros'!$C$31,AportPat!L238,0)))</f>
        <v>0</v>
      </c>
      <c r="O258" s="167">
        <f>Simulador!O626</f>
        <v>0</v>
      </c>
      <c r="P258" s="167">
        <v>0</v>
      </c>
      <c r="Q258" s="167">
        <f t="shared" si="76"/>
        <v>10720.884210717668</v>
      </c>
      <c r="R258" s="167">
        <f t="shared" si="77"/>
        <v>50688.203377464524</v>
      </c>
      <c r="X258" s="256">
        <f t="shared" si="73"/>
        <v>10720.884210717653</v>
      </c>
      <c r="Z258" s="201">
        <f t="shared" si="78"/>
        <v>9859.4636591332564</v>
      </c>
      <c r="AA258" s="201">
        <f t="shared" si="79"/>
        <v>562.42055158439734</v>
      </c>
      <c r="AB258" s="202">
        <f t="shared" si="80"/>
        <v>10421.884210717653</v>
      </c>
      <c r="AC258" s="201">
        <f t="shared" si="81"/>
        <v>9859.4636591332564</v>
      </c>
      <c r="AD258" s="201">
        <f t="shared" si="82"/>
        <v>562.42055158439734</v>
      </c>
      <c r="AE258" s="201">
        <f t="shared" si="91"/>
        <v>10421.884210717653</v>
      </c>
      <c r="AF258" s="201">
        <f t="shared" si="83"/>
        <v>9859.463659133271</v>
      </c>
      <c r="AG258" s="201">
        <f t="shared" si="84"/>
        <v>562.42055158439734</v>
      </c>
      <c r="AH258" s="201">
        <f t="shared" si="90"/>
        <v>10421.884210717668</v>
      </c>
    </row>
    <row r="259" spans="2:34" x14ac:dyDescent="0.3">
      <c r="B259" s="179">
        <f t="shared" si="85"/>
        <v>236</v>
      </c>
      <c r="C259" s="180">
        <f t="shared" si="86"/>
        <v>30.4</v>
      </c>
      <c r="D259" s="165">
        <f>IF(B259="","",Simulador!$F$62)</f>
        <v>0.11</v>
      </c>
      <c r="E259" s="167"/>
      <c r="F259" s="167">
        <f t="shared" si="87"/>
        <v>50688.203377464524</v>
      </c>
      <c r="G259" s="166"/>
      <c r="H259" s="167">
        <f t="shared" si="74"/>
        <v>9951.0471215669968</v>
      </c>
      <c r="I259" s="167">
        <f t="shared" si="88"/>
        <v>470.83708915067041</v>
      </c>
      <c r="J259" s="167">
        <f t="shared" si="72"/>
        <v>10421.884210717668</v>
      </c>
      <c r="K259" s="167">
        <f t="shared" si="75"/>
        <v>0</v>
      </c>
      <c r="L259" s="167">
        <f t="shared" si="89"/>
        <v>0</v>
      </c>
      <c r="M259" s="167">
        <f>IF(B259="","",IF(F259=0,0,IF(Simulador!$F$11='Tabla Parámetros'!$W$1,'Tabla Parámetros'!$W$28,IF(Simulador!$F$11='Tabla Parámetros'!$Y$1,'Tabla Parámetros'!$Y$12))))</f>
        <v>299</v>
      </c>
      <c r="N259" s="167">
        <f>IF(B259="","",IF(F259=0,0,IF(Simulador!$N$7='Tabla Parámetros'!$C$31,AportPat!L239,0)))</f>
        <v>0</v>
      </c>
      <c r="O259" s="167">
        <f>Simulador!O627</f>
        <v>0</v>
      </c>
      <c r="P259" s="167">
        <v>0</v>
      </c>
      <c r="Q259" s="167">
        <f t="shared" si="76"/>
        <v>10720.884210717668</v>
      </c>
      <c r="R259" s="167">
        <f t="shared" si="77"/>
        <v>40737.156255897527</v>
      </c>
      <c r="X259" s="256">
        <f t="shared" si="73"/>
        <v>10720.884210717653</v>
      </c>
      <c r="Z259" s="201">
        <f t="shared" si="78"/>
        <v>9951.0471215669841</v>
      </c>
      <c r="AA259" s="201">
        <f t="shared" si="79"/>
        <v>470.83708915067041</v>
      </c>
      <c r="AB259" s="202">
        <f t="shared" si="80"/>
        <v>10421.884210717655</v>
      </c>
      <c r="AC259" s="201">
        <f t="shared" si="81"/>
        <v>9951.0471215669822</v>
      </c>
      <c r="AD259" s="201">
        <f t="shared" si="82"/>
        <v>470.83708915067041</v>
      </c>
      <c r="AE259" s="201">
        <f t="shared" si="91"/>
        <v>10421.884210717653</v>
      </c>
      <c r="AF259" s="201">
        <f t="shared" si="83"/>
        <v>9951.0471215669968</v>
      </c>
      <c r="AG259" s="201">
        <f t="shared" si="84"/>
        <v>470.83708915067041</v>
      </c>
      <c r="AH259" s="201">
        <f t="shared" si="90"/>
        <v>10421.884210717668</v>
      </c>
    </row>
    <row r="260" spans="2:34" x14ac:dyDescent="0.3">
      <c r="B260" s="181">
        <f t="shared" si="85"/>
        <v>237</v>
      </c>
      <c r="C260" s="180">
        <f t="shared" si="86"/>
        <v>30.4</v>
      </c>
      <c r="D260" s="165">
        <f>IF(B260="","",Simulador!$F$62)</f>
        <v>0.11</v>
      </c>
      <c r="E260" s="167"/>
      <c r="F260" s="167">
        <f t="shared" si="87"/>
        <v>40737.156255897527</v>
      </c>
      <c r="G260" s="166"/>
      <c r="H260" s="167">
        <f t="shared" si="74"/>
        <v>10043.481292607325</v>
      </c>
      <c r="I260" s="167">
        <f t="shared" si="88"/>
        <v>378.402918110337</v>
      </c>
      <c r="J260" s="167">
        <f t="shared" si="72"/>
        <v>10421.884210717662</v>
      </c>
      <c r="K260" s="167">
        <f t="shared" si="75"/>
        <v>0</v>
      </c>
      <c r="L260" s="167">
        <f t="shared" si="89"/>
        <v>0</v>
      </c>
      <c r="M260" s="167">
        <f>IF(B260="","",IF(F260=0,0,IF(Simulador!$F$11='Tabla Parámetros'!$W$1,'Tabla Parámetros'!$W$28,IF(Simulador!$F$11='Tabla Parámetros'!$Y$1,'Tabla Parámetros'!$Y$12))))</f>
        <v>299</v>
      </c>
      <c r="N260" s="167">
        <f>IF(B260="","",IF(F260=0,0,IF(Simulador!$N$7='Tabla Parámetros'!$C$31,AportPat!L240,0)))</f>
        <v>0</v>
      </c>
      <c r="O260" s="167">
        <f>Simulador!O628</f>
        <v>0</v>
      </c>
      <c r="P260" s="167">
        <v>0</v>
      </c>
      <c r="Q260" s="167">
        <f t="shared" si="76"/>
        <v>10720.884210717662</v>
      </c>
      <c r="R260" s="167">
        <f t="shared" si="77"/>
        <v>30693.674963290203</v>
      </c>
      <c r="X260" s="256">
        <f t="shared" si="73"/>
        <v>10720.884210717653</v>
      </c>
      <c r="Z260" s="201">
        <f t="shared" si="78"/>
        <v>10043.481292607317</v>
      </c>
      <c r="AA260" s="201">
        <f t="shared" si="79"/>
        <v>378.402918110337</v>
      </c>
      <c r="AB260" s="202">
        <f t="shared" si="80"/>
        <v>10421.884210717655</v>
      </c>
      <c r="AC260" s="201">
        <f t="shared" si="81"/>
        <v>10043.481292607315</v>
      </c>
      <c r="AD260" s="201">
        <f t="shared" si="82"/>
        <v>378.402918110337</v>
      </c>
      <c r="AE260" s="201">
        <f t="shared" si="91"/>
        <v>10421.884210717653</v>
      </c>
      <c r="AF260" s="201">
        <f t="shared" si="83"/>
        <v>10043.481292607325</v>
      </c>
      <c r="AG260" s="201">
        <f t="shared" si="84"/>
        <v>378.402918110337</v>
      </c>
      <c r="AH260" s="201">
        <f t="shared" si="90"/>
        <v>10421.884210717662</v>
      </c>
    </row>
    <row r="261" spans="2:34" x14ac:dyDescent="0.3">
      <c r="B261" s="179">
        <f t="shared" si="85"/>
        <v>238</v>
      </c>
      <c r="C261" s="180">
        <f t="shared" si="86"/>
        <v>30.4</v>
      </c>
      <c r="D261" s="165">
        <f>IF(B261="","",Simulador!$F$62)</f>
        <v>0.11</v>
      </c>
      <c r="E261" s="167"/>
      <c r="F261" s="167">
        <f t="shared" si="87"/>
        <v>30693.674963290203</v>
      </c>
      <c r="G261" s="166"/>
      <c r="H261" s="167">
        <f t="shared" si="74"/>
        <v>10136.774074391991</v>
      </c>
      <c r="I261" s="167">
        <f t="shared" si="88"/>
        <v>285.11013632567341</v>
      </c>
      <c r="J261" s="167">
        <f t="shared" si="72"/>
        <v>10421.884210717664</v>
      </c>
      <c r="K261" s="167">
        <f t="shared" si="75"/>
        <v>0</v>
      </c>
      <c r="L261" s="167">
        <f t="shared" si="89"/>
        <v>0</v>
      </c>
      <c r="M261" s="167">
        <f>IF(B261="","",IF(F261=0,0,IF(Simulador!$F$11='Tabla Parámetros'!$W$1,'Tabla Parámetros'!$W$28,IF(Simulador!$F$11='Tabla Parámetros'!$Y$1,'Tabla Parámetros'!$Y$12))))</f>
        <v>299</v>
      </c>
      <c r="N261" s="167">
        <f>IF(B261="","",IF(F261=0,0,IF(Simulador!$N$7='Tabla Parámetros'!$C$31,AportPat!L241,0)))</f>
        <v>0</v>
      </c>
      <c r="O261" s="167">
        <f>Simulador!O629</f>
        <v>0</v>
      </c>
      <c r="P261" s="167">
        <v>0</v>
      </c>
      <c r="Q261" s="167">
        <f t="shared" si="76"/>
        <v>10720.884210717664</v>
      </c>
      <c r="R261" s="167">
        <f t="shared" si="77"/>
        <v>20556.900888898213</v>
      </c>
      <c r="X261" s="256">
        <f t="shared" si="73"/>
        <v>10720.884210717653</v>
      </c>
      <c r="Z261" s="201">
        <f t="shared" si="78"/>
        <v>10136.774074391982</v>
      </c>
      <c r="AA261" s="201">
        <f t="shared" si="79"/>
        <v>285.11013632567341</v>
      </c>
      <c r="AB261" s="202">
        <f t="shared" si="80"/>
        <v>10421.884210717655</v>
      </c>
      <c r="AC261" s="201">
        <f t="shared" si="81"/>
        <v>10136.77407439198</v>
      </c>
      <c r="AD261" s="201">
        <f t="shared" si="82"/>
        <v>285.11013632567341</v>
      </c>
      <c r="AE261" s="201">
        <f t="shared" si="91"/>
        <v>10421.884210717653</v>
      </c>
      <c r="AF261" s="201">
        <f t="shared" si="83"/>
        <v>10136.774074391991</v>
      </c>
      <c r="AG261" s="201">
        <f t="shared" si="84"/>
        <v>285.11013632567341</v>
      </c>
      <c r="AH261" s="201">
        <f t="shared" si="90"/>
        <v>10421.884210717664</v>
      </c>
    </row>
    <row r="262" spans="2:34" x14ac:dyDescent="0.3">
      <c r="B262" s="179">
        <f t="shared" si="85"/>
        <v>239</v>
      </c>
      <c r="C262" s="180">
        <f t="shared" si="86"/>
        <v>30.4</v>
      </c>
      <c r="D262" s="165">
        <f>IF(B262="","",Simulador!$F$62)</f>
        <v>0.11</v>
      </c>
      <c r="E262" s="167"/>
      <c r="F262" s="167">
        <f t="shared" si="87"/>
        <v>20556.900888898213</v>
      </c>
      <c r="G262" s="166"/>
      <c r="H262" s="167">
        <f t="shared" si="74"/>
        <v>10230.933442460788</v>
      </c>
      <c r="I262" s="167">
        <f t="shared" si="88"/>
        <v>190.95076825687673</v>
      </c>
      <c r="J262" s="167">
        <f t="shared" si="72"/>
        <v>10421.884210717664</v>
      </c>
      <c r="K262" s="167">
        <f t="shared" si="75"/>
        <v>0</v>
      </c>
      <c r="L262" s="167">
        <f t="shared" si="89"/>
        <v>0</v>
      </c>
      <c r="M262" s="167">
        <f>IF(B262="","",IF(F262=0,0,IF(Simulador!$F$11='Tabla Parámetros'!$W$1,'Tabla Parámetros'!$W$28,IF(Simulador!$F$11='Tabla Parámetros'!$Y$1,'Tabla Parámetros'!$Y$12))))</f>
        <v>299</v>
      </c>
      <c r="N262" s="167">
        <f>IF(B262="","",IF(F262=0,0,IF(Simulador!$N$7='Tabla Parámetros'!$C$31,AportPat!L242,0)))</f>
        <v>0</v>
      </c>
      <c r="O262" s="167">
        <f>Simulador!O630</f>
        <v>0</v>
      </c>
      <c r="P262" s="167">
        <v>0</v>
      </c>
      <c r="Q262" s="167">
        <f t="shared" si="76"/>
        <v>10720.884210717664</v>
      </c>
      <c r="R262" s="167">
        <f t="shared" si="77"/>
        <v>10325.967446437426</v>
      </c>
      <c r="X262" s="29"/>
      <c r="Z262" s="201">
        <f t="shared" si="78"/>
        <v>10230.933442460777</v>
      </c>
      <c r="AA262" s="201">
        <f t="shared" si="79"/>
        <v>190.95076825687673</v>
      </c>
      <c r="AB262" s="202">
        <f t="shared" si="80"/>
        <v>10421.884210717653</v>
      </c>
      <c r="AC262" s="201">
        <f t="shared" si="81"/>
        <v>10230.933442460777</v>
      </c>
      <c r="AD262" s="201">
        <f t="shared" si="82"/>
        <v>190.95076825687673</v>
      </c>
      <c r="AE262" s="201">
        <f t="shared" si="91"/>
        <v>10421.884210717653</v>
      </c>
      <c r="AF262" s="201">
        <f t="shared" si="83"/>
        <v>10230.933442460788</v>
      </c>
      <c r="AG262" s="201">
        <f t="shared" si="84"/>
        <v>190.95076825687673</v>
      </c>
      <c r="AH262" s="201">
        <f t="shared" si="90"/>
        <v>10421.884210717664</v>
      </c>
    </row>
    <row r="263" spans="2:34" x14ac:dyDescent="0.3">
      <c r="B263" s="179">
        <f t="shared" si="85"/>
        <v>240</v>
      </c>
      <c r="C263" s="180">
        <f t="shared" si="86"/>
        <v>30.4</v>
      </c>
      <c r="D263" s="165">
        <f>IF(B263="","",Simulador!$F$62)</f>
        <v>0.11</v>
      </c>
      <c r="E263" s="167"/>
      <c r="F263" s="167">
        <f t="shared" si="87"/>
        <v>10325.967446437426</v>
      </c>
      <c r="G263" s="166"/>
      <c r="H263" s="167">
        <f t="shared" si="74"/>
        <v>10325.967446437427</v>
      </c>
      <c r="I263" s="167">
        <f t="shared" si="88"/>
        <v>95.916764280240969</v>
      </c>
      <c r="J263" s="167">
        <f t="shared" si="72"/>
        <v>10421.884210717668</v>
      </c>
      <c r="K263" s="167">
        <f t="shared" si="75"/>
        <v>0</v>
      </c>
      <c r="L263" s="167">
        <f t="shared" si="89"/>
        <v>0</v>
      </c>
      <c r="M263" s="167">
        <f>IF(B263="","",IF(F263=0,0,IF(Simulador!$F$11='Tabla Parámetros'!$W$1,'Tabla Parámetros'!$W$28,IF(Simulador!$F$11='Tabla Parámetros'!$Y$1,'Tabla Parámetros'!$Y$12))))</f>
        <v>299</v>
      </c>
      <c r="N263" s="167">
        <f>IF(B263="","",IF(F263=0,0,IF(Simulador!$N$7='Tabla Parámetros'!$C$31,AportPat!L243,0)))</f>
        <v>0</v>
      </c>
      <c r="O263" s="167">
        <f>Simulador!O631</f>
        <v>0</v>
      </c>
      <c r="P263" s="167">
        <v>0</v>
      </c>
      <c r="Q263" s="167">
        <f t="shared" si="76"/>
        <v>10720.884210717668</v>
      </c>
      <c r="R263" s="167">
        <f t="shared" si="77"/>
        <v>-1.8189894035458565E-12</v>
      </c>
      <c r="X263" s="29"/>
      <c r="Z263" s="201">
        <f t="shared" si="78"/>
        <v>10325.967446437415</v>
      </c>
      <c r="AA263" s="201">
        <f t="shared" si="79"/>
        <v>95.916764280240969</v>
      </c>
      <c r="AB263" s="202">
        <f t="shared" si="80"/>
        <v>10421.884210717655</v>
      </c>
      <c r="AC263" s="201">
        <f t="shared" si="81"/>
        <v>10325.967446437413</v>
      </c>
      <c r="AD263" s="201">
        <f t="shared" si="82"/>
        <v>95.916764280240969</v>
      </c>
      <c r="AE263" s="201">
        <f t="shared" si="91"/>
        <v>10421.884210717653</v>
      </c>
      <c r="AF263" s="201">
        <f t="shared" si="83"/>
        <v>10325.967446437427</v>
      </c>
      <c r="AG263" s="201">
        <f t="shared" si="84"/>
        <v>95.916764280240969</v>
      </c>
      <c r="AH263" s="201">
        <f t="shared" si="90"/>
        <v>10421.884210717668</v>
      </c>
    </row>
    <row r="264" spans="2:34" ht="12.5" thickBot="1" x14ac:dyDescent="0.35">
      <c r="B264" s="186"/>
      <c r="C264" s="186"/>
      <c r="D264" s="186"/>
      <c r="E264" s="186"/>
      <c r="F264" s="186"/>
      <c r="G264" s="186"/>
      <c r="H264" s="186"/>
      <c r="I264" s="186"/>
      <c r="J264" s="186"/>
      <c r="K264" s="186"/>
      <c r="L264" s="186"/>
      <c r="M264" s="186"/>
      <c r="N264" s="186"/>
      <c r="O264" s="186"/>
      <c r="P264" s="186"/>
      <c r="Q264" s="186"/>
      <c r="R264" s="186"/>
    </row>
    <row r="265" spans="2:34" ht="13" thickTop="1" thickBot="1" x14ac:dyDescent="0.35">
      <c r="B265" s="187"/>
      <c r="C265" s="187"/>
      <c r="D265" s="187"/>
      <c r="E265" s="187"/>
      <c r="F265" s="187"/>
      <c r="G265" s="187"/>
      <c r="H265" s="188">
        <f>SUM(H24:H263)</f>
        <v>1000000.0000000009</v>
      </c>
      <c r="I265" s="188">
        <f>SUM(I24:I263)</f>
        <v>1501252.2105722371</v>
      </c>
      <c r="J265" s="188">
        <f>SUM(J24:J263)</f>
        <v>2501252.2105722413</v>
      </c>
      <c r="K265" s="188">
        <f t="shared" ref="K265:Q265" si="92">SUM(K24:K263)</f>
        <v>0</v>
      </c>
      <c r="L265" s="188">
        <f t="shared" si="92"/>
        <v>0</v>
      </c>
      <c r="M265" s="188">
        <f t="shared" si="92"/>
        <v>71760</v>
      </c>
      <c r="N265" s="188">
        <f t="shared" si="92"/>
        <v>0</v>
      </c>
      <c r="O265" s="188">
        <f t="shared" si="92"/>
        <v>0</v>
      </c>
      <c r="P265" s="188"/>
      <c r="Q265" s="188">
        <f t="shared" si="92"/>
        <v>2573012.2105722427</v>
      </c>
      <c r="R265" s="188"/>
    </row>
    <row r="266" spans="2:34" ht="12.5" thickTop="1" x14ac:dyDescent="0.3"/>
  </sheetData>
  <mergeCells count="3">
    <mergeCell ref="Z22:AB22"/>
    <mergeCell ref="AC22:AE22"/>
    <mergeCell ref="AF22:AH22"/>
  </mergeCells>
  <conditionalFormatting sqref="B4:R4">
    <cfRule type="containsBlanks" dxfId="15" priority="3">
      <formula>LEN(TRIM(B4))=0</formula>
    </cfRule>
  </conditionalFormatting>
  <conditionalFormatting sqref="Q5:Q17">
    <cfRule type="cellIs" dxfId="14" priority="2" operator="lessThan">
      <formula>0</formula>
    </cfRule>
  </conditionalFormatting>
  <conditionalFormatting sqref="Q18:Q23">
    <cfRule type="cellIs" dxfId="13" priority="1" operator="lessThan">
      <formula>0</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20"/>
  <dimension ref="C1:AH260"/>
  <sheetViews>
    <sheetView showGridLines="0" topLeftCell="N19" workbookViewId="0">
      <selection activeCell="X4" sqref="X4"/>
    </sheetView>
  </sheetViews>
  <sheetFormatPr baseColWidth="10" defaultColWidth="11.453125" defaultRowHeight="12" x14ac:dyDescent="0.3"/>
  <cols>
    <col min="1" max="1" width="11.453125" style="82"/>
    <col min="2" max="2" width="3.7265625" style="82" customWidth="1"/>
    <col min="3" max="3" width="6.453125" style="82" bestFit="1" customWidth="1"/>
    <col min="4" max="4" width="4.7265625" style="82" bestFit="1" customWidth="1"/>
    <col min="5" max="5" width="11.54296875" style="82" bestFit="1" customWidth="1"/>
    <col min="6" max="7" width="12" style="82" bestFit="1" customWidth="1"/>
    <col min="8" max="8" width="9.7265625" style="82" bestFit="1" customWidth="1"/>
    <col min="9" max="9" width="12" style="82" bestFit="1" customWidth="1"/>
    <col min="10" max="10" width="11.7265625" style="82" customWidth="1"/>
    <col min="11" max="12" width="11.54296875" style="82" bestFit="1" customWidth="1"/>
    <col min="13" max="13" width="12" style="82" bestFit="1" customWidth="1"/>
    <col min="14" max="14" width="11.54296875" style="82" bestFit="1" customWidth="1"/>
    <col min="15" max="16" width="11.453125" style="82"/>
    <col min="17" max="17" width="12" style="82" bestFit="1" customWidth="1"/>
    <col min="18" max="18" width="12.54296875" style="82" bestFit="1" customWidth="1"/>
    <col min="19" max="20" width="2.7265625" style="82" customWidth="1"/>
    <col min="21" max="21" width="11.453125" style="82"/>
    <col min="22" max="22" width="11.7265625" style="82" bestFit="1" customWidth="1"/>
    <col min="23" max="23" width="0.81640625" style="82" customWidth="1"/>
    <col min="24" max="24" width="11.453125" style="82"/>
    <col min="25" max="25" width="1.7265625" style="82" customWidth="1"/>
    <col min="26" max="16384" width="11.453125" style="82"/>
  </cols>
  <sheetData>
    <row r="1" spans="3:34" x14ac:dyDescent="0.3">
      <c r="E1" s="82" t="s">
        <v>23</v>
      </c>
      <c r="F1" s="255">
        <f>Simulador!$F$62</f>
        <v>0.11</v>
      </c>
      <c r="H1" s="101" t="s">
        <v>204</v>
      </c>
      <c r="I1" s="101" t="str">
        <f>Simulador!N9</f>
        <v>Básico</v>
      </c>
      <c r="J1" s="101" t="s">
        <v>207</v>
      </c>
      <c r="K1" s="101" t="s">
        <v>208</v>
      </c>
      <c r="L1" s="82" t="s">
        <v>442</v>
      </c>
      <c r="M1" s="260">
        <f>IF(Simulador!$K$13="No",Simulador!$N$13,IF(Simulador!$K$13="Si",Simulador!$O$13,))</f>
        <v>2448600</v>
      </c>
      <c r="U1" s="6"/>
      <c r="V1" s="6"/>
      <c r="W1" s="6"/>
      <c r="X1" s="35" t="s">
        <v>140</v>
      </c>
      <c r="AB1" s="82" t="s">
        <v>0</v>
      </c>
    </row>
    <row r="2" spans="3:34" x14ac:dyDescent="0.3">
      <c r="E2" s="82" t="s">
        <v>194</v>
      </c>
      <c r="F2" s="82">
        <f>Simulador!F19</f>
        <v>240</v>
      </c>
      <c r="H2" s="101" t="s">
        <v>197</v>
      </c>
      <c r="I2" s="96">
        <f>IF($M$2='Tabla Parámetros'!$N$10,Simulador!$H$48+Simulador!$L$46,IF($M$2='Tabla Parámetros'!$N$11,Simulador!$H$48,))</f>
        <v>1000000</v>
      </c>
      <c r="J2" s="101">
        <f>IF(I1='Tabla Parámetros'!N4,'Tabla Parámetros'!R5,IF(Simulador!N9='Tabla Parámetros'!N3,'Tabla Parámetros'!R10))</f>
        <v>0</v>
      </c>
      <c r="K2" s="101">
        <f>IF(Simulador!N9='Tabla Parámetros'!N4,'Tabla Parámetros'!S5,IF(Simulador!N9='Tabla Parámetros'!N3,'Tabla Parámetros'!T10))</f>
        <v>0</v>
      </c>
      <c r="M2" s="353" t="str">
        <f>Simulador!$N$17</f>
        <v>NO</v>
      </c>
      <c r="Q2" s="98" t="s">
        <v>201</v>
      </c>
      <c r="R2" s="82" t="s">
        <v>309</v>
      </c>
      <c r="U2" s="32" t="s">
        <v>135</v>
      </c>
      <c r="V2" s="34">
        <f>I2</f>
        <v>1000000</v>
      </c>
      <c r="W2" s="6"/>
      <c r="X2" s="195"/>
      <c r="AA2" s="82" t="s">
        <v>12</v>
      </c>
      <c r="AB2" s="82">
        <v>4</v>
      </c>
    </row>
    <row r="3" spans="3:34" ht="12.5" thickBot="1" x14ac:dyDescent="0.35">
      <c r="I3" s="96">
        <f>Simulador!$H$48</f>
        <v>1000000</v>
      </c>
      <c r="U3" s="32" t="s">
        <v>136</v>
      </c>
      <c r="V3" s="14">
        <f>F1</f>
        <v>0.11</v>
      </c>
      <c r="W3" s="6"/>
      <c r="X3" s="29">
        <f>-F5-G5+H5+J5+L5+(M5/1.16)+N5+'CAT Flujo Cero'!Flujo_Cero_Parcial</f>
        <v>0</v>
      </c>
      <c r="AA3" s="82" t="s">
        <v>327</v>
      </c>
      <c r="AB3" s="82">
        <v>12</v>
      </c>
    </row>
    <row r="4" spans="3:34" ht="11.25" customHeight="1" thickBot="1" x14ac:dyDescent="0.35">
      <c r="C4" s="168" t="s">
        <v>16</v>
      </c>
      <c r="D4" s="169" t="s">
        <v>29</v>
      </c>
      <c r="E4" s="169" t="s">
        <v>23</v>
      </c>
      <c r="F4" s="169" t="s">
        <v>0</v>
      </c>
      <c r="G4" s="169" t="s">
        <v>325</v>
      </c>
      <c r="H4" s="169" t="s">
        <v>324</v>
      </c>
      <c r="I4" s="169" t="s">
        <v>31</v>
      </c>
      <c r="J4" s="169" t="s">
        <v>37</v>
      </c>
      <c r="K4" s="169" t="s">
        <v>202</v>
      </c>
      <c r="L4" s="169" t="s">
        <v>20</v>
      </c>
      <c r="M4" s="169" t="s">
        <v>32</v>
      </c>
      <c r="N4" s="169" t="s">
        <v>33</v>
      </c>
      <c r="O4" s="169" t="s">
        <v>6</v>
      </c>
      <c r="P4" s="169" t="s">
        <v>34</v>
      </c>
      <c r="Q4" s="169" t="s">
        <v>35</v>
      </c>
      <c r="R4" s="170" t="s">
        <v>36</v>
      </c>
      <c r="U4" s="32" t="s">
        <v>137</v>
      </c>
      <c r="V4" s="14" t="e">
        <f>IRR(X3:X255,0)</f>
        <v>#NUM!</v>
      </c>
      <c r="W4" s="6"/>
      <c r="X4" s="29">
        <f>-F6+H6+J6+L6+(M6/1.16)+N6</f>
        <v>299</v>
      </c>
      <c r="AA4" s="82" t="s">
        <v>328</v>
      </c>
      <c r="AB4" s="82">
        <v>2</v>
      </c>
    </row>
    <row r="5" spans="3:34" x14ac:dyDescent="0.3">
      <c r="C5" s="179">
        <v>0</v>
      </c>
      <c r="D5" s="180"/>
      <c r="E5" s="165"/>
      <c r="F5" s="167">
        <f>IF(Simulador!$F$9='Tabla Construcción Fijos CAT'!$AA$2,$I$3/4,IF(Simulador!$F$9='Tabla Construcción Fijos CAT'!$AA$3,'Tabla Construcción Fijos CAT'!$I$3/12,IF(Simulador!$F$9='Tabla Construcción Fijos CAT'!$AA$4,'Tabla Construcción Fijos CAT'!$I$3/2,)))</f>
        <v>0</v>
      </c>
      <c r="G5" s="167">
        <f>IF(M2="SI",Simulador!$L$46,0)</f>
        <v>0</v>
      </c>
      <c r="H5" s="167">
        <f>F5*'Tabla Parámetros'!$U$10</f>
        <v>0</v>
      </c>
      <c r="I5" s="167">
        <v>0</v>
      </c>
      <c r="J5" s="167">
        <v>0</v>
      </c>
      <c r="K5" s="167">
        <v>0</v>
      </c>
      <c r="L5" s="167">
        <v>0</v>
      </c>
      <c r="M5" s="167">
        <v>0</v>
      </c>
      <c r="N5" s="167">
        <v>0</v>
      </c>
      <c r="O5" s="172"/>
      <c r="P5" s="172"/>
      <c r="Q5" s="167">
        <f>SUM(H5:P5)-F5+'CAT Flujo Cero'!Flujo_Cero_Parcial</f>
        <v>0</v>
      </c>
      <c r="R5" s="178"/>
      <c r="U5" s="32" t="s">
        <v>138</v>
      </c>
      <c r="V5" s="36" t="e">
        <f>V4*12</f>
        <v>#NUM!</v>
      </c>
      <c r="W5" s="6"/>
      <c r="X5" s="29">
        <f t="shared" ref="X5:X15" si="0">-F7+H7+J7+L7+(M7/1.16)+N7</f>
        <v>299</v>
      </c>
    </row>
    <row r="6" spans="3:34" x14ac:dyDescent="0.3">
      <c r="C6" s="181">
        <v>1</v>
      </c>
      <c r="D6" s="182">
        <v>30.4</v>
      </c>
      <c r="E6" s="175">
        <f>Simulador!$F$62</f>
        <v>0.11</v>
      </c>
      <c r="F6" s="177">
        <f>IF(Simulador!$F$9='Tabla Construcción Fijos CAT'!$AA$2,0,IF(Simulador!$F$9='Tabla Construcción Fijos CAT'!$AA$3,'Tabla Construcción Fijos CAT'!$I$3/12,IF(Simulador!$F$9='Tabla Construcción Fijos CAT'!$AA$4,0,)))</f>
        <v>0</v>
      </c>
      <c r="G6" s="177">
        <f>F5+G5</f>
        <v>0</v>
      </c>
      <c r="H6" s="177">
        <f>F6*'Tabla Parámetros'!$U$10</f>
        <v>0</v>
      </c>
      <c r="I6" s="167">
        <v>0</v>
      </c>
      <c r="J6" s="167">
        <f t="shared" ref="J6:J17" si="1">(($F$1/360)*30.4)*G6</f>
        <v>0</v>
      </c>
      <c r="K6" s="167">
        <v>0</v>
      </c>
      <c r="L6" s="167">
        <f>G6*$J$2</f>
        <v>0</v>
      </c>
      <c r="M6" s="167">
        <f>$M$1*$K$2</f>
        <v>0</v>
      </c>
      <c r="N6" s="167">
        <f>IF(Simulador!$F$11='Tabla Parámetros'!$W$1,'Tabla Parámetros'!$W$28,IF(Simulador!$F$11='Tabla Parámetros'!$Y$1,'Tabla Parámetros'!$Y$12))</f>
        <v>299</v>
      </c>
      <c r="O6" s="172"/>
      <c r="P6" s="172"/>
      <c r="Q6" s="167">
        <f>SUM(H6:P6)-F6</f>
        <v>299</v>
      </c>
      <c r="R6" s="167"/>
      <c r="S6" s="96"/>
      <c r="U6" s="33" t="s">
        <v>139</v>
      </c>
      <c r="V6" s="36" t="e">
        <f>EFFECT(V5,12)</f>
        <v>#NUM!</v>
      </c>
      <c r="W6" s="6"/>
      <c r="X6" s="29">
        <f t="shared" si="0"/>
        <v>299</v>
      </c>
    </row>
    <row r="7" spans="3:34" x14ac:dyDescent="0.3">
      <c r="C7" s="179">
        <v>2</v>
      </c>
      <c r="D7" s="180">
        <v>30.4</v>
      </c>
      <c r="E7" s="176">
        <f>Simulador!$F$62</f>
        <v>0.11</v>
      </c>
      <c r="F7" s="167">
        <f>IF(Simulador!$F$9='Tabla Construcción Fijos CAT'!$AA$2,0,IF(Simulador!$F$9='Tabla Construcción Fijos CAT'!$AA$3,'Tabla Construcción Fijos CAT'!$I$3/12,IF(Simulador!$F$9='Tabla Construcción Fijos CAT'!$AA$4,0,)))</f>
        <v>0</v>
      </c>
      <c r="G7" s="167">
        <f>F6+G6</f>
        <v>0</v>
      </c>
      <c r="H7" s="167">
        <f>F7*'Tabla Parámetros'!$U$10</f>
        <v>0</v>
      </c>
      <c r="I7" s="167">
        <v>0</v>
      </c>
      <c r="J7" s="167">
        <f t="shared" si="1"/>
        <v>0</v>
      </c>
      <c r="K7" s="167">
        <v>0</v>
      </c>
      <c r="L7" s="167">
        <f t="shared" ref="L7:L70" si="2">G7*$J$2</f>
        <v>0</v>
      </c>
      <c r="M7" s="167">
        <f t="shared" ref="M7:M17" si="3">$M$1*$K$2</f>
        <v>0</v>
      </c>
      <c r="N7" s="167">
        <f>IF(Simulador!$F$11='Tabla Parámetros'!$W$1,'Tabla Parámetros'!$W$28,IF(Simulador!$F$11='Tabla Parámetros'!$Y$1,'Tabla Parámetros'!$Y$12))</f>
        <v>299</v>
      </c>
      <c r="O7" s="172"/>
      <c r="P7" s="172"/>
      <c r="Q7" s="167">
        <f t="shared" ref="Q7:Q17" si="4">SUM(H7:P7)-F7</f>
        <v>299</v>
      </c>
      <c r="R7" s="167"/>
      <c r="U7" s="37"/>
      <c r="V7" s="38"/>
      <c r="W7" s="6"/>
      <c r="X7" s="29">
        <f t="shared" si="0"/>
        <v>299</v>
      </c>
    </row>
    <row r="8" spans="3:34" x14ac:dyDescent="0.3">
      <c r="C8" s="179">
        <v>3</v>
      </c>
      <c r="D8" s="180">
        <v>30.4</v>
      </c>
      <c r="E8" s="165">
        <f>Simulador!$F$62</f>
        <v>0.11</v>
      </c>
      <c r="F8" s="167">
        <f>IF(Simulador!$F$9='Tabla Construcción Fijos CAT'!$AA$2,0,IF(Simulador!$F$9='Tabla Construcción Fijos CAT'!$AA$3,'Tabla Construcción Fijos CAT'!$I$3/12,IF(Simulador!$F$9='Tabla Construcción Fijos CAT'!$AA$4,0,)))</f>
        <v>0</v>
      </c>
      <c r="G8" s="167">
        <f t="shared" ref="G8:G17" si="5">F7+G7</f>
        <v>0</v>
      </c>
      <c r="H8" s="167">
        <f>F8*'Tabla Parámetros'!$U$10</f>
        <v>0</v>
      </c>
      <c r="I8" s="167">
        <v>0</v>
      </c>
      <c r="J8" s="167">
        <f t="shared" si="1"/>
        <v>0</v>
      </c>
      <c r="K8" s="167">
        <v>0</v>
      </c>
      <c r="L8" s="167">
        <f t="shared" si="2"/>
        <v>0</v>
      </c>
      <c r="M8" s="167">
        <f t="shared" si="3"/>
        <v>0</v>
      </c>
      <c r="N8" s="167">
        <f>IF(Simulador!$F$11='Tabla Parámetros'!$W$1,'Tabla Parámetros'!$W$28,IF(Simulador!$F$11='Tabla Parámetros'!$Y$1,'Tabla Parámetros'!$Y$12))</f>
        <v>299</v>
      </c>
      <c r="O8" s="172"/>
      <c r="P8" s="172"/>
      <c r="Q8" s="167">
        <f t="shared" si="4"/>
        <v>299</v>
      </c>
      <c r="R8" s="167"/>
      <c r="U8" s="6"/>
      <c r="V8" s="6"/>
      <c r="W8" s="6"/>
      <c r="X8" s="29">
        <f t="shared" si="0"/>
        <v>299</v>
      </c>
    </row>
    <row r="9" spans="3:34" x14ac:dyDescent="0.3">
      <c r="C9" s="181">
        <v>4</v>
      </c>
      <c r="D9" s="180">
        <v>30.4</v>
      </c>
      <c r="E9" s="165">
        <f>Simulador!$F$62</f>
        <v>0.11</v>
      </c>
      <c r="F9" s="167">
        <f>IF(Simulador!$F$9='Tabla Construcción Fijos CAT'!$AA$2,'Tabla Construcción Fijos CAT'!$I$3/4,IF(Simulador!$F$9='Tabla Construcción Fijos CAT'!$AA$3,'Tabla Construcción Fijos CAT'!$I$3/12,IF(Simulador!$F$9='Tabla Construcción Fijos CAT'!$AA$4,0,)))</f>
        <v>0</v>
      </c>
      <c r="G9" s="167">
        <f t="shared" si="5"/>
        <v>0</v>
      </c>
      <c r="H9" s="167">
        <f>F9*'Tabla Parámetros'!$U$10</f>
        <v>0</v>
      </c>
      <c r="I9" s="167">
        <v>0</v>
      </c>
      <c r="J9" s="167">
        <f t="shared" si="1"/>
        <v>0</v>
      </c>
      <c r="K9" s="167">
        <v>0</v>
      </c>
      <c r="L9" s="167">
        <f t="shared" si="2"/>
        <v>0</v>
      </c>
      <c r="M9" s="167">
        <f t="shared" si="3"/>
        <v>0</v>
      </c>
      <c r="N9" s="167">
        <f>IF(Simulador!$F$11='Tabla Parámetros'!$W$1,'Tabla Parámetros'!$W$28,IF(Simulador!$F$11='Tabla Parámetros'!$Y$1,'Tabla Parámetros'!$Y$12))</f>
        <v>299</v>
      </c>
      <c r="O9" s="172"/>
      <c r="P9" s="172"/>
      <c r="Q9" s="167">
        <f t="shared" si="4"/>
        <v>299</v>
      </c>
      <c r="R9" s="167"/>
      <c r="U9" s="6"/>
      <c r="V9" s="6"/>
      <c r="W9" s="6"/>
      <c r="X9" s="29">
        <f t="shared" si="0"/>
        <v>299</v>
      </c>
    </row>
    <row r="10" spans="3:34" x14ac:dyDescent="0.3">
      <c r="C10" s="179">
        <v>5</v>
      </c>
      <c r="D10" s="180">
        <v>30.4</v>
      </c>
      <c r="E10" s="165">
        <f>Simulador!$F$62</f>
        <v>0.11</v>
      </c>
      <c r="F10" s="167">
        <f>IF(Simulador!$F$9='Tabla Construcción Fijos CAT'!$AA$2,0,IF(Simulador!$F$9='Tabla Construcción Fijos CAT'!$AA$3,'Tabla Construcción Fijos CAT'!$I$3/12,IF(Simulador!$F$9='Tabla Construcción Fijos CAT'!$AA$4,0,)))</f>
        <v>0</v>
      </c>
      <c r="G10" s="167">
        <f t="shared" si="5"/>
        <v>0</v>
      </c>
      <c r="H10" s="167">
        <f>F10*'Tabla Parámetros'!$U$10</f>
        <v>0</v>
      </c>
      <c r="I10" s="167">
        <v>0</v>
      </c>
      <c r="J10" s="167">
        <f t="shared" si="1"/>
        <v>0</v>
      </c>
      <c r="K10" s="167">
        <v>0</v>
      </c>
      <c r="L10" s="167">
        <f t="shared" si="2"/>
        <v>0</v>
      </c>
      <c r="M10" s="167">
        <f t="shared" si="3"/>
        <v>0</v>
      </c>
      <c r="N10" s="167">
        <f>IF(Simulador!$F$11='Tabla Parámetros'!$W$1,'Tabla Parámetros'!$W$28,IF(Simulador!$F$11='Tabla Parámetros'!$Y$1,'Tabla Parámetros'!$Y$12))</f>
        <v>299</v>
      </c>
      <c r="O10" s="172"/>
      <c r="P10" s="172"/>
      <c r="Q10" s="167">
        <f t="shared" si="4"/>
        <v>299</v>
      </c>
      <c r="R10" s="167"/>
      <c r="U10" s="6"/>
      <c r="V10" s="6"/>
      <c r="W10" s="6"/>
      <c r="X10" s="29">
        <f t="shared" si="0"/>
        <v>299</v>
      </c>
    </row>
    <row r="11" spans="3:34" x14ac:dyDescent="0.3">
      <c r="C11" s="179">
        <v>6</v>
      </c>
      <c r="D11" s="180">
        <v>30.4</v>
      </c>
      <c r="E11" s="165">
        <f>Simulador!$F$62</f>
        <v>0.11</v>
      </c>
      <c r="F11" s="167">
        <f>IF(Simulador!$F$9='Tabla Construcción Fijos CAT'!$AA$2,0,IF(Simulador!$F$9='Tabla Construcción Fijos CAT'!$AA$3,'Tabla Construcción Fijos CAT'!$I$3/12,IF(Simulador!$F$9='Tabla Construcción Fijos CAT'!$AA$4,'Tabla Construcción Fijos CAT'!$I$3/2,)))</f>
        <v>0</v>
      </c>
      <c r="G11" s="167">
        <f t="shared" si="5"/>
        <v>0</v>
      </c>
      <c r="H11" s="167">
        <f>F11*'Tabla Parámetros'!$U$10</f>
        <v>0</v>
      </c>
      <c r="I11" s="167">
        <v>0</v>
      </c>
      <c r="J11" s="167">
        <f t="shared" si="1"/>
        <v>0</v>
      </c>
      <c r="K11" s="167">
        <v>0</v>
      </c>
      <c r="L11" s="167">
        <f t="shared" si="2"/>
        <v>0</v>
      </c>
      <c r="M11" s="167">
        <f t="shared" si="3"/>
        <v>0</v>
      </c>
      <c r="N11" s="167">
        <f>IF(Simulador!$F$11='Tabla Parámetros'!$W$1,'Tabla Parámetros'!$W$28,IF(Simulador!$F$11='Tabla Parámetros'!$Y$1,'Tabla Parámetros'!$Y$12))</f>
        <v>299</v>
      </c>
      <c r="O11" s="172"/>
      <c r="P11" s="172"/>
      <c r="Q11" s="167">
        <f t="shared" si="4"/>
        <v>299</v>
      </c>
      <c r="R11" s="167"/>
      <c r="U11" s="6"/>
      <c r="V11" s="6"/>
      <c r="W11" s="6"/>
      <c r="X11" s="29">
        <f t="shared" si="0"/>
        <v>299</v>
      </c>
    </row>
    <row r="12" spans="3:34" x14ac:dyDescent="0.3">
      <c r="C12" s="181">
        <v>7</v>
      </c>
      <c r="D12" s="180">
        <v>30.4</v>
      </c>
      <c r="E12" s="165">
        <f>Simulador!$F$62</f>
        <v>0.11</v>
      </c>
      <c r="F12" s="167">
        <f>IF(Simulador!$F$9='Tabla Construcción Fijos CAT'!$AA$2,0,IF(Simulador!$F$9='Tabla Construcción Fijos CAT'!$AA$3,'Tabla Construcción Fijos CAT'!$I$3/12,IF(Simulador!$F$9='Tabla Construcción Fijos CAT'!$AA$4,0,)))</f>
        <v>0</v>
      </c>
      <c r="G12" s="167">
        <f t="shared" si="5"/>
        <v>0</v>
      </c>
      <c r="H12" s="167">
        <f>F12*'Tabla Parámetros'!$U$10</f>
        <v>0</v>
      </c>
      <c r="I12" s="167">
        <v>0</v>
      </c>
      <c r="J12" s="167">
        <f t="shared" si="1"/>
        <v>0</v>
      </c>
      <c r="K12" s="167">
        <v>0</v>
      </c>
      <c r="L12" s="167">
        <f t="shared" si="2"/>
        <v>0</v>
      </c>
      <c r="M12" s="167">
        <f t="shared" si="3"/>
        <v>0</v>
      </c>
      <c r="N12" s="167">
        <f>IF(Simulador!$F$11='Tabla Parámetros'!$W$1,'Tabla Parámetros'!$W$28,IF(Simulador!$F$11='Tabla Parámetros'!$Y$1,'Tabla Parámetros'!$Y$12))</f>
        <v>299</v>
      </c>
      <c r="O12" s="172"/>
      <c r="P12" s="172"/>
      <c r="Q12" s="167">
        <f t="shared" si="4"/>
        <v>299</v>
      </c>
      <c r="R12" s="167"/>
      <c r="U12" s="6"/>
      <c r="V12" s="6"/>
      <c r="W12" s="6"/>
      <c r="X12" s="29">
        <f t="shared" si="0"/>
        <v>299</v>
      </c>
    </row>
    <row r="13" spans="3:34" x14ac:dyDescent="0.3">
      <c r="C13" s="179">
        <v>8</v>
      </c>
      <c r="D13" s="180">
        <v>30.4</v>
      </c>
      <c r="E13" s="165">
        <f>Simulador!$F$62</f>
        <v>0.11</v>
      </c>
      <c r="F13" s="167">
        <f>IF(Simulador!$F$9='Tabla Construcción Fijos CAT'!$AA$2,'Tabla Construcción Fijos CAT'!$I$3/4,IF(Simulador!$F$9='Tabla Construcción Fijos CAT'!$AA$3,'Tabla Construcción Fijos CAT'!$I$3/12,IF(Simulador!$F$9='Tabla Construcción Fijos CAT'!$AA$4,0,)))</f>
        <v>0</v>
      </c>
      <c r="G13" s="167">
        <f t="shared" si="5"/>
        <v>0</v>
      </c>
      <c r="H13" s="167">
        <f>F13*'Tabla Parámetros'!$U$10</f>
        <v>0</v>
      </c>
      <c r="I13" s="167">
        <v>0</v>
      </c>
      <c r="J13" s="167">
        <f t="shared" si="1"/>
        <v>0</v>
      </c>
      <c r="K13" s="167">
        <v>0</v>
      </c>
      <c r="L13" s="167">
        <f>G13*$J$2</f>
        <v>0</v>
      </c>
      <c r="M13" s="167">
        <f t="shared" si="3"/>
        <v>0</v>
      </c>
      <c r="N13" s="167">
        <f>IF(Simulador!$F$11='Tabla Parámetros'!$W$1,'Tabla Parámetros'!$W$28,IF(Simulador!$F$11='Tabla Parámetros'!$Y$1,'Tabla Parámetros'!$Y$12))</f>
        <v>299</v>
      </c>
      <c r="O13" s="172"/>
      <c r="P13" s="172"/>
      <c r="Q13" s="167">
        <f t="shared" si="4"/>
        <v>299</v>
      </c>
      <c r="R13" s="167"/>
      <c r="U13" s="6"/>
      <c r="V13" s="6"/>
      <c r="W13" s="6"/>
      <c r="X13" s="29">
        <f t="shared" si="0"/>
        <v>299</v>
      </c>
    </row>
    <row r="14" spans="3:34" x14ac:dyDescent="0.3">
      <c r="C14" s="179">
        <v>9</v>
      </c>
      <c r="D14" s="180">
        <v>30.4</v>
      </c>
      <c r="E14" s="165">
        <f>Simulador!$F$62</f>
        <v>0.11</v>
      </c>
      <c r="F14" s="167">
        <f>IF(Simulador!$F$9='Tabla Construcción Fijos CAT'!$AA$2,0,IF(Simulador!$F$9='Tabla Construcción Fijos CAT'!$AA$3,'Tabla Construcción Fijos CAT'!$I$3/12,IF(Simulador!$F$9='Tabla Construcción Fijos CAT'!$AA$4,0,)))</f>
        <v>0</v>
      </c>
      <c r="G14" s="167">
        <f t="shared" si="5"/>
        <v>0</v>
      </c>
      <c r="H14" s="167">
        <f>F14*'Tabla Parámetros'!$U$10</f>
        <v>0</v>
      </c>
      <c r="I14" s="167">
        <v>0</v>
      </c>
      <c r="J14" s="167">
        <f t="shared" si="1"/>
        <v>0</v>
      </c>
      <c r="K14" s="167">
        <v>0</v>
      </c>
      <c r="L14" s="167">
        <f t="shared" si="2"/>
        <v>0</v>
      </c>
      <c r="M14" s="167">
        <f t="shared" si="3"/>
        <v>0</v>
      </c>
      <c r="N14" s="167">
        <f>IF(Simulador!$F$11='Tabla Parámetros'!$W$1,'Tabla Parámetros'!$W$28,IF(Simulador!$F$11='Tabla Parámetros'!$Y$1,'Tabla Parámetros'!$Y$12))</f>
        <v>299</v>
      </c>
      <c r="O14" s="172"/>
      <c r="P14" s="172"/>
      <c r="Q14" s="167">
        <f t="shared" si="4"/>
        <v>299</v>
      </c>
      <c r="R14" s="167"/>
      <c r="U14" s="6"/>
      <c r="V14" s="6"/>
      <c r="W14" s="6"/>
      <c r="X14" s="29">
        <f t="shared" si="0"/>
        <v>299</v>
      </c>
    </row>
    <row r="15" spans="3:34" x14ac:dyDescent="0.3">
      <c r="C15" s="181">
        <v>10</v>
      </c>
      <c r="D15" s="180">
        <v>30.4</v>
      </c>
      <c r="E15" s="165">
        <f>Simulador!$F$62</f>
        <v>0.11</v>
      </c>
      <c r="F15" s="167">
        <f>IF(Simulador!$F$9='Tabla Construcción Fijos CAT'!$AA$2,0,IF(Simulador!$F$9='Tabla Construcción Fijos CAT'!$AA$3,'Tabla Construcción Fijos CAT'!$I$3/12,IF(Simulador!$F$9='Tabla Construcción Fijos CAT'!$AA$4,0,)))</f>
        <v>0</v>
      </c>
      <c r="G15" s="167">
        <f t="shared" si="5"/>
        <v>0</v>
      </c>
      <c r="H15" s="167">
        <f>F15*'Tabla Parámetros'!$U$10</f>
        <v>0</v>
      </c>
      <c r="I15" s="167">
        <v>0</v>
      </c>
      <c r="J15" s="167">
        <f t="shared" si="1"/>
        <v>0</v>
      </c>
      <c r="K15" s="167">
        <v>0</v>
      </c>
      <c r="L15" s="167">
        <f t="shared" si="2"/>
        <v>0</v>
      </c>
      <c r="M15" s="167">
        <f t="shared" si="3"/>
        <v>0</v>
      </c>
      <c r="N15" s="167">
        <f>IF(Simulador!$F$11='Tabla Parámetros'!$W$1,'Tabla Parámetros'!$W$28,IF(Simulador!$F$11='Tabla Parámetros'!$Y$1,'Tabla Parámetros'!$Y$12))</f>
        <v>299</v>
      </c>
      <c r="O15" s="172"/>
      <c r="P15" s="172"/>
      <c r="Q15" s="167">
        <f t="shared" si="4"/>
        <v>299</v>
      </c>
      <c r="R15" s="167"/>
      <c r="U15" s="6"/>
      <c r="V15" s="6"/>
      <c r="W15" s="6"/>
      <c r="X15" s="29">
        <f t="shared" si="0"/>
        <v>299</v>
      </c>
    </row>
    <row r="16" spans="3:34" x14ac:dyDescent="0.3">
      <c r="C16" s="179">
        <v>11</v>
      </c>
      <c r="D16" s="180">
        <v>30.4</v>
      </c>
      <c r="E16" s="165">
        <f>Simulador!$F$62</f>
        <v>0.11</v>
      </c>
      <c r="F16" s="167">
        <f>IF(Simulador!$F$9='Tabla Construcción Fijos CAT'!$AA$2,0,IF(Simulador!$F$9='Tabla Construcción Fijos CAT'!$AA$3,'Tabla Construcción Fijos CAT'!$I$3/12,IF(Simulador!$F$9='Tabla Construcción Fijos CAT'!$AA$4,0,)))</f>
        <v>0</v>
      </c>
      <c r="G16" s="167">
        <f t="shared" si="5"/>
        <v>0</v>
      </c>
      <c r="H16" s="167">
        <f>F16*'Tabla Parámetros'!$U$10</f>
        <v>0</v>
      </c>
      <c r="I16" s="167">
        <v>0</v>
      </c>
      <c r="J16" s="167">
        <f t="shared" si="1"/>
        <v>0</v>
      </c>
      <c r="K16" s="167">
        <v>0</v>
      </c>
      <c r="L16" s="167">
        <f t="shared" si="2"/>
        <v>0</v>
      </c>
      <c r="M16" s="167">
        <f t="shared" si="3"/>
        <v>0</v>
      </c>
      <c r="N16" s="167">
        <f>IF(Simulador!$F$11='Tabla Parámetros'!$W$1,'Tabla Parámetros'!$W$28,IF(Simulador!$F$11='Tabla Parámetros'!$Y$1,'Tabla Parámetros'!$Y$12))</f>
        <v>299</v>
      </c>
      <c r="O16" s="172"/>
      <c r="P16" s="172"/>
      <c r="Q16" s="167">
        <f t="shared" si="4"/>
        <v>299</v>
      </c>
      <c r="R16" s="167"/>
      <c r="U16" s="6"/>
      <c r="V16" s="6"/>
      <c r="W16" s="6"/>
      <c r="X16" s="256">
        <f>IF(C18="","",K18+L18+(M18/1.16)+N18)</f>
        <v>0</v>
      </c>
      <c r="Z16" s="911" t="s">
        <v>28</v>
      </c>
      <c r="AA16" s="911"/>
      <c r="AB16" s="911"/>
      <c r="AC16" s="911" t="s">
        <v>309</v>
      </c>
      <c r="AD16" s="911"/>
      <c r="AE16" s="911"/>
      <c r="AF16" s="911" t="s">
        <v>308</v>
      </c>
      <c r="AG16" s="911"/>
      <c r="AH16" s="911"/>
    </row>
    <row r="17" spans="3:34" x14ac:dyDescent="0.3">
      <c r="C17" s="179">
        <v>12</v>
      </c>
      <c r="D17" s="180">
        <v>30.4</v>
      </c>
      <c r="E17" s="165">
        <f>Simulador!$F$62</f>
        <v>0.11</v>
      </c>
      <c r="F17" s="167">
        <f>IF(Simulador!$F$9='Tabla Construcción Fijos CAT'!$AA$2,'Tabla Construcción Fijos CAT'!$I$3/4,IF(Simulador!$F$9='Tabla Construcción Fijos CAT'!$AA$3,0,IF(Simulador!$F$9='Tabla Construcción Fijos CAT'!$AA$4,0,)))</f>
        <v>0</v>
      </c>
      <c r="G17" s="167">
        <f t="shared" si="5"/>
        <v>0</v>
      </c>
      <c r="H17" s="167">
        <f>F17*'Tabla Parámetros'!$U$10</f>
        <v>0</v>
      </c>
      <c r="I17" s="167">
        <v>0</v>
      </c>
      <c r="J17" s="167">
        <f t="shared" si="1"/>
        <v>0</v>
      </c>
      <c r="K17" s="167">
        <v>0</v>
      </c>
      <c r="L17" s="167">
        <f t="shared" si="2"/>
        <v>0</v>
      </c>
      <c r="M17" s="167">
        <f t="shared" si="3"/>
        <v>0</v>
      </c>
      <c r="N17" s="167">
        <f>IF(Simulador!$F$11='Tabla Parámetros'!$W$1,'Tabla Parámetros'!$W$28,IF(Simulador!$F$11='Tabla Parámetros'!$Y$1,'Tabla Parámetros'!$Y$12))</f>
        <v>299</v>
      </c>
      <c r="O17" s="172"/>
      <c r="P17" s="172"/>
      <c r="Q17" s="167">
        <f t="shared" si="4"/>
        <v>299</v>
      </c>
      <c r="R17" s="167"/>
      <c r="U17" s="6"/>
      <c r="V17" s="6"/>
      <c r="W17" s="6"/>
      <c r="X17" s="256">
        <f t="shared" ref="X17:X80" si="6">IF(C19="","",K19+L19+(M19/1.16)+N19)</f>
        <v>0</v>
      </c>
      <c r="Z17" s="101" t="s">
        <v>31</v>
      </c>
      <c r="AA17" s="101" t="s">
        <v>37</v>
      </c>
      <c r="AB17" s="101" t="s">
        <v>202</v>
      </c>
      <c r="AC17" s="101" t="s">
        <v>31</v>
      </c>
      <c r="AD17" s="101" t="s">
        <v>37</v>
      </c>
      <c r="AE17" s="101" t="s">
        <v>202</v>
      </c>
      <c r="AF17" s="101" t="s">
        <v>31</v>
      </c>
      <c r="AG17" s="101" t="s">
        <v>37</v>
      </c>
      <c r="AH17" s="101" t="s">
        <v>202</v>
      </c>
    </row>
    <row r="18" spans="3:34" x14ac:dyDescent="0.3">
      <c r="C18" s="183">
        <v>1</v>
      </c>
      <c r="D18" s="184">
        <v>30.4</v>
      </c>
      <c r="E18" s="171">
        <f>Simulador!$F$62</f>
        <v>0.11</v>
      </c>
      <c r="F18" s="172"/>
      <c r="G18" s="174">
        <f>IF(($F$17+$G$17)&gt;I2,"ERROR",$F$17+$G$17)</f>
        <v>0</v>
      </c>
      <c r="H18" s="173"/>
      <c r="I18" s="172">
        <f t="shared" ref="I18:I81" si="7">IF(C18="","",IF(G18&lt;=I17,G18,IF($R$2=$Z$16,Z18,IF($R$2=$AC$16,AC18,IF($R$2=$AF$16,AF18,)))))</f>
        <v>0</v>
      </c>
      <c r="J18" s="172">
        <f t="shared" ref="J18:J81" si="8">IF(D18="","",IF($R$2=$Z$16,AA18,IF($R$2=$AC$16,AD18,IF($R$2=$AF$16,AG18,))))</f>
        <v>0</v>
      </c>
      <c r="K18" s="172">
        <f>IF(C18="","",PMT(E18/360*D18,$F$2,-$G$18))</f>
        <v>0</v>
      </c>
      <c r="L18" s="172">
        <f>G18*$J$2</f>
        <v>0</v>
      </c>
      <c r="M18" s="172">
        <f>IF(C18="","",$M$1*$K$2)</f>
        <v>0</v>
      </c>
      <c r="N18" s="172">
        <f>IF(C18="","",IF(G18=0,0,IF(Simulador!$F$11='Tabla Parámetros'!$W$1,'Tabla Parámetros'!$W$28,IF(Simulador!$F$11='Tabla Parámetros'!$Y$1,'Tabla Parámetros'!$Y$12))))</f>
        <v>0</v>
      </c>
      <c r="O18" s="172"/>
      <c r="P18" s="172">
        <f>Simulador!O392</f>
        <v>0</v>
      </c>
      <c r="Q18" s="172">
        <f>IF(C18="","",SUM(K18:P18))</f>
        <v>0</v>
      </c>
      <c r="R18" s="185">
        <f>IF(C18="","",G18-I18)</f>
        <v>0</v>
      </c>
      <c r="U18" s="6"/>
      <c r="V18" s="6"/>
      <c r="W18" s="6"/>
      <c r="X18" s="256">
        <f t="shared" si="6"/>
        <v>0</v>
      </c>
      <c r="Z18" s="201">
        <f t="shared" ref="Z18:Z81" si="9">PPMT(E18/360*30.4,C18,$F$2,-$G$18)+O18+P18</f>
        <v>0</v>
      </c>
      <c r="AA18" s="201">
        <f>(E18/360*D18)*G18</f>
        <v>0</v>
      </c>
      <c r="AB18" s="202">
        <f>Z18+AA18</f>
        <v>0</v>
      </c>
      <c r="AC18" s="201">
        <f>PPMT(E18/360*30.4,C18,$F$2,-$G$18)+U18+V18</f>
        <v>0</v>
      </c>
      <c r="AD18" s="201">
        <f>(E18/360*D18)*G18</f>
        <v>0</v>
      </c>
      <c r="AE18" s="201">
        <f>AC18+AD18</f>
        <v>0</v>
      </c>
      <c r="AF18" s="201">
        <f>PPMT(E18/360*30.4,C18,$F$2,-$G$18)+U18+V18</f>
        <v>0</v>
      </c>
      <c r="AG18" s="201">
        <f>(E18/360*D18)*G18</f>
        <v>0</v>
      </c>
      <c r="AH18" s="201">
        <f>AF18+AG18</f>
        <v>0</v>
      </c>
    </row>
    <row r="19" spans="3:34" x14ac:dyDescent="0.3">
      <c r="C19" s="179">
        <f t="shared" ref="C19:C82" si="10">IF(C18="","",IF(C18=$F$2,"",C18+1))</f>
        <v>2</v>
      </c>
      <c r="D19" s="180">
        <f>IF(C19="","",30.4)</f>
        <v>30.4</v>
      </c>
      <c r="E19" s="165">
        <f>IF(C19="","",Simulador!$F$62)</f>
        <v>0.11</v>
      </c>
      <c r="F19" s="167"/>
      <c r="G19" s="167">
        <f>IF(C19="","",G18-I18)</f>
        <v>0</v>
      </c>
      <c r="H19" s="166"/>
      <c r="I19" s="167">
        <f t="shared" si="7"/>
        <v>0</v>
      </c>
      <c r="J19" s="167">
        <f t="shared" si="8"/>
        <v>0</v>
      </c>
      <c r="K19" s="172">
        <f t="shared" ref="K19:K82" si="11">IF(C19="","",PMT(E19/360*D19,$F$2,-$G$18))</f>
        <v>0</v>
      </c>
      <c r="L19" s="167">
        <f t="shared" si="2"/>
        <v>0</v>
      </c>
      <c r="M19" s="167">
        <f>IF(C19="","",IF(G19=0,0,$M$1*$K$2))</f>
        <v>0</v>
      </c>
      <c r="N19" s="167">
        <f>IF(C19="","",IF(G19=0,0,IF(Simulador!$F$11='Tabla Parámetros'!$W$1,'Tabla Parámetros'!$W$28,IF(Simulador!$F$11='Tabla Parámetros'!$Y$1,'Tabla Parámetros'!$Y$12))))</f>
        <v>0</v>
      </c>
      <c r="O19" s="167"/>
      <c r="P19" s="167">
        <f>Simulador!O393</f>
        <v>0</v>
      </c>
      <c r="Q19" s="167">
        <f>IF(C19="","",SUM(K19:N19))</f>
        <v>0</v>
      </c>
      <c r="R19" s="167">
        <f t="shared" ref="R19:R82" si="12">IF(C19="","",G19-I19)</f>
        <v>0</v>
      </c>
      <c r="U19" s="6"/>
      <c r="V19" s="6"/>
      <c r="W19" s="6"/>
      <c r="X19" s="256">
        <f t="shared" si="6"/>
        <v>0</v>
      </c>
      <c r="Z19" s="201">
        <f t="shared" si="9"/>
        <v>0</v>
      </c>
      <c r="AA19" s="201">
        <f t="shared" ref="AA19:AA82" si="13">(E19/360*D19)*G19</f>
        <v>0</v>
      </c>
      <c r="AB19" s="202">
        <f t="shared" ref="AB19:AB82" si="14">Z19+AA19</f>
        <v>0</v>
      </c>
      <c r="AC19" s="201">
        <f t="shared" ref="AC19:AC82" si="15">AE19-AD19</f>
        <v>10421.884210717653</v>
      </c>
      <c r="AD19" s="201">
        <f t="shared" ref="AD19:AD82" si="16">(E19/360*D19)*G19</f>
        <v>0</v>
      </c>
      <c r="AE19" s="201">
        <f>PMT($F$1/360*30.4,$F$2,-$I$2)+O19+P19</f>
        <v>10421.884210717653</v>
      </c>
      <c r="AF19" s="201">
        <f t="shared" ref="AF19:AF82" si="17">AH19-AG19</f>
        <v>0</v>
      </c>
      <c r="AG19" s="201">
        <f t="shared" ref="AG19:AG82" si="18">(E19/360*D19)*G19</f>
        <v>0</v>
      </c>
      <c r="AH19" s="201">
        <f>PMT($F$1/360*30.4,$F$2-C18,-G19)+O19+P19</f>
        <v>0</v>
      </c>
    </row>
    <row r="20" spans="3:34" x14ac:dyDescent="0.3">
      <c r="C20" s="179">
        <f t="shared" si="10"/>
        <v>3</v>
      </c>
      <c r="D20" s="180">
        <f t="shared" ref="D20:D83" si="19">IF(C20="","",30.4)</f>
        <v>30.4</v>
      </c>
      <c r="E20" s="165">
        <f>IF(C20="","",Simulador!$F$62)</f>
        <v>0.11</v>
      </c>
      <c r="F20" s="167"/>
      <c r="G20" s="167">
        <f t="shared" ref="G20:G83" si="20">IF(C20="","",G19-I19)</f>
        <v>0</v>
      </c>
      <c r="H20" s="166"/>
      <c r="I20" s="167">
        <f t="shared" si="7"/>
        <v>0</v>
      </c>
      <c r="J20" s="167">
        <f t="shared" si="8"/>
        <v>0</v>
      </c>
      <c r="K20" s="172">
        <f t="shared" si="11"/>
        <v>0</v>
      </c>
      <c r="L20" s="167">
        <f t="shared" si="2"/>
        <v>0</v>
      </c>
      <c r="M20" s="167">
        <f t="shared" ref="M20:M83" si="21">IF(C20="","",IF(G20=0,0,$M$1*$K$2))</f>
        <v>0</v>
      </c>
      <c r="N20" s="167">
        <f>IF(C20="","",IF(G20=0,0,IF(Simulador!$F$11='Tabla Parámetros'!$W$1,'Tabla Parámetros'!$W$28,IF(Simulador!$F$11='Tabla Parámetros'!$Y$1,'Tabla Parámetros'!$Y$12))))</f>
        <v>0</v>
      </c>
      <c r="O20" s="167"/>
      <c r="P20" s="167">
        <f>Simulador!O394</f>
        <v>0</v>
      </c>
      <c r="Q20" s="167">
        <f t="shared" ref="Q20:Q83" si="22">IF(C20="","",SUM(K20:N20))</f>
        <v>0</v>
      </c>
      <c r="R20" s="167">
        <f t="shared" si="12"/>
        <v>0</v>
      </c>
      <c r="U20" s="6"/>
      <c r="V20" s="6"/>
      <c r="W20" s="6"/>
      <c r="X20" s="256">
        <f t="shared" si="6"/>
        <v>0</v>
      </c>
      <c r="Z20" s="201">
        <f t="shared" si="9"/>
        <v>0</v>
      </c>
      <c r="AA20" s="201">
        <f t="shared" si="13"/>
        <v>0</v>
      </c>
      <c r="AB20" s="202">
        <f t="shared" si="14"/>
        <v>0</v>
      </c>
      <c r="AC20" s="201">
        <f t="shared" si="15"/>
        <v>10421.884210717653</v>
      </c>
      <c r="AD20" s="201">
        <f t="shared" si="16"/>
        <v>0</v>
      </c>
      <c r="AE20" s="201">
        <f t="shared" ref="AE20:AE83" si="23">PMT($F$1/360*30.4,$F$2,-$I$2)+O20+P20</f>
        <v>10421.884210717653</v>
      </c>
      <c r="AF20" s="201">
        <f t="shared" si="17"/>
        <v>0</v>
      </c>
      <c r="AG20" s="201">
        <f t="shared" si="18"/>
        <v>0</v>
      </c>
      <c r="AH20" s="201">
        <f t="shared" ref="AH20:AH83" si="24">PMT($F$1/360*30.4,$F$2-C19,-G20)+O20+P20</f>
        <v>0</v>
      </c>
    </row>
    <row r="21" spans="3:34" x14ac:dyDescent="0.3">
      <c r="C21" s="179">
        <f t="shared" si="10"/>
        <v>4</v>
      </c>
      <c r="D21" s="180">
        <f t="shared" si="19"/>
        <v>30.4</v>
      </c>
      <c r="E21" s="165">
        <f>IF(C21="","",Simulador!$F$62)</f>
        <v>0.11</v>
      </c>
      <c r="F21" s="167"/>
      <c r="G21" s="167">
        <f t="shared" si="20"/>
        <v>0</v>
      </c>
      <c r="H21" s="166"/>
      <c r="I21" s="167">
        <f t="shared" si="7"/>
        <v>0</v>
      </c>
      <c r="J21" s="167">
        <f t="shared" si="8"/>
        <v>0</v>
      </c>
      <c r="K21" s="172">
        <f t="shared" si="11"/>
        <v>0</v>
      </c>
      <c r="L21" s="167">
        <f t="shared" si="2"/>
        <v>0</v>
      </c>
      <c r="M21" s="167">
        <f t="shared" si="21"/>
        <v>0</v>
      </c>
      <c r="N21" s="167">
        <f>IF(C21="","",IF(G21=0,0,IF(Simulador!$F$11='Tabla Parámetros'!$W$1,'Tabla Parámetros'!$W$28,IF(Simulador!$F$11='Tabla Parámetros'!$Y$1,'Tabla Parámetros'!$Y$12))))</f>
        <v>0</v>
      </c>
      <c r="O21" s="167"/>
      <c r="P21" s="167">
        <f>Simulador!O395</f>
        <v>0</v>
      </c>
      <c r="Q21" s="167">
        <f t="shared" si="22"/>
        <v>0</v>
      </c>
      <c r="R21" s="167">
        <f t="shared" si="12"/>
        <v>0</v>
      </c>
      <c r="U21" s="6"/>
      <c r="V21" s="6"/>
      <c r="W21" s="6"/>
      <c r="X21" s="256">
        <f t="shared" si="6"/>
        <v>0</v>
      </c>
      <c r="Z21" s="201">
        <f t="shared" si="9"/>
        <v>0</v>
      </c>
      <c r="AA21" s="201">
        <f t="shared" si="13"/>
        <v>0</v>
      </c>
      <c r="AB21" s="202">
        <f t="shared" si="14"/>
        <v>0</v>
      </c>
      <c r="AC21" s="201">
        <f t="shared" si="15"/>
        <v>10421.884210717653</v>
      </c>
      <c r="AD21" s="201">
        <f t="shared" si="16"/>
        <v>0</v>
      </c>
      <c r="AE21" s="201">
        <f t="shared" si="23"/>
        <v>10421.884210717653</v>
      </c>
      <c r="AF21" s="201">
        <f t="shared" si="17"/>
        <v>0</v>
      </c>
      <c r="AG21" s="201">
        <f t="shared" si="18"/>
        <v>0</v>
      </c>
      <c r="AH21" s="201">
        <f t="shared" si="24"/>
        <v>0</v>
      </c>
    </row>
    <row r="22" spans="3:34" x14ac:dyDescent="0.3">
      <c r="C22" s="181">
        <f t="shared" si="10"/>
        <v>5</v>
      </c>
      <c r="D22" s="180">
        <f t="shared" si="19"/>
        <v>30.4</v>
      </c>
      <c r="E22" s="165">
        <f>IF(C22="","",Simulador!$F$62)</f>
        <v>0.11</v>
      </c>
      <c r="F22" s="167"/>
      <c r="G22" s="167">
        <f t="shared" si="20"/>
        <v>0</v>
      </c>
      <c r="H22" s="166"/>
      <c r="I22" s="167">
        <f t="shared" si="7"/>
        <v>0</v>
      </c>
      <c r="J22" s="167">
        <f t="shared" si="8"/>
        <v>0</v>
      </c>
      <c r="K22" s="172">
        <f t="shared" si="11"/>
        <v>0</v>
      </c>
      <c r="L22" s="167">
        <f t="shared" si="2"/>
        <v>0</v>
      </c>
      <c r="M22" s="167">
        <f t="shared" si="21"/>
        <v>0</v>
      </c>
      <c r="N22" s="167">
        <f>IF(C22="","",IF(G22=0,0,IF(Simulador!$F$11='Tabla Parámetros'!$W$1,'Tabla Parámetros'!$W$28,IF(Simulador!$F$11='Tabla Parámetros'!$Y$1,'Tabla Parámetros'!$Y$12))))</f>
        <v>0</v>
      </c>
      <c r="O22" s="167"/>
      <c r="P22" s="167">
        <f>Simulador!O396</f>
        <v>0</v>
      </c>
      <c r="Q22" s="167">
        <f t="shared" si="22"/>
        <v>0</v>
      </c>
      <c r="R22" s="167">
        <f t="shared" si="12"/>
        <v>0</v>
      </c>
      <c r="U22" s="6"/>
      <c r="V22" s="6"/>
      <c r="W22" s="6"/>
      <c r="X22" s="256">
        <f t="shared" si="6"/>
        <v>0</v>
      </c>
      <c r="Z22" s="201">
        <f t="shared" si="9"/>
        <v>0</v>
      </c>
      <c r="AA22" s="201">
        <f t="shared" si="13"/>
        <v>0</v>
      </c>
      <c r="AB22" s="202">
        <f t="shared" si="14"/>
        <v>0</v>
      </c>
      <c r="AC22" s="201">
        <f t="shared" si="15"/>
        <v>10421.884210717653</v>
      </c>
      <c r="AD22" s="201">
        <f t="shared" si="16"/>
        <v>0</v>
      </c>
      <c r="AE22" s="201">
        <f t="shared" si="23"/>
        <v>10421.884210717653</v>
      </c>
      <c r="AF22" s="201">
        <f t="shared" si="17"/>
        <v>0</v>
      </c>
      <c r="AG22" s="201">
        <f t="shared" si="18"/>
        <v>0</v>
      </c>
      <c r="AH22" s="201">
        <f t="shared" si="24"/>
        <v>0</v>
      </c>
    </row>
    <row r="23" spans="3:34" x14ac:dyDescent="0.3">
      <c r="C23" s="179">
        <f t="shared" si="10"/>
        <v>6</v>
      </c>
      <c r="D23" s="180">
        <f t="shared" si="19"/>
        <v>30.4</v>
      </c>
      <c r="E23" s="165">
        <f>IF(C23="","",Simulador!$F$62)</f>
        <v>0.11</v>
      </c>
      <c r="F23" s="167"/>
      <c r="G23" s="167">
        <f t="shared" si="20"/>
        <v>0</v>
      </c>
      <c r="H23" s="166"/>
      <c r="I23" s="167">
        <f t="shared" si="7"/>
        <v>0</v>
      </c>
      <c r="J23" s="167">
        <f t="shared" si="8"/>
        <v>0</v>
      </c>
      <c r="K23" s="172">
        <f t="shared" si="11"/>
        <v>0</v>
      </c>
      <c r="L23" s="167">
        <f t="shared" si="2"/>
        <v>0</v>
      </c>
      <c r="M23" s="167">
        <f t="shared" si="21"/>
        <v>0</v>
      </c>
      <c r="N23" s="167">
        <f>IF(C23="","",IF(G23=0,0,IF(Simulador!$F$11='Tabla Parámetros'!$W$1,'Tabla Parámetros'!$W$28,IF(Simulador!$F$11='Tabla Parámetros'!$Y$1,'Tabla Parámetros'!$Y$12))))</f>
        <v>0</v>
      </c>
      <c r="O23" s="167"/>
      <c r="P23" s="167">
        <f>Simulador!O397</f>
        <v>0</v>
      </c>
      <c r="Q23" s="167">
        <f t="shared" si="22"/>
        <v>0</v>
      </c>
      <c r="R23" s="167">
        <f t="shared" si="12"/>
        <v>0</v>
      </c>
      <c r="U23" s="6"/>
      <c r="V23" s="6"/>
      <c r="W23" s="6"/>
      <c r="X23" s="256">
        <f t="shared" si="6"/>
        <v>0</v>
      </c>
      <c r="Z23" s="201">
        <f t="shared" si="9"/>
        <v>0</v>
      </c>
      <c r="AA23" s="201">
        <f t="shared" si="13"/>
        <v>0</v>
      </c>
      <c r="AB23" s="202">
        <f t="shared" si="14"/>
        <v>0</v>
      </c>
      <c r="AC23" s="201">
        <f t="shared" si="15"/>
        <v>10421.884210717653</v>
      </c>
      <c r="AD23" s="201">
        <f t="shared" si="16"/>
        <v>0</v>
      </c>
      <c r="AE23" s="201">
        <f t="shared" si="23"/>
        <v>10421.884210717653</v>
      </c>
      <c r="AF23" s="201">
        <f t="shared" si="17"/>
        <v>0</v>
      </c>
      <c r="AG23" s="201">
        <f t="shared" si="18"/>
        <v>0</v>
      </c>
      <c r="AH23" s="201">
        <f t="shared" si="24"/>
        <v>0</v>
      </c>
    </row>
    <row r="24" spans="3:34" x14ac:dyDescent="0.3">
      <c r="C24" s="179">
        <f t="shared" si="10"/>
        <v>7</v>
      </c>
      <c r="D24" s="180">
        <f t="shared" si="19"/>
        <v>30.4</v>
      </c>
      <c r="E24" s="165">
        <f>IF(C24="","",Simulador!$F$62)</f>
        <v>0.11</v>
      </c>
      <c r="F24" s="167"/>
      <c r="G24" s="167">
        <f t="shared" si="20"/>
        <v>0</v>
      </c>
      <c r="H24" s="166"/>
      <c r="I24" s="167">
        <f t="shared" si="7"/>
        <v>0</v>
      </c>
      <c r="J24" s="167">
        <f t="shared" si="8"/>
        <v>0</v>
      </c>
      <c r="K24" s="172">
        <f t="shared" si="11"/>
        <v>0</v>
      </c>
      <c r="L24" s="167">
        <f t="shared" si="2"/>
        <v>0</v>
      </c>
      <c r="M24" s="167">
        <f t="shared" si="21"/>
        <v>0</v>
      </c>
      <c r="N24" s="167">
        <f>IF(C24="","",IF(G24=0,0,IF(Simulador!$F$11='Tabla Parámetros'!$W$1,'Tabla Parámetros'!$W$28,IF(Simulador!$F$11='Tabla Parámetros'!$Y$1,'Tabla Parámetros'!$Y$12))))</f>
        <v>0</v>
      </c>
      <c r="O24" s="167"/>
      <c r="P24" s="167">
        <f>Simulador!O398</f>
        <v>0</v>
      </c>
      <c r="Q24" s="167">
        <f t="shared" si="22"/>
        <v>0</v>
      </c>
      <c r="R24" s="167">
        <f t="shared" si="12"/>
        <v>0</v>
      </c>
      <c r="U24" s="6"/>
      <c r="V24" s="6"/>
      <c r="W24" s="6"/>
      <c r="X24" s="256">
        <f t="shared" si="6"/>
        <v>0</v>
      </c>
      <c r="Z24" s="201">
        <f t="shared" si="9"/>
        <v>0</v>
      </c>
      <c r="AA24" s="201">
        <f t="shared" si="13"/>
        <v>0</v>
      </c>
      <c r="AB24" s="202">
        <f t="shared" si="14"/>
        <v>0</v>
      </c>
      <c r="AC24" s="201">
        <f t="shared" si="15"/>
        <v>10421.884210717653</v>
      </c>
      <c r="AD24" s="201">
        <f t="shared" si="16"/>
        <v>0</v>
      </c>
      <c r="AE24" s="201">
        <f t="shared" si="23"/>
        <v>10421.884210717653</v>
      </c>
      <c r="AF24" s="201">
        <f t="shared" si="17"/>
        <v>0</v>
      </c>
      <c r="AG24" s="201">
        <f t="shared" si="18"/>
        <v>0</v>
      </c>
      <c r="AH24" s="201">
        <f t="shared" si="24"/>
        <v>0</v>
      </c>
    </row>
    <row r="25" spans="3:34" x14ac:dyDescent="0.3">
      <c r="C25" s="179">
        <f t="shared" si="10"/>
        <v>8</v>
      </c>
      <c r="D25" s="180">
        <f t="shared" si="19"/>
        <v>30.4</v>
      </c>
      <c r="E25" s="165">
        <f>IF(C25="","",Simulador!$F$62)</f>
        <v>0.11</v>
      </c>
      <c r="F25" s="167"/>
      <c r="G25" s="167">
        <f t="shared" si="20"/>
        <v>0</v>
      </c>
      <c r="H25" s="166"/>
      <c r="I25" s="167">
        <f t="shared" si="7"/>
        <v>0</v>
      </c>
      <c r="J25" s="167">
        <f t="shared" si="8"/>
        <v>0</v>
      </c>
      <c r="K25" s="172">
        <f t="shared" si="11"/>
        <v>0</v>
      </c>
      <c r="L25" s="167">
        <f t="shared" si="2"/>
        <v>0</v>
      </c>
      <c r="M25" s="167">
        <f t="shared" si="21"/>
        <v>0</v>
      </c>
      <c r="N25" s="167">
        <f>IF(C25="","",IF(G25=0,0,IF(Simulador!$F$11='Tabla Parámetros'!$W$1,'Tabla Parámetros'!$W$28,IF(Simulador!$F$11='Tabla Parámetros'!$Y$1,'Tabla Parámetros'!$Y$12))))</f>
        <v>0</v>
      </c>
      <c r="O25" s="167"/>
      <c r="P25" s="167">
        <f>Simulador!O399</f>
        <v>0</v>
      </c>
      <c r="Q25" s="167">
        <f t="shared" si="22"/>
        <v>0</v>
      </c>
      <c r="R25" s="167">
        <f t="shared" si="12"/>
        <v>0</v>
      </c>
      <c r="U25" s="6"/>
      <c r="V25" s="6"/>
      <c r="W25" s="6"/>
      <c r="X25" s="256">
        <f t="shared" si="6"/>
        <v>0</v>
      </c>
      <c r="Z25" s="201">
        <f t="shared" si="9"/>
        <v>0</v>
      </c>
      <c r="AA25" s="201">
        <f t="shared" si="13"/>
        <v>0</v>
      </c>
      <c r="AB25" s="202">
        <f t="shared" si="14"/>
        <v>0</v>
      </c>
      <c r="AC25" s="201">
        <f t="shared" si="15"/>
        <v>10421.884210717653</v>
      </c>
      <c r="AD25" s="201">
        <f t="shared" si="16"/>
        <v>0</v>
      </c>
      <c r="AE25" s="201">
        <f t="shared" si="23"/>
        <v>10421.884210717653</v>
      </c>
      <c r="AF25" s="201">
        <f t="shared" si="17"/>
        <v>0</v>
      </c>
      <c r="AG25" s="201">
        <f t="shared" si="18"/>
        <v>0</v>
      </c>
      <c r="AH25" s="201">
        <f t="shared" si="24"/>
        <v>0</v>
      </c>
    </row>
    <row r="26" spans="3:34" x14ac:dyDescent="0.3">
      <c r="C26" s="181">
        <f t="shared" si="10"/>
        <v>9</v>
      </c>
      <c r="D26" s="180">
        <f t="shared" si="19"/>
        <v>30.4</v>
      </c>
      <c r="E26" s="165">
        <f>IF(C26="","",Simulador!$F$62)</f>
        <v>0.11</v>
      </c>
      <c r="F26" s="167"/>
      <c r="G26" s="167">
        <f t="shared" si="20"/>
        <v>0</v>
      </c>
      <c r="H26" s="166"/>
      <c r="I26" s="167">
        <f t="shared" si="7"/>
        <v>0</v>
      </c>
      <c r="J26" s="167">
        <f t="shared" si="8"/>
        <v>0</v>
      </c>
      <c r="K26" s="172">
        <f t="shared" si="11"/>
        <v>0</v>
      </c>
      <c r="L26" s="167">
        <f t="shared" si="2"/>
        <v>0</v>
      </c>
      <c r="M26" s="167">
        <f t="shared" si="21"/>
        <v>0</v>
      </c>
      <c r="N26" s="167">
        <f>IF(C26="","",IF(G26=0,0,IF(Simulador!$F$11='Tabla Parámetros'!$W$1,'Tabla Parámetros'!$W$28,IF(Simulador!$F$11='Tabla Parámetros'!$Y$1,'Tabla Parámetros'!$Y$12))))</f>
        <v>0</v>
      </c>
      <c r="O26" s="167"/>
      <c r="P26" s="167">
        <f>Simulador!O400</f>
        <v>0</v>
      </c>
      <c r="Q26" s="167">
        <f t="shared" si="22"/>
        <v>0</v>
      </c>
      <c r="R26" s="167">
        <f t="shared" si="12"/>
        <v>0</v>
      </c>
      <c r="U26" s="6"/>
      <c r="V26" s="6"/>
      <c r="W26" s="6"/>
      <c r="X26" s="256">
        <f t="shared" si="6"/>
        <v>0</v>
      </c>
      <c r="Z26" s="201">
        <f t="shared" si="9"/>
        <v>0</v>
      </c>
      <c r="AA26" s="201">
        <f t="shared" si="13"/>
        <v>0</v>
      </c>
      <c r="AB26" s="202">
        <f t="shared" si="14"/>
        <v>0</v>
      </c>
      <c r="AC26" s="201">
        <f t="shared" si="15"/>
        <v>10421.884210717653</v>
      </c>
      <c r="AD26" s="201">
        <f t="shared" si="16"/>
        <v>0</v>
      </c>
      <c r="AE26" s="201">
        <f t="shared" si="23"/>
        <v>10421.884210717653</v>
      </c>
      <c r="AF26" s="201">
        <f t="shared" si="17"/>
        <v>0</v>
      </c>
      <c r="AG26" s="201">
        <f t="shared" si="18"/>
        <v>0</v>
      </c>
      <c r="AH26" s="201">
        <f t="shared" si="24"/>
        <v>0</v>
      </c>
    </row>
    <row r="27" spans="3:34" x14ac:dyDescent="0.3">
      <c r="C27" s="179">
        <f t="shared" si="10"/>
        <v>10</v>
      </c>
      <c r="D27" s="180">
        <f t="shared" si="19"/>
        <v>30.4</v>
      </c>
      <c r="E27" s="165">
        <f>IF(C27="","",Simulador!$F$62)</f>
        <v>0.11</v>
      </c>
      <c r="F27" s="167"/>
      <c r="G27" s="167">
        <f t="shared" si="20"/>
        <v>0</v>
      </c>
      <c r="H27" s="166"/>
      <c r="I27" s="167">
        <f t="shared" si="7"/>
        <v>0</v>
      </c>
      <c r="J27" s="167">
        <f t="shared" si="8"/>
        <v>0</v>
      </c>
      <c r="K27" s="172">
        <f t="shared" si="11"/>
        <v>0</v>
      </c>
      <c r="L27" s="167">
        <f t="shared" si="2"/>
        <v>0</v>
      </c>
      <c r="M27" s="167">
        <f t="shared" si="21"/>
        <v>0</v>
      </c>
      <c r="N27" s="167">
        <f>IF(C27="","",IF(G27=0,0,IF(Simulador!$F$11='Tabla Parámetros'!$W$1,'Tabla Parámetros'!$W$28,IF(Simulador!$F$11='Tabla Parámetros'!$Y$1,'Tabla Parámetros'!$Y$12))))</f>
        <v>0</v>
      </c>
      <c r="O27" s="167"/>
      <c r="P27" s="167">
        <f>Simulador!O401</f>
        <v>0</v>
      </c>
      <c r="Q27" s="167">
        <f t="shared" si="22"/>
        <v>0</v>
      </c>
      <c r="R27" s="167">
        <f t="shared" si="12"/>
        <v>0</v>
      </c>
      <c r="U27" s="6"/>
      <c r="V27" s="6"/>
      <c r="W27" s="6"/>
      <c r="X27" s="256">
        <f t="shared" si="6"/>
        <v>0</v>
      </c>
      <c r="Z27" s="201">
        <f t="shared" si="9"/>
        <v>0</v>
      </c>
      <c r="AA27" s="201">
        <f t="shared" si="13"/>
        <v>0</v>
      </c>
      <c r="AB27" s="202">
        <f t="shared" si="14"/>
        <v>0</v>
      </c>
      <c r="AC27" s="201">
        <f t="shared" si="15"/>
        <v>10421.884210717653</v>
      </c>
      <c r="AD27" s="201">
        <f t="shared" si="16"/>
        <v>0</v>
      </c>
      <c r="AE27" s="201">
        <f t="shared" si="23"/>
        <v>10421.884210717653</v>
      </c>
      <c r="AF27" s="201">
        <f t="shared" si="17"/>
        <v>0</v>
      </c>
      <c r="AG27" s="201">
        <f t="shared" si="18"/>
        <v>0</v>
      </c>
      <c r="AH27" s="201">
        <f t="shared" si="24"/>
        <v>0</v>
      </c>
    </row>
    <row r="28" spans="3:34" x14ac:dyDescent="0.3">
      <c r="C28" s="179">
        <f t="shared" si="10"/>
        <v>11</v>
      </c>
      <c r="D28" s="180">
        <f t="shared" si="19"/>
        <v>30.4</v>
      </c>
      <c r="E28" s="165">
        <f>IF(C28="","",Simulador!$F$62)</f>
        <v>0.11</v>
      </c>
      <c r="F28" s="167"/>
      <c r="G28" s="167">
        <f t="shared" si="20"/>
        <v>0</v>
      </c>
      <c r="H28" s="166"/>
      <c r="I28" s="167">
        <f t="shared" si="7"/>
        <v>0</v>
      </c>
      <c r="J28" s="167">
        <f t="shared" si="8"/>
        <v>0</v>
      </c>
      <c r="K28" s="172">
        <f t="shared" si="11"/>
        <v>0</v>
      </c>
      <c r="L28" s="167">
        <f t="shared" si="2"/>
        <v>0</v>
      </c>
      <c r="M28" s="167">
        <f t="shared" si="21"/>
        <v>0</v>
      </c>
      <c r="N28" s="167">
        <f>IF(C28="","",IF(G28=0,0,IF(Simulador!$F$11='Tabla Parámetros'!$W$1,'Tabla Parámetros'!$W$28,IF(Simulador!$F$11='Tabla Parámetros'!$Y$1,'Tabla Parámetros'!$Y$12))))</f>
        <v>0</v>
      </c>
      <c r="O28" s="167"/>
      <c r="P28" s="167">
        <f>Simulador!O402</f>
        <v>0</v>
      </c>
      <c r="Q28" s="167">
        <f t="shared" si="22"/>
        <v>0</v>
      </c>
      <c r="R28" s="167">
        <f t="shared" si="12"/>
        <v>0</v>
      </c>
      <c r="U28" s="6"/>
      <c r="V28" s="6"/>
      <c r="W28" s="6"/>
      <c r="X28" s="256">
        <f t="shared" si="6"/>
        <v>0</v>
      </c>
      <c r="Z28" s="201">
        <f t="shared" si="9"/>
        <v>0</v>
      </c>
      <c r="AA28" s="201">
        <f t="shared" si="13"/>
        <v>0</v>
      </c>
      <c r="AB28" s="202">
        <f t="shared" si="14"/>
        <v>0</v>
      </c>
      <c r="AC28" s="201">
        <f t="shared" si="15"/>
        <v>10421.884210717653</v>
      </c>
      <c r="AD28" s="201">
        <f t="shared" si="16"/>
        <v>0</v>
      </c>
      <c r="AE28" s="201">
        <f t="shared" si="23"/>
        <v>10421.884210717653</v>
      </c>
      <c r="AF28" s="201">
        <f t="shared" si="17"/>
        <v>0</v>
      </c>
      <c r="AG28" s="201">
        <f t="shared" si="18"/>
        <v>0</v>
      </c>
      <c r="AH28" s="201">
        <f t="shared" si="24"/>
        <v>0</v>
      </c>
    </row>
    <row r="29" spans="3:34" x14ac:dyDescent="0.3">
      <c r="C29" s="179">
        <f t="shared" si="10"/>
        <v>12</v>
      </c>
      <c r="D29" s="180">
        <f t="shared" si="19"/>
        <v>30.4</v>
      </c>
      <c r="E29" s="165">
        <f>IF(C29="","",Simulador!$F$62)</f>
        <v>0.11</v>
      </c>
      <c r="F29" s="167"/>
      <c r="G29" s="167">
        <f t="shared" si="20"/>
        <v>0</v>
      </c>
      <c r="H29" s="166"/>
      <c r="I29" s="167">
        <f t="shared" si="7"/>
        <v>0</v>
      </c>
      <c r="J29" s="167">
        <f t="shared" si="8"/>
        <v>0</v>
      </c>
      <c r="K29" s="172">
        <f t="shared" si="11"/>
        <v>0</v>
      </c>
      <c r="L29" s="167">
        <f t="shared" si="2"/>
        <v>0</v>
      </c>
      <c r="M29" s="167">
        <f t="shared" si="21"/>
        <v>0</v>
      </c>
      <c r="N29" s="167">
        <f>IF(C29="","",IF(G29=0,0,IF(Simulador!$F$11='Tabla Parámetros'!$W$1,'Tabla Parámetros'!$W$28,IF(Simulador!$F$11='Tabla Parámetros'!$Y$1,'Tabla Parámetros'!$Y$12))))</f>
        <v>0</v>
      </c>
      <c r="O29" s="167"/>
      <c r="P29" s="167">
        <f>Simulador!O403</f>
        <v>0</v>
      </c>
      <c r="Q29" s="167">
        <f t="shared" si="22"/>
        <v>0</v>
      </c>
      <c r="R29" s="167">
        <f t="shared" si="12"/>
        <v>0</v>
      </c>
      <c r="U29" s="6"/>
      <c r="V29" s="6"/>
      <c r="W29" s="6"/>
      <c r="X29" s="256">
        <f t="shared" si="6"/>
        <v>0</v>
      </c>
      <c r="Z29" s="201">
        <f t="shared" si="9"/>
        <v>0</v>
      </c>
      <c r="AA29" s="201">
        <f t="shared" si="13"/>
        <v>0</v>
      </c>
      <c r="AB29" s="202">
        <f t="shared" si="14"/>
        <v>0</v>
      </c>
      <c r="AC29" s="201">
        <f t="shared" si="15"/>
        <v>10421.884210717653</v>
      </c>
      <c r="AD29" s="201">
        <f t="shared" si="16"/>
        <v>0</v>
      </c>
      <c r="AE29" s="201">
        <f t="shared" si="23"/>
        <v>10421.884210717653</v>
      </c>
      <c r="AF29" s="201">
        <f t="shared" si="17"/>
        <v>0</v>
      </c>
      <c r="AG29" s="201">
        <f t="shared" si="18"/>
        <v>0</v>
      </c>
      <c r="AH29" s="201">
        <f t="shared" si="24"/>
        <v>0</v>
      </c>
    </row>
    <row r="30" spans="3:34" x14ac:dyDescent="0.3">
      <c r="C30" s="181">
        <f t="shared" si="10"/>
        <v>13</v>
      </c>
      <c r="D30" s="180">
        <f t="shared" si="19"/>
        <v>30.4</v>
      </c>
      <c r="E30" s="165">
        <f>IF(C30="","",Simulador!$F$62)</f>
        <v>0.11</v>
      </c>
      <c r="F30" s="167"/>
      <c r="G30" s="167">
        <f t="shared" si="20"/>
        <v>0</v>
      </c>
      <c r="H30" s="166"/>
      <c r="I30" s="167">
        <f t="shared" si="7"/>
        <v>0</v>
      </c>
      <c r="J30" s="167">
        <f t="shared" si="8"/>
        <v>0</v>
      </c>
      <c r="K30" s="172">
        <f t="shared" si="11"/>
        <v>0</v>
      </c>
      <c r="L30" s="167">
        <f t="shared" si="2"/>
        <v>0</v>
      </c>
      <c r="M30" s="167">
        <f t="shared" si="21"/>
        <v>0</v>
      </c>
      <c r="N30" s="167">
        <f>IF(C30="","",IF(G30=0,0,IF(Simulador!$F$11='Tabla Parámetros'!$W$1,'Tabla Parámetros'!$W$28,IF(Simulador!$F$11='Tabla Parámetros'!$Y$1,'Tabla Parámetros'!$Y$12))))</f>
        <v>0</v>
      </c>
      <c r="O30" s="167"/>
      <c r="P30" s="167">
        <f>Simulador!O404</f>
        <v>0</v>
      </c>
      <c r="Q30" s="167">
        <f t="shared" si="22"/>
        <v>0</v>
      </c>
      <c r="R30" s="167">
        <f t="shared" si="12"/>
        <v>0</v>
      </c>
      <c r="U30" s="6"/>
      <c r="V30" s="6"/>
      <c r="W30" s="6"/>
      <c r="X30" s="256">
        <f t="shared" si="6"/>
        <v>0</v>
      </c>
      <c r="Z30" s="201">
        <f t="shared" si="9"/>
        <v>0</v>
      </c>
      <c r="AA30" s="201">
        <f t="shared" si="13"/>
        <v>0</v>
      </c>
      <c r="AB30" s="202">
        <f t="shared" si="14"/>
        <v>0</v>
      </c>
      <c r="AC30" s="201">
        <f t="shared" si="15"/>
        <v>10421.884210717653</v>
      </c>
      <c r="AD30" s="201">
        <f t="shared" si="16"/>
        <v>0</v>
      </c>
      <c r="AE30" s="201">
        <f t="shared" si="23"/>
        <v>10421.884210717653</v>
      </c>
      <c r="AF30" s="201">
        <f t="shared" si="17"/>
        <v>0</v>
      </c>
      <c r="AG30" s="201">
        <f t="shared" si="18"/>
        <v>0</v>
      </c>
      <c r="AH30" s="201">
        <f t="shared" si="24"/>
        <v>0</v>
      </c>
    </row>
    <row r="31" spans="3:34" x14ac:dyDescent="0.3">
      <c r="C31" s="179">
        <f t="shared" si="10"/>
        <v>14</v>
      </c>
      <c r="D31" s="180">
        <f t="shared" si="19"/>
        <v>30.4</v>
      </c>
      <c r="E31" s="165">
        <f>IF(C31="","",Simulador!$F$62)</f>
        <v>0.11</v>
      </c>
      <c r="F31" s="167"/>
      <c r="G31" s="167">
        <f t="shared" si="20"/>
        <v>0</v>
      </c>
      <c r="H31" s="166"/>
      <c r="I31" s="167">
        <f t="shared" si="7"/>
        <v>0</v>
      </c>
      <c r="J31" s="167">
        <f t="shared" si="8"/>
        <v>0</v>
      </c>
      <c r="K31" s="172">
        <f t="shared" si="11"/>
        <v>0</v>
      </c>
      <c r="L31" s="167">
        <f t="shared" si="2"/>
        <v>0</v>
      </c>
      <c r="M31" s="167">
        <f t="shared" si="21"/>
        <v>0</v>
      </c>
      <c r="N31" s="167">
        <f>IF(C31="","",IF(G31=0,0,IF(Simulador!$F$11='Tabla Parámetros'!$W$1,'Tabla Parámetros'!$W$28,IF(Simulador!$F$11='Tabla Parámetros'!$Y$1,'Tabla Parámetros'!$Y$12))))</f>
        <v>0</v>
      </c>
      <c r="O31" s="167"/>
      <c r="P31" s="167">
        <f>Simulador!O405</f>
        <v>0</v>
      </c>
      <c r="Q31" s="167">
        <f t="shared" si="22"/>
        <v>0</v>
      </c>
      <c r="R31" s="167">
        <f t="shared" si="12"/>
        <v>0</v>
      </c>
      <c r="U31" s="6"/>
      <c r="V31" s="6"/>
      <c r="W31" s="6"/>
      <c r="X31" s="256">
        <f t="shared" si="6"/>
        <v>0</v>
      </c>
      <c r="Z31" s="201">
        <f t="shared" si="9"/>
        <v>0</v>
      </c>
      <c r="AA31" s="201">
        <f t="shared" si="13"/>
        <v>0</v>
      </c>
      <c r="AB31" s="202">
        <f t="shared" si="14"/>
        <v>0</v>
      </c>
      <c r="AC31" s="201">
        <f t="shared" si="15"/>
        <v>10421.884210717653</v>
      </c>
      <c r="AD31" s="201">
        <f t="shared" si="16"/>
        <v>0</v>
      </c>
      <c r="AE31" s="201">
        <f t="shared" si="23"/>
        <v>10421.884210717653</v>
      </c>
      <c r="AF31" s="201">
        <f t="shared" si="17"/>
        <v>0</v>
      </c>
      <c r="AG31" s="201">
        <f t="shared" si="18"/>
        <v>0</v>
      </c>
      <c r="AH31" s="201">
        <f t="shared" si="24"/>
        <v>0</v>
      </c>
    </row>
    <row r="32" spans="3:34" x14ac:dyDescent="0.3">
      <c r="C32" s="179">
        <f t="shared" si="10"/>
        <v>15</v>
      </c>
      <c r="D32" s="180">
        <f t="shared" si="19"/>
        <v>30.4</v>
      </c>
      <c r="E32" s="165">
        <f>IF(C32="","",Simulador!$F$62)</f>
        <v>0.11</v>
      </c>
      <c r="F32" s="167"/>
      <c r="G32" s="167">
        <f t="shared" si="20"/>
        <v>0</v>
      </c>
      <c r="H32" s="166"/>
      <c r="I32" s="167">
        <f t="shared" si="7"/>
        <v>0</v>
      </c>
      <c r="J32" s="167">
        <f t="shared" si="8"/>
        <v>0</v>
      </c>
      <c r="K32" s="172">
        <f t="shared" si="11"/>
        <v>0</v>
      </c>
      <c r="L32" s="167">
        <f t="shared" si="2"/>
        <v>0</v>
      </c>
      <c r="M32" s="167">
        <f t="shared" si="21"/>
        <v>0</v>
      </c>
      <c r="N32" s="167">
        <f>IF(C32="","",IF(G32=0,0,IF(Simulador!$F$11='Tabla Parámetros'!$W$1,'Tabla Parámetros'!$W$28,IF(Simulador!$F$11='Tabla Parámetros'!$Y$1,'Tabla Parámetros'!$Y$12))))</f>
        <v>0</v>
      </c>
      <c r="O32" s="167"/>
      <c r="P32" s="167">
        <f>Simulador!O406</f>
        <v>0</v>
      </c>
      <c r="Q32" s="167">
        <f t="shared" si="22"/>
        <v>0</v>
      </c>
      <c r="R32" s="167">
        <f t="shared" si="12"/>
        <v>0</v>
      </c>
      <c r="U32" s="6"/>
      <c r="V32" s="6"/>
      <c r="W32" s="6"/>
      <c r="X32" s="256">
        <f t="shared" si="6"/>
        <v>0</v>
      </c>
      <c r="Z32" s="201">
        <f t="shared" si="9"/>
        <v>0</v>
      </c>
      <c r="AA32" s="201">
        <f t="shared" si="13"/>
        <v>0</v>
      </c>
      <c r="AB32" s="202">
        <f t="shared" si="14"/>
        <v>0</v>
      </c>
      <c r="AC32" s="201">
        <f t="shared" si="15"/>
        <v>10421.884210717653</v>
      </c>
      <c r="AD32" s="201">
        <f t="shared" si="16"/>
        <v>0</v>
      </c>
      <c r="AE32" s="201">
        <f t="shared" si="23"/>
        <v>10421.884210717653</v>
      </c>
      <c r="AF32" s="201">
        <f t="shared" si="17"/>
        <v>0</v>
      </c>
      <c r="AG32" s="201">
        <f t="shared" si="18"/>
        <v>0</v>
      </c>
      <c r="AH32" s="201">
        <f t="shared" si="24"/>
        <v>0</v>
      </c>
    </row>
    <row r="33" spans="3:34" x14ac:dyDescent="0.3">
      <c r="C33" s="179">
        <f t="shared" si="10"/>
        <v>16</v>
      </c>
      <c r="D33" s="180">
        <f t="shared" si="19"/>
        <v>30.4</v>
      </c>
      <c r="E33" s="165">
        <f>IF(C33="","",Simulador!$F$62)</f>
        <v>0.11</v>
      </c>
      <c r="F33" s="167"/>
      <c r="G33" s="167">
        <f t="shared" si="20"/>
        <v>0</v>
      </c>
      <c r="H33" s="166"/>
      <c r="I33" s="167">
        <f t="shared" si="7"/>
        <v>0</v>
      </c>
      <c r="J33" s="167">
        <f t="shared" si="8"/>
        <v>0</v>
      </c>
      <c r="K33" s="172">
        <f t="shared" si="11"/>
        <v>0</v>
      </c>
      <c r="L33" s="167">
        <f t="shared" si="2"/>
        <v>0</v>
      </c>
      <c r="M33" s="167">
        <f t="shared" si="21"/>
        <v>0</v>
      </c>
      <c r="N33" s="167">
        <f>IF(C33="","",IF(G33=0,0,IF(Simulador!$F$11='Tabla Parámetros'!$W$1,'Tabla Parámetros'!$W$28,IF(Simulador!$F$11='Tabla Parámetros'!$Y$1,'Tabla Parámetros'!$Y$12))))</f>
        <v>0</v>
      </c>
      <c r="O33" s="167"/>
      <c r="P33" s="167">
        <f>Simulador!O407</f>
        <v>0</v>
      </c>
      <c r="Q33" s="167">
        <f t="shared" si="22"/>
        <v>0</v>
      </c>
      <c r="R33" s="167">
        <f t="shared" si="12"/>
        <v>0</v>
      </c>
      <c r="U33" s="6"/>
      <c r="V33" s="6"/>
      <c r="W33" s="6"/>
      <c r="X33" s="256">
        <f t="shared" si="6"/>
        <v>0</v>
      </c>
      <c r="Z33" s="201">
        <f t="shared" si="9"/>
        <v>0</v>
      </c>
      <c r="AA33" s="201">
        <f t="shared" si="13"/>
        <v>0</v>
      </c>
      <c r="AB33" s="202">
        <f t="shared" si="14"/>
        <v>0</v>
      </c>
      <c r="AC33" s="201">
        <f t="shared" si="15"/>
        <v>10421.884210717653</v>
      </c>
      <c r="AD33" s="201">
        <f t="shared" si="16"/>
        <v>0</v>
      </c>
      <c r="AE33" s="201">
        <f t="shared" si="23"/>
        <v>10421.884210717653</v>
      </c>
      <c r="AF33" s="201">
        <f t="shared" si="17"/>
        <v>0</v>
      </c>
      <c r="AG33" s="201">
        <f t="shared" si="18"/>
        <v>0</v>
      </c>
      <c r="AH33" s="201">
        <f t="shared" si="24"/>
        <v>0</v>
      </c>
    </row>
    <row r="34" spans="3:34" x14ac:dyDescent="0.3">
      <c r="C34" s="181">
        <f t="shared" si="10"/>
        <v>17</v>
      </c>
      <c r="D34" s="180">
        <f t="shared" si="19"/>
        <v>30.4</v>
      </c>
      <c r="E34" s="165">
        <f>IF(C34="","",Simulador!$F$62)</f>
        <v>0.11</v>
      </c>
      <c r="F34" s="167"/>
      <c r="G34" s="167">
        <f t="shared" si="20"/>
        <v>0</v>
      </c>
      <c r="H34" s="166"/>
      <c r="I34" s="167">
        <f t="shared" si="7"/>
        <v>0</v>
      </c>
      <c r="J34" s="167">
        <f t="shared" si="8"/>
        <v>0</v>
      </c>
      <c r="K34" s="172">
        <f t="shared" si="11"/>
        <v>0</v>
      </c>
      <c r="L34" s="167">
        <f t="shared" si="2"/>
        <v>0</v>
      </c>
      <c r="M34" s="167">
        <f t="shared" si="21"/>
        <v>0</v>
      </c>
      <c r="N34" s="167">
        <f>IF(C34="","",IF(G34=0,0,IF(Simulador!$F$11='Tabla Parámetros'!$W$1,'Tabla Parámetros'!$W$28,IF(Simulador!$F$11='Tabla Parámetros'!$Y$1,'Tabla Parámetros'!$Y$12))))</f>
        <v>0</v>
      </c>
      <c r="O34" s="167"/>
      <c r="P34" s="167">
        <f>Simulador!O408</f>
        <v>0</v>
      </c>
      <c r="Q34" s="167">
        <f t="shared" si="22"/>
        <v>0</v>
      </c>
      <c r="R34" s="167">
        <f t="shared" si="12"/>
        <v>0</v>
      </c>
      <c r="U34" s="6"/>
      <c r="V34" s="6"/>
      <c r="W34" s="6"/>
      <c r="X34" s="256">
        <f t="shared" si="6"/>
        <v>0</v>
      </c>
      <c r="Z34" s="201">
        <f t="shared" si="9"/>
        <v>0</v>
      </c>
      <c r="AA34" s="201">
        <f t="shared" si="13"/>
        <v>0</v>
      </c>
      <c r="AB34" s="202">
        <f t="shared" si="14"/>
        <v>0</v>
      </c>
      <c r="AC34" s="201">
        <f t="shared" si="15"/>
        <v>10421.884210717653</v>
      </c>
      <c r="AD34" s="201">
        <f t="shared" si="16"/>
        <v>0</v>
      </c>
      <c r="AE34" s="201">
        <f t="shared" si="23"/>
        <v>10421.884210717653</v>
      </c>
      <c r="AF34" s="201">
        <f t="shared" si="17"/>
        <v>0</v>
      </c>
      <c r="AG34" s="201">
        <f t="shared" si="18"/>
        <v>0</v>
      </c>
      <c r="AH34" s="201">
        <f t="shared" si="24"/>
        <v>0</v>
      </c>
    </row>
    <row r="35" spans="3:34" x14ac:dyDescent="0.3">
      <c r="C35" s="179">
        <f t="shared" si="10"/>
        <v>18</v>
      </c>
      <c r="D35" s="180">
        <f t="shared" si="19"/>
        <v>30.4</v>
      </c>
      <c r="E35" s="165">
        <f>IF(C35="","",Simulador!$F$62)</f>
        <v>0.11</v>
      </c>
      <c r="F35" s="167"/>
      <c r="G35" s="167">
        <f t="shared" si="20"/>
        <v>0</v>
      </c>
      <c r="H35" s="166"/>
      <c r="I35" s="167">
        <f t="shared" si="7"/>
        <v>0</v>
      </c>
      <c r="J35" s="167">
        <f t="shared" si="8"/>
        <v>0</v>
      </c>
      <c r="K35" s="172">
        <f t="shared" si="11"/>
        <v>0</v>
      </c>
      <c r="L35" s="167">
        <f t="shared" si="2"/>
        <v>0</v>
      </c>
      <c r="M35" s="167">
        <f t="shared" si="21"/>
        <v>0</v>
      </c>
      <c r="N35" s="167">
        <f>IF(C35="","",IF(G35=0,0,IF(Simulador!$F$11='Tabla Parámetros'!$W$1,'Tabla Parámetros'!$W$28,IF(Simulador!$F$11='Tabla Parámetros'!$Y$1,'Tabla Parámetros'!$Y$12))))</f>
        <v>0</v>
      </c>
      <c r="O35" s="167"/>
      <c r="P35" s="167">
        <f>Simulador!O409</f>
        <v>0</v>
      </c>
      <c r="Q35" s="167">
        <f t="shared" si="22"/>
        <v>0</v>
      </c>
      <c r="R35" s="167">
        <f t="shared" si="12"/>
        <v>0</v>
      </c>
      <c r="U35" s="6"/>
      <c r="V35" s="6"/>
      <c r="W35" s="6"/>
      <c r="X35" s="256">
        <f t="shared" si="6"/>
        <v>0</v>
      </c>
      <c r="Z35" s="201">
        <f t="shared" si="9"/>
        <v>0</v>
      </c>
      <c r="AA35" s="201">
        <f t="shared" si="13"/>
        <v>0</v>
      </c>
      <c r="AB35" s="202">
        <f t="shared" si="14"/>
        <v>0</v>
      </c>
      <c r="AC35" s="201">
        <f t="shared" si="15"/>
        <v>10421.884210717653</v>
      </c>
      <c r="AD35" s="201">
        <f t="shared" si="16"/>
        <v>0</v>
      </c>
      <c r="AE35" s="201">
        <f t="shared" si="23"/>
        <v>10421.884210717653</v>
      </c>
      <c r="AF35" s="201">
        <f t="shared" si="17"/>
        <v>0</v>
      </c>
      <c r="AG35" s="201">
        <f t="shared" si="18"/>
        <v>0</v>
      </c>
      <c r="AH35" s="201">
        <f t="shared" si="24"/>
        <v>0</v>
      </c>
    </row>
    <row r="36" spans="3:34" x14ac:dyDescent="0.3">
      <c r="C36" s="179">
        <f t="shared" si="10"/>
        <v>19</v>
      </c>
      <c r="D36" s="180">
        <f t="shared" si="19"/>
        <v>30.4</v>
      </c>
      <c r="E36" s="165">
        <f>IF(C36="","",Simulador!$F$62)</f>
        <v>0.11</v>
      </c>
      <c r="F36" s="167"/>
      <c r="G36" s="167">
        <f t="shared" si="20"/>
        <v>0</v>
      </c>
      <c r="H36" s="166"/>
      <c r="I36" s="167">
        <f t="shared" si="7"/>
        <v>0</v>
      </c>
      <c r="J36" s="167">
        <f t="shared" si="8"/>
        <v>0</v>
      </c>
      <c r="K36" s="172">
        <f t="shared" si="11"/>
        <v>0</v>
      </c>
      <c r="L36" s="167">
        <f t="shared" si="2"/>
        <v>0</v>
      </c>
      <c r="M36" s="167">
        <f t="shared" si="21"/>
        <v>0</v>
      </c>
      <c r="N36" s="167">
        <f>IF(C36="","",IF(G36=0,0,IF(Simulador!$F$11='Tabla Parámetros'!$W$1,'Tabla Parámetros'!$W$28,IF(Simulador!$F$11='Tabla Parámetros'!$Y$1,'Tabla Parámetros'!$Y$12))))</f>
        <v>0</v>
      </c>
      <c r="O36" s="167"/>
      <c r="P36" s="167">
        <f>Simulador!O410</f>
        <v>0</v>
      </c>
      <c r="Q36" s="167">
        <f t="shared" si="22"/>
        <v>0</v>
      </c>
      <c r="R36" s="167">
        <f t="shared" si="12"/>
        <v>0</v>
      </c>
      <c r="U36" s="6"/>
      <c r="V36" s="6"/>
      <c r="W36" s="6"/>
      <c r="X36" s="256">
        <f t="shared" si="6"/>
        <v>0</v>
      </c>
      <c r="Z36" s="201">
        <f t="shared" si="9"/>
        <v>0</v>
      </c>
      <c r="AA36" s="201">
        <f t="shared" si="13"/>
        <v>0</v>
      </c>
      <c r="AB36" s="202">
        <f t="shared" si="14"/>
        <v>0</v>
      </c>
      <c r="AC36" s="201">
        <f t="shared" si="15"/>
        <v>10421.884210717653</v>
      </c>
      <c r="AD36" s="201">
        <f t="shared" si="16"/>
        <v>0</v>
      </c>
      <c r="AE36" s="201">
        <f t="shared" si="23"/>
        <v>10421.884210717653</v>
      </c>
      <c r="AF36" s="201">
        <f t="shared" si="17"/>
        <v>0</v>
      </c>
      <c r="AG36" s="201">
        <f t="shared" si="18"/>
        <v>0</v>
      </c>
      <c r="AH36" s="201">
        <f t="shared" si="24"/>
        <v>0</v>
      </c>
    </row>
    <row r="37" spans="3:34" x14ac:dyDescent="0.3">
      <c r="C37" s="179">
        <f t="shared" si="10"/>
        <v>20</v>
      </c>
      <c r="D37" s="180">
        <f t="shared" si="19"/>
        <v>30.4</v>
      </c>
      <c r="E37" s="165">
        <f>IF(C37="","",Simulador!$F$62)</f>
        <v>0.11</v>
      </c>
      <c r="F37" s="167"/>
      <c r="G37" s="167">
        <f t="shared" si="20"/>
        <v>0</v>
      </c>
      <c r="H37" s="166"/>
      <c r="I37" s="167">
        <f t="shared" si="7"/>
        <v>0</v>
      </c>
      <c r="J37" s="167">
        <f t="shared" si="8"/>
        <v>0</v>
      </c>
      <c r="K37" s="172">
        <f t="shared" si="11"/>
        <v>0</v>
      </c>
      <c r="L37" s="167">
        <f t="shared" si="2"/>
        <v>0</v>
      </c>
      <c r="M37" s="167">
        <f t="shared" si="21"/>
        <v>0</v>
      </c>
      <c r="N37" s="167">
        <f>IF(C37="","",IF(G37=0,0,IF(Simulador!$F$11='Tabla Parámetros'!$W$1,'Tabla Parámetros'!$W$28,IF(Simulador!$F$11='Tabla Parámetros'!$Y$1,'Tabla Parámetros'!$Y$12))))</f>
        <v>0</v>
      </c>
      <c r="O37" s="167"/>
      <c r="P37" s="167">
        <f>Simulador!O411</f>
        <v>0</v>
      </c>
      <c r="Q37" s="167">
        <f t="shared" si="22"/>
        <v>0</v>
      </c>
      <c r="R37" s="167">
        <f t="shared" si="12"/>
        <v>0</v>
      </c>
      <c r="U37" s="6"/>
      <c r="V37" s="6"/>
      <c r="W37" s="6"/>
      <c r="X37" s="256">
        <f t="shared" si="6"/>
        <v>0</v>
      </c>
      <c r="Z37" s="201">
        <f t="shared" si="9"/>
        <v>0</v>
      </c>
      <c r="AA37" s="201">
        <f t="shared" si="13"/>
        <v>0</v>
      </c>
      <c r="AB37" s="202">
        <f t="shared" si="14"/>
        <v>0</v>
      </c>
      <c r="AC37" s="201">
        <f t="shared" si="15"/>
        <v>10421.884210717653</v>
      </c>
      <c r="AD37" s="201">
        <f t="shared" si="16"/>
        <v>0</v>
      </c>
      <c r="AE37" s="201">
        <f t="shared" si="23"/>
        <v>10421.884210717653</v>
      </c>
      <c r="AF37" s="201">
        <f t="shared" si="17"/>
        <v>0</v>
      </c>
      <c r="AG37" s="201">
        <f t="shared" si="18"/>
        <v>0</v>
      </c>
      <c r="AH37" s="201">
        <f t="shared" si="24"/>
        <v>0</v>
      </c>
    </row>
    <row r="38" spans="3:34" x14ac:dyDescent="0.3">
      <c r="C38" s="181">
        <f t="shared" si="10"/>
        <v>21</v>
      </c>
      <c r="D38" s="180">
        <f t="shared" si="19"/>
        <v>30.4</v>
      </c>
      <c r="E38" s="165">
        <f>IF(C38="","",Simulador!$F$62)</f>
        <v>0.11</v>
      </c>
      <c r="F38" s="167"/>
      <c r="G38" s="167">
        <f t="shared" si="20"/>
        <v>0</v>
      </c>
      <c r="H38" s="166"/>
      <c r="I38" s="167">
        <f t="shared" si="7"/>
        <v>0</v>
      </c>
      <c r="J38" s="167">
        <f t="shared" si="8"/>
        <v>0</v>
      </c>
      <c r="K38" s="172">
        <f t="shared" si="11"/>
        <v>0</v>
      </c>
      <c r="L38" s="167">
        <f t="shared" si="2"/>
        <v>0</v>
      </c>
      <c r="M38" s="167">
        <f t="shared" si="21"/>
        <v>0</v>
      </c>
      <c r="N38" s="167">
        <f>IF(C38="","",IF(G38=0,0,IF(Simulador!$F$11='Tabla Parámetros'!$W$1,'Tabla Parámetros'!$W$28,IF(Simulador!$F$11='Tabla Parámetros'!$Y$1,'Tabla Parámetros'!$Y$12))))</f>
        <v>0</v>
      </c>
      <c r="O38" s="167"/>
      <c r="P38" s="167">
        <f>Simulador!O412</f>
        <v>0</v>
      </c>
      <c r="Q38" s="167">
        <f t="shared" si="22"/>
        <v>0</v>
      </c>
      <c r="R38" s="167">
        <f t="shared" si="12"/>
        <v>0</v>
      </c>
      <c r="U38" s="6"/>
      <c r="V38" s="6"/>
      <c r="W38" s="6"/>
      <c r="X38" s="256">
        <f t="shared" si="6"/>
        <v>0</v>
      </c>
      <c r="Z38" s="201">
        <f t="shared" si="9"/>
        <v>0</v>
      </c>
      <c r="AA38" s="201">
        <f t="shared" si="13"/>
        <v>0</v>
      </c>
      <c r="AB38" s="202">
        <f t="shared" si="14"/>
        <v>0</v>
      </c>
      <c r="AC38" s="201">
        <f t="shared" si="15"/>
        <v>10421.884210717653</v>
      </c>
      <c r="AD38" s="201">
        <f t="shared" si="16"/>
        <v>0</v>
      </c>
      <c r="AE38" s="201">
        <f t="shared" si="23"/>
        <v>10421.884210717653</v>
      </c>
      <c r="AF38" s="201">
        <f t="shared" si="17"/>
        <v>0</v>
      </c>
      <c r="AG38" s="201">
        <f t="shared" si="18"/>
        <v>0</v>
      </c>
      <c r="AH38" s="201">
        <f t="shared" si="24"/>
        <v>0</v>
      </c>
    </row>
    <row r="39" spans="3:34" x14ac:dyDescent="0.3">
      <c r="C39" s="179">
        <f t="shared" si="10"/>
        <v>22</v>
      </c>
      <c r="D39" s="180">
        <f t="shared" si="19"/>
        <v>30.4</v>
      </c>
      <c r="E39" s="165">
        <f>IF(C39="","",Simulador!$F$62)</f>
        <v>0.11</v>
      </c>
      <c r="F39" s="167"/>
      <c r="G39" s="167">
        <f t="shared" si="20"/>
        <v>0</v>
      </c>
      <c r="H39" s="166"/>
      <c r="I39" s="167">
        <f t="shared" si="7"/>
        <v>0</v>
      </c>
      <c r="J39" s="167">
        <f t="shared" si="8"/>
        <v>0</v>
      </c>
      <c r="K39" s="172">
        <f t="shared" si="11"/>
        <v>0</v>
      </c>
      <c r="L39" s="167">
        <f t="shared" si="2"/>
        <v>0</v>
      </c>
      <c r="M39" s="167">
        <f t="shared" si="21"/>
        <v>0</v>
      </c>
      <c r="N39" s="167">
        <f>IF(C39="","",IF(G39=0,0,IF(Simulador!$F$11='Tabla Parámetros'!$W$1,'Tabla Parámetros'!$W$28,IF(Simulador!$F$11='Tabla Parámetros'!$Y$1,'Tabla Parámetros'!$Y$12))))</f>
        <v>0</v>
      </c>
      <c r="O39" s="167"/>
      <c r="P39" s="167">
        <f>Simulador!O413</f>
        <v>0</v>
      </c>
      <c r="Q39" s="167">
        <f t="shared" si="22"/>
        <v>0</v>
      </c>
      <c r="R39" s="167">
        <f t="shared" si="12"/>
        <v>0</v>
      </c>
      <c r="U39" s="6"/>
      <c r="V39" s="6"/>
      <c r="W39" s="6"/>
      <c r="X39" s="256">
        <f t="shared" si="6"/>
        <v>0</v>
      </c>
      <c r="Z39" s="201">
        <f t="shared" si="9"/>
        <v>0</v>
      </c>
      <c r="AA39" s="201">
        <f t="shared" si="13"/>
        <v>0</v>
      </c>
      <c r="AB39" s="202">
        <f t="shared" si="14"/>
        <v>0</v>
      </c>
      <c r="AC39" s="201">
        <f t="shared" si="15"/>
        <v>10421.884210717653</v>
      </c>
      <c r="AD39" s="201">
        <f t="shared" si="16"/>
        <v>0</v>
      </c>
      <c r="AE39" s="201">
        <f t="shared" si="23"/>
        <v>10421.884210717653</v>
      </c>
      <c r="AF39" s="201">
        <f t="shared" si="17"/>
        <v>0</v>
      </c>
      <c r="AG39" s="201">
        <f t="shared" si="18"/>
        <v>0</v>
      </c>
      <c r="AH39" s="201">
        <f t="shared" si="24"/>
        <v>0</v>
      </c>
    </row>
    <row r="40" spans="3:34" x14ac:dyDescent="0.3">
      <c r="C40" s="179">
        <f t="shared" si="10"/>
        <v>23</v>
      </c>
      <c r="D40" s="180">
        <f t="shared" si="19"/>
        <v>30.4</v>
      </c>
      <c r="E40" s="165">
        <f>IF(C40="","",Simulador!$F$62)</f>
        <v>0.11</v>
      </c>
      <c r="F40" s="167"/>
      <c r="G40" s="167">
        <f t="shared" si="20"/>
        <v>0</v>
      </c>
      <c r="H40" s="166"/>
      <c r="I40" s="167">
        <f t="shared" si="7"/>
        <v>0</v>
      </c>
      <c r="J40" s="167">
        <f t="shared" si="8"/>
        <v>0</v>
      </c>
      <c r="K40" s="172">
        <f t="shared" si="11"/>
        <v>0</v>
      </c>
      <c r="L40" s="167">
        <f t="shared" si="2"/>
        <v>0</v>
      </c>
      <c r="M40" s="167">
        <f t="shared" si="21"/>
        <v>0</v>
      </c>
      <c r="N40" s="167">
        <f>IF(C40="","",IF(G40=0,0,IF(Simulador!$F$11='Tabla Parámetros'!$W$1,'Tabla Parámetros'!$W$28,IF(Simulador!$F$11='Tabla Parámetros'!$Y$1,'Tabla Parámetros'!$Y$12))))</f>
        <v>0</v>
      </c>
      <c r="O40" s="167"/>
      <c r="P40" s="167">
        <f>Simulador!O414</f>
        <v>0</v>
      </c>
      <c r="Q40" s="167">
        <f t="shared" si="22"/>
        <v>0</v>
      </c>
      <c r="R40" s="167">
        <f t="shared" si="12"/>
        <v>0</v>
      </c>
      <c r="U40" s="6"/>
      <c r="V40" s="6"/>
      <c r="W40" s="6"/>
      <c r="X40" s="256">
        <f t="shared" si="6"/>
        <v>0</v>
      </c>
      <c r="Z40" s="201">
        <f t="shared" si="9"/>
        <v>0</v>
      </c>
      <c r="AA40" s="201">
        <f t="shared" si="13"/>
        <v>0</v>
      </c>
      <c r="AB40" s="202">
        <f t="shared" si="14"/>
        <v>0</v>
      </c>
      <c r="AC40" s="201">
        <f t="shared" si="15"/>
        <v>10421.884210717653</v>
      </c>
      <c r="AD40" s="201">
        <f t="shared" si="16"/>
        <v>0</v>
      </c>
      <c r="AE40" s="201">
        <f t="shared" si="23"/>
        <v>10421.884210717653</v>
      </c>
      <c r="AF40" s="201">
        <f t="shared" si="17"/>
        <v>0</v>
      </c>
      <c r="AG40" s="201">
        <f t="shared" si="18"/>
        <v>0</v>
      </c>
      <c r="AH40" s="201">
        <f t="shared" si="24"/>
        <v>0</v>
      </c>
    </row>
    <row r="41" spans="3:34" x14ac:dyDescent="0.3">
      <c r="C41" s="179">
        <f t="shared" si="10"/>
        <v>24</v>
      </c>
      <c r="D41" s="180">
        <f t="shared" si="19"/>
        <v>30.4</v>
      </c>
      <c r="E41" s="165">
        <f>IF(C41="","",Simulador!$F$62)</f>
        <v>0.11</v>
      </c>
      <c r="F41" s="167"/>
      <c r="G41" s="167">
        <f t="shared" si="20"/>
        <v>0</v>
      </c>
      <c r="H41" s="166"/>
      <c r="I41" s="167">
        <f t="shared" si="7"/>
        <v>0</v>
      </c>
      <c r="J41" s="167">
        <f t="shared" si="8"/>
        <v>0</v>
      </c>
      <c r="K41" s="172">
        <f t="shared" si="11"/>
        <v>0</v>
      </c>
      <c r="L41" s="167">
        <f t="shared" si="2"/>
        <v>0</v>
      </c>
      <c r="M41" s="167">
        <f t="shared" si="21"/>
        <v>0</v>
      </c>
      <c r="N41" s="167">
        <f>IF(C41="","",IF(G41=0,0,IF(Simulador!$F$11='Tabla Parámetros'!$W$1,'Tabla Parámetros'!$W$28,IF(Simulador!$F$11='Tabla Parámetros'!$Y$1,'Tabla Parámetros'!$Y$12))))</f>
        <v>0</v>
      </c>
      <c r="O41" s="167"/>
      <c r="P41" s="167">
        <f>Simulador!O415</f>
        <v>0</v>
      </c>
      <c r="Q41" s="167">
        <f t="shared" si="22"/>
        <v>0</v>
      </c>
      <c r="R41" s="167">
        <f t="shared" si="12"/>
        <v>0</v>
      </c>
      <c r="U41" s="6"/>
      <c r="V41" s="6"/>
      <c r="W41" s="6"/>
      <c r="X41" s="256">
        <f t="shared" si="6"/>
        <v>0</v>
      </c>
      <c r="Z41" s="201">
        <f t="shared" si="9"/>
        <v>0</v>
      </c>
      <c r="AA41" s="201">
        <f t="shared" si="13"/>
        <v>0</v>
      </c>
      <c r="AB41" s="202">
        <f t="shared" si="14"/>
        <v>0</v>
      </c>
      <c r="AC41" s="201">
        <f t="shared" si="15"/>
        <v>10421.884210717653</v>
      </c>
      <c r="AD41" s="201">
        <f t="shared" si="16"/>
        <v>0</v>
      </c>
      <c r="AE41" s="201">
        <f t="shared" si="23"/>
        <v>10421.884210717653</v>
      </c>
      <c r="AF41" s="201">
        <f t="shared" si="17"/>
        <v>0</v>
      </c>
      <c r="AG41" s="201">
        <f t="shared" si="18"/>
        <v>0</v>
      </c>
      <c r="AH41" s="201">
        <f t="shared" si="24"/>
        <v>0</v>
      </c>
    </row>
    <row r="42" spans="3:34" x14ac:dyDescent="0.3">
      <c r="C42" s="181">
        <f t="shared" si="10"/>
        <v>25</v>
      </c>
      <c r="D42" s="180">
        <f t="shared" si="19"/>
        <v>30.4</v>
      </c>
      <c r="E42" s="165">
        <f>IF(C42="","",Simulador!$F$62)</f>
        <v>0.11</v>
      </c>
      <c r="F42" s="167"/>
      <c r="G42" s="167">
        <f t="shared" si="20"/>
        <v>0</v>
      </c>
      <c r="H42" s="166"/>
      <c r="I42" s="167">
        <f t="shared" si="7"/>
        <v>0</v>
      </c>
      <c r="J42" s="167">
        <f t="shared" si="8"/>
        <v>0</v>
      </c>
      <c r="K42" s="172">
        <f t="shared" si="11"/>
        <v>0</v>
      </c>
      <c r="L42" s="167">
        <f t="shared" si="2"/>
        <v>0</v>
      </c>
      <c r="M42" s="167">
        <f t="shared" si="21"/>
        <v>0</v>
      </c>
      <c r="N42" s="167">
        <f>IF(C42="","",IF(G42=0,0,IF(Simulador!$F$11='Tabla Parámetros'!$W$1,'Tabla Parámetros'!$W$28,IF(Simulador!$F$11='Tabla Parámetros'!$Y$1,'Tabla Parámetros'!$Y$12))))</f>
        <v>0</v>
      </c>
      <c r="O42" s="167"/>
      <c r="P42" s="167">
        <f>Simulador!O416</f>
        <v>0</v>
      </c>
      <c r="Q42" s="167">
        <f t="shared" si="22"/>
        <v>0</v>
      </c>
      <c r="R42" s="167">
        <f t="shared" si="12"/>
        <v>0</v>
      </c>
      <c r="U42" s="6"/>
      <c r="V42" s="6"/>
      <c r="W42" s="6"/>
      <c r="X42" s="256">
        <f t="shared" si="6"/>
        <v>0</v>
      </c>
      <c r="Z42" s="201">
        <f t="shared" si="9"/>
        <v>0</v>
      </c>
      <c r="AA42" s="201">
        <f t="shared" si="13"/>
        <v>0</v>
      </c>
      <c r="AB42" s="202">
        <f t="shared" si="14"/>
        <v>0</v>
      </c>
      <c r="AC42" s="201">
        <f t="shared" si="15"/>
        <v>10421.884210717653</v>
      </c>
      <c r="AD42" s="201">
        <f t="shared" si="16"/>
        <v>0</v>
      </c>
      <c r="AE42" s="201">
        <f t="shared" si="23"/>
        <v>10421.884210717653</v>
      </c>
      <c r="AF42" s="201">
        <f t="shared" si="17"/>
        <v>0</v>
      </c>
      <c r="AG42" s="201">
        <f t="shared" si="18"/>
        <v>0</v>
      </c>
      <c r="AH42" s="201">
        <f t="shared" si="24"/>
        <v>0</v>
      </c>
    </row>
    <row r="43" spans="3:34" x14ac:dyDescent="0.3">
      <c r="C43" s="179">
        <f t="shared" si="10"/>
        <v>26</v>
      </c>
      <c r="D43" s="180">
        <f t="shared" si="19"/>
        <v>30.4</v>
      </c>
      <c r="E43" s="165">
        <f>IF(C43="","",Simulador!$F$62)</f>
        <v>0.11</v>
      </c>
      <c r="F43" s="167"/>
      <c r="G43" s="167">
        <f t="shared" si="20"/>
        <v>0</v>
      </c>
      <c r="H43" s="166"/>
      <c r="I43" s="167">
        <f t="shared" si="7"/>
        <v>0</v>
      </c>
      <c r="J43" s="167">
        <f t="shared" si="8"/>
        <v>0</v>
      </c>
      <c r="K43" s="172">
        <f t="shared" si="11"/>
        <v>0</v>
      </c>
      <c r="L43" s="167">
        <f t="shared" si="2"/>
        <v>0</v>
      </c>
      <c r="M43" s="167">
        <f t="shared" si="21"/>
        <v>0</v>
      </c>
      <c r="N43" s="167">
        <f>IF(C43="","",IF(G43=0,0,IF(Simulador!$F$11='Tabla Parámetros'!$W$1,'Tabla Parámetros'!$W$28,IF(Simulador!$F$11='Tabla Parámetros'!$Y$1,'Tabla Parámetros'!$Y$12))))</f>
        <v>0</v>
      </c>
      <c r="O43" s="167"/>
      <c r="P43" s="167">
        <f>Simulador!O417</f>
        <v>0</v>
      </c>
      <c r="Q43" s="167">
        <f t="shared" si="22"/>
        <v>0</v>
      </c>
      <c r="R43" s="167">
        <f t="shared" si="12"/>
        <v>0</v>
      </c>
      <c r="U43" s="6"/>
      <c r="V43" s="6"/>
      <c r="W43" s="6"/>
      <c r="X43" s="256">
        <f t="shared" si="6"/>
        <v>0</v>
      </c>
      <c r="Z43" s="201">
        <f t="shared" si="9"/>
        <v>0</v>
      </c>
      <c r="AA43" s="201">
        <f t="shared" si="13"/>
        <v>0</v>
      </c>
      <c r="AB43" s="202">
        <f t="shared" si="14"/>
        <v>0</v>
      </c>
      <c r="AC43" s="201">
        <f t="shared" si="15"/>
        <v>10421.884210717653</v>
      </c>
      <c r="AD43" s="201">
        <f t="shared" si="16"/>
        <v>0</v>
      </c>
      <c r="AE43" s="201">
        <f t="shared" si="23"/>
        <v>10421.884210717653</v>
      </c>
      <c r="AF43" s="201">
        <f t="shared" si="17"/>
        <v>0</v>
      </c>
      <c r="AG43" s="201">
        <f t="shared" si="18"/>
        <v>0</v>
      </c>
      <c r="AH43" s="201">
        <f t="shared" si="24"/>
        <v>0</v>
      </c>
    </row>
    <row r="44" spans="3:34" x14ac:dyDescent="0.3">
      <c r="C44" s="179">
        <f t="shared" si="10"/>
        <v>27</v>
      </c>
      <c r="D44" s="180">
        <f t="shared" si="19"/>
        <v>30.4</v>
      </c>
      <c r="E44" s="165">
        <f>IF(C44="","",Simulador!$F$62)</f>
        <v>0.11</v>
      </c>
      <c r="F44" s="167"/>
      <c r="G44" s="167">
        <f t="shared" si="20"/>
        <v>0</v>
      </c>
      <c r="H44" s="166"/>
      <c r="I44" s="167">
        <f t="shared" si="7"/>
        <v>0</v>
      </c>
      <c r="J44" s="167">
        <f t="shared" si="8"/>
        <v>0</v>
      </c>
      <c r="K44" s="172">
        <f t="shared" si="11"/>
        <v>0</v>
      </c>
      <c r="L44" s="167">
        <f t="shared" si="2"/>
        <v>0</v>
      </c>
      <c r="M44" s="167">
        <f t="shared" si="21"/>
        <v>0</v>
      </c>
      <c r="N44" s="167">
        <f>IF(C44="","",IF(G44=0,0,IF(Simulador!$F$11='Tabla Parámetros'!$W$1,'Tabla Parámetros'!$W$28,IF(Simulador!$F$11='Tabla Parámetros'!$Y$1,'Tabla Parámetros'!$Y$12))))</f>
        <v>0</v>
      </c>
      <c r="O44" s="167"/>
      <c r="P44" s="167">
        <f>Simulador!O418</f>
        <v>0</v>
      </c>
      <c r="Q44" s="167">
        <f t="shared" si="22"/>
        <v>0</v>
      </c>
      <c r="R44" s="167">
        <f t="shared" si="12"/>
        <v>0</v>
      </c>
      <c r="U44" s="6"/>
      <c r="V44" s="6"/>
      <c r="W44" s="6"/>
      <c r="X44" s="256">
        <f t="shared" si="6"/>
        <v>0</v>
      </c>
      <c r="Z44" s="201">
        <f t="shared" si="9"/>
        <v>0</v>
      </c>
      <c r="AA44" s="201">
        <f t="shared" si="13"/>
        <v>0</v>
      </c>
      <c r="AB44" s="202">
        <f t="shared" si="14"/>
        <v>0</v>
      </c>
      <c r="AC44" s="201">
        <f t="shared" si="15"/>
        <v>10421.884210717653</v>
      </c>
      <c r="AD44" s="201">
        <f t="shared" si="16"/>
        <v>0</v>
      </c>
      <c r="AE44" s="201">
        <f t="shared" si="23"/>
        <v>10421.884210717653</v>
      </c>
      <c r="AF44" s="201">
        <f t="shared" si="17"/>
        <v>0</v>
      </c>
      <c r="AG44" s="201">
        <f t="shared" si="18"/>
        <v>0</v>
      </c>
      <c r="AH44" s="201">
        <f t="shared" si="24"/>
        <v>0</v>
      </c>
    </row>
    <row r="45" spans="3:34" x14ac:dyDescent="0.3">
      <c r="C45" s="179">
        <f t="shared" si="10"/>
        <v>28</v>
      </c>
      <c r="D45" s="180">
        <f t="shared" si="19"/>
        <v>30.4</v>
      </c>
      <c r="E45" s="165">
        <f>IF(C45="","",Simulador!$F$62)</f>
        <v>0.11</v>
      </c>
      <c r="F45" s="167"/>
      <c r="G45" s="167">
        <f t="shared" si="20"/>
        <v>0</v>
      </c>
      <c r="H45" s="166"/>
      <c r="I45" s="167">
        <f t="shared" si="7"/>
        <v>0</v>
      </c>
      <c r="J45" s="167">
        <f t="shared" si="8"/>
        <v>0</v>
      </c>
      <c r="K45" s="172">
        <f t="shared" si="11"/>
        <v>0</v>
      </c>
      <c r="L45" s="167">
        <f t="shared" si="2"/>
        <v>0</v>
      </c>
      <c r="M45" s="167">
        <f t="shared" si="21"/>
        <v>0</v>
      </c>
      <c r="N45" s="167">
        <f>IF(C45="","",IF(G45=0,0,IF(Simulador!$F$11='Tabla Parámetros'!$W$1,'Tabla Parámetros'!$W$28,IF(Simulador!$F$11='Tabla Parámetros'!$Y$1,'Tabla Parámetros'!$Y$12))))</f>
        <v>0</v>
      </c>
      <c r="O45" s="167"/>
      <c r="P45" s="167">
        <f>Simulador!O419</f>
        <v>0</v>
      </c>
      <c r="Q45" s="167">
        <f t="shared" si="22"/>
        <v>0</v>
      </c>
      <c r="R45" s="167">
        <f t="shared" si="12"/>
        <v>0</v>
      </c>
      <c r="U45" s="6"/>
      <c r="V45" s="6"/>
      <c r="W45" s="6"/>
      <c r="X45" s="256">
        <f t="shared" si="6"/>
        <v>0</v>
      </c>
      <c r="Z45" s="201">
        <f t="shared" si="9"/>
        <v>0</v>
      </c>
      <c r="AA45" s="201">
        <f t="shared" si="13"/>
        <v>0</v>
      </c>
      <c r="AB45" s="202">
        <f t="shared" si="14"/>
        <v>0</v>
      </c>
      <c r="AC45" s="201">
        <f t="shared" si="15"/>
        <v>10421.884210717653</v>
      </c>
      <c r="AD45" s="201">
        <f t="shared" si="16"/>
        <v>0</v>
      </c>
      <c r="AE45" s="201">
        <f t="shared" si="23"/>
        <v>10421.884210717653</v>
      </c>
      <c r="AF45" s="201">
        <f t="shared" si="17"/>
        <v>0</v>
      </c>
      <c r="AG45" s="201">
        <f t="shared" si="18"/>
        <v>0</v>
      </c>
      <c r="AH45" s="201">
        <f t="shared" si="24"/>
        <v>0</v>
      </c>
    </row>
    <row r="46" spans="3:34" x14ac:dyDescent="0.3">
      <c r="C46" s="181">
        <f t="shared" si="10"/>
        <v>29</v>
      </c>
      <c r="D46" s="180">
        <f t="shared" si="19"/>
        <v>30.4</v>
      </c>
      <c r="E46" s="165">
        <f>IF(C46="","",Simulador!$F$62)</f>
        <v>0.11</v>
      </c>
      <c r="F46" s="167"/>
      <c r="G46" s="167">
        <f t="shared" si="20"/>
        <v>0</v>
      </c>
      <c r="H46" s="166"/>
      <c r="I46" s="167">
        <f t="shared" si="7"/>
        <v>0</v>
      </c>
      <c r="J46" s="167">
        <f t="shared" si="8"/>
        <v>0</v>
      </c>
      <c r="K46" s="172">
        <f t="shared" si="11"/>
        <v>0</v>
      </c>
      <c r="L46" s="167">
        <f t="shared" si="2"/>
        <v>0</v>
      </c>
      <c r="M46" s="167">
        <f t="shared" si="21"/>
        <v>0</v>
      </c>
      <c r="N46" s="167">
        <f>IF(C46="","",IF(G46=0,0,IF(Simulador!$F$11='Tabla Parámetros'!$W$1,'Tabla Parámetros'!$W$28,IF(Simulador!$F$11='Tabla Parámetros'!$Y$1,'Tabla Parámetros'!$Y$12))))</f>
        <v>0</v>
      </c>
      <c r="O46" s="167"/>
      <c r="P46" s="167">
        <f>Simulador!O420</f>
        <v>0</v>
      </c>
      <c r="Q46" s="167">
        <f t="shared" si="22"/>
        <v>0</v>
      </c>
      <c r="R46" s="167">
        <f t="shared" si="12"/>
        <v>0</v>
      </c>
      <c r="U46" s="6"/>
      <c r="V46" s="6"/>
      <c r="W46" s="6"/>
      <c r="X46" s="256">
        <f t="shared" si="6"/>
        <v>0</v>
      </c>
      <c r="Z46" s="201">
        <f t="shared" si="9"/>
        <v>0</v>
      </c>
      <c r="AA46" s="201">
        <f t="shared" si="13"/>
        <v>0</v>
      </c>
      <c r="AB46" s="202">
        <f t="shared" si="14"/>
        <v>0</v>
      </c>
      <c r="AC46" s="201">
        <f t="shared" si="15"/>
        <v>10421.884210717653</v>
      </c>
      <c r="AD46" s="201">
        <f t="shared" si="16"/>
        <v>0</v>
      </c>
      <c r="AE46" s="201">
        <f t="shared" si="23"/>
        <v>10421.884210717653</v>
      </c>
      <c r="AF46" s="201">
        <f t="shared" si="17"/>
        <v>0</v>
      </c>
      <c r="AG46" s="201">
        <f t="shared" si="18"/>
        <v>0</v>
      </c>
      <c r="AH46" s="201">
        <f t="shared" si="24"/>
        <v>0</v>
      </c>
    </row>
    <row r="47" spans="3:34" x14ac:dyDescent="0.3">
      <c r="C47" s="179">
        <f t="shared" si="10"/>
        <v>30</v>
      </c>
      <c r="D47" s="180">
        <f t="shared" si="19"/>
        <v>30.4</v>
      </c>
      <c r="E47" s="165">
        <f>IF(C47="","",Simulador!$F$62)</f>
        <v>0.11</v>
      </c>
      <c r="F47" s="167"/>
      <c r="G47" s="167">
        <f t="shared" si="20"/>
        <v>0</v>
      </c>
      <c r="H47" s="166"/>
      <c r="I47" s="167">
        <f t="shared" si="7"/>
        <v>0</v>
      </c>
      <c r="J47" s="167">
        <f t="shared" si="8"/>
        <v>0</v>
      </c>
      <c r="K47" s="172">
        <f t="shared" si="11"/>
        <v>0</v>
      </c>
      <c r="L47" s="167">
        <f t="shared" si="2"/>
        <v>0</v>
      </c>
      <c r="M47" s="167">
        <f t="shared" si="21"/>
        <v>0</v>
      </c>
      <c r="N47" s="167">
        <f>IF(C47="","",IF(G47=0,0,IF(Simulador!$F$11='Tabla Parámetros'!$W$1,'Tabla Parámetros'!$W$28,IF(Simulador!$F$11='Tabla Parámetros'!$Y$1,'Tabla Parámetros'!$Y$12))))</f>
        <v>0</v>
      </c>
      <c r="O47" s="167"/>
      <c r="P47" s="167">
        <f>Simulador!O421</f>
        <v>0</v>
      </c>
      <c r="Q47" s="167">
        <f t="shared" si="22"/>
        <v>0</v>
      </c>
      <c r="R47" s="167">
        <f t="shared" si="12"/>
        <v>0</v>
      </c>
      <c r="U47" s="6"/>
      <c r="V47" s="6"/>
      <c r="W47" s="6"/>
      <c r="X47" s="256">
        <f t="shared" si="6"/>
        <v>0</v>
      </c>
      <c r="Z47" s="201">
        <f t="shared" si="9"/>
        <v>0</v>
      </c>
      <c r="AA47" s="201">
        <f t="shared" si="13"/>
        <v>0</v>
      </c>
      <c r="AB47" s="202">
        <f t="shared" si="14"/>
        <v>0</v>
      </c>
      <c r="AC47" s="201">
        <f t="shared" si="15"/>
        <v>10421.884210717653</v>
      </c>
      <c r="AD47" s="201">
        <f t="shared" si="16"/>
        <v>0</v>
      </c>
      <c r="AE47" s="201">
        <f t="shared" si="23"/>
        <v>10421.884210717653</v>
      </c>
      <c r="AF47" s="201">
        <f t="shared" si="17"/>
        <v>0</v>
      </c>
      <c r="AG47" s="201">
        <f t="shared" si="18"/>
        <v>0</v>
      </c>
      <c r="AH47" s="201">
        <f t="shared" si="24"/>
        <v>0</v>
      </c>
    </row>
    <row r="48" spans="3:34" x14ac:dyDescent="0.3">
      <c r="C48" s="179">
        <f t="shared" si="10"/>
        <v>31</v>
      </c>
      <c r="D48" s="180">
        <f t="shared" si="19"/>
        <v>30.4</v>
      </c>
      <c r="E48" s="165">
        <f>IF(C48="","",Simulador!$F$62)</f>
        <v>0.11</v>
      </c>
      <c r="F48" s="167"/>
      <c r="G48" s="167">
        <f t="shared" si="20"/>
        <v>0</v>
      </c>
      <c r="H48" s="166"/>
      <c r="I48" s="167">
        <f t="shared" si="7"/>
        <v>0</v>
      </c>
      <c r="J48" s="167">
        <f t="shared" si="8"/>
        <v>0</v>
      </c>
      <c r="K48" s="172">
        <f t="shared" si="11"/>
        <v>0</v>
      </c>
      <c r="L48" s="167">
        <f t="shared" si="2"/>
        <v>0</v>
      </c>
      <c r="M48" s="167">
        <f t="shared" si="21"/>
        <v>0</v>
      </c>
      <c r="N48" s="167">
        <f>IF(C48="","",IF(G48=0,0,IF(Simulador!$F$11='Tabla Parámetros'!$W$1,'Tabla Parámetros'!$W$28,IF(Simulador!$F$11='Tabla Parámetros'!$Y$1,'Tabla Parámetros'!$Y$12))))</f>
        <v>0</v>
      </c>
      <c r="O48" s="167"/>
      <c r="P48" s="167">
        <f>Simulador!O422</f>
        <v>0</v>
      </c>
      <c r="Q48" s="167">
        <f t="shared" si="22"/>
        <v>0</v>
      </c>
      <c r="R48" s="167">
        <f t="shared" si="12"/>
        <v>0</v>
      </c>
      <c r="U48" s="6"/>
      <c r="V48" s="6"/>
      <c r="W48" s="6"/>
      <c r="X48" s="256">
        <f t="shared" si="6"/>
        <v>0</v>
      </c>
      <c r="Z48" s="201">
        <f t="shared" si="9"/>
        <v>0</v>
      </c>
      <c r="AA48" s="201">
        <f t="shared" si="13"/>
        <v>0</v>
      </c>
      <c r="AB48" s="202">
        <f t="shared" si="14"/>
        <v>0</v>
      </c>
      <c r="AC48" s="201">
        <f t="shared" si="15"/>
        <v>10421.884210717653</v>
      </c>
      <c r="AD48" s="201">
        <f t="shared" si="16"/>
        <v>0</v>
      </c>
      <c r="AE48" s="201">
        <f t="shared" si="23"/>
        <v>10421.884210717653</v>
      </c>
      <c r="AF48" s="201">
        <f t="shared" si="17"/>
        <v>0</v>
      </c>
      <c r="AG48" s="201">
        <f t="shared" si="18"/>
        <v>0</v>
      </c>
      <c r="AH48" s="201">
        <f t="shared" si="24"/>
        <v>0</v>
      </c>
    </row>
    <row r="49" spans="3:34" x14ac:dyDescent="0.3">
      <c r="C49" s="179">
        <f t="shared" si="10"/>
        <v>32</v>
      </c>
      <c r="D49" s="180">
        <f t="shared" si="19"/>
        <v>30.4</v>
      </c>
      <c r="E49" s="165">
        <f>IF(C49="","",Simulador!$F$62)</f>
        <v>0.11</v>
      </c>
      <c r="F49" s="167"/>
      <c r="G49" s="167">
        <f t="shared" si="20"/>
        <v>0</v>
      </c>
      <c r="H49" s="166"/>
      <c r="I49" s="167">
        <f t="shared" si="7"/>
        <v>0</v>
      </c>
      <c r="J49" s="167">
        <f t="shared" si="8"/>
        <v>0</v>
      </c>
      <c r="K49" s="172">
        <f t="shared" si="11"/>
        <v>0</v>
      </c>
      <c r="L49" s="167">
        <f t="shared" si="2"/>
        <v>0</v>
      </c>
      <c r="M49" s="167">
        <f t="shared" si="21"/>
        <v>0</v>
      </c>
      <c r="N49" s="167">
        <f>IF(C49="","",IF(G49=0,0,IF(Simulador!$F$11='Tabla Parámetros'!$W$1,'Tabla Parámetros'!$W$28,IF(Simulador!$F$11='Tabla Parámetros'!$Y$1,'Tabla Parámetros'!$Y$12))))</f>
        <v>0</v>
      </c>
      <c r="O49" s="167"/>
      <c r="P49" s="167">
        <f>Simulador!O423</f>
        <v>0</v>
      </c>
      <c r="Q49" s="167">
        <f t="shared" si="22"/>
        <v>0</v>
      </c>
      <c r="R49" s="167">
        <f t="shared" si="12"/>
        <v>0</v>
      </c>
      <c r="U49" s="6"/>
      <c r="V49" s="6"/>
      <c r="W49" s="6"/>
      <c r="X49" s="256">
        <f t="shared" si="6"/>
        <v>0</v>
      </c>
      <c r="Z49" s="201">
        <f t="shared" si="9"/>
        <v>0</v>
      </c>
      <c r="AA49" s="201">
        <f t="shared" si="13"/>
        <v>0</v>
      </c>
      <c r="AB49" s="202">
        <f t="shared" si="14"/>
        <v>0</v>
      </c>
      <c r="AC49" s="201">
        <f t="shared" si="15"/>
        <v>10421.884210717653</v>
      </c>
      <c r="AD49" s="201">
        <f t="shared" si="16"/>
        <v>0</v>
      </c>
      <c r="AE49" s="201">
        <f t="shared" si="23"/>
        <v>10421.884210717653</v>
      </c>
      <c r="AF49" s="201">
        <f t="shared" si="17"/>
        <v>0</v>
      </c>
      <c r="AG49" s="201">
        <f t="shared" si="18"/>
        <v>0</v>
      </c>
      <c r="AH49" s="201">
        <f t="shared" si="24"/>
        <v>0</v>
      </c>
    </row>
    <row r="50" spans="3:34" x14ac:dyDescent="0.3">
      <c r="C50" s="181">
        <f t="shared" si="10"/>
        <v>33</v>
      </c>
      <c r="D50" s="180">
        <f t="shared" si="19"/>
        <v>30.4</v>
      </c>
      <c r="E50" s="165">
        <f>IF(C50="","",Simulador!$F$62)</f>
        <v>0.11</v>
      </c>
      <c r="F50" s="167"/>
      <c r="G50" s="167">
        <f t="shared" si="20"/>
        <v>0</v>
      </c>
      <c r="H50" s="166"/>
      <c r="I50" s="167">
        <f t="shared" si="7"/>
        <v>0</v>
      </c>
      <c r="J50" s="167">
        <f t="shared" si="8"/>
        <v>0</v>
      </c>
      <c r="K50" s="172">
        <f t="shared" si="11"/>
        <v>0</v>
      </c>
      <c r="L50" s="167">
        <f t="shared" si="2"/>
        <v>0</v>
      </c>
      <c r="M50" s="167">
        <f t="shared" si="21"/>
        <v>0</v>
      </c>
      <c r="N50" s="167">
        <f>IF(C50="","",IF(G50=0,0,IF(Simulador!$F$11='Tabla Parámetros'!$W$1,'Tabla Parámetros'!$W$28,IF(Simulador!$F$11='Tabla Parámetros'!$Y$1,'Tabla Parámetros'!$Y$12))))</f>
        <v>0</v>
      </c>
      <c r="O50" s="167"/>
      <c r="P50" s="167">
        <f>Simulador!O424</f>
        <v>0</v>
      </c>
      <c r="Q50" s="167">
        <f t="shared" si="22"/>
        <v>0</v>
      </c>
      <c r="R50" s="167">
        <f t="shared" si="12"/>
        <v>0</v>
      </c>
      <c r="U50" s="6"/>
      <c r="V50" s="6"/>
      <c r="W50" s="6"/>
      <c r="X50" s="256">
        <f t="shared" si="6"/>
        <v>0</v>
      </c>
      <c r="Z50" s="201">
        <f t="shared" si="9"/>
        <v>0</v>
      </c>
      <c r="AA50" s="201">
        <f t="shared" si="13"/>
        <v>0</v>
      </c>
      <c r="AB50" s="202">
        <f t="shared" si="14"/>
        <v>0</v>
      </c>
      <c r="AC50" s="201">
        <f t="shared" si="15"/>
        <v>10421.884210717653</v>
      </c>
      <c r="AD50" s="201">
        <f t="shared" si="16"/>
        <v>0</v>
      </c>
      <c r="AE50" s="201">
        <f t="shared" si="23"/>
        <v>10421.884210717653</v>
      </c>
      <c r="AF50" s="201">
        <f t="shared" si="17"/>
        <v>0</v>
      </c>
      <c r="AG50" s="201">
        <f t="shared" si="18"/>
        <v>0</v>
      </c>
      <c r="AH50" s="201">
        <f t="shared" si="24"/>
        <v>0</v>
      </c>
    </row>
    <row r="51" spans="3:34" x14ac:dyDescent="0.3">
      <c r="C51" s="179">
        <f t="shared" si="10"/>
        <v>34</v>
      </c>
      <c r="D51" s="180">
        <f t="shared" si="19"/>
        <v>30.4</v>
      </c>
      <c r="E51" s="165">
        <f>IF(C51="","",Simulador!$F$62)</f>
        <v>0.11</v>
      </c>
      <c r="F51" s="167"/>
      <c r="G51" s="167">
        <f t="shared" si="20"/>
        <v>0</v>
      </c>
      <c r="H51" s="166"/>
      <c r="I51" s="167">
        <f t="shared" si="7"/>
        <v>0</v>
      </c>
      <c r="J51" s="167">
        <f t="shared" si="8"/>
        <v>0</v>
      </c>
      <c r="K51" s="172">
        <f t="shared" si="11"/>
        <v>0</v>
      </c>
      <c r="L51" s="167">
        <f t="shared" si="2"/>
        <v>0</v>
      </c>
      <c r="M51" s="167">
        <f t="shared" si="21"/>
        <v>0</v>
      </c>
      <c r="N51" s="167">
        <f>IF(C51="","",IF(G51=0,0,IF(Simulador!$F$11='Tabla Parámetros'!$W$1,'Tabla Parámetros'!$W$28,IF(Simulador!$F$11='Tabla Parámetros'!$Y$1,'Tabla Parámetros'!$Y$12))))</f>
        <v>0</v>
      </c>
      <c r="O51" s="167"/>
      <c r="P51" s="167">
        <f>Simulador!O425</f>
        <v>0</v>
      </c>
      <c r="Q51" s="167">
        <f t="shared" si="22"/>
        <v>0</v>
      </c>
      <c r="R51" s="167">
        <f t="shared" si="12"/>
        <v>0</v>
      </c>
      <c r="U51" s="6"/>
      <c r="V51" s="6"/>
      <c r="W51" s="6"/>
      <c r="X51" s="256">
        <f t="shared" si="6"/>
        <v>0</v>
      </c>
      <c r="Z51" s="201">
        <f t="shared" si="9"/>
        <v>0</v>
      </c>
      <c r="AA51" s="201">
        <f t="shared" si="13"/>
        <v>0</v>
      </c>
      <c r="AB51" s="202">
        <f t="shared" si="14"/>
        <v>0</v>
      </c>
      <c r="AC51" s="201">
        <f t="shared" si="15"/>
        <v>10421.884210717653</v>
      </c>
      <c r="AD51" s="201">
        <f t="shared" si="16"/>
        <v>0</v>
      </c>
      <c r="AE51" s="201">
        <f t="shared" si="23"/>
        <v>10421.884210717653</v>
      </c>
      <c r="AF51" s="201">
        <f t="shared" si="17"/>
        <v>0</v>
      </c>
      <c r="AG51" s="201">
        <f t="shared" si="18"/>
        <v>0</v>
      </c>
      <c r="AH51" s="201">
        <f t="shared" si="24"/>
        <v>0</v>
      </c>
    </row>
    <row r="52" spans="3:34" x14ac:dyDescent="0.3">
      <c r="C52" s="179">
        <f t="shared" si="10"/>
        <v>35</v>
      </c>
      <c r="D52" s="180">
        <f t="shared" si="19"/>
        <v>30.4</v>
      </c>
      <c r="E52" s="165">
        <f>IF(C52="","",Simulador!$F$62)</f>
        <v>0.11</v>
      </c>
      <c r="F52" s="167"/>
      <c r="G52" s="167">
        <f t="shared" si="20"/>
        <v>0</v>
      </c>
      <c r="H52" s="166"/>
      <c r="I52" s="167">
        <f t="shared" si="7"/>
        <v>0</v>
      </c>
      <c r="J52" s="167">
        <f t="shared" si="8"/>
        <v>0</v>
      </c>
      <c r="K52" s="172">
        <f t="shared" si="11"/>
        <v>0</v>
      </c>
      <c r="L52" s="167">
        <f t="shared" si="2"/>
        <v>0</v>
      </c>
      <c r="M52" s="167">
        <f t="shared" si="21"/>
        <v>0</v>
      </c>
      <c r="N52" s="167">
        <f>IF(C52="","",IF(G52=0,0,IF(Simulador!$F$11='Tabla Parámetros'!$W$1,'Tabla Parámetros'!$W$28,IF(Simulador!$F$11='Tabla Parámetros'!$Y$1,'Tabla Parámetros'!$Y$12))))</f>
        <v>0</v>
      </c>
      <c r="O52" s="167"/>
      <c r="P52" s="167">
        <f>Simulador!O426</f>
        <v>0</v>
      </c>
      <c r="Q52" s="167">
        <f t="shared" si="22"/>
        <v>0</v>
      </c>
      <c r="R52" s="167">
        <f t="shared" si="12"/>
        <v>0</v>
      </c>
      <c r="U52" s="6"/>
      <c r="V52" s="6"/>
      <c r="W52" s="6"/>
      <c r="X52" s="256">
        <f t="shared" si="6"/>
        <v>0</v>
      </c>
      <c r="Z52" s="201">
        <f t="shared" si="9"/>
        <v>0</v>
      </c>
      <c r="AA52" s="201">
        <f t="shared" si="13"/>
        <v>0</v>
      </c>
      <c r="AB52" s="202">
        <f t="shared" si="14"/>
        <v>0</v>
      </c>
      <c r="AC52" s="201">
        <f t="shared" si="15"/>
        <v>10421.884210717653</v>
      </c>
      <c r="AD52" s="201">
        <f t="shared" si="16"/>
        <v>0</v>
      </c>
      <c r="AE52" s="201">
        <f t="shared" si="23"/>
        <v>10421.884210717653</v>
      </c>
      <c r="AF52" s="201">
        <f t="shared" si="17"/>
        <v>0</v>
      </c>
      <c r="AG52" s="201">
        <f t="shared" si="18"/>
        <v>0</v>
      </c>
      <c r="AH52" s="201">
        <f t="shared" si="24"/>
        <v>0</v>
      </c>
    </row>
    <row r="53" spans="3:34" x14ac:dyDescent="0.3">
      <c r="C53" s="179">
        <f t="shared" si="10"/>
        <v>36</v>
      </c>
      <c r="D53" s="180">
        <f t="shared" si="19"/>
        <v>30.4</v>
      </c>
      <c r="E53" s="165">
        <f>IF(C53="","",Simulador!$F$62)</f>
        <v>0.11</v>
      </c>
      <c r="F53" s="167"/>
      <c r="G53" s="167">
        <f t="shared" si="20"/>
        <v>0</v>
      </c>
      <c r="H53" s="166"/>
      <c r="I53" s="167">
        <f t="shared" si="7"/>
        <v>0</v>
      </c>
      <c r="J53" s="167">
        <f t="shared" si="8"/>
        <v>0</v>
      </c>
      <c r="K53" s="172">
        <f t="shared" si="11"/>
        <v>0</v>
      </c>
      <c r="L53" s="167">
        <f t="shared" si="2"/>
        <v>0</v>
      </c>
      <c r="M53" s="167">
        <f t="shared" si="21"/>
        <v>0</v>
      </c>
      <c r="N53" s="167">
        <f>IF(C53="","",IF(G53=0,0,IF(Simulador!$F$11='Tabla Parámetros'!$W$1,'Tabla Parámetros'!$W$28,IF(Simulador!$F$11='Tabla Parámetros'!$Y$1,'Tabla Parámetros'!$Y$12))))</f>
        <v>0</v>
      </c>
      <c r="O53" s="167"/>
      <c r="P53" s="167">
        <f>Simulador!O427</f>
        <v>0</v>
      </c>
      <c r="Q53" s="167">
        <f t="shared" si="22"/>
        <v>0</v>
      </c>
      <c r="R53" s="167">
        <f t="shared" si="12"/>
        <v>0</v>
      </c>
      <c r="U53" s="6"/>
      <c r="V53" s="6"/>
      <c r="W53" s="6"/>
      <c r="X53" s="256">
        <f t="shared" si="6"/>
        <v>0</v>
      </c>
      <c r="Z53" s="201">
        <f t="shared" si="9"/>
        <v>0</v>
      </c>
      <c r="AA53" s="201">
        <f t="shared" si="13"/>
        <v>0</v>
      </c>
      <c r="AB53" s="202">
        <f t="shared" si="14"/>
        <v>0</v>
      </c>
      <c r="AC53" s="201">
        <f t="shared" si="15"/>
        <v>10421.884210717653</v>
      </c>
      <c r="AD53" s="201">
        <f t="shared" si="16"/>
        <v>0</v>
      </c>
      <c r="AE53" s="201">
        <f t="shared" si="23"/>
        <v>10421.884210717653</v>
      </c>
      <c r="AF53" s="201">
        <f t="shared" si="17"/>
        <v>0</v>
      </c>
      <c r="AG53" s="201">
        <f t="shared" si="18"/>
        <v>0</v>
      </c>
      <c r="AH53" s="201">
        <f t="shared" si="24"/>
        <v>0</v>
      </c>
    </row>
    <row r="54" spans="3:34" x14ac:dyDescent="0.3">
      <c r="C54" s="181">
        <f t="shared" si="10"/>
        <v>37</v>
      </c>
      <c r="D54" s="180">
        <f t="shared" si="19"/>
        <v>30.4</v>
      </c>
      <c r="E54" s="165">
        <f>IF(C54="","",Simulador!$F$62)</f>
        <v>0.11</v>
      </c>
      <c r="F54" s="167"/>
      <c r="G54" s="167">
        <f t="shared" si="20"/>
        <v>0</v>
      </c>
      <c r="H54" s="166"/>
      <c r="I54" s="167">
        <f t="shared" si="7"/>
        <v>0</v>
      </c>
      <c r="J54" s="167">
        <f t="shared" si="8"/>
        <v>0</v>
      </c>
      <c r="K54" s="172">
        <f t="shared" si="11"/>
        <v>0</v>
      </c>
      <c r="L54" s="167">
        <f t="shared" si="2"/>
        <v>0</v>
      </c>
      <c r="M54" s="167">
        <f t="shared" si="21"/>
        <v>0</v>
      </c>
      <c r="N54" s="167">
        <f>IF(C54="","",IF(G54=0,0,IF(Simulador!$F$11='Tabla Parámetros'!$W$1,'Tabla Parámetros'!$W$28,IF(Simulador!$F$11='Tabla Parámetros'!$Y$1,'Tabla Parámetros'!$Y$12))))</f>
        <v>0</v>
      </c>
      <c r="O54" s="167"/>
      <c r="P54" s="167">
        <f>Simulador!O428</f>
        <v>0</v>
      </c>
      <c r="Q54" s="167">
        <f t="shared" si="22"/>
        <v>0</v>
      </c>
      <c r="R54" s="167">
        <f t="shared" si="12"/>
        <v>0</v>
      </c>
      <c r="U54" s="6"/>
      <c r="V54" s="6"/>
      <c r="W54" s="6"/>
      <c r="X54" s="256">
        <f t="shared" si="6"/>
        <v>0</v>
      </c>
      <c r="Z54" s="201">
        <f t="shared" si="9"/>
        <v>0</v>
      </c>
      <c r="AA54" s="201">
        <f t="shared" si="13"/>
        <v>0</v>
      </c>
      <c r="AB54" s="202">
        <f t="shared" si="14"/>
        <v>0</v>
      </c>
      <c r="AC54" s="201">
        <f t="shared" si="15"/>
        <v>10421.884210717653</v>
      </c>
      <c r="AD54" s="201">
        <f t="shared" si="16"/>
        <v>0</v>
      </c>
      <c r="AE54" s="201">
        <f t="shared" si="23"/>
        <v>10421.884210717653</v>
      </c>
      <c r="AF54" s="201">
        <f t="shared" si="17"/>
        <v>0</v>
      </c>
      <c r="AG54" s="201">
        <f t="shared" si="18"/>
        <v>0</v>
      </c>
      <c r="AH54" s="201">
        <f t="shared" si="24"/>
        <v>0</v>
      </c>
    </row>
    <row r="55" spans="3:34" x14ac:dyDescent="0.3">
      <c r="C55" s="179">
        <f t="shared" si="10"/>
        <v>38</v>
      </c>
      <c r="D55" s="180">
        <f t="shared" si="19"/>
        <v>30.4</v>
      </c>
      <c r="E55" s="165">
        <f>IF(C55="","",Simulador!$F$62)</f>
        <v>0.11</v>
      </c>
      <c r="F55" s="167"/>
      <c r="G55" s="167">
        <f t="shared" si="20"/>
        <v>0</v>
      </c>
      <c r="H55" s="166"/>
      <c r="I55" s="167">
        <f t="shared" si="7"/>
        <v>0</v>
      </c>
      <c r="J55" s="167">
        <f t="shared" si="8"/>
        <v>0</v>
      </c>
      <c r="K55" s="172">
        <f t="shared" si="11"/>
        <v>0</v>
      </c>
      <c r="L55" s="167">
        <f t="shared" si="2"/>
        <v>0</v>
      </c>
      <c r="M55" s="167">
        <f t="shared" si="21"/>
        <v>0</v>
      </c>
      <c r="N55" s="167">
        <f>IF(C55="","",IF(G55=0,0,IF(Simulador!$F$11='Tabla Parámetros'!$W$1,'Tabla Parámetros'!$W$28,IF(Simulador!$F$11='Tabla Parámetros'!$Y$1,'Tabla Parámetros'!$Y$12))))</f>
        <v>0</v>
      </c>
      <c r="O55" s="167"/>
      <c r="P55" s="167">
        <f>Simulador!O429</f>
        <v>0</v>
      </c>
      <c r="Q55" s="167">
        <f t="shared" si="22"/>
        <v>0</v>
      </c>
      <c r="R55" s="167">
        <f t="shared" si="12"/>
        <v>0</v>
      </c>
      <c r="U55" s="6"/>
      <c r="V55" s="6"/>
      <c r="W55" s="6"/>
      <c r="X55" s="256">
        <f t="shared" si="6"/>
        <v>0</v>
      </c>
      <c r="Z55" s="201">
        <f t="shared" si="9"/>
        <v>0</v>
      </c>
      <c r="AA55" s="201">
        <f t="shared" si="13"/>
        <v>0</v>
      </c>
      <c r="AB55" s="202">
        <f t="shared" si="14"/>
        <v>0</v>
      </c>
      <c r="AC55" s="201">
        <f t="shared" si="15"/>
        <v>10421.884210717653</v>
      </c>
      <c r="AD55" s="201">
        <f t="shared" si="16"/>
        <v>0</v>
      </c>
      <c r="AE55" s="201">
        <f t="shared" si="23"/>
        <v>10421.884210717653</v>
      </c>
      <c r="AF55" s="201">
        <f t="shared" si="17"/>
        <v>0</v>
      </c>
      <c r="AG55" s="201">
        <f t="shared" si="18"/>
        <v>0</v>
      </c>
      <c r="AH55" s="201">
        <f t="shared" si="24"/>
        <v>0</v>
      </c>
    </row>
    <row r="56" spans="3:34" x14ac:dyDescent="0.3">
      <c r="C56" s="179">
        <f t="shared" si="10"/>
        <v>39</v>
      </c>
      <c r="D56" s="180">
        <f t="shared" si="19"/>
        <v>30.4</v>
      </c>
      <c r="E56" s="165">
        <f>IF(C56="","",Simulador!$F$62)</f>
        <v>0.11</v>
      </c>
      <c r="F56" s="167"/>
      <c r="G56" s="167">
        <f t="shared" si="20"/>
        <v>0</v>
      </c>
      <c r="H56" s="166"/>
      <c r="I56" s="167">
        <f t="shared" si="7"/>
        <v>0</v>
      </c>
      <c r="J56" s="167">
        <f t="shared" si="8"/>
        <v>0</v>
      </c>
      <c r="K56" s="172">
        <f t="shared" si="11"/>
        <v>0</v>
      </c>
      <c r="L56" s="167">
        <f t="shared" si="2"/>
        <v>0</v>
      </c>
      <c r="M56" s="167">
        <f t="shared" si="21"/>
        <v>0</v>
      </c>
      <c r="N56" s="167">
        <f>IF(C56="","",IF(G56=0,0,IF(Simulador!$F$11='Tabla Parámetros'!$W$1,'Tabla Parámetros'!$W$28,IF(Simulador!$F$11='Tabla Parámetros'!$Y$1,'Tabla Parámetros'!$Y$12))))</f>
        <v>0</v>
      </c>
      <c r="O56" s="167"/>
      <c r="P56" s="167">
        <f>Simulador!O430</f>
        <v>0</v>
      </c>
      <c r="Q56" s="167">
        <f t="shared" si="22"/>
        <v>0</v>
      </c>
      <c r="R56" s="167">
        <f t="shared" si="12"/>
        <v>0</v>
      </c>
      <c r="U56" s="6"/>
      <c r="V56" s="6"/>
      <c r="W56" s="6"/>
      <c r="X56" s="256">
        <f t="shared" si="6"/>
        <v>0</v>
      </c>
      <c r="Z56" s="201">
        <f t="shared" si="9"/>
        <v>0</v>
      </c>
      <c r="AA56" s="201">
        <f t="shared" si="13"/>
        <v>0</v>
      </c>
      <c r="AB56" s="202">
        <f t="shared" si="14"/>
        <v>0</v>
      </c>
      <c r="AC56" s="201">
        <f t="shared" si="15"/>
        <v>10421.884210717653</v>
      </c>
      <c r="AD56" s="201">
        <f t="shared" si="16"/>
        <v>0</v>
      </c>
      <c r="AE56" s="201">
        <f t="shared" si="23"/>
        <v>10421.884210717653</v>
      </c>
      <c r="AF56" s="201">
        <f t="shared" si="17"/>
        <v>0</v>
      </c>
      <c r="AG56" s="201">
        <f t="shared" si="18"/>
        <v>0</v>
      </c>
      <c r="AH56" s="201">
        <f t="shared" si="24"/>
        <v>0</v>
      </c>
    </row>
    <row r="57" spans="3:34" x14ac:dyDescent="0.3">
      <c r="C57" s="179">
        <f t="shared" si="10"/>
        <v>40</v>
      </c>
      <c r="D57" s="180">
        <f t="shared" si="19"/>
        <v>30.4</v>
      </c>
      <c r="E57" s="165">
        <f>IF(C57="","",Simulador!$F$62)</f>
        <v>0.11</v>
      </c>
      <c r="F57" s="167"/>
      <c r="G57" s="167">
        <f t="shared" si="20"/>
        <v>0</v>
      </c>
      <c r="H57" s="166"/>
      <c r="I57" s="167">
        <f t="shared" si="7"/>
        <v>0</v>
      </c>
      <c r="J57" s="167">
        <f t="shared" si="8"/>
        <v>0</v>
      </c>
      <c r="K57" s="172">
        <f t="shared" si="11"/>
        <v>0</v>
      </c>
      <c r="L57" s="167">
        <f t="shared" si="2"/>
        <v>0</v>
      </c>
      <c r="M57" s="167">
        <f t="shared" si="21"/>
        <v>0</v>
      </c>
      <c r="N57" s="167">
        <f>IF(C57="","",IF(G57=0,0,IF(Simulador!$F$11='Tabla Parámetros'!$W$1,'Tabla Parámetros'!$W$28,IF(Simulador!$F$11='Tabla Parámetros'!$Y$1,'Tabla Parámetros'!$Y$12))))</f>
        <v>0</v>
      </c>
      <c r="O57" s="167"/>
      <c r="P57" s="167">
        <f>Simulador!O431</f>
        <v>0</v>
      </c>
      <c r="Q57" s="167">
        <f t="shared" si="22"/>
        <v>0</v>
      </c>
      <c r="R57" s="167">
        <f t="shared" si="12"/>
        <v>0</v>
      </c>
      <c r="U57" s="6"/>
      <c r="V57" s="6"/>
      <c r="W57" s="6"/>
      <c r="X57" s="256">
        <f t="shared" si="6"/>
        <v>0</v>
      </c>
      <c r="Z57" s="201">
        <f t="shared" si="9"/>
        <v>0</v>
      </c>
      <c r="AA57" s="201">
        <f t="shared" si="13"/>
        <v>0</v>
      </c>
      <c r="AB57" s="202">
        <f t="shared" si="14"/>
        <v>0</v>
      </c>
      <c r="AC57" s="201">
        <f t="shared" si="15"/>
        <v>10421.884210717653</v>
      </c>
      <c r="AD57" s="201">
        <f t="shared" si="16"/>
        <v>0</v>
      </c>
      <c r="AE57" s="201">
        <f t="shared" si="23"/>
        <v>10421.884210717653</v>
      </c>
      <c r="AF57" s="201">
        <f t="shared" si="17"/>
        <v>0</v>
      </c>
      <c r="AG57" s="201">
        <f t="shared" si="18"/>
        <v>0</v>
      </c>
      <c r="AH57" s="201">
        <f t="shared" si="24"/>
        <v>0</v>
      </c>
    </row>
    <row r="58" spans="3:34" x14ac:dyDescent="0.3">
      <c r="C58" s="181">
        <f t="shared" si="10"/>
        <v>41</v>
      </c>
      <c r="D58" s="180">
        <f t="shared" si="19"/>
        <v>30.4</v>
      </c>
      <c r="E58" s="165">
        <f>IF(C58="","",Simulador!$F$62)</f>
        <v>0.11</v>
      </c>
      <c r="F58" s="167"/>
      <c r="G58" s="167">
        <f t="shared" si="20"/>
        <v>0</v>
      </c>
      <c r="H58" s="166"/>
      <c r="I58" s="167">
        <f t="shared" si="7"/>
        <v>0</v>
      </c>
      <c r="J58" s="167">
        <f t="shared" si="8"/>
        <v>0</v>
      </c>
      <c r="K58" s="172">
        <f t="shared" si="11"/>
        <v>0</v>
      </c>
      <c r="L58" s="167">
        <f t="shared" si="2"/>
        <v>0</v>
      </c>
      <c r="M58" s="167">
        <f t="shared" si="21"/>
        <v>0</v>
      </c>
      <c r="N58" s="167">
        <f>IF(C58="","",IF(G58=0,0,IF(Simulador!$F$11='Tabla Parámetros'!$W$1,'Tabla Parámetros'!$W$28,IF(Simulador!$F$11='Tabla Parámetros'!$Y$1,'Tabla Parámetros'!$Y$12))))</f>
        <v>0</v>
      </c>
      <c r="O58" s="167"/>
      <c r="P58" s="167">
        <f>Simulador!O432</f>
        <v>0</v>
      </c>
      <c r="Q58" s="167">
        <f t="shared" si="22"/>
        <v>0</v>
      </c>
      <c r="R58" s="167">
        <f t="shared" si="12"/>
        <v>0</v>
      </c>
      <c r="U58" s="6"/>
      <c r="V58" s="6"/>
      <c r="W58" s="6"/>
      <c r="X58" s="256">
        <f t="shared" si="6"/>
        <v>0</v>
      </c>
      <c r="Z58" s="201">
        <f t="shared" si="9"/>
        <v>0</v>
      </c>
      <c r="AA58" s="201">
        <f t="shared" si="13"/>
        <v>0</v>
      </c>
      <c r="AB58" s="202">
        <f t="shared" si="14"/>
        <v>0</v>
      </c>
      <c r="AC58" s="201">
        <f t="shared" si="15"/>
        <v>10421.884210717653</v>
      </c>
      <c r="AD58" s="201">
        <f t="shared" si="16"/>
        <v>0</v>
      </c>
      <c r="AE58" s="201">
        <f t="shared" si="23"/>
        <v>10421.884210717653</v>
      </c>
      <c r="AF58" s="201">
        <f t="shared" si="17"/>
        <v>0</v>
      </c>
      <c r="AG58" s="201">
        <f t="shared" si="18"/>
        <v>0</v>
      </c>
      <c r="AH58" s="201">
        <f t="shared" si="24"/>
        <v>0</v>
      </c>
    </row>
    <row r="59" spans="3:34" x14ac:dyDescent="0.3">
      <c r="C59" s="179">
        <f t="shared" si="10"/>
        <v>42</v>
      </c>
      <c r="D59" s="180">
        <f t="shared" si="19"/>
        <v>30.4</v>
      </c>
      <c r="E59" s="165">
        <f>IF(C59="","",Simulador!$F$62)</f>
        <v>0.11</v>
      </c>
      <c r="F59" s="167"/>
      <c r="G59" s="167">
        <f t="shared" si="20"/>
        <v>0</v>
      </c>
      <c r="H59" s="166"/>
      <c r="I59" s="167">
        <f t="shared" si="7"/>
        <v>0</v>
      </c>
      <c r="J59" s="167">
        <f t="shared" si="8"/>
        <v>0</v>
      </c>
      <c r="K59" s="172">
        <f t="shared" si="11"/>
        <v>0</v>
      </c>
      <c r="L59" s="167">
        <f t="shared" si="2"/>
        <v>0</v>
      </c>
      <c r="M59" s="167">
        <f t="shared" si="21"/>
        <v>0</v>
      </c>
      <c r="N59" s="167">
        <f>IF(C59="","",IF(G59=0,0,IF(Simulador!$F$11='Tabla Parámetros'!$W$1,'Tabla Parámetros'!$W$28,IF(Simulador!$F$11='Tabla Parámetros'!$Y$1,'Tabla Parámetros'!$Y$12))))</f>
        <v>0</v>
      </c>
      <c r="O59" s="167"/>
      <c r="P59" s="167">
        <f>Simulador!O433</f>
        <v>0</v>
      </c>
      <c r="Q59" s="167">
        <f t="shared" si="22"/>
        <v>0</v>
      </c>
      <c r="R59" s="167">
        <f t="shared" si="12"/>
        <v>0</v>
      </c>
      <c r="U59" s="6"/>
      <c r="V59" s="6"/>
      <c r="W59" s="6"/>
      <c r="X59" s="256">
        <f t="shared" si="6"/>
        <v>0</v>
      </c>
      <c r="Z59" s="201">
        <f t="shared" si="9"/>
        <v>0</v>
      </c>
      <c r="AA59" s="201">
        <f t="shared" si="13"/>
        <v>0</v>
      </c>
      <c r="AB59" s="202">
        <f t="shared" si="14"/>
        <v>0</v>
      </c>
      <c r="AC59" s="201">
        <f t="shared" si="15"/>
        <v>10421.884210717653</v>
      </c>
      <c r="AD59" s="201">
        <f t="shared" si="16"/>
        <v>0</v>
      </c>
      <c r="AE59" s="201">
        <f t="shared" si="23"/>
        <v>10421.884210717653</v>
      </c>
      <c r="AF59" s="201">
        <f t="shared" si="17"/>
        <v>0</v>
      </c>
      <c r="AG59" s="201">
        <f t="shared" si="18"/>
        <v>0</v>
      </c>
      <c r="AH59" s="201">
        <f t="shared" si="24"/>
        <v>0</v>
      </c>
    </row>
    <row r="60" spans="3:34" x14ac:dyDescent="0.3">
      <c r="C60" s="179">
        <f t="shared" si="10"/>
        <v>43</v>
      </c>
      <c r="D60" s="180">
        <f t="shared" si="19"/>
        <v>30.4</v>
      </c>
      <c r="E60" s="165">
        <f>IF(C60="","",Simulador!$F$62)</f>
        <v>0.11</v>
      </c>
      <c r="F60" s="167"/>
      <c r="G60" s="167">
        <f t="shared" si="20"/>
        <v>0</v>
      </c>
      <c r="H60" s="166"/>
      <c r="I60" s="167">
        <f t="shared" si="7"/>
        <v>0</v>
      </c>
      <c r="J60" s="167">
        <f t="shared" si="8"/>
        <v>0</v>
      </c>
      <c r="K60" s="172">
        <f t="shared" si="11"/>
        <v>0</v>
      </c>
      <c r="L60" s="167">
        <f t="shared" si="2"/>
        <v>0</v>
      </c>
      <c r="M60" s="167">
        <f t="shared" si="21"/>
        <v>0</v>
      </c>
      <c r="N60" s="167">
        <f>IF(C60="","",IF(G60=0,0,IF(Simulador!$F$11='Tabla Parámetros'!$W$1,'Tabla Parámetros'!$W$28,IF(Simulador!$F$11='Tabla Parámetros'!$Y$1,'Tabla Parámetros'!$Y$12))))</f>
        <v>0</v>
      </c>
      <c r="O60" s="167"/>
      <c r="P60" s="167">
        <f>Simulador!O434</f>
        <v>0</v>
      </c>
      <c r="Q60" s="167">
        <f t="shared" si="22"/>
        <v>0</v>
      </c>
      <c r="R60" s="167">
        <f t="shared" si="12"/>
        <v>0</v>
      </c>
      <c r="U60" s="6"/>
      <c r="V60" s="6"/>
      <c r="W60" s="6"/>
      <c r="X60" s="256">
        <f t="shared" si="6"/>
        <v>0</v>
      </c>
      <c r="Z60" s="201">
        <f t="shared" si="9"/>
        <v>0</v>
      </c>
      <c r="AA60" s="201">
        <f t="shared" si="13"/>
        <v>0</v>
      </c>
      <c r="AB60" s="202">
        <f t="shared" si="14"/>
        <v>0</v>
      </c>
      <c r="AC60" s="201">
        <f t="shared" si="15"/>
        <v>10421.884210717653</v>
      </c>
      <c r="AD60" s="201">
        <f t="shared" si="16"/>
        <v>0</v>
      </c>
      <c r="AE60" s="201">
        <f t="shared" si="23"/>
        <v>10421.884210717653</v>
      </c>
      <c r="AF60" s="201">
        <f t="shared" si="17"/>
        <v>0</v>
      </c>
      <c r="AG60" s="201">
        <f t="shared" si="18"/>
        <v>0</v>
      </c>
      <c r="AH60" s="201">
        <f t="shared" si="24"/>
        <v>0</v>
      </c>
    </row>
    <row r="61" spans="3:34" x14ac:dyDescent="0.3">
      <c r="C61" s="179">
        <f t="shared" si="10"/>
        <v>44</v>
      </c>
      <c r="D61" s="180">
        <f t="shared" si="19"/>
        <v>30.4</v>
      </c>
      <c r="E61" s="165">
        <f>IF(C61="","",Simulador!$F$62)</f>
        <v>0.11</v>
      </c>
      <c r="F61" s="167"/>
      <c r="G61" s="167">
        <f t="shared" si="20"/>
        <v>0</v>
      </c>
      <c r="H61" s="166"/>
      <c r="I61" s="167">
        <f t="shared" si="7"/>
        <v>0</v>
      </c>
      <c r="J61" s="167">
        <f t="shared" si="8"/>
        <v>0</v>
      </c>
      <c r="K61" s="172">
        <f t="shared" si="11"/>
        <v>0</v>
      </c>
      <c r="L61" s="167">
        <f t="shared" si="2"/>
        <v>0</v>
      </c>
      <c r="M61" s="167">
        <f t="shared" si="21"/>
        <v>0</v>
      </c>
      <c r="N61" s="167">
        <f>IF(C61="","",IF(G61=0,0,IF(Simulador!$F$11='Tabla Parámetros'!$W$1,'Tabla Parámetros'!$W$28,IF(Simulador!$F$11='Tabla Parámetros'!$Y$1,'Tabla Parámetros'!$Y$12))))</f>
        <v>0</v>
      </c>
      <c r="O61" s="167"/>
      <c r="P61" s="167">
        <f>Simulador!O435</f>
        <v>0</v>
      </c>
      <c r="Q61" s="167">
        <f t="shared" si="22"/>
        <v>0</v>
      </c>
      <c r="R61" s="167">
        <f t="shared" si="12"/>
        <v>0</v>
      </c>
      <c r="U61" s="6"/>
      <c r="V61" s="6"/>
      <c r="W61" s="6"/>
      <c r="X61" s="256">
        <f t="shared" si="6"/>
        <v>0</v>
      </c>
      <c r="Z61" s="201">
        <f t="shared" si="9"/>
        <v>0</v>
      </c>
      <c r="AA61" s="201">
        <f t="shared" si="13"/>
        <v>0</v>
      </c>
      <c r="AB61" s="202">
        <f t="shared" si="14"/>
        <v>0</v>
      </c>
      <c r="AC61" s="201">
        <f t="shared" si="15"/>
        <v>10421.884210717653</v>
      </c>
      <c r="AD61" s="201">
        <f t="shared" si="16"/>
        <v>0</v>
      </c>
      <c r="AE61" s="201">
        <f t="shared" si="23"/>
        <v>10421.884210717653</v>
      </c>
      <c r="AF61" s="201">
        <f t="shared" si="17"/>
        <v>0</v>
      </c>
      <c r="AG61" s="201">
        <f t="shared" si="18"/>
        <v>0</v>
      </c>
      <c r="AH61" s="201">
        <f t="shared" si="24"/>
        <v>0</v>
      </c>
    </row>
    <row r="62" spans="3:34" x14ac:dyDescent="0.3">
      <c r="C62" s="181">
        <f t="shared" si="10"/>
        <v>45</v>
      </c>
      <c r="D62" s="180">
        <f t="shared" si="19"/>
        <v>30.4</v>
      </c>
      <c r="E62" s="165">
        <f>IF(C62="","",Simulador!$F$62)</f>
        <v>0.11</v>
      </c>
      <c r="F62" s="167"/>
      <c r="G62" s="167">
        <f t="shared" si="20"/>
        <v>0</v>
      </c>
      <c r="H62" s="166"/>
      <c r="I62" s="167">
        <f t="shared" si="7"/>
        <v>0</v>
      </c>
      <c r="J62" s="167">
        <f t="shared" si="8"/>
        <v>0</v>
      </c>
      <c r="K62" s="172">
        <f t="shared" si="11"/>
        <v>0</v>
      </c>
      <c r="L62" s="167">
        <f t="shared" si="2"/>
        <v>0</v>
      </c>
      <c r="M62" s="167">
        <f t="shared" si="21"/>
        <v>0</v>
      </c>
      <c r="N62" s="167">
        <f>IF(C62="","",IF(G62=0,0,IF(Simulador!$F$11='Tabla Parámetros'!$W$1,'Tabla Parámetros'!$W$28,IF(Simulador!$F$11='Tabla Parámetros'!$Y$1,'Tabla Parámetros'!$Y$12))))</f>
        <v>0</v>
      </c>
      <c r="O62" s="167"/>
      <c r="P62" s="167">
        <f>Simulador!O436</f>
        <v>0</v>
      </c>
      <c r="Q62" s="167">
        <f t="shared" si="22"/>
        <v>0</v>
      </c>
      <c r="R62" s="167">
        <f t="shared" si="12"/>
        <v>0</v>
      </c>
      <c r="U62" s="6"/>
      <c r="V62" s="6"/>
      <c r="W62" s="6"/>
      <c r="X62" s="256">
        <f t="shared" si="6"/>
        <v>0</v>
      </c>
      <c r="Z62" s="201">
        <f t="shared" si="9"/>
        <v>0</v>
      </c>
      <c r="AA62" s="201">
        <f t="shared" si="13"/>
        <v>0</v>
      </c>
      <c r="AB62" s="202">
        <f t="shared" si="14"/>
        <v>0</v>
      </c>
      <c r="AC62" s="201">
        <f t="shared" si="15"/>
        <v>10421.884210717653</v>
      </c>
      <c r="AD62" s="201">
        <f t="shared" si="16"/>
        <v>0</v>
      </c>
      <c r="AE62" s="201">
        <f t="shared" si="23"/>
        <v>10421.884210717653</v>
      </c>
      <c r="AF62" s="201">
        <f t="shared" si="17"/>
        <v>0</v>
      </c>
      <c r="AG62" s="201">
        <f t="shared" si="18"/>
        <v>0</v>
      </c>
      <c r="AH62" s="201">
        <f t="shared" si="24"/>
        <v>0</v>
      </c>
    </row>
    <row r="63" spans="3:34" x14ac:dyDescent="0.3">
      <c r="C63" s="179">
        <f t="shared" si="10"/>
        <v>46</v>
      </c>
      <c r="D63" s="180">
        <f t="shared" si="19"/>
        <v>30.4</v>
      </c>
      <c r="E63" s="165">
        <f>IF(C63="","",Simulador!$F$62)</f>
        <v>0.11</v>
      </c>
      <c r="F63" s="167"/>
      <c r="G63" s="167">
        <f t="shared" si="20"/>
        <v>0</v>
      </c>
      <c r="H63" s="166"/>
      <c r="I63" s="167">
        <f t="shared" si="7"/>
        <v>0</v>
      </c>
      <c r="J63" s="167">
        <f t="shared" si="8"/>
        <v>0</v>
      </c>
      <c r="K63" s="172">
        <f t="shared" si="11"/>
        <v>0</v>
      </c>
      <c r="L63" s="167">
        <f t="shared" si="2"/>
        <v>0</v>
      </c>
      <c r="M63" s="167">
        <f t="shared" si="21"/>
        <v>0</v>
      </c>
      <c r="N63" s="167">
        <f>IF(C63="","",IF(G63=0,0,IF(Simulador!$F$11='Tabla Parámetros'!$W$1,'Tabla Parámetros'!$W$28,IF(Simulador!$F$11='Tabla Parámetros'!$Y$1,'Tabla Parámetros'!$Y$12))))</f>
        <v>0</v>
      </c>
      <c r="O63" s="167"/>
      <c r="P63" s="167">
        <f>Simulador!O437</f>
        <v>0</v>
      </c>
      <c r="Q63" s="167">
        <f t="shared" si="22"/>
        <v>0</v>
      </c>
      <c r="R63" s="167">
        <f t="shared" si="12"/>
        <v>0</v>
      </c>
      <c r="U63" s="6"/>
      <c r="V63" s="6"/>
      <c r="W63" s="6"/>
      <c r="X63" s="256">
        <f t="shared" si="6"/>
        <v>0</v>
      </c>
      <c r="Z63" s="201">
        <f t="shared" si="9"/>
        <v>0</v>
      </c>
      <c r="AA63" s="201">
        <f t="shared" si="13"/>
        <v>0</v>
      </c>
      <c r="AB63" s="202">
        <f t="shared" si="14"/>
        <v>0</v>
      </c>
      <c r="AC63" s="201">
        <f t="shared" si="15"/>
        <v>10421.884210717653</v>
      </c>
      <c r="AD63" s="201">
        <f t="shared" si="16"/>
        <v>0</v>
      </c>
      <c r="AE63" s="201">
        <f t="shared" si="23"/>
        <v>10421.884210717653</v>
      </c>
      <c r="AF63" s="201">
        <f t="shared" si="17"/>
        <v>0</v>
      </c>
      <c r="AG63" s="201">
        <f t="shared" si="18"/>
        <v>0</v>
      </c>
      <c r="AH63" s="201">
        <f t="shared" si="24"/>
        <v>0</v>
      </c>
    </row>
    <row r="64" spans="3:34" x14ac:dyDescent="0.3">
      <c r="C64" s="179">
        <f t="shared" si="10"/>
        <v>47</v>
      </c>
      <c r="D64" s="180">
        <f t="shared" si="19"/>
        <v>30.4</v>
      </c>
      <c r="E64" s="165">
        <f>IF(C64="","",Simulador!$F$62)</f>
        <v>0.11</v>
      </c>
      <c r="F64" s="167"/>
      <c r="G64" s="167">
        <f t="shared" si="20"/>
        <v>0</v>
      </c>
      <c r="H64" s="166"/>
      <c r="I64" s="167">
        <f t="shared" si="7"/>
        <v>0</v>
      </c>
      <c r="J64" s="167">
        <f t="shared" si="8"/>
        <v>0</v>
      </c>
      <c r="K64" s="172">
        <f t="shared" si="11"/>
        <v>0</v>
      </c>
      <c r="L64" s="167">
        <f t="shared" si="2"/>
        <v>0</v>
      </c>
      <c r="M64" s="167">
        <f t="shared" si="21"/>
        <v>0</v>
      </c>
      <c r="N64" s="167">
        <f>IF(C64="","",IF(G64=0,0,IF(Simulador!$F$11='Tabla Parámetros'!$W$1,'Tabla Parámetros'!$W$28,IF(Simulador!$F$11='Tabla Parámetros'!$Y$1,'Tabla Parámetros'!$Y$12))))</f>
        <v>0</v>
      </c>
      <c r="O64" s="167"/>
      <c r="P64" s="167">
        <f>Simulador!O438</f>
        <v>0</v>
      </c>
      <c r="Q64" s="167">
        <f t="shared" si="22"/>
        <v>0</v>
      </c>
      <c r="R64" s="167">
        <f t="shared" si="12"/>
        <v>0</v>
      </c>
      <c r="U64" s="6"/>
      <c r="V64" s="6"/>
      <c r="W64" s="6"/>
      <c r="X64" s="256">
        <f t="shared" si="6"/>
        <v>0</v>
      </c>
      <c r="Z64" s="201">
        <f t="shared" si="9"/>
        <v>0</v>
      </c>
      <c r="AA64" s="201">
        <f t="shared" si="13"/>
        <v>0</v>
      </c>
      <c r="AB64" s="202">
        <f t="shared" si="14"/>
        <v>0</v>
      </c>
      <c r="AC64" s="201">
        <f t="shared" si="15"/>
        <v>10421.884210717653</v>
      </c>
      <c r="AD64" s="201">
        <f t="shared" si="16"/>
        <v>0</v>
      </c>
      <c r="AE64" s="201">
        <f t="shared" si="23"/>
        <v>10421.884210717653</v>
      </c>
      <c r="AF64" s="201">
        <f t="shared" si="17"/>
        <v>0</v>
      </c>
      <c r="AG64" s="201">
        <f t="shared" si="18"/>
        <v>0</v>
      </c>
      <c r="AH64" s="201">
        <f t="shared" si="24"/>
        <v>0</v>
      </c>
    </row>
    <row r="65" spans="3:34" x14ac:dyDescent="0.3">
      <c r="C65" s="179">
        <f t="shared" si="10"/>
        <v>48</v>
      </c>
      <c r="D65" s="180">
        <f t="shared" si="19"/>
        <v>30.4</v>
      </c>
      <c r="E65" s="165">
        <f>IF(C65="","",Simulador!$F$62)</f>
        <v>0.11</v>
      </c>
      <c r="F65" s="167"/>
      <c r="G65" s="167">
        <f t="shared" si="20"/>
        <v>0</v>
      </c>
      <c r="H65" s="166"/>
      <c r="I65" s="167">
        <f t="shared" si="7"/>
        <v>0</v>
      </c>
      <c r="J65" s="167">
        <f t="shared" si="8"/>
        <v>0</v>
      </c>
      <c r="K65" s="172">
        <f t="shared" si="11"/>
        <v>0</v>
      </c>
      <c r="L65" s="167">
        <f t="shared" si="2"/>
        <v>0</v>
      </c>
      <c r="M65" s="167">
        <f t="shared" si="21"/>
        <v>0</v>
      </c>
      <c r="N65" s="167">
        <f>IF(C65="","",IF(G65=0,0,IF(Simulador!$F$11='Tabla Parámetros'!$W$1,'Tabla Parámetros'!$W$28,IF(Simulador!$F$11='Tabla Parámetros'!$Y$1,'Tabla Parámetros'!$Y$12))))</f>
        <v>0</v>
      </c>
      <c r="O65" s="167"/>
      <c r="P65" s="167">
        <f>Simulador!O439</f>
        <v>0</v>
      </c>
      <c r="Q65" s="167">
        <f t="shared" si="22"/>
        <v>0</v>
      </c>
      <c r="R65" s="167">
        <f t="shared" si="12"/>
        <v>0</v>
      </c>
      <c r="U65" s="6"/>
      <c r="V65" s="6"/>
      <c r="W65" s="6"/>
      <c r="X65" s="256">
        <f t="shared" si="6"/>
        <v>0</v>
      </c>
      <c r="Z65" s="201">
        <f t="shared" si="9"/>
        <v>0</v>
      </c>
      <c r="AA65" s="201">
        <f t="shared" si="13"/>
        <v>0</v>
      </c>
      <c r="AB65" s="202">
        <f t="shared" si="14"/>
        <v>0</v>
      </c>
      <c r="AC65" s="201">
        <f t="shared" si="15"/>
        <v>10421.884210717653</v>
      </c>
      <c r="AD65" s="201">
        <f t="shared" si="16"/>
        <v>0</v>
      </c>
      <c r="AE65" s="201">
        <f t="shared" si="23"/>
        <v>10421.884210717653</v>
      </c>
      <c r="AF65" s="201">
        <f t="shared" si="17"/>
        <v>0</v>
      </c>
      <c r="AG65" s="201">
        <f t="shared" si="18"/>
        <v>0</v>
      </c>
      <c r="AH65" s="201">
        <f t="shared" si="24"/>
        <v>0</v>
      </c>
    </row>
    <row r="66" spans="3:34" x14ac:dyDescent="0.3">
      <c r="C66" s="181">
        <f t="shared" si="10"/>
        <v>49</v>
      </c>
      <c r="D66" s="180">
        <f t="shared" si="19"/>
        <v>30.4</v>
      </c>
      <c r="E66" s="165">
        <f>IF(C66="","",Simulador!$F$62)</f>
        <v>0.11</v>
      </c>
      <c r="F66" s="167"/>
      <c r="G66" s="167">
        <f t="shared" si="20"/>
        <v>0</v>
      </c>
      <c r="H66" s="166"/>
      <c r="I66" s="167">
        <f t="shared" si="7"/>
        <v>0</v>
      </c>
      <c r="J66" s="167">
        <f t="shared" si="8"/>
        <v>0</v>
      </c>
      <c r="K66" s="172">
        <f t="shared" si="11"/>
        <v>0</v>
      </c>
      <c r="L66" s="167">
        <f t="shared" si="2"/>
        <v>0</v>
      </c>
      <c r="M66" s="167">
        <f t="shared" si="21"/>
        <v>0</v>
      </c>
      <c r="N66" s="167">
        <f>IF(C66="","",IF(G66=0,0,IF(Simulador!$F$11='Tabla Parámetros'!$W$1,'Tabla Parámetros'!$W$28,IF(Simulador!$F$11='Tabla Parámetros'!$Y$1,'Tabla Parámetros'!$Y$12))))</f>
        <v>0</v>
      </c>
      <c r="O66" s="167"/>
      <c r="P66" s="167">
        <f>Simulador!O440</f>
        <v>0</v>
      </c>
      <c r="Q66" s="167">
        <f t="shared" si="22"/>
        <v>0</v>
      </c>
      <c r="R66" s="167">
        <f t="shared" si="12"/>
        <v>0</v>
      </c>
      <c r="U66" s="6"/>
      <c r="V66" s="6"/>
      <c r="W66" s="6"/>
      <c r="X66" s="256">
        <f t="shared" si="6"/>
        <v>0</v>
      </c>
      <c r="Z66" s="201">
        <f t="shared" si="9"/>
        <v>0</v>
      </c>
      <c r="AA66" s="201">
        <f t="shared" si="13"/>
        <v>0</v>
      </c>
      <c r="AB66" s="202">
        <f t="shared" si="14"/>
        <v>0</v>
      </c>
      <c r="AC66" s="201">
        <f t="shared" si="15"/>
        <v>10421.884210717653</v>
      </c>
      <c r="AD66" s="201">
        <f t="shared" si="16"/>
        <v>0</v>
      </c>
      <c r="AE66" s="201">
        <f t="shared" si="23"/>
        <v>10421.884210717653</v>
      </c>
      <c r="AF66" s="201">
        <f t="shared" si="17"/>
        <v>0</v>
      </c>
      <c r="AG66" s="201">
        <f t="shared" si="18"/>
        <v>0</v>
      </c>
      <c r="AH66" s="201">
        <f t="shared" si="24"/>
        <v>0</v>
      </c>
    </row>
    <row r="67" spans="3:34" x14ac:dyDescent="0.3">
      <c r="C67" s="179">
        <f t="shared" si="10"/>
        <v>50</v>
      </c>
      <c r="D67" s="180">
        <f t="shared" si="19"/>
        <v>30.4</v>
      </c>
      <c r="E67" s="165">
        <f>IF(C67="","",Simulador!$F$62)</f>
        <v>0.11</v>
      </c>
      <c r="F67" s="167"/>
      <c r="G67" s="167">
        <f t="shared" si="20"/>
        <v>0</v>
      </c>
      <c r="H67" s="166"/>
      <c r="I67" s="167">
        <f t="shared" si="7"/>
        <v>0</v>
      </c>
      <c r="J67" s="167">
        <f t="shared" si="8"/>
        <v>0</v>
      </c>
      <c r="K67" s="172">
        <f t="shared" si="11"/>
        <v>0</v>
      </c>
      <c r="L67" s="167">
        <f t="shared" si="2"/>
        <v>0</v>
      </c>
      <c r="M67" s="167">
        <f t="shared" si="21"/>
        <v>0</v>
      </c>
      <c r="N67" s="167">
        <f>IF(C67="","",IF(G67=0,0,IF(Simulador!$F$11='Tabla Parámetros'!$W$1,'Tabla Parámetros'!$W$28,IF(Simulador!$F$11='Tabla Parámetros'!$Y$1,'Tabla Parámetros'!$Y$12))))</f>
        <v>0</v>
      </c>
      <c r="O67" s="167"/>
      <c r="P67" s="167">
        <f>Simulador!O441</f>
        <v>0</v>
      </c>
      <c r="Q67" s="167">
        <f t="shared" si="22"/>
        <v>0</v>
      </c>
      <c r="R67" s="167">
        <f t="shared" si="12"/>
        <v>0</v>
      </c>
      <c r="U67" s="6"/>
      <c r="V67" s="6"/>
      <c r="W67" s="6"/>
      <c r="X67" s="256">
        <f t="shared" si="6"/>
        <v>0</v>
      </c>
      <c r="Z67" s="201">
        <f t="shared" si="9"/>
        <v>0</v>
      </c>
      <c r="AA67" s="201">
        <f t="shared" si="13"/>
        <v>0</v>
      </c>
      <c r="AB67" s="202">
        <f t="shared" si="14"/>
        <v>0</v>
      </c>
      <c r="AC67" s="201">
        <f t="shared" si="15"/>
        <v>10421.884210717653</v>
      </c>
      <c r="AD67" s="201">
        <f t="shared" si="16"/>
        <v>0</v>
      </c>
      <c r="AE67" s="201">
        <f t="shared" si="23"/>
        <v>10421.884210717653</v>
      </c>
      <c r="AF67" s="201">
        <f t="shared" si="17"/>
        <v>0</v>
      </c>
      <c r="AG67" s="201">
        <f t="shared" si="18"/>
        <v>0</v>
      </c>
      <c r="AH67" s="201">
        <f t="shared" si="24"/>
        <v>0</v>
      </c>
    </row>
    <row r="68" spans="3:34" x14ac:dyDescent="0.3">
      <c r="C68" s="179">
        <f t="shared" si="10"/>
        <v>51</v>
      </c>
      <c r="D68" s="180">
        <f t="shared" si="19"/>
        <v>30.4</v>
      </c>
      <c r="E68" s="165">
        <f>IF(C68="","",Simulador!$F$62)</f>
        <v>0.11</v>
      </c>
      <c r="F68" s="167"/>
      <c r="G68" s="167">
        <f t="shared" si="20"/>
        <v>0</v>
      </c>
      <c r="H68" s="166"/>
      <c r="I68" s="167">
        <f t="shared" si="7"/>
        <v>0</v>
      </c>
      <c r="J68" s="167">
        <f t="shared" si="8"/>
        <v>0</v>
      </c>
      <c r="K68" s="172">
        <f t="shared" si="11"/>
        <v>0</v>
      </c>
      <c r="L68" s="167">
        <f t="shared" si="2"/>
        <v>0</v>
      </c>
      <c r="M68" s="167">
        <f t="shared" si="21"/>
        <v>0</v>
      </c>
      <c r="N68" s="167">
        <f>IF(C68="","",IF(G68=0,0,IF(Simulador!$F$11='Tabla Parámetros'!$W$1,'Tabla Parámetros'!$W$28,IF(Simulador!$F$11='Tabla Parámetros'!$Y$1,'Tabla Parámetros'!$Y$12))))</f>
        <v>0</v>
      </c>
      <c r="O68" s="167"/>
      <c r="P68" s="167">
        <f>Simulador!O442</f>
        <v>0</v>
      </c>
      <c r="Q68" s="167">
        <f t="shared" si="22"/>
        <v>0</v>
      </c>
      <c r="R68" s="167">
        <f t="shared" si="12"/>
        <v>0</v>
      </c>
      <c r="U68" s="6"/>
      <c r="V68" s="6"/>
      <c r="W68" s="6"/>
      <c r="X68" s="256">
        <f t="shared" si="6"/>
        <v>0</v>
      </c>
      <c r="Z68" s="201">
        <f t="shared" si="9"/>
        <v>0</v>
      </c>
      <c r="AA68" s="201">
        <f t="shared" si="13"/>
        <v>0</v>
      </c>
      <c r="AB68" s="202">
        <f t="shared" si="14"/>
        <v>0</v>
      </c>
      <c r="AC68" s="201">
        <f t="shared" si="15"/>
        <v>10421.884210717653</v>
      </c>
      <c r="AD68" s="201">
        <f t="shared" si="16"/>
        <v>0</v>
      </c>
      <c r="AE68" s="201">
        <f t="shared" si="23"/>
        <v>10421.884210717653</v>
      </c>
      <c r="AF68" s="201">
        <f t="shared" si="17"/>
        <v>0</v>
      </c>
      <c r="AG68" s="201">
        <f t="shared" si="18"/>
        <v>0</v>
      </c>
      <c r="AH68" s="201">
        <f t="shared" si="24"/>
        <v>0</v>
      </c>
    </row>
    <row r="69" spans="3:34" x14ac:dyDescent="0.3">
      <c r="C69" s="179">
        <f t="shared" si="10"/>
        <v>52</v>
      </c>
      <c r="D69" s="180">
        <f t="shared" si="19"/>
        <v>30.4</v>
      </c>
      <c r="E69" s="165">
        <f>IF(C69="","",Simulador!$F$62)</f>
        <v>0.11</v>
      </c>
      <c r="F69" s="167"/>
      <c r="G69" s="167">
        <f t="shared" si="20"/>
        <v>0</v>
      </c>
      <c r="H69" s="166"/>
      <c r="I69" s="167">
        <f t="shared" si="7"/>
        <v>0</v>
      </c>
      <c r="J69" s="167">
        <f t="shared" si="8"/>
        <v>0</v>
      </c>
      <c r="K69" s="172">
        <f t="shared" si="11"/>
        <v>0</v>
      </c>
      <c r="L69" s="167">
        <f t="shared" si="2"/>
        <v>0</v>
      </c>
      <c r="M69" s="167">
        <f t="shared" si="21"/>
        <v>0</v>
      </c>
      <c r="N69" s="167">
        <f>IF(C69="","",IF(G69=0,0,IF(Simulador!$F$11='Tabla Parámetros'!$W$1,'Tabla Parámetros'!$W$28,IF(Simulador!$F$11='Tabla Parámetros'!$Y$1,'Tabla Parámetros'!$Y$12))))</f>
        <v>0</v>
      </c>
      <c r="O69" s="167"/>
      <c r="P69" s="167">
        <f>Simulador!O443</f>
        <v>0</v>
      </c>
      <c r="Q69" s="167">
        <f t="shared" si="22"/>
        <v>0</v>
      </c>
      <c r="R69" s="167">
        <f t="shared" si="12"/>
        <v>0</v>
      </c>
      <c r="U69" s="6"/>
      <c r="V69" s="6"/>
      <c r="W69" s="6"/>
      <c r="X69" s="256">
        <f t="shared" si="6"/>
        <v>0</v>
      </c>
      <c r="Z69" s="201">
        <f t="shared" si="9"/>
        <v>0</v>
      </c>
      <c r="AA69" s="201">
        <f t="shared" si="13"/>
        <v>0</v>
      </c>
      <c r="AB69" s="202">
        <f t="shared" si="14"/>
        <v>0</v>
      </c>
      <c r="AC69" s="201">
        <f t="shared" si="15"/>
        <v>10421.884210717653</v>
      </c>
      <c r="AD69" s="201">
        <f t="shared" si="16"/>
        <v>0</v>
      </c>
      <c r="AE69" s="201">
        <f t="shared" si="23"/>
        <v>10421.884210717653</v>
      </c>
      <c r="AF69" s="201">
        <f t="shared" si="17"/>
        <v>0</v>
      </c>
      <c r="AG69" s="201">
        <f t="shared" si="18"/>
        <v>0</v>
      </c>
      <c r="AH69" s="201">
        <f t="shared" si="24"/>
        <v>0</v>
      </c>
    </row>
    <row r="70" spans="3:34" x14ac:dyDescent="0.3">
      <c r="C70" s="181">
        <f t="shared" si="10"/>
        <v>53</v>
      </c>
      <c r="D70" s="180">
        <f t="shared" si="19"/>
        <v>30.4</v>
      </c>
      <c r="E70" s="165">
        <f>IF(C70="","",Simulador!$F$62)</f>
        <v>0.11</v>
      </c>
      <c r="F70" s="167"/>
      <c r="G70" s="167">
        <f t="shared" si="20"/>
        <v>0</v>
      </c>
      <c r="H70" s="166"/>
      <c r="I70" s="167">
        <f t="shared" si="7"/>
        <v>0</v>
      </c>
      <c r="J70" s="167">
        <f t="shared" si="8"/>
        <v>0</v>
      </c>
      <c r="K70" s="172">
        <f t="shared" si="11"/>
        <v>0</v>
      </c>
      <c r="L70" s="167">
        <f t="shared" si="2"/>
        <v>0</v>
      </c>
      <c r="M70" s="167">
        <f t="shared" si="21"/>
        <v>0</v>
      </c>
      <c r="N70" s="167">
        <f>IF(C70="","",IF(G70=0,0,IF(Simulador!$F$11='Tabla Parámetros'!$W$1,'Tabla Parámetros'!$W$28,IF(Simulador!$F$11='Tabla Parámetros'!$Y$1,'Tabla Parámetros'!$Y$12))))</f>
        <v>0</v>
      </c>
      <c r="O70" s="167"/>
      <c r="P70" s="167">
        <f>Simulador!O444</f>
        <v>0</v>
      </c>
      <c r="Q70" s="167">
        <f t="shared" si="22"/>
        <v>0</v>
      </c>
      <c r="R70" s="167">
        <f t="shared" si="12"/>
        <v>0</v>
      </c>
      <c r="U70" s="6"/>
      <c r="V70" s="6"/>
      <c r="W70" s="6"/>
      <c r="X70" s="256">
        <f t="shared" si="6"/>
        <v>0</v>
      </c>
      <c r="Z70" s="201">
        <f t="shared" si="9"/>
        <v>0</v>
      </c>
      <c r="AA70" s="201">
        <f t="shared" si="13"/>
        <v>0</v>
      </c>
      <c r="AB70" s="202">
        <f t="shared" si="14"/>
        <v>0</v>
      </c>
      <c r="AC70" s="201">
        <f t="shared" si="15"/>
        <v>10421.884210717653</v>
      </c>
      <c r="AD70" s="201">
        <f t="shared" si="16"/>
        <v>0</v>
      </c>
      <c r="AE70" s="201">
        <f t="shared" si="23"/>
        <v>10421.884210717653</v>
      </c>
      <c r="AF70" s="201">
        <f t="shared" si="17"/>
        <v>0</v>
      </c>
      <c r="AG70" s="201">
        <f t="shared" si="18"/>
        <v>0</v>
      </c>
      <c r="AH70" s="201">
        <f t="shared" si="24"/>
        <v>0</v>
      </c>
    </row>
    <row r="71" spans="3:34" x14ac:dyDescent="0.3">
      <c r="C71" s="179">
        <f t="shared" si="10"/>
        <v>54</v>
      </c>
      <c r="D71" s="180">
        <f t="shared" si="19"/>
        <v>30.4</v>
      </c>
      <c r="E71" s="165">
        <f>IF(C71="","",Simulador!$F$62)</f>
        <v>0.11</v>
      </c>
      <c r="F71" s="167"/>
      <c r="G71" s="167">
        <f t="shared" si="20"/>
        <v>0</v>
      </c>
      <c r="H71" s="166"/>
      <c r="I71" s="167">
        <f t="shared" si="7"/>
        <v>0</v>
      </c>
      <c r="J71" s="167">
        <f t="shared" si="8"/>
        <v>0</v>
      </c>
      <c r="K71" s="172">
        <f t="shared" si="11"/>
        <v>0</v>
      </c>
      <c r="L71" s="167">
        <f t="shared" ref="L71:L134" si="25">G71*$J$2</f>
        <v>0</v>
      </c>
      <c r="M71" s="167">
        <f t="shared" si="21"/>
        <v>0</v>
      </c>
      <c r="N71" s="167">
        <f>IF(C71="","",IF(G71=0,0,IF(Simulador!$F$11='Tabla Parámetros'!$W$1,'Tabla Parámetros'!$W$28,IF(Simulador!$F$11='Tabla Parámetros'!$Y$1,'Tabla Parámetros'!$Y$12))))</f>
        <v>0</v>
      </c>
      <c r="O71" s="167"/>
      <c r="P71" s="167">
        <f>Simulador!O445</f>
        <v>0</v>
      </c>
      <c r="Q71" s="167">
        <f t="shared" si="22"/>
        <v>0</v>
      </c>
      <c r="R71" s="167">
        <f t="shared" si="12"/>
        <v>0</v>
      </c>
      <c r="U71" s="6"/>
      <c r="V71" s="6"/>
      <c r="W71" s="6"/>
      <c r="X71" s="256">
        <f t="shared" si="6"/>
        <v>0</v>
      </c>
      <c r="Z71" s="201">
        <f t="shared" si="9"/>
        <v>0</v>
      </c>
      <c r="AA71" s="201">
        <f t="shared" si="13"/>
        <v>0</v>
      </c>
      <c r="AB71" s="202">
        <f t="shared" si="14"/>
        <v>0</v>
      </c>
      <c r="AC71" s="201">
        <f t="shared" si="15"/>
        <v>10421.884210717653</v>
      </c>
      <c r="AD71" s="201">
        <f t="shared" si="16"/>
        <v>0</v>
      </c>
      <c r="AE71" s="201">
        <f t="shared" si="23"/>
        <v>10421.884210717653</v>
      </c>
      <c r="AF71" s="201">
        <f t="shared" si="17"/>
        <v>0</v>
      </c>
      <c r="AG71" s="201">
        <f t="shared" si="18"/>
        <v>0</v>
      </c>
      <c r="AH71" s="201">
        <f t="shared" si="24"/>
        <v>0</v>
      </c>
    </row>
    <row r="72" spans="3:34" x14ac:dyDescent="0.3">
      <c r="C72" s="179">
        <f t="shared" si="10"/>
        <v>55</v>
      </c>
      <c r="D72" s="180">
        <f t="shared" si="19"/>
        <v>30.4</v>
      </c>
      <c r="E72" s="165">
        <f>IF(C72="","",Simulador!$F$62)</f>
        <v>0.11</v>
      </c>
      <c r="F72" s="167"/>
      <c r="G72" s="167">
        <f t="shared" si="20"/>
        <v>0</v>
      </c>
      <c r="H72" s="166"/>
      <c r="I72" s="167">
        <f t="shared" si="7"/>
        <v>0</v>
      </c>
      <c r="J72" s="167">
        <f t="shared" si="8"/>
        <v>0</v>
      </c>
      <c r="K72" s="172">
        <f t="shared" si="11"/>
        <v>0</v>
      </c>
      <c r="L72" s="167">
        <f t="shared" si="25"/>
        <v>0</v>
      </c>
      <c r="M72" s="167">
        <f t="shared" si="21"/>
        <v>0</v>
      </c>
      <c r="N72" s="167">
        <f>IF(C72="","",IF(G72=0,0,IF(Simulador!$F$11='Tabla Parámetros'!$W$1,'Tabla Parámetros'!$W$28,IF(Simulador!$F$11='Tabla Parámetros'!$Y$1,'Tabla Parámetros'!$Y$12))))</f>
        <v>0</v>
      </c>
      <c r="O72" s="167"/>
      <c r="P72" s="167">
        <f>Simulador!O446</f>
        <v>0</v>
      </c>
      <c r="Q72" s="167">
        <f t="shared" si="22"/>
        <v>0</v>
      </c>
      <c r="R72" s="167">
        <f t="shared" si="12"/>
        <v>0</v>
      </c>
      <c r="U72" s="6"/>
      <c r="V72" s="6"/>
      <c r="W72" s="6"/>
      <c r="X72" s="256">
        <f t="shared" si="6"/>
        <v>0</v>
      </c>
      <c r="Z72" s="201">
        <f t="shared" si="9"/>
        <v>0</v>
      </c>
      <c r="AA72" s="201">
        <f t="shared" si="13"/>
        <v>0</v>
      </c>
      <c r="AB72" s="202">
        <f t="shared" si="14"/>
        <v>0</v>
      </c>
      <c r="AC72" s="201">
        <f t="shared" si="15"/>
        <v>10421.884210717653</v>
      </c>
      <c r="AD72" s="201">
        <f t="shared" si="16"/>
        <v>0</v>
      </c>
      <c r="AE72" s="201">
        <f t="shared" si="23"/>
        <v>10421.884210717653</v>
      </c>
      <c r="AF72" s="201">
        <f t="shared" si="17"/>
        <v>0</v>
      </c>
      <c r="AG72" s="201">
        <f t="shared" si="18"/>
        <v>0</v>
      </c>
      <c r="AH72" s="201">
        <f t="shared" si="24"/>
        <v>0</v>
      </c>
    </row>
    <row r="73" spans="3:34" x14ac:dyDescent="0.3">
      <c r="C73" s="179">
        <f t="shared" si="10"/>
        <v>56</v>
      </c>
      <c r="D73" s="180">
        <f t="shared" si="19"/>
        <v>30.4</v>
      </c>
      <c r="E73" s="165">
        <f>IF(C73="","",Simulador!$F$62)</f>
        <v>0.11</v>
      </c>
      <c r="F73" s="167"/>
      <c r="G73" s="167">
        <f t="shared" si="20"/>
        <v>0</v>
      </c>
      <c r="H73" s="166"/>
      <c r="I73" s="167">
        <f t="shared" si="7"/>
        <v>0</v>
      </c>
      <c r="J73" s="167">
        <f t="shared" si="8"/>
        <v>0</v>
      </c>
      <c r="K73" s="172">
        <f t="shared" si="11"/>
        <v>0</v>
      </c>
      <c r="L73" s="167">
        <f t="shared" si="25"/>
        <v>0</v>
      </c>
      <c r="M73" s="167">
        <f t="shared" si="21"/>
        <v>0</v>
      </c>
      <c r="N73" s="167">
        <f>IF(C73="","",IF(G73=0,0,IF(Simulador!$F$11='Tabla Parámetros'!$W$1,'Tabla Parámetros'!$W$28,IF(Simulador!$F$11='Tabla Parámetros'!$Y$1,'Tabla Parámetros'!$Y$12))))</f>
        <v>0</v>
      </c>
      <c r="O73" s="167"/>
      <c r="P73" s="167">
        <f>Simulador!O447</f>
        <v>0</v>
      </c>
      <c r="Q73" s="167">
        <f t="shared" si="22"/>
        <v>0</v>
      </c>
      <c r="R73" s="167">
        <f t="shared" si="12"/>
        <v>0</v>
      </c>
      <c r="U73" s="6"/>
      <c r="V73" s="6"/>
      <c r="W73" s="6"/>
      <c r="X73" s="256">
        <f t="shared" si="6"/>
        <v>0</v>
      </c>
      <c r="Z73" s="201">
        <f t="shared" si="9"/>
        <v>0</v>
      </c>
      <c r="AA73" s="201">
        <f t="shared" si="13"/>
        <v>0</v>
      </c>
      <c r="AB73" s="202">
        <f t="shared" si="14"/>
        <v>0</v>
      </c>
      <c r="AC73" s="201">
        <f t="shared" si="15"/>
        <v>10421.884210717653</v>
      </c>
      <c r="AD73" s="201">
        <f t="shared" si="16"/>
        <v>0</v>
      </c>
      <c r="AE73" s="201">
        <f t="shared" si="23"/>
        <v>10421.884210717653</v>
      </c>
      <c r="AF73" s="201">
        <f t="shared" si="17"/>
        <v>0</v>
      </c>
      <c r="AG73" s="201">
        <f t="shared" si="18"/>
        <v>0</v>
      </c>
      <c r="AH73" s="201">
        <f t="shared" si="24"/>
        <v>0</v>
      </c>
    </row>
    <row r="74" spans="3:34" x14ac:dyDescent="0.3">
      <c r="C74" s="181">
        <f t="shared" si="10"/>
        <v>57</v>
      </c>
      <c r="D74" s="180">
        <f t="shared" si="19"/>
        <v>30.4</v>
      </c>
      <c r="E74" s="165">
        <f>IF(C74="","",Simulador!$F$62)</f>
        <v>0.11</v>
      </c>
      <c r="F74" s="167"/>
      <c r="G74" s="167">
        <f t="shared" si="20"/>
        <v>0</v>
      </c>
      <c r="H74" s="166"/>
      <c r="I74" s="167">
        <f t="shared" si="7"/>
        <v>0</v>
      </c>
      <c r="J74" s="167">
        <f t="shared" si="8"/>
        <v>0</v>
      </c>
      <c r="K74" s="172">
        <f t="shared" si="11"/>
        <v>0</v>
      </c>
      <c r="L74" s="167">
        <f t="shared" si="25"/>
        <v>0</v>
      </c>
      <c r="M74" s="167">
        <f t="shared" si="21"/>
        <v>0</v>
      </c>
      <c r="N74" s="167">
        <f>IF(C74="","",IF(G74=0,0,IF(Simulador!$F$11='Tabla Parámetros'!$W$1,'Tabla Parámetros'!$W$28,IF(Simulador!$F$11='Tabla Parámetros'!$Y$1,'Tabla Parámetros'!$Y$12))))</f>
        <v>0</v>
      </c>
      <c r="O74" s="167"/>
      <c r="P74" s="167">
        <f>Simulador!O448</f>
        <v>0</v>
      </c>
      <c r="Q74" s="167">
        <f t="shared" si="22"/>
        <v>0</v>
      </c>
      <c r="R74" s="167">
        <f t="shared" si="12"/>
        <v>0</v>
      </c>
      <c r="U74" s="6"/>
      <c r="V74" s="6"/>
      <c r="W74" s="6"/>
      <c r="X74" s="256">
        <f t="shared" si="6"/>
        <v>0</v>
      </c>
      <c r="Z74" s="201">
        <f t="shared" si="9"/>
        <v>0</v>
      </c>
      <c r="AA74" s="201">
        <f t="shared" si="13"/>
        <v>0</v>
      </c>
      <c r="AB74" s="202">
        <f t="shared" si="14"/>
        <v>0</v>
      </c>
      <c r="AC74" s="201">
        <f t="shared" si="15"/>
        <v>10421.884210717653</v>
      </c>
      <c r="AD74" s="201">
        <f t="shared" si="16"/>
        <v>0</v>
      </c>
      <c r="AE74" s="201">
        <f t="shared" si="23"/>
        <v>10421.884210717653</v>
      </c>
      <c r="AF74" s="201">
        <f t="shared" si="17"/>
        <v>0</v>
      </c>
      <c r="AG74" s="201">
        <f t="shared" si="18"/>
        <v>0</v>
      </c>
      <c r="AH74" s="201">
        <f t="shared" si="24"/>
        <v>0</v>
      </c>
    </row>
    <row r="75" spans="3:34" x14ac:dyDescent="0.3">
      <c r="C75" s="179">
        <f t="shared" si="10"/>
        <v>58</v>
      </c>
      <c r="D75" s="180">
        <f t="shared" si="19"/>
        <v>30.4</v>
      </c>
      <c r="E75" s="165">
        <f>IF(C75="","",Simulador!$F$62)</f>
        <v>0.11</v>
      </c>
      <c r="F75" s="167"/>
      <c r="G75" s="167">
        <f t="shared" si="20"/>
        <v>0</v>
      </c>
      <c r="H75" s="166"/>
      <c r="I75" s="167">
        <f t="shared" si="7"/>
        <v>0</v>
      </c>
      <c r="J75" s="167">
        <f t="shared" si="8"/>
        <v>0</v>
      </c>
      <c r="K75" s="172">
        <f t="shared" si="11"/>
        <v>0</v>
      </c>
      <c r="L75" s="167">
        <f t="shared" si="25"/>
        <v>0</v>
      </c>
      <c r="M75" s="167">
        <f t="shared" si="21"/>
        <v>0</v>
      </c>
      <c r="N75" s="167">
        <f>IF(C75="","",IF(G75=0,0,IF(Simulador!$F$11='Tabla Parámetros'!$W$1,'Tabla Parámetros'!$W$28,IF(Simulador!$F$11='Tabla Parámetros'!$Y$1,'Tabla Parámetros'!$Y$12))))</f>
        <v>0</v>
      </c>
      <c r="O75" s="167"/>
      <c r="P75" s="167">
        <f>Simulador!O449</f>
        <v>0</v>
      </c>
      <c r="Q75" s="167">
        <f t="shared" si="22"/>
        <v>0</v>
      </c>
      <c r="R75" s="167">
        <f t="shared" si="12"/>
        <v>0</v>
      </c>
      <c r="U75" s="6"/>
      <c r="V75" s="6"/>
      <c r="W75" s="6"/>
      <c r="X75" s="256">
        <f t="shared" si="6"/>
        <v>0</v>
      </c>
      <c r="Z75" s="201">
        <f t="shared" si="9"/>
        <v>0</v>
      </c>
      <c r="AA75" s="201">
        <f t="shared" si="13"/>
        <v>0</v>
      </c>
      <c r="AB75" s="202">
        <f t="shared" si="14"/>
        <v>0</v>
      </c>
      <c r="AC75" s="201">
        <f t="shared" si="15"/>
        <v>10421.884210717653</v>
      </c>
      <c r="AD75" s="201">
        <f t="shared" si="16"/>
        <v>0</v>
      </c>
      <c r="AE75" s="201">
        <f t="shared" si="23"/>
        <v>10421.884210717653</v>
      </c>
      <c r="AF75" s="201">
        <f t="shared" si="17"/>
        <v>0</v>
      </c>
      <c r="AG75" s="201">
        <f t="shared" si="18"/>
        <v>0</v>
      </c>
      <c r="AH75" s="201">
        <f t="shared" si="24"/>
        <v>0</v>
      </c>
    </row>
    <row r="76" spans="3:34" x14ac:dyDescent="0.3">
      <c r="C76" s="179">
        <f t="shared" si="10"/>
        <v>59</v>
      </c>
      <c r="D76" s="180">
        <f t="shared" si="19"/>
        <v>30.4</v>
      </c>
      <c r="E76" s="165">
        <f>IF(C76="","",Simulador!$F$62)</f>
        <v>0.11</v>
      </c>
      <c r="F76" s="167"/>
      <c r="G76" s="167">
        <f t="shared" si="20"/>
        <v>0</v>
      </c>
      <c r="H76" s="166"/>
      <c r="I76" s="167">
        <f t="shared" si="7"/>
        <v>0</v>
      </c>
      <c r="J76" s="167">
        <f t="shared" si="8"/>
        <v>0</v>
      </c>
      <c r="K76" s="172">
        <f t="shared" si="11"/>
        <v>0</v>
      </c>
      <c r="L76" s="167">
        <f t="shared" si="25"/>
        <v>0</v>
      </c>
      <c r="M76" s="167">
        <f t="shared" si="21"/>
        <v>0</v>
      </c>
      <c r="N76" s="167">
        <f>IF(C76="","",IF(G76=0,0,IF(Simulador!$F$11='Tabla Parámetros'!$W$1,'Tabla Parámetros'!$W$28,IF(Simulador!$F$11='Tabla Parámetros'!$Y$1,'Tabla Parámetros'!$Y$12))))</f>
        <v>0</v>
      </c>
      <c r="O76" s="167"/>
      <c r="P76" s="167">
        <f>Simulador!O450</f>
        <v>0</v>
      </c>
      <c r="Q76" s="167">
        <f t="shared" si="22"/>
        <v>0</v>
      </c>
      <c r="R76" s="167">
        <f t="shared" si="12"/>
        <v>0</v>
      </c>
      <c r="U76" s="6"/>
      <c r="V76" s="6"/>
      <c r="W76" s="6"/>
      <c r="X76" s="256">
        <f t="shared" si="6"/>
        <v>0</v>
      </c>
      <c r="Z76" s="201">
        <f t="shared" si="9"/>
        <v>0</v>
      </c>
      <c r="AA76" s="201">
        <f t="shared" si="13"/>
        <v>0</v>
      </c>
      <c r="AB76" s="202">
        <f t="shared" si="14"/>
        <v>0</v>
      </c>
      <c r="AC76" s="201">
        <f t="shared" si="15"/>
        <v>10421.884210717653</v>
      </c>
      <c r="AD76" s="201">
        <f t="shared" si="16"/>
        <v>0</v>
      </c>
      <c r="AE76" s="201">
        <f t="shared" si="23"/>
        <v>10421.884210717653</v>
      </c>
      <c r="AF76" s="201">
        <f t="shared" si="17"/>
        <v>0</v>
      </c>
      <c r="AG76" s="201">
        <f t="shared" si="18"/>
        <v>0</v>
      </c>
      <c r="AH76" s="201">
        <f t="shared" si="24"/>
        <v>0</v>
      </c>
    </row>
    <row r="77" spans="3:34" x14ac:dyDescent="0.3">
      <c r="C77" s="179">
        <f t="shared" si="10"/>
        <v>60</v>
      </c>
      <c r="D77" s="180">
        <f t="shared" si="19"/>
        <v>30.4</v>
      </c>
      <c r="E77" s="165">
        <f>IF(C77="","",Simulador!$F$62)</f>
        <v>0.11</v>
      </c>
      <c r="F77" s="167"/>
      <c r="G77" s="167">
        <f t="shared" si="20"/>
        <v>0</v>
      </c>
      <c r="H77" s="166"/>
      <c r="I77" s="167">
        <f t="shared" si="7"/>
        <v>0</v>
      </c>
      <c r="J77" s="167">
        <f t="shared" si="8"/>
        <v>0</v>
      </c>
      <c r="K77" s="172">
        <f t="shared" si="11"/>
        <v>0</v>
      </c>
      <c r="L77" s="167">
        <f t="shared" si="25"/>
        <v>0</v>
      </c>
      <c r="M77" s="167">
        <f t="shared" si="21"/>
        <v>0</v>
      </c>
      <c r="N77" s="167">
        <f>IF(C77="","",IF(G77=0,0,IF(Simulador!$F$11='Tabla Parámetros'!$W$1,'Tabla Parámetros'!$W$28,IF(Simulador!$F$11='Tabla Parámetros'!$Y$1,'Tabla Parámetros'!$Y$12))))</f>
        <v>0</v>
      </c>
      <c r="O77" s="167"/>
      <c r="P77" s="167">
        <f>Simulador!O451</f>
        <v>0</v>
      </c>
      <c r="Q77" s="167">
        <f t="shared" si="22"/>
        <v>0</v>
      </c>
      <c r="R77" s="167">
        <f t="shared" si="12"/>
        <v>0</v>
      </c>
      <c r="U77" s="6"/>
      <c r="V77" s="6"/>
      <c r="W77" s="6"/>
      <c r="X77" s="256">
        <f t="shared" si="6"/>
        <v>0</v>
      </c>
      <c r="Z77" s="201">
        <f t="shared" si="9"/>
        <v>0</v>
      </c>
      <c r="AA77" s="201">
        <f t="shared" si="13"/>
        <v>0</v>
      </c>
      <c r="AB77" s="202">
        <f t="shared" si="14"/>
        <v>0</v>
      </c>
      <c r="AC77" s="201">
        <f t="shared" si="15"/>
        <v>10421.884210717653</v>
      </c>
      <c r="AD77" s="201">
        <f t="shared" si="16"/>
        <v>0</v>
      </c>
      <c r="AE77" s="201">
        <f t="shared" si="23"/>
        <v>10421.884210717653</v>
      </c>
      <c r="AF77" s="201">
        <f t="shared" si="17"/>
        <v>0</v>
      </c>
      <c r="AG77" s="201">
        <f t="shared" si="18"/>
        <v>0</v>
      </c>
      <c r="AH77" s="201">
        <f t="shared" si="24"/>
        <v>0</v>
      </c>
    </row>
    <row r="78" spans="3:34" x14ac:dyDescent="0.3">
      <c r="C78" s="181">
        <f t="shared" si="10"/>
        <v>61</v>
      </c>
      <c r="D78" s="180">
        <f t="shared" si="19"/>
        <v>30.4</v>
      </c>
      <c r="E78" s="165">
        <f>IF(C78="","",Simulador!$F$62)</f>
        <v>0.11</v>
      </c>
      <c r="F78" s="167"/>
      <c r="G78" s="167">
        <f t="shared" si="20"/>
        <v>0</v>
      </c>
      <c r="H78" s="166"/>
      <c r="I78" s="167">
        <f t="shared" si="7"/>
        <v>0</v>
      </c>
      <c r="J78" s="167">
        <f t="shared" si="8"/>
        <v>0</v>
      </c>
      <c r="K78" s="172">
        <f t="shared" si="11"/>
        <v>0</v>
      </c>
      <c r="L78" s="167">
        <f t="shared" si="25"/>
        <v>0</v>
      </c>
      <c r="M78" s="167">
        <f t="shared" si="21"/>
        <v>0</v>
      </c>
      <c r="N78" s="167">
        <f>IF(C78="","",IF(G78=0,0,IF(Simulador!$F$11='Tabla Parámetros'!$W$1,'Tabla Parámetros'!$W$28,IF(Simulador!$F$11='Tabla Parámetros'!$Y$1,'Tabla Parámetros'!$Y$12))))</f>
        <v>0</v>
      </c>
      <c r="O78" s="167"/>
      <c r="P78" s="167">
        <f>Simulador!O452</f>
        <v>0</v>
      </c>
      <c r="Q78" s="167">
        <f t="shared" si="22"/>
        <v>0</v>
      </c>
      <c r="R78" s="167">
        <f t="shared" si="12"/>
        <v>0</v>
      </c>
      <c r="U78" s="6"/>
      <c r="V78" s="6"/>
      <c r="W78" s="6"/>
      <c r="X78" s="256">
        <f t="shared" si="6"/>
        <v>0</v>
      </c>
      <c r="Z78" s="201">
        <f t="shared" si="9"/>
        <v>0</v>
      </c>
      <c r="AA78" s="201">
        <f t="shared" si="13"/>
        <v>0</v>
      </c>
      <c r="AB78" s="202">
        <f t="shared" si="14"/>
        <v>0</v>
      </c>
      <c r="AC78" s="201">
        <f t="shared" si="15"/>
        <v>10421.884210717653</v>
      </c>
      <c r="AD78" s="201">
        <f t="shared" si="16"/>
        <v>0</v>
      </c>
      <c r="AE78" s="201">
        <f t="shared" si="23"/>
        <v>10421.884210717653</v>
      </c>
      <c r="AF78" s="201">
        <f t="shared" si="17"/>
        <v>0</v>
      </c>
      <c r="AG78" s="201">
        <f t="shared" si="18"/>
        <v>0</v>
      </c>
      <c r="AH78" s="201">
        <f t="shared" si="24"/>
        <v>0</v>
      </c>
    </row>
    <row r="79" spans="3:34" x14ac:dyDescent="0.3">
      <c r="C79" s="179">
        <f t="shared" si="10"/>
        <v>62</v>
      </c>
      <c r="D79" s="180">
        <f t="shared" si="19"/>
        <v>30.4</v>
      </c>
      <c r="E79" s="165">
        <f>IF(C79="","",Simulador!$F$62)</f>
        <v>0.11</v>
      </c>
      <c r="F79" s="167"/>
      <c r="G79" s="167">
        <f t="shared" si="20"/>
        <v>0</v>
      </c>
      <c r="H79" s="166"/>
      <c r="I79" s="167">
        <f t="shared" si="7"/>
        <v>0</v>
      </c>
      <c r="J79" s="167">
        <f t="shared" si="8"/>
        <v>0</v>
      </c>
      <c r="K79" s="172">
        <f t="shared" si="11"/>
        <v>0</v>
      </c>
      <c r="L79" s="167">
        <f t="shared" si="25"/>
        <v>0</v>
      </c>
      <c r="M79" s="167">
        <f t="shared" si="21"/>
        <v>0</v>
      </c>
      <c r="N79" s="167">
        <f>IF(C79="","",IF(G79=0,0,IF(Simulador!$F$11='Tabla Parámetros'!$W$1,'Tabla Parámetros'!$W$28,IF(Simulador!$F$11='Tabla Parámetros'!$Y$1,'Tabla Parámetros'!$Y$12))))</f>
        <v>0</v>
      </c>
      <c r="O79" s="167"/>
      <c r="P79" s="167">
        <f>Simulador!O453</f>
        <v>0</v>
      </c>
      <c r="Q79" s="167">
        <f t="shared" si="22"/>
        <v>0</v>
      </c>
      <c r="R79" s="167">
        <f t="shared" si="12"/>
        <v>0</v>
      </c>
      <c r="U79" s="6"/>
      <c r="V79" s="6"/>
      <c r="W79" s="6"/>
      <c r="X79" s="256">
        <f t="shared" si="6"/>
        <v>0</v>
      </c>
      <c r="Z79" s="201">
        <f t="shared" si="9"/>
        <v>0</v>
      </c>
      <c r="AA79" s="201">
        <f t="shared" si="13"/>
        <v>0</v>
      </c>
      <c r="AB79" s="202">
        <f t="shared" si="14"/>
        <v>0</v>
      </c>
      <c r="AC79" s="201">
        <f t="shared" si="15"/>
        <v>10421.884210717653</v>
      </c>
      <c r="AD79" s="201">
        <f t="shared" si="16"/>
        <v>0</v>
      </c>
      <c r="AE79" s="201">
        <f t="shared" si="23"/>
        <v>10421.884210717653</v>
      </c>
      <c r="AF79" s="201">
        <f t="shared" si="17"/>
        <v>0</v>
      </c>
      <c r="AG79" s="201">
        <f t="shared" si="18"/>
        <v>0</v>
      </c>
      <c r="AH79" s="201">
        <f t="shared" si="24"/>
        <v>0</v>
      </c>
    </row>
    <row r="80" spans="3:34" x14ac:dyDescent="0.3">
      <c r="C80" s="179">
        <f t="shared" si="10"/>
        <v>63</v>
      </c>
      <c r="D80" s="180">
        <f t="shared" si="19"/>
        <v>30.4</v>
      </c>
      <c r="E80" s="165">
        <f>IF(C80="","",Simulador!$F$62)</f>
        <v>0.11</v>
      </c>
      <c r="F80" s="167"/>
      <c r="G80" s="167">
        <f t="shared" si="20"/>
        <v>0</v>
      </c>
      <c r="H80" s="166"/>
      <c r="I80" s="167">
        <f t="shared" si="7"/>
        <v>0</v>
      </c>
      <c r="J80" s="167">
        <f t="shared" si="8"/>
        <v>0</v>
      </c>
      <c r="K80" s="172">
        <f t="shared" si="11"/>
        <v>0</v>
      </c>
      <c r="L80" s="167">
        <f t="shared" si="25"/>
        <v>0</v>
      </c>
      <c r="M80" s="167">
        <f t="shared" si="21"/>
        <v>0</v>
      </c>
      <c r="N80" s="167">
        <f>IF(C80="","",IF(G80=0,0,IF(Simulador!$F$11='Tabla Parámetros'!$W$1,'Tabla Parámetros'!$W$28,IF(Simulador!$F$11='Tabla Parámetros'!$Y$1,'Tabla Parámetros'!$Y$12))))</f>
        <v>0</v>
      </c>
      <c r="O80" s="167"/>
      <c r="P80" s="167">
        <f>Simulador!O454</f>
        <v>0</v>
      </c>
      <c r="Q80" s="167">
        <f t="shared" si="22"/>
        <v>0</v>
      </c>
      <c r="R80" s="167">
        <f t="shared" si="12"/>
        <v>0</v>
      </c>
      <c r="U80" s="6"/>
      <c r="V80" s="6"/>
      <c r="W80" s="6"/>
      <c r="X80" s="256">
        <f t="shared" si="6"/>
        <v>0</v>
      </c>
      <c r="Z80" s="201">
        <f t="shared" si="9"/>
        <v>0</v>
      </c>
      <c r="AA80" s="201">
        <f t="shared" si="13"/>
        <v>0</v>
      </c>
      <c r="AB80" s="202">
        <f t="shared" si="14"/>
        <v>0</v>
      </c>
      <c r="AC80" s="201">
        <f t="shared" si="15"/>
        <v>10421.884210717653</v>
      </c>
      <c r="AD80" s="201">
        <f t="shared" si="16"/>
        <v>0</v>
      </c>
      <c r="AE80" s="201">
        <f t="shared" si="23"/>
        <v>10421.884210717653</v>
      </c>
      <c r="AF80" s="201">
        <f t="shared" si="17"/>
        <v>0</v>
      </c>
      <c r="AG80" s="201">
        <f t="shared" si="18"/>
        <v>0</v>
      </c>
      <c r="AH80" s="201">
        <f t="shared" si="24"/>
        <v>0</v>
      </c>
    </row>
    <row r="81" spans="3:34" x14ac:dyDescent="0.3">
      <c r="C81" s="179">
        <f t="shared" si="10"/>
        <v>64</v>
      </c>
      <c r="D81" s="180">
        <f t="shared" si="19"/>
        <v>30.4</v>
      </c>
      <c r="E81" s="165">
        <f>IF(C81="","",Simulador!$F$62)</f>
        <v>0.11</v>
      </c>
      <c r="F81" s="167"/>
      <c r="G81" s="167">
        <f t="shared" si="20"/>
        <v>0</v>
      </c>
      <c r="H81" s="166"/>
      <c r="I81" s="167">
        <f t="shared" si="7"/>
        <v>0</v>
      </c>
      <c r="J81" s="167">
        <f t="shared" si="8"/>
        <v>0</v>
      </c>
      <c r="K81" s="172">
        <f t="shared" si="11"/>
        <v>0</v>
      </c>
      <c r="L81" s="167">
        <f t="shared" si="25"/>
        <v>0</v>
      </c>
      <c r="M81" s="167">
        <f t="shared" si="21"/>
        <v>0</v>
      </c>
      <c r="N81" s="167">
        <f>IF(C81="","",IF(G81=0,0,IF(Simulador!$F$11='Tabla Parámetros'!$W$1,'Tabla Parámetros'!$W$28,IF(Simulador!$F$11='Tabla Parámetros'!$Y$1,'Tabla Parámetros'!$Y$12))))</f>
        <v>0</v>
      </c>
      <c r="O81" s="167"/>
      <c r="P81" s="167">
        <f>Simulador!O455</f>
        <v>0</v>
      </c>
      <c r="Q81" s="167">
        <f t="shared" si="22"/>
        <v>0</v>
      </c>
      <c r="R81" s="167">
        <f t="shared" si="12"/>
        <v>0</v>
      </c>
      <c r="U81" s="6"/>
      <c r="V81" s="6"/>
      <c r="W81" s="6"/>
      <c r="X81" s="256">
        <f t="shared" ref="X81:X144" si="26">IF(C83="","",K83+L83+(M83/1.16)+N83)</f>
        <v>0</v>
      </c>
      <c r="Z81" s="201">
        <f t="shared" si="9"/>
        <v>0</v>
      </c>
      <c r="AA81" s="201">
        <f t="shared" si="13"/>
        <v>0</v>
      </c>
      <c r="AB81" s="202">
        <f t="shared" si="14"/>
        <v>0</v>
      </c>
      <c r="AC81" s="201">
        <f t="shared" si="15"/>
        <v>10421.884210717653</v>
      </c>
      <c r="AD81" s="201">
        <f t="shared" si="16"/>
        <v>0</v>
      </c>
      <c r="AE81" s="201">
        <f t="shared" si="23"/>
        <v>10421.884210717653</v>
      </c>
      <c r="AF81" s="201">
        <f t="shared" si="17"/>
        <v>0</v>
      </c>
      <c r="AG81" s="201">
        <f t="shared" si="18"/>
        <v>0</v>
      </c>
      <c r="AH81" s="201">
        <f t="shared" si="24"/>
        <v>0</v>
      </c>
    </row>
    <row r="82" spans="3:34" x14ac:dyDescent="0.3">
      <c r="C82" s="181">
        <f t="shared" si="10"/>
        <v>65</v>
      </c>
      <c r="D82" s="180">
        <f t="shared" si="19"/>
        <v>30.4</v>
      </c>
      <c r="E82" s="165">
        <f>IF(C82="","",Simulador!$F$62)</f>
        <v>0.11</v>
      </c>
      <c r="F82" s="167"/>
      <c r="G82" s="167">
        <f t="shared" si="20"/>
        <v>0</v>
      </c>
      <c r="H82" s="166"/>
      <c r="I82" s="167">
        <f t="shared" ref="I82:I145" si="27">IF(C82="","",IF(G82&lt;=I81,G82,IF($R$2=$Z$16,Z82,IF($R$2=$AC$16,AC82,IF($R$2=$AF$16,AF82,)))))</f>
        <v>0</v>
      </c>
      <c r="J82" s="167">
        <f t="shared" ref="J82:J145" si="28">IF(D82="","",IF($R$2=$Z$16,AA82,IF($R$2=$AC$16,AD82,IF($R$2=$AF$16,AG82,))))</f>
        <v>0</v>
      </c>
      <c r="K82" s="172">
        <f t="shared" si="11"/>
        <v>0</v>
      </c>
      <c r="L82" s="167">
        <f t="shared" si="25"/>
        <v>0</v>
      </c>
      <c r="M82" s="167">
        <f t="shared" si="21"/>
        <v>0</v>
      </c>
      <c r="N82" s="167">
        <f>IF(C82="","",IF(G82=0,0,IF(Simulador!$F$11='Tabla Parámetros'!$W$1,'Tabla Parámetros'!$W$28,IF(Simulador!$F$11='Tabla Parámetros'!$Y$1,'Tabla Parámetros'!$Y$12))))</f>
        <v>0</v>
      </c>
      <c r="O82" s="167"/>
      <c r="P82" s="167">
        <f>Simulador!O456</f>
        <v>0</v>
      </c>
      <c r="Q82" s="167">
        <f t="shared" si="22"/>
        <v>0</v>
      </c>
      <c r="R82" s="167">
        <f t="shared" si="12"/>
        <v>0</v>
      </c>
      <c r="U82" s="6"/>
      <c r="V82" s="6"/>
      <c r="W82" s="6"/>
      <c r="X82" s="256">
        <f t="shared" si="26"/>
        <v>0</v>
      </c>
      <c r="Z82" s="201">
        <f t="shared" ref="Z82:Z145" si="29">PPMT(E82/360*30.4,C82,$F$2,-$G$18)+O82+P82</f>
        <v>0</v>
      </c>
      <c r="AA82" s="201">
        <f t="shared" si="13"/>
        <v>0</v>
      </c>
      <c r="AB82" s="202">
        <f t="shared" si="14"/>
        <v>0</v>
      </c>
      <c r="AC82" s="201">
        <f t="shared" si="15"/>
        <v>10421.884210717653</v>
      </c>
      <c r="AD82" s="201">
        <f t="shared" si="16"/>
        <v>0</v>
      </c>
      <c r="AE82" s="201">
        <f t="shared" si="23"/>
        <v>10421.884210717653</v>
      </c>
      <c r="AF82" s="201">
        <f t="shared" si="17"/>
        <v>0</v>
      </c>
      <c r="AG82" s="201">
        <f t="shared" si="18"/>
        <v>0</v>
      </c>
      <c r="AH82" s="201">
        <f t="shared" si="24"/>
        <v>0</v>
      </c>
    </row>
    <row r="83" spans="3:34" x14ac:dyDescent="0.3">
      <c r="C83" s="179">
        <f t="shared" ref="C83:C146" si="30">IF(C82="","",IF(C82=$F$2,"",C82+1))</f>
        <v>66</v>
      </c>
      <c r="D83" s="180">
        <f t="shared" si="19"/>
        <v>30.4</v>
      </c>
      <c r="E83" s="165">
        <f>IF(C83="","",Simulador!$F$62)</f>
        <v>0.11</v>
      </c>
      <c r="F83" s="167"/>
      <c r="G83" s="167">
        <f t="shared" si="20"/>
        <v>0</v>
      </c>
      <c r="H83" s="166"/>
      <c r="I83" s="167">
        <f t="shared" si="27"/>
        <v>0</v>
      </c>
      <c r="J83" s="167">
        <f t="shared" si="28"/>
        <v>0</v>
      </c>
      <c r="K83" s="172">
        <f t="shared" ref="K83:K146" si="31">IF(C83="","",PMT(E83/360*D83,$F$2,-$G$18))</f>
        <v>0</v>
      </c>
      <c r="L83" s="167">
        <f t="shared" si="25"/>
        <v>0</v>
      </c>
      <c r="M83" s="167">
        <f t="shared" si="21"/>
        <v>0</v>
      </c>
      <c r="N83" s="167">
        <f>IF(C83="","",IF(G83=0,0,IF(Simulador!$F$11='Tabla Parámetros'!$W$1,'Tabla Parámetros'!$W$28,IF(Simulador!$F$11='Tabla Parámetros'!$Y$1,'Tabla Parámetros'!$Y$12))))</f>
        <v>0</v>
      </c>
      <c r="O83" s="167"/>
      <c r="P83" s="167">
        <f>Simulador!O457</f>
        <v>0</v>
      </c>
      <c r="Q83" s="167">
        <f t="shared" si="22"/>
        <v>0</v>
      </c>
      <c r="R83" s="167">
        <f t="shared" ref="R83:R146" si="32">IF(C83="","",G83-I83)</f>
        <v>0</v>
      </c>
      <c r="U83" s="6"/>
      <c r="V83" s="6"/>
      <c r="W83" s="6"/>
      <c r="X83" s="256">
        <f t="shared" si="26"/>
        <v>0</v>
      </c>
      <c r="Z83" s="201">
        <f t="shared" si="29"/>
        <v>0</v>
      </c>
      <c r="AA83" s="201">
        <f t="shared" ref="AA83:AA146" si="33">(E83/360*D83)*G83</f>
        <v>0</v>
      </c>
      <c r="AB83" s="202">
        <f t="shared" ref="AB83:AB146" si="34">Z83+AA83</f>
        <v>0</v>
      </c>
      <c r="AC83" s="201">
        <f t="shared" ref="AC83:AC146" si="35">AE83-AD83</f>
        <v>10421.884210717653</v>
      </c>
      <c r="AD83" s="201">
        <f t="shared" ref="AD83:AD146" si="36">(E83/360*D83)*G83</f>
        <v>0</v>
      </c>
      <c r="AE83" s="201">
        <f t="shared" si="23"/>
        <v>10421.884210717653</v>
      </c>
      <c r="AF83" s="201">
        <f t="shared" ref="AF83:AF146" si="37">AH83-AG83</f>
        <v>0</v>
      </c>
      <c r="AG83" s="201">
        <f t="shared" ref="AG83:AG146" si="38">(E83/360*D83)*G83</f>
        <v>0</v>
      </c>
      <c r="AH83" s="201">
        <f t="shared" si="24"/>
        <v>0</v>
      </c>
    </row>
    <row r="84" spans="3:34" x14ac:dyDescent="0.3">
      <c r="C84" s="179">
        <f t="shared" si="30"/>
        <v>67</v>
      </c>
      <c r="D84" s="180">
        <f t="shared" ref="D84:D147" si="39">IF(C84="","",30.4)</f>
        <v>30.4</v>
      </c>
      <c r="E84" s="165">
        <f>IF(C84="","",Simulador!$F$62)</f>
        <v>0.11</v>
      </c>
      <c r="F84" s="167"/>
      <c r="G84" s="167">
        <f t="shared" ref="G84:G147" si="40">IF(C84="","",G83-I83)</f>
        <v>0</v>
      </c>
      <c r="H84" s="166"/>
      <c r="I84" s="167">
        <f t="shared" si="27"/>
        <v>0</v>
      </c>
      <c r="J84" s="167">
        <f t="shared" si="28"/>
        <v>0</v>
      </c>
      <c r="K84" s="172">
        <f t="shared" si="31"/>
        <v>0</v>
      </c>
      <c r="L84" s="167">
        <f t="shared" si="25"/>
        <v>0</v>
      </c>
      <c r="M84" s="167">
        <f t="shared" ref="M84:M147" si="41">IF(C84="","",IF(G84=0,0,$M$1*$K$2))</f>
        <v>0</v>
      </c>
      <c r="N84" s="167">
        <f>IF(C84="","",IF(G84=0,0,IF(Simulador!$F$11='Tabla Parámetros'!$W$1,'Tabla Parámetros'!$W$28,IF(Simulador!$F$11='Tabla Parámetros'!$Y$1,'Tabla Parámetros'!$Y$12))))</f>
        <v>0</v>
      </c>
      <c r="O84" s="167"/>
      <c r="P84" s="167">
        <f>Simulador!O458</f>
        <v>0</v>
      </c>
      <c r="Q84" s="167">
        <f t="shared" ref="Q84:Q147" si="42">IF(C84="","",SUM(K84:N84))</f>
        <v>0</v>
      </c>
      <c r="R84" s="167">
        <f t="shared" si="32"/>
        <v>0</v>
      </c>
      <c r="U84" s="6"/>
      <c r="V84" s="6"/>
      <c r="W84" s="6"/>
      <c r="X84" s="256">
        <f t="shared" si="26"/>
        <v>0</v>
      </c>
      <c r="Z84" s="201">
        <f t="shared" si="29"/>
        <v>0</v>
      </c>
      <c r="AA84" s="201">
        <f t="shared" si="33"/>
        <v>0</v>
      </c>
      <c r="AB84" s="202">
        <f t="shared" si="34"/>
        <v>0</v>
      </c>
      <c r="AC84" s="201">
        <f t="shared" si="35"/>
        <v>10421.884210717653</v>
      </c>
      <c r="AD84" s="201">
        <f t="shared" si="36"/>
        <v>0</v>
      </c>
      <c r="AE84" s="201">
        <f t="shared" ref="AE84:AE147" si="43">PMT($F$1/360*30.4,$F$2,-$I$2)+O84+P84</f>
        <v>10421.884210717653</v>
      </c>
      <c r="AF84" s="201">
        <f t="shared" si="37"/>
        <v>0</v>
      </c>
      <c r="AG84" s="201">
        <f t="shared" si="38"/>
        <v>0</v>
      </c>
      <c r="AH84" s="201">
        <f t="shared" ref="AH84:AH147" si="44">PMT($F$1/360*30.4,$F$2-C83,-G84)+O84+P84</f>
        <v>0</v>
      </c>
    </row>
    <row r="85" spans="3:34" x14ac:dyDescent="0.3">
      <c r="C85" s="179">
        <f t="shared" si="30"/>
        <v>68</v>
      </c>
      <c r="D85" s="180">
        <f t="shared" si="39"/>
        <v>30.4</v>
      </c>
      <c r="E85" s="165">
        <f>IF(C85="","",Simulador!$F$62)</f>
        <v>0.11</v>
      </c>
      <c r="F85" s="167"/>
      <c r="G85" s="167">
        <f t="shared" si="40"/>
        <v>0</v>
      </c>
      <c r="H85" s="166"/>
      <c r="I85" s="167">
        <f t="shared" si="27"/>
        <v>0</v>
      </c>
      <c r="J85" s="167">
        <f t="shared" si="28"/>
        <v>0</v>
      </c>
      <c r="K85" s="172">
        <f t="shared" si="31"/>
        <v>0</v>
      </c>
      <c r="L85" s="167">
        <f t="shared" si="25"/>
        <v>0</v>
      </c>
      <c r="M85" s="167">
        <f t="shared" si="41"/>
        <v>0</v>
      </c>
      <c r="N85" s="167">
        <f>IF(C85="","",IF(G85=0,0,IF(Simulador!$F$11='Tabla Parámetros'!$W$1,'Tabla Parámetros'!$W$28,IF(Simulador!$F$11='Tabla Parámetros'!$Y$1,'Tabla Parámetros'!$Y$12))))</f>
        <v>0</v>
      </c>
      <c r="O85" s="167"/>
      <c r="P85" s="167">
        <f>Simulador!O459</f>
        <v>0</v>
      </c>
      <c r="Q85" s="167">
        <f t="shared" si="42"/>
        <v>0</v>
      </c>
      <c r="R85" s="167">
        <f t="shared" si="32"/>
        <v>0</v>
      </c>
      <c r="U85" s="6"/>
      <c r="V85" s="6"/>
      <c r="W85" s="6"/>
      <c r="X85" s="256">
        <f t="shared" si="26"/>
        <v>0</v>
      </c>
      <c r="Z85" s="201">
        <f t="shared" si="29"/>
        <v>0</v>
      </c>
      <c r="AA85" s="201">
        <f t="shared" si="33"/>
        <v>0</v>
      </c>
      <c r="AB85" s="202">
        <f t="shared" si="34"/>
        <v>0</v>
      </c>
      <c r="AC85" s="201">
        <f t="shared" si="35"/>
        <v>10421.884210717653</v>
      </c>
      <c r="AD85" s="201">
        <f t="shared" si="36"/>
        <v>0</v>
      </c>
      <c r="AE85" s="201">
        <f t="shared" si="43"/>
        <v>10421.884210717653</v>
      </c>
      <c r="AF85" s="201">
        <f t="shared" si="37"/>
        <v>0</v>
      </c>
      <c r="AG85" s="201">
        <f t="shared" si="38"/>
        <v>0</v>
      </c>
      <c r="AH85" s="201">
        <f t="shared" si="44"/>
        <v>0</v>
      </c>
    </row>
    <row r="86" spans="3:34" x14ac:dyDescent="0.3">
      <c r="C86" s="181">
        <f t="shared" si="30"/>
        <v>69</v>
      </c>
      <c r="D86" s="180">
        <f t="shared" si="39"/>
        <v>30.4</v>
      </c>
      <c r="E86" s="165">
        <f>IF(C86="","",Simulador!$F$62)</f>
        <v>0.11</v>
      </c>
      <c r="F86" s="167"/>
      <c r="G86" s="167">
        <f t="shared" si="40"/>
        <v>0</v>
      </c>
      <c r="H86" s="166"/>
      <c r="I86" s="167">
        <f t="shared" si="27"/>
        <v>0</v>
      </c>
      <c r="J86" s="167">
        <f t="shared" si="28"/>
        <v>0</v>
      </c>
      <c r="K86" s="172">
        <f t="shared" si="31"/>
        <v>0</v>
      </c>
      <c r="L86" s="167">
        <f t="shared" si="25"/>
        <v>0</v>
      </c>
      <c r="M86" s="167">
        <f t="shared" si="41"/>
        <v>0</v>
      </c>
      <c r="N86" s="167">
        <f>IF(C86="","",IF(G86=0,0,IF(Simulador!$F$11='Tabla Parámetros'!$W$1,'Tabla Parámetros'!$W$28,IF(Simulador!$F$11='Tabla Parámetros'!$Y$1,'Tabla Parámetros'!$Y$12))))</f>
        <v>0</v>
      </c>
      <c r="O86" s="167"/>
      <c r="P86" s="167">
        <f>Simulador!O460</f>
        <v>0</v>
      </c>
      <c r="Q86" s="167">
        <f t="shared" si="42"/>
        <v>0</v>
      </c>
      <c r="R86" s="167">
        <f t="shared" si="32"/>
        <v>0</v>
      </c>
      <c r="U86" s="6"/>
      <c r="V86" s="6"/>
      <c r="W86" s="6"/>
      <c r="X86" s="256">
        <f t="shared" si="26"/>
        <v>0</v>
      </c>
      <c r="Z86" s="201">
        <f t="shared" si="29"/>
        <v>0</v>
      </c>
      <c r="AA86" s="201">
        <f t="shared" si="33"/>
        <v>0</v>
      </c>
      <c r="AB86" s="202">
        <f t="shared" si="34"/>
        <v>0</v>
      </c>
      <c r="AC86" s="201">
        <f t="shared" si="35"/>
        <v>10421.884210717653</v>
      </c>
      <c r="AD86" s="201">
        <f t="shared" si="36"/>
        <v>0</v>
      </c>
      <c r="AE86" s="201">
        <f t="shared" si="43"/>
        <v>10421.884210717653</v>
      </c>
      <c r="AF86" s="201">
        <f t="shared" si="37"/>
        <v>0</v>
      </c>
      <c r="AG86" s="201">
        <f t="shared" si="38"/>
        <v>0</v>
      </c>
      <c r="AH86" s="201">
        <f t="shared" si="44"/>
        <v>0</v>
      </c>
    </row>
    <row r="87" spans="3:34" x14ac:dyDescent="0.3">
      <c r="C87" s="179">
        <f t="shared" si="30"/>
        <v>70</v>
      </c>
      <c r="D87" s="180">
        <f t="shared" si="39"/>
        <v>30.4</v>
      </c>
      <c r="E87" s="165">
        <f>IF(C87="","",Simulador!$F$62)</f>
        <v>0.11</v>
      </c>
      <c r="F87" s="167"/>
      <c r="G87" s="167">
        <f t="shared" si="40"/>
        <v>0</v>
      </c>
      <c r="H87" s="166"/>
      <c r="I87" s="167">
        <f t="shared" si="27"/>
        <v>0</v>
      </c>
      <c r="J87" s="167">
        <f t="shared" si="28"/>
        <v>0</v>
      </c>
      <c r="K87" s="172">
        <f t="shared" si="31"/>
        <v>0</v>
      </c>
      <c r="L87" s="167">
        <f t="shared" si="25"/>
        <v>0</v>
      </c>
      <c r="M87" s="167">
        <f t="shared" si="41"/>
        <v>0</v>
      </c>
      <c r="N87" s="167">
        <f>IF(C87="","",IF(G87=0,0,IF(Simulador!$F$11='Tabla Parámetros'!$W$1,'Tabla Parámetros'!$W$28,IF(Simulador!$F$11='Tabla Parámetros'!$Y$1,'Tabla Parámetros'!$Y$12))))</f>
        <v>0</v>
      </c>
      <c r="O87" s="167"/>
      <c r="P87" s="167">
        <f>Simulador!O461</f>
        <v>0</v>
      </c>
      <c r="Q87" s="167">
        <f t="shared" si="42"/>
        <v>0</v>
      </c>
      <c r="R87" s="167">
        <f t="shared" si="32"/>
        <v>0</v>
      </c>
      <c r="U87" s="6"/>
      <c r="V87" s="6"/>
      <c r="W87" s="6"/>
      <c r="X87" s="256">
        <f t="shared" si="26"/>
        <v>0</v>
      </c>
      <c r="Z87" s="201">
        <f t="shared" si="29"/>
        <v>0</v>
      </c>
      <c r="AA87" s="201">
        <f t="shared" si="33"/>
        <v>0</v>
      </c>
      <c r="AB87" s="202">
        <f t="shared" si="34"/>
        <v>0</v>
      </c>
      <c r="AC87" s="201">
        <f t="shared" si="35"/>
        <v>10421.884210717653</v>
      </c>
      <c r="AD87" s="201">
        <f t="shared" si="36"/>
        <v>0</v>
      </c>
      <c r="AE87" s="201">
        <f t="shared" si="43"/>
        <v>10421.884210717653</v>
      </c>
      <c r="AF87" s="201">
        <f t="shared" si="37"/>
        <v>0</v>
      </c>
      <c r="AG87" s="201">
        <f t="shared" si="38"/>
        <v>0</v>
      </c>
      <c r="AH87" s="201">
        <f t="shared" si="44"/>
        <v>0</v>
      </c>
    </row>
    <row r="88" spans="3:34" x14ac:dyDescent="0.3">
      <c r="C88" s="179">
        <f t="shared" si="30"/>
        <v>71</v>
      </c>
      <c r="D88" s="180">
        <f t="shared" si="39"/>
        <v>30.4</v>
      </c>
      <c r="E88" s="165">
        <f>IF(C88="","",Simulador!$F$62)</f>
        <v>0.11</v>
      </c>
      <c r="F88" s="167"/>
      <c r="G88" s="167">
        <f t="shared" si="40"/>
        <v>0</v>
      </c>
      <c r="H88" s="166"/>
      <c r="I88" s="167">
        <f t="shared" si="27"/>
        <v>0</v>
      </c>
      <c r="J88" s="167">
        <f t="shared" si="28"/>
        <v>0</v>
      </c>
      <c r="K88" s="172">
        <f t="shared" si="31"/>
        <v>0</v>
      </c>
      <c r="L88" s="167">
        <f t="shared" si="25"/>
        <v>0</v>
      </c>
      <c r="M88" s="167">
        <f t="shared" si="41"/>
        <v>0</v>
      </c>
      <c r="N88" s="167">
        <f>IF(C88="","",IF(G88=0,0,IF(Simulador!$F$11='Tabla Parámetros'!$W$1,'Tabla Parámetros'!$W$28,IF(Simulador!$F$11='Tabla Parámetros'!$Y$1,'Tabla Parámetros'!$Y$12))))</f>
        <v>0</v>
      </c>
      <c r="O88" s="167"/>
      <c r="P88" s="167">
        <f>Simulador!O462</f>
        <v>0</v>
      </c>
      <c r="Q88" s="167">
        <f t="shared" si="42"/>
        <v>0</v>
      </c>
      <c r="R88" s="167">
        <f t="shared" si="32"/>
        <v>0</v>
      </c>
      <c r="U88" s="6"/>
      <c r="V88" s="6"/>
      <c r="W88" s="6"/>
      <c r="X88" s="256">
        <f t="shared" si="26"/>
        <v>0</v>
      </c>
      <c r="Z88" s="201">
        <f t="shared" si="29"/>
        <v>0</v>
      </c>
      <c r="AA88" s="201">
        <f t="shared" si="33"/>
        <v>0</v>
      </c>
      <c r="AB88" s="202">
        <f t="shared" si="34"/>
        <v>0</v>
      </c>
      <c r="AC88" s="201">
        <f t="shared" si="35"/>
        <v>10421.884210717653</v>
      </c>
      <c r="AD88" s="201">
        <f t="shared" si="36"/>
        <v>0</v>
      </c>
      <c r="AE88" s="201">
        <f t="shared" si="43"/>
        <v>10421.884210717653</v>
      </c>
      <c r="AF88" s="201">
        <f t="shared" si="37"/>
        <v>0</v>
      </c>
      <c r="AG88" s="201">
        <f t="shared" si="38"/>
        <v>0</v>
      </c>
      <c r="AH88" s="201">
        <f t="shared" si="44"/>
        <v>0</v>
      </c>
    </row>
    <row r="89" spans="3:34" x14ac:dyDescent="0.3">
      <c r="C89" s="179">
        <f t="shared" si="30"/>
        <v>72</v>
      </c>
      <c r="D89" s="180">
        <f t="shared" si="39"/>
        <v>30.4</v>
      </c>
      <c r="E89" s="165">
        <f>IF(C89="","",Simulador!$F$62)</f>
        <v>0.11</v>
      </c>
      <c r="F89" s="167"/>
      <c r="G89" s="167">
        <f t="shared" si="40"/>
        <v>0</v>
      </c>
      <c r="H89" s="166"/>
      <c r="I89" s="167">
        <f t="shared" si="27"/>
        <v>0</v>
      </c>
      <c r="J89" s="167">
        <f t="shared" si="28"/>
        <v>0</v>
      </c>
      <c r="K89" s="172">
        <f t="shared" si="31"/>
        <v>0</v>
      </c>
      <c r="L89" s="167">
        <f t="shared" si="25"/>
        <v>0</v>
      </c>
      <c r="M89" s="167">
        <f t="shared" si="41"/>
        <v>0</v>
      </c>
      <c r="N89" s="167">
        <f>IF(C89="","",IF(G89=0,0,IF(Simulador!$F$11='Tabla Parámetros'!$W$1,'Tabla Parámetros'!$W$28,IF(Simulador!$F$11='Tabla Parámetros'!$Y$1,'Tabla Parámetros'!$Y$12))))</f>
        <v>0</v>
      </c>
      <c r="O89" s="167"/>
      <c r="P89" s="167">
        <f>Simulador!O463</f>
        <v>0</v>
      </c>
      <c r="Q89" s="167">
        <f t="shared" si="42"/>
        <v>0</v>
      </c>
      <c r="R89" s="167">
        <f t="shared" si="32"/>
        <v>0</v>
      </c>
      <c r="U89" s="6"/>
      <c r="V89" s="6"/>
      <c r="W89" s="6"/>
      <c r="X89" s="256">
        <f t="shared" si="26"/>
        <v>0</v>
      </c>
      <c r="Z89" s="201">
        <f t="shared" si="29"/>
        <v>0</v>
      </c>
      <c r="AA89" s="201">
        <f t="shared" si="33"/>
        <v>0</v>
      </c>
      <c r="AB89" s="202">
        <f t="shared" si="34"/>
        <v>0</v>
      </c>
      <c r="AC89" s="201">
        <f t="shared" si="35"/>
        <v>10421.884210717653</v>
      </c>
      <c r="AD89" s="201">
        <f t="shared" si="36"/>
        <v>0</v>
      </c>
      <c r="AE89" s="201">
        <f t="shared" si="43"/>
        <v>10421.884210717653</v>
      </c>
      <c r="AF89" s="201">
        <f t="shared" si="37"/>
        <v>0</v>
      </c>
      <c r="AG89" s="201">
        <f t="shared" si="38"/>
        <v>0</v>
      </c>
      <c r="AH89" s="201">
        <f t="shared" si="44"/>
        <v>0</v>
      </c>
    </row>
    <row r="90" spans="3:34" x14ac:dyDescent="0.3">
      <c r="C90" s="181">
        <f t="shared" si="30"/>
        <v>73</v>
      </c>
      <c r="D90" s="180">
        <f t="shared" si="39"/>
        <v>30.4</v>
      </c>
      <c r="E90" s="165">
        <f>IF(C90="","",Simulador!$F$62)</f>
        <v>0.11</v>
      </c>
      <c r="F90" s="167"/>
      <c r="G90" s="167">
        <f t="shared" si="40"/>
        <v>0</v>
      </c>
      <c r="H90" s="166"/>
      <c r="I90" s="167">
        <f t="shared" si="27"/>
        <v>0</v>
      </c>
      <c r="J90" s="167">
        <f t="shared" si="28"/>
        <v>0</v>
      </c>
      <c r="K90" s="172">
        <f t="shared" si="31"/>
        <v>0</v>
      </c>
      <c r="L90" s="167">
        <f t="shared" si="25"/>
        <v>0</v>
      </c>
      <c r="M90" s="167">
        <f t="shared" si="41"/>
        <v>0</v>
      </c>
      <c r="N90" s="167">
        <f>IF(C90="","",IF(G90=0,0,IF(Simulador!$F$11='Tabla Parámetros'!$W$1,'Tabla Parámetros'!$W$28,IF(Simulador!$F$11='Tabla Parámetros'!$Y$1,'Tabla Parámetros'!$Y$12))))</f>
        <v>0</v>
      </c>
      <c r="O90" s="167"/>
      <c r="P90" s="167">
        <f>Simulador!O464</f>
        <v>0</v>
      </c>
      <c r="Q90" s="167">
        <f t="shared" si="42"/>
        <v>0</v>
      </c>
      <c r="R90" s="167">
        <f t="shared" si="32"/>
        <v>0</v>
      </c>
      <c r="U90" s="6"/>
      <c r="V90" s="6"/>
      <c r="W90" s="6"/>
      <c r="X90" s="256">
        <f t="shared" si="26"/>
        <v>0</v>
      </c>
      <c r="Z90" s="201">
        <f t="shared" si="29"/>
        <v>0</v>
      </c>
      <c r="AA90" s="201">
        <f t="shared" si="33"/>
        <v>0</v>
      </c>
      <c r="AB90" s="202">
        <f t="shared" si="34"/>
        <v>0</v>
      </c>
      <c r="AC90" s="201">
        <f t="shared" si="35"/>
        <v>10421.884210717653</v>
      </c>
      <c r="AD90" s="201">
        <f t="shared" si="36"/>
        <v>0</v>
      </c>
      <c r="AE90" s="201">
        <f t="shared" si="43"/>
        <v>10421.884210717653</v>
      </c>
      <c r="AF90" s="201">
        <f t="shared" si="37"/>
        <v>0</v>
      </c>
      <c r="AG90" s="201">
        <f t="shared" si="38"/>
        <v>0</v>
      </c>
      <c r="AH90" s="201">
        <f t="shared" si="44"/>
        <v>0</v>
      </c>
    </row>
    <row r="91" spans="3:34" x14ac:dyDescent="0.3">
      <c r="C91" s="179">
        <f t="shared" si="30"/>
        <v>74</v>
      </c>
      <c r="D91" s="180">
        <f t="shared" si="39"/>
        <v>30.4</v>
      </c>
      <c r="E91" s="165">
        <f>IF(C91="","",Simulador!$F$62)</f>
        <v>0.11</v>
      </c>
      <c r="F91" s="167"/>
      <c r="G91" s="167">
        <f t="shared" si="40"/>
        <v>0</v>
      </c>
      <c r="H91" s="166"/>
      <c r="I91" s="167">
        <f t="shared" si="27"/>
        <v>0</v>
      </c>
      <c r="J91" s="167">
        <f t="shared" si="28"/>
        <v>0</v>
      </c>
      <c r="K91" s="172">
        <f t="shared" si="31"/>
        <v>0</v>
      </c>
      <c r="L91" s="167">
        <f t="shared" si="25"/>
        <v>0</v>
      </c>
      <c r="M91" s="167">
        <f t="shared" si="41"/>
        <v>0</v>
      </c>
      <c r="N91" s="167">
        <f>IF(C91="","",IF(G91=0,0,IF(Simulador!$F$11='Tabla Parámetros'!$W$1,'Tabla Parámetros'!$W$28,IF(Simulador!$F$11='Tabla Parámetros'!$Y$1,'Tabla Parámetros'!$Y$12))))</f>
        <v>0</v>
      </c>
      <c r="O91" s="167"/>
      <c r="P91" s="167">
        <f>Simulador!O465</f>
        <v>0</v>
      </c>
      <c r="Q91" s="167">
        <f t="shared" si="42"/>
        <v>0</v>
      </c>
      <c r="R91" s="167">
        <f t="shared" si="32"/>
        <v>0</v>
      </c>
      <c r="U91" s="6"/>
      <c r="V91" s="6"/>
      <c r="W91" s="6"/>
      <c r="X91" s="256">
        <f t="shared" si="26"/>
        <v>0</v>
      </c>
      <c r="Z91" s="201">
        <f t="shared" si="29"/>
        <v>0</v>
      </c>
      <c r="AA91" s="201">
        <f t="shared" si="33"/>
        <v>0</v>
      </c>
      <c r="AB91" s="202">
        <f t="shared" si="34"/>
        <v>0</v>
      </c>
      <c r="AC91" s="201">
        <f t="shared" si="35"/>
        <v>10421.884210717653</v>
      </c>
      <c r="AD91" s="201">
        <f t="shared" si="36"/>
        <v>0</v>
      </c>
      <c r="AE91" s="201">
        <f t="shared" si="43"/>
        <v>10421.884210717653</v>
      </c>
      <c r="AF91" s="201">
        <f t="shared" si="37"/>
        <v>0</v>
      </c>
      <c r="AG91" s="201">
        <f t="shared" si="38"/>
        <v>0</v>
      </c>
      <c r="AH91" s="201">
        <f t="shared" si="44"/>
        <v>0</v>
      </c>
    </row>
    <row r="92" spans="3:34" x14ac:dyDescent="0.3">
      <c r="C92" s="179">
        <f t="shared" si="30"/>
        <v>75</v>
      </c>
      <c r="D92" s="180">
        <f t="shared" si="39"/>
        <v>30.4</v>
      </c>
      <c r="E92" s="165">
        <f>IF(C92="","",Simulador!$F$62)</f>
        <v>0.11</v>
      </c>
      <c r="F92" s="167"/>
      <c r="G92" s="167">
        <f t="shared" si="40"/>
        <v>0</v>
      </c>
      <c r="H92" s="166"/>
      <c r="I92" s="167">
        <f t="shared" si="27"/>
        <v>0</v>
      </c>
      <c r="J92" s="167">
        <f t="shared" si="28"/>
        <v>0</v>
      </c>
      <c r="K92" s="172">
        <f t="shared" si="31"/>
        <v>0</v>
      </c>
      <c r="L92" s="167">
        <f t="shared" si="25"/>
        <v>0</v>
      </c>
      <c r="M92" s="167">
        <f t="shared" si="41"/>
        <v>0</v>
      </c>
      <c r="N92" s="167">
        <f>IF(C92="","",IF(G92=0,0,IF(Simulador!$F$11='Tabla Parámetros'!$W$1,'Tabla Parámetros'!$W$28,IF(Simulador!$F$11='Tabla Parámetros'!$Y$1,'Tabla Parámetros'!$Y$12))))</f>
        <v>0</v>
      </c>
      <c r="O92" s="167"/>
      <c r="P92" s="167">
        <f>Simulador!O466</f>
        <v>0</v>
      </c>
      <c r="Q92" s="167">
        <f t="shared" si="42"/>
        <v>0</v>
      </c>
      <c r="R92" s="167">
        <f t="shared" si="32"/>
        <v>0</v>
      </c>
      <c r="U92" s="6"/>
      <c r="V92" s="6"/>
      <c r="W92" s="6"/>
      <c r="X92" s="256">
        <f t="shared" si="26"/>
        <v>0</v>
      </c>
      <c r="Z92" s="201">
        <f t="shared" si="29"/>
        <v>0</v>
      </c>
      <c r="AA92" s="201">
        <f t="shared" si="33"/>
        <v>0</v>
      </c>
      <c r="AB92" s="202">
        <f t="shared" si="34"/>
        <v>0</v>
      </c>
      <c r="AC92" s="201">
        <f t="shared" si="35"/>
        <v>10421.884210717653</v>
      </c>
      <c r="AD92" s="201">
        <f t="shared" si="36"/>
        <v>0</v>
      </c>
      <c r="AE92" s="201">
        <f t="shared" si="43"/>
        <v>10421.884210717653</v>
      </c>
      <c r="AF92" s="201">
        <f t="shared" si="37"/>
        <v>0</v>
      </c>
      <c r="AG92" s="201">
        <f t="shared" si="38"/>
        <v>0</v>
      </c>
      <c r="AH92" s="201">
        <f t="shared" si="44"/>
        <v>0</v>
      </c>
    </row>
    <row r="93" spans="3:34" x14ac:dyDescent="0.3">
      <c r="C93" s="179">
        <f t="shared" si="30"/>
        <v>76</v>
      </c>
      <c r="D93" s="180">
        <f t="shared" si="39"/>
        <v>30.4</v>
      </c>
      <c r="E93" s="165">
        <f>IF(C93="","",Simulador!$F$62)</f>
        <v>0.11</v>
      </c>
      <c r="F93" s="167"/>
      <c r="G93" s="167">
        <f t="shared" si="40"/>
        <v>0</v>
      </c>
      <c r="H93" s="166"/>
      <c r="I93" s="167">
        <f t="shared" si="27"/>
        <v>0</v>
      </c>
      <c r="J93" s="167">
        <f t="shared" si="28"/>
        <v>0</v>
      </c>
      <c r="K93" s="172">
        <f t="shared" si="31"/>
        <v>0</v>
      </c>
      <c r="L93" s="167">
        <f t="shared" si="25"/>
        <v>0</v>
      </c>
      <c r="M93" s="167">
        <f t="shared" si="41"/>
        <v>0</v>
      </c>
      <c r="N93" s="167">
        <f>IF(C93="","",IF(G93=0,0,IF(Simulador!$F$11='Tabla Parámetros'!$W$1,'Tabla Parámetros'!$W$28,IF(Simulador!$F$11='Tabla Parámetros'!$Y$1,'Tabla Parámetros'!$Y$12))))</f>
        <v>0</v>
      </c>
      <c r="O93" s="167"/>
      <c r="P93" s="167">
        <f>Simulador!O467</f>
        <v>0</v>
      </c>
      <c r="Q93" s="167">
        <f t="shared" si="42"/>
        <v>0</v>
      </c>
      <c r="R93" s="167">
        <f t="shared" si="32"/>
        <v>0</v>
      </c>
      <c r="U93" s="6"/>
      <c r="V93" s="6"/>
      <c r="W93" s="6"/>
      <c r="X93" s="256">
        <f t="shared" si="26"/>
        <v>0</v>
      </c>
      <c r="Z93" s="201">
        <f t="shared" si="29"/>
        <v>0</v>
      </c>
      <c r="AA93" s="201">
        <f t="shared" si="33"/>
        <v>0</v>
      </c>
      <c r="AB93" s="202">
        <f t="shared" si="34"/>
        <v>0</v>
      </c>
      <c r="AC93" s="201">
        <f t="shared" si="35"/>
        <v>10421.884210717653</v>
      </c>
      <c r="AD93" s="201">
        <f t="shared" si="36"/>
        <v>0</v>
      </c>
      <c r="AE93" s="201">
        <f t="shared" si="43"/>
        <v>10421.884210717653</v>
      </c>
      <c r="AF93" s="201">
        <f t="shared" si="37"/>
        <v>0</v>
      </c>
      <c r="AG93" s="201">
        <f t="shared" si="38"/>
        <v>0</v>
      </c>
      <c r="AH93" s="201">
        <f t="shared" si="44"/>
        <v>0</v>
      </c>
    </row>
    <row r="94" spans="3:34" x14ac:dyDescent="0.3">
      <c r="C94" s="181">
        <f t="shared" si="30"/>
        <v>77</v>
      </c>
      <c r="D94" s="180">
        <f t="shared" si="39"/>
        <v>30.4</v>
      </c>
      <c r="E94" s="165">
        <f>IF(C94="","",Simulador!$F$62)</f>
        <v>0.11</v>
      </c>
      <c r="F94" s="167"/>
      <c r="G94" s="167">
        <f t="shared" si="40"/>
        <v>0</v>
      </c>
      <c r="H94" s="166"/>
      <c r="I94" s="167">
        <f t="shared" si="27"/>
        <v>0</v>
      </c>
      <c r="J94" s="167">
        <f t="shared" si="28"/>
        <v>0</v>
      </c>
      <c r="K94" s="172">
        <f t="shared" si="31"/>
        <v>0</v>
      </c>
      <c r="L94" s="167">
        <f t="shared" si="25"/>
        <v>0</v>
      </c>
      <c r="M94" s="167">
        <f t="shared" si="41"/>
        <v>0</v>
      </c>
      <c r="N94" s="167">
        <f>IF(C94="","",IF(G94=0,0,IF(Simulador!$F$11='Tabla Parámetros'!$W$1,'Tabla Parámetros'!$W$28,IF(Simulador!$F$11='Tabla Parámetros'!$Y$1,'Tabla Parámetros'!$Y$12))))</f>
        <v>0</v>
      </c>
      <c r="O94" s="167"/>
      <c r="P94" s="167">
        <f>Simulador!O468</f>
        <v>0</v>
      </c>
      <c r="Q94" s="167">
        <f t="shared" si="42"/>
        <v>0</v>
      </c>
      <c r="R94" s="167">
        <f t="shared" si="32"/>
        <v>0</v>
      </c>
      <c r="U94" s="6"/>
      <c r="V94" s="6"/>
      <c r="W94" s="6"/>
      <c r="X94" s="256">
        <f t="shared" si="26"/>
        <v>0</v>
      </c>
      <c r="Z94" s="201">
        <f t="shared" si="29"/>
        <v>0</v>
      </c>
      <c r="AA94" s="201">
        <f t="shared" si="33"/>
        <v>0</v>
      </c>
      <c r="AB94" s="202">
        <f t="shared" si="34"/>
        <v>0</v>
      </c>
      <c r="AC94" s="201">
        <f t="shared" si="35"/>
        <v>10421.884210717653</v>
      </c>
      <c r="AD94" s="201">
        <f t="shared" si="36"/>
        <v>0</v>
      </c>
      <c r="AE94" s="201">
        <f t="shared" si="43"/>
        <v>10421.884210717653</v>
      </c>
      <c r="AF94" s="201">
        <f t="shared" si="37"/>
        <v>0</v>
      </c>
      <c r="AG94" s="201">
        <f t="shared" si="38"/>
        <v>0</v>
      </c>
      <c r="AH94" s="201">
        <f t="shared" si="44"/>
        <v>0</v>
      </c>
    </row>
    <row r="95" spans="3:34" x14ac:dyDescent="0.3">
      <c r="C95" s="179">
        <f t="shared" si="30"/>
        <v>78</v>
      </c>
      <c r="D95" s="180">
        <f t="shared" si="39"/>
        <v>30.4</v>
      </c>
      <c r="E95" s="165">
        <f>IF(C95="","",Simulador!$F$62)</f>
        <v>0.11</v>
      </c>
      <c r="F95" s="167"/>
      <c r="G95" s="167">
        <f t="shared" si="40"/>
        <v>0</v>
      </c>
      <c r="H95" s="166"/>
      <c r="I95" s="167">
        <f t="shared" si="27"/>
        <v>0</v>
      </c>
      <c r="J95" s="167">
        <f t="shared" si="28"/>
        <v>0</v>
      </c>
      <c r="K95" s="172">
        <f t="shared" si="31"/>
        <v>0</v>
      </c>
      <c r="L95" s="167">
        <f t="shared" si="25"/>
        <v>0</v>
      </c>
      <c r="M95" s="167">
        <f t="shared" si="41"/>
        <v>0</v>
      </c>
      <c r="N95" s="167">
        <f>IF(C95="","",IF(G95=0,0,IF(Simulador!$F$11='Tabla Parámetros'!$W$1,'Tabla Parámetros'!$W$28,IF(Simulador!$F$11='Tabla Parámetros'!$Y$1,'Tabla Parámetros'!$Y$12))))</f>
        <v>0</v>
      </c>
      <c r="O95" s="167"/>
      <c r="P95" s="167">
        <f>Simulador!O469</f>
        <v>0</v>
      </c>
      <c r="Q95" s="167">
        <f t="shared" si="42"/>
        <v>0</v>
      </c>
      <c r="R95" s="167">
        <f t="shared" si="32"/>
        <v>0</v>
      </c>
      <c r="U95" s="6"/>
      <c r="V95" s="6"/>
      <c r="W95" s="6"/>
      <c r="X95" s="256">
        <f t="shared" si="26"/>
        <v>0</v>
      </c>
      <c r="Z95" s="201">
        <f t="shared" si="29"/>
        <v>0</v>
      </c>
      <c r="AA95" s="201">
        <f t="shared" si="33"/>
        <v>0</v>
      </c>
      <c r="AB95" s="202">
        <f t="shared" si="34"/>
        <v>0</v>
      </c>
      <c r="AC95" s="201">
        <f t="shared" si="35"/>
        <v>10421.884210717653</v>
      </c>
      <c r="AD95" s="201">
        <f t="shared" si="36"/>
        <v>0</v>
      </c>
      <c r="AE95" s="201">
        <f t="shared" si="43"/>
        <v>10421.884210717653</v>
      </c>
      <c r="AF95" s="201">
        <f t="shared" si="37"/>
        <v>0</v>
      </c>
      <c r="AG95" s="201">
        <f t="shared" si="38"/>
        <v>0</v>
      </c>
      <c r="AH95" s="201">
        <f t="shared" si="44"/>
        <v>0</v>
      </c>
    </row>
    <row r="96" spans="3:34" x14ac:dyDescent="0.3">
      <c r="C96" s="179">
        <f t="shared" si="30"/>
        <v>79</v>
      </c>
      <c r="D96" s="180">
        <f t="shared" si="39"/>
        <v>30.4</v>
      </c>
      <c r="E96" s="165">
        <f>IF(C96="","",Simulador!$F$62)</f>
        <v>0.11</v>
      </c>
      <c r="F96" s="167"/>
      <c r="G96" s="167">
        <f t="shared" si="40"/>
        <v>0</v>
      </c>
      <c r="H96" s="166"/>
      <c r="I96" s="167">
        <f t="shared" si="27"/>
        <v>0</v>
      </c>
      <c r="J96" s="167">
        <f t="shared" si="28"/>
        <v>0</v>
      </c>
      <c r="K96" s="172">
        <f t="shared" si="31"/>
        <v>0</v>
      </c>
      <c r="L96" s="167">
        <f t="shared" si="25"/>
        <v>0</v>
      </c>
      <c r="M96" s="167">
        <f t="shared" si="41"/>
        <v>0</v>
      </c>
      <c r="N96" s="167">
        <f>IF(C96="","",IF(G96=0,0,IF(Simulador!$F$11='Tabla Parámetros'!$W$1,'Tabla Parámetros'!$W$28,IF(Simulador!$F$11='Tabla Parámetros'!$Y$1,'Tabla Parámetros'!$Y$12))))</f>
        <v>0</v>
      </c>
      <c r="O96" s="167"/>
      <c r="P96" s="167">
        <f>Simulador!O470</f>
        <v>0</v>
      </c>
      <c r="Q96" s="167">
        <f t="shared" si="42"/>
        <v>0</v>
      </c>
      <c r="R96" s="167">
        <f t="shared" si="32"/>
        <v>0</v>
      </c>
      <c r="U96" s="6"/>
      <c r="V96" s="6"/>
      <c r="W96" s="6"/>
      <c r="X96" s="256">
        <f t="shared" si="26"/>
        <v>0</v>
      </c>
      <c r="Z96" s="201">
        <f t="shared" si="29"/>
        <v>0</v>
      </c>
      <c r="AA96" s="201">
        <f t="shared" si="33"/>
        <v>0</v>
      </c>
      <c r="AB96" s="202">
        <f t="shared" si="34"/>
        <v>0</v>
      </c>
      <c r="AC96" s="201">
        <f t="shared" si="35"/>
        <v>10421.884210717653</v>
      </c>
      <c r="AD96" s="201">
        <f t="shared" si="36"/>
        <v>0</v>
      </c>
      <c r="AE96" s="201">
        <f t="shared" si="43"/>
        <v>10421.884210717653</v>
      </c>
      <c r="AF96" s="201">
        <f t="shared" si="37"/>
        <v>0</v>
      </c>
      <c r="AG96" s="201">
        <f t="shared" si="38"/>
        <v>0</v>
      </c>
      <c r="AH96" s="201">
        <f t="shared" si="44"/>
        <v>0</v>
      </c>
    </row>
    <row r="97" spans="3:34" x14ac:dyDescent="0.3">
      <c r="C97" s="179">
        <f t="shared" si="30"/>
        <v>80</v>
      </c>
      <c r="D97" s="180">
        <f t="shared" si="39"/>
        <v>30.4</v>
      </c>
      <c r="E97" s="165">
        <f>IF(C97="","",Simulador!$F$62)</f>
        <v>0.11</v>
      </c>
      <c r="F97" s="167"/>
      <c r="G97" s="167">
        <f t="shared" si="40"/>
        <v>0</v>
      </c>
      <c r="H97" s="166"/>
      <c r="I97" s="167">
        <f t="shared" si="27"/>
        <v>0</v>
      </c>
      <c r="J97" s="167">
        <f t="shared" si="28"/>
        <v>0</v>
      </c>
      <c r="K97" s="172">
        <f t="shared" si="31"/>
        <v>0</v>
      </c>
      <c r="L97" s="167">
        <f t="shared" si="25"/>
        <v>0</v>
      </c>
      <c r="M97" s="167">
        <f t="shared" si="41"/>
        <v>0</v>
      </c>
      <c r="N97" s="167">
        <f>IF(C97="","",IF(G97=0,0,IF(Simulador!$F$11='Tabla Parámetros'!$W$1,'Tabla Parámetros'!$W$28,IF(Simulador!$F$11='Tabla Parámetros'!$Y$1,'Tabla Parámetros'!$Y$12))))</f>
        <v>0</v>
      </c>
      <c r="O97" s="167"/>
      <c r="P97" s="167">
        <f>Simulador!O471</f>
        <v>0</v>
      </c>
      <c r="Q97" s="167">
        <f t="shared" si="42"/>
        <v>0</v>
      </c>
      <c r="R97" s="167">
        <f t="shared" si="32"/>
        <v>0</v>
      </c>
      <c r="U97" s="6"/>
      <c r="V97" s="6"/>
      <c r="W97" s="6"/>
      <c r="X97" s="256">
        <f t="shared" si="26"/>
        <v>0</v>
      </c>
      <c r="Z97" s="201">
        <f t="shared" si="29"/>
        <v>0</v>
      </c>
      <c r="AA97" s="201">
        <f t="shared" si="33"/>
        <v>0</v>
      </c>
      <c r="AB97" s="202">
        <f t="shared" si="34"/>
        <v>0</v>
      </c>
      <c r="AC97" s="201">
        <f t="shared" si="35"/>
        <v>10421.884210717653</v>
      </c>
      <c r="AD97" s="201">
        <f t="shared" si="36"/>
        <v>0</v>
      </c>
      <c r="AE97" s="201">
        <f t="shared" si="43"/>
        <v>10421.884210717653</v>
      </c>
      <c r="AF97" s="201">
        <f t="shared" si="37"/>
        <v>0</v>
      </c>
      <c r="AG97" s="201">
        <f t="shared" si="38"/>
        <v>0</v>
      </c>
      <c r="AH97" s="201">
        <f t="shared" si="44"/>
        <v>0</v>
      </c>
    </row>
    <row r="98" spans="3:34" x14ac:dyDescent="0.3">
      <c r="C98" s="181">
        <f t="shared" si="30"/>
        <v>81</v>
      </c>
      <c r="D98" s="180">
        <f t="shared" si="39"/>
        <v>30.4</v>
      </c>
      <c r="E98" s="165">
        <f>IF(C98="","",Simulador!$F$62)</f>
        <v>0.11</v>
      </c>
      <c r="F98" s="167"/>
      <c r="G98" s="167">
        <f t="shared" si="40"/>
        <v>0</v>
      </c>
      <c r="H98" s="166"/>
      <c r="I98" s="167">
        <f t="shared" si="27"/>
        <v>0</v>
      </c>
      <c r="J98" s="167">
        <f t="shared" si="28"/>
        <v>0</v>
      </c>
      <c r="K98" s="172">
        <f t="shared" si="31"/>
        <v>0</v>
      </c>
      <c r="L98" s="167">
        <f t="shared" si="25"/>
        <v>0</v>
      </c>
      <c r="M98" s="167">
        <f t="shared" si="41"/>
        <v>0</v>
      </c>
      <c r="N98" s="167">
        <f>IF(C98="","",IF(G98=0,0,IF(Simulador!$F$11='Tabla Parámetros'!$W$1,'Tabla Parámetros'!$W$28,IF(Simulador!$F$11='Tabla Parámetros'!$Y$1,'Tabla Parámetros'!$Y$12))))</f>
        <v>0</v>
      </c>
      <c r="O98" s="167"/>
      <c r="P98" s="167">
        <f>Simulador!O472</f>
        <v>0</v>
      </c>
      <c r="Q98" s="167">
        <f t="shared" si="42"/>
        <v>0</v>
      </c>
      <c r="R98" s="167">
        <f t="shared" si="32"/>
        <v>0</v>
      </c>
      <c r="U98" s="6"/>
      <c r="V98" s="6"/>
      <c r="W98" s="6"/>
      <c r="X98" s="256">
        <f t="shared" si="26"/>
        <v>0</v>
      </c>
      <c r="Z98" s="201">
        <f t="shared" si="29"/>
        <v>0</v>
      </c>
      <c r="AA98" s="201">
        <f t="shared" si="33"/>
        <v>0</v>
      </c>
      <c r="AB98" s="202">
        <f t="shared" si="34"/>
        <v>0</v>
      </c>
      <c r="AC98" s="201">
        <f t="shared" si="35"/>
        <v>10421.884210717653</v>
      </c>
      <c r="AD98" s="201">
        <f t="shared" si="36"/>
        <v>0</v>
      </c>
      <c r="AE98" s="201">
        <f t="shared" si="43"/>
        <v>10421.884210717653</v>
      </c>
      <c r="AF98" s="201">
        <f t="shared" si="37"/>
        <v>0</v>
      </c>
      <c r="AG98" s="201">
        <f t="shared" si="38"/>
        <v>0</v>
      </c>
      <c r="AH98" s="201">
        <f t="shared" si="44"/>
        <v>0</v>
      </c>
    </row>
    <row r="99" spans="3:34" x14ac:dyDescent="0.3">
      <c r="C99" s="179">
        <f t="shared" si="30"/>
        <v>82</v>
      </c>
      <c r="D99" s="180">
        <f t="shared" si="39"/>
        <v>30.4</v>
      </c>
      <c r="E99" s="165">
        <f>IF(C99="","",Simulador!$F$62)</f>
        <v>0.11</v>
      </c>
      <c r="F99" s="167"/>
      <c r="G99" s="167">
        <f t="shared" si="40"/>
        <v>0</v>
      </c>
      <c r="H99" s="166"/>
      <c r="I99" s="167">
        <f t="shared" si="27"/>
        <v>0</v>
      </c>
      <c r="J99" s="167">
        <f t="shared" si="28"/>
        <v>0</v>
      </c>
      <c r="K99" s="172">
        <f t="shared" si="31"/>
        <v>0</v>
      </c>
      <c r="L99" s="167">
        <f t="shared" si="25"/>
        <v>0</v>
      </c>
      <c r="M99" s="167">
        <f t="shared" si="41"/>
        <v>0</v>
      </c>
      <c r="N99" s="167">
        <f>IF(C99="","",IF(G99=0,0,IF(Simulador!$F$11='Tabla Parámetros'!$W$1,'Tabla Parámetros'!$W$28,IF(Simulador!$F$11='Tabla Parámetros'!$Y$1,'Tabla Parámetros'!$Y$12))))</f>
        <v>0</v>
      </c>
      <c r="O99" s="167"/>
      <c r="P99" s="167">
        <f>Simulador!O473</f>
        <v>0</v>
      </c>
      <c r="Q99" s="167">
        <f t="shared" si="42"/>
        <v>0</v>
      </c>
      <c r="R99" s="167">
        <f t="shared" si="32"/>
        <v>0</v>
      </c>
      <c r="U99" s="6"/>
      <c r="V99" s="6"/>
      <c r="W99" s="6"/>
      <c r="X99" s="256">
        <f t="shared" si="26"/>
        <v>0</v>
      </c>
      <c r="Z99" s="201">
        <f t="shared" si="29"/>
        <v>0</v>
      </c>
      <c r="AA99" s="201">
        <f t="shared" si="33"/>
        <v>0</v>
      </c>
      <c r="AB99" s="202">
        <f t="shared" si="34"/>
        <v>0</v>
      </c>
      <c r="AC99" s="201">
        <f t="shared" si="35"/>
        <v>10421.884210717653</v>
      </c>
      <c r="AD99" s="201">
        <f t="shared" si="36"/>
        <v>0</v>
      </c>
      <c r="AE99" s="201">
        <f t="shared" si="43"/>
        <v>10421.884210717653</v>
      </c>
      <c r="AF99" s="201">
        <f t="shared" si="37"/>
        <v>0</v>
      </c>
      <c r="AG99" s="201">
        <f t="shared" si="38"/>
        <v>0</v>
      </c>
      <c r="AH99" s="201">
        <f t="shared" si="44"/>
        <v>0</v>
      </c>
    </row>
    <row r="100" spans="3:34" x14ac:dyDescent="0.3">
      <c r="C100" s="179">
        <f t="shared" si="30"/>
        <v>83</v>
      </c>
      <c r="D100" s="180">
        <f t="shared" si="39"/>
        <v>30.4</v>
      </c>
      <c r="E100" s="165">
        <f>IF(C100="","",Simulador!$F$62)</f>
        <v>0.11</v>
      </c>
      <c r="F100" s="167"/>
      <c r="G100" s="167">
        <f t="shared" si="40"/>
        <v>0</v>
      </c>
      <c r="H100" s="166"/>
      <c r="I100" s="167">
        <f t="shared" si="27"/>
        <v>0</v>
      </c>
      <c r="J100" s="167">
        <f t="shared" si="28"/>
        <v>0</v>
      </c>
      <c r="K100" s="172">
        <f t="shared" si="31"/>
        <v>0</v>
      </c>
      <c r="L100" s="167">
        <f t="shared" si="25"/>
        <v>0</v>
      </c>
      <c r="M100" s="167">
        <f t="shared" si="41"/>
        <v>0</v>
      </c>
      <c r="N100" s="167">
        <f>IF(C100="","",IF(G100=0,0,IF(Simulador!$F$11='Tabla Parámetros'!$W$1,'Tabla Parámetros'!$W$28,IF(Simulador!$F$11='Tabla Parámetros'!$Y$1,'Tabla Parámetros'!$Y$12))))</f>
        <v>0</v>
      </c>
      <c r="O100" s="167"/>
      <c r="P100" s="167">
        <f>Simulador!O474</f>
        <v>0</v>
      </c>
      <c r="Q100" s="167">
        <f t="shared" si="42"/>
        <v>0</v>
      </c>
      <c r="R100" s="167">
        <f t="shared" si="32"/>
        <v>0</v>
      </c>
      <c r="U100" s="6"/>
      <c r="V100" s="6"/>
      <c r="W100" s="6"/>
      <c r="X100" s="256">
        <f t="shared" si="26"/>
        <v>0</v>
      </c>
      <c r="Z100" s="201">
        <f t="shared" si="29"/>
        <v>0</v>
      </c>
      <c r="AA100" s="201">
        <f t="shared" si="33"/>
        <v>0</v>
      </c>
      <c r="AB100" s="202">
        <f t="shared" si="34"/>
        <v>0</v>
      </c>
      <c r="AC100" s="201">
        <f t="shared" si="35"/>
        <v>10421.884210717653</v>
      </c>
      <c r="AD100" s="201">
        <f t="shared" si="36"/>
        <v>0</v>
      </c>
      <c r="AE100" s="201">
        <f t="shared" si="43"/>
        <v>10421.884210717653</v>
      </c>
      <c r="AF100" s="201">
        <f t="shared" si="37"/>
        <v>0</v>
      </c>
      <c r="AG100" s="201">
        <f t="shared" si="38"/>
        <v>0</v>
      </c>
      <c r="AH100" s="201">
        <f t="shared" si="44"/>
        <v>0</v>
      </c>
    </row>
    <row r="101" spans="3:34" x14ac:dyDescent="0.3">
      <c r="C101" s="179">
        <f t="shared" si="30"/>
        <v>84</v>
      </c>
      <c r="D101" s="180">
        <f t="shared" si="39"/>
        <v>30.4</v>
      </c>
      <c r="E101" s="165">
        <f>IF(C101="","",Simulador!$F$62)</f>
        <v>0.11</v>
      </c>
      <c r="F101" s="167"/>
      <c r="G101" s="167">
        <f t="shared" si="40"/>
        <v>0</v>
      </c>
      <c r="H101" s="166"/>
      <c r="I101" s="167">
        <f t="shared" si="27"/>
        <v>0</v>
      </c>
      <c r="J101" s="167">
        <f t="shared" si="28"/>
        <v>0</v>
      </c>
      <c r="K101" s="172">
        <f t="shared" si="31"/>
        <v>0</v>
      </c>
      <c r="L101" s="167">
        <f t="shared" si="25"/>
        <v>0</v>
      </c>
      <c r="M101" s="167">
        <f t="shared" si="41"/>
        <v>0</v>
      </c>
      <c r="N101" s="167">
        <f>IF(C101="","",IF(G101=0,0,IF(Simulador!$F$11='Tabla Parámetros'!$W$1,'Tabla Parámetros'!$W$28,IF(Simulador!$F$11='Tabla Parámetros'!$Y$1,'Tabla Parámetros'!$Y$12))))</f>
        <v>0</v>
      </c>
      <c r="O101" s="167"/>
      <c r="P101" s="167">
        <f>Simulador!O475</f>
        <v>0</v>
      </c>
      <c r="Q101" s="167">
        <f t="shared" si="42"/>
        <v>0</v>
      </c>
      <c r="R101" s="167">
        <f t="shared" si="32"/>
        <v>0</v>
      </c>
      <c r="U101" s="6"/>
      <c r="V101" s="6"/>
      <c r="W101" s="6"/>
      <c r="X101" s="256">
        <f t="shared" si="26"/>
        <v>0</v>
      </c>
      <c r="Z101" s="201">
        <f t="shared" si="29"/>
        <v>0</v>
      </c>
      <c r="AA101" s="201">
        <f t="shared" si="33"/>
        <v>0</v>
      </c>
      <c r="AB101" s="202">
        <f t="shared" si="34"/>
        <v>0</v>
      </c>
      <c r="AC101" s="201">
        <f t="shared" si="35"/>
        <v>10421.884210717653</v>
      </c>
      <c r="AD101" s="201">
        <f t="shared" si="36"/>
        <v>0</v>
      </c>
      <c r="AE101" s="201">
        <f t="shared" si="43"/>
        <v>10421.884210717653</v>
      </c>
      <c r="AF101" s="201">
        <f t="shared" si="37"/>
        <v>0</v>
      </c>
      <c r="AG101" s="201">
        <f t="shared" si="38"/>
        <v>0</v>
      </c>
      <c r="AH101" s="201">
        <f t="shared" si="44"/>
        <v>0</v>
      </c>
    </row>
    <row r="102" spans="3:34" x14ac:dyDescent="0.3">
      <c r="C102" s="181">
        <f t="shared" si="30"/>
        <v>85</v>
      </c>
      <c r="D102" s="180">
        <f t="shared" si="39"/>
        <v>30.4</v>
      </c>
      <c r="E102" s="165">
        <f>IF(C102="","",Simulador!$F$62)</f>
        <v>0.11</v>
      </c>
      <c r="F102" s="167"/>
      <c r="G102" s="167">
        <f t="shared" si="40"/>
        <v>0</v>
      </c>
      <c r="H102" s="166"/>
      <c r="I102" s="167">
        <f t="shared" si="27"/>
        <v>0</v>
      </c>
      <c r="J102" s="167">
        <f t="shared" si="28"/>
        <v>0</v>
      </c>
      <c r="K102" s="172">
        <f t="shared" si="31"/>
        <v>0</v>
      </c>
      <c r="L102" s="167">
        <f t="shared" si="25"/>
        <v>0</v>
      </c>
      <c r="M102" s="167">
        <f t="shared" si="41"/>
        <v>0</v>
      </c>
      <c r="N102" s="167">
        <f>IF(C102="","",IF(G102=0,0,IF(Simulador!$F$11='Tabla Parámetros'!$W$1,'Tabla Parámetros'!$W$28,IF(Simulador!$F$11='Tabla Parámetros'!$Y$1,'Tabla Parámetros'!$Y$12))))</f>
        <v>0</v>
      </c>
      <c r="O102" s="167"/>
      <c r="P102" s="167">
        <f>Simulador!O476</f>
        <v>0</v>
      </c>
      <c r="Q102" s="167">
        <f t="shared" si="42"/>
        <v>0</v>
      </c>
      <c r="R102" s="167">
        <f t="shared" si="32"/>
        <v>0</v>
      </c>
      <c r="U102" s="6"/>
      <c r="V102" s="6"/>
      <c r="W102" s="6"/>
      <c r="X102" s="256">
        <f t="shared" si="26"/>
        <v>0</v>
      </c>
      <c r="Z102" s="201">
        <f t="shared" si="29"/>
        <v>0</v>
      </c>
      <c r="AA102" s="201">
        <f t="shared" si="33"/>
        <v>0</v>
      </c>
      <c r="AB102" s="202">
        <f t="shared" si="34"/>
        <v>0</v>
      </c>
      <c r="AC102" s="201">
        <f t="shared" si="35"/>
        <v>10421.884210717653</v>
      </c>
      <c r="AD102" s="201">
        <f t="shared" si="36"/>
        <v>0</v>
      </c>
      <c r="AE102" s="201">
        <f t="shared" si="43"/>
        <v>10421.884210717653</v>
      </c>
      <c r="AF102" s="201">
        <f t="shared" si="37"/>
        <v>0</v>
      </c>
      <c r="AG102" s="201">
        <f t="shared" si="38"/>
        <v>0</v>
      </c>
      <c r="AH102" s="201">
        <f t="shared" si="44"/>
        <v>0</v>
      </c>
    </row>
    <row r="103" spans="3:34" x14ac:dyDescent="0.3">
      <c r="C103" s="179">
        <f t="shared" si="30"/>
        <v>86</v>
      </c>
      <c r="D103" s="180">
        <f t="shared" si="39"/>
        <v>30.4</v>
      </c>
      <c r="E103" s="165">
        <f>IF(C103="","",Simulador!$F$62)</f>
        <v>0.11</v>
      </c>
      <c r="F103" s="167"/>
      <c r="G103" s="167">
        <f t="shared" si="40"/>
        <v>0</v>
      </c>
      <c r="H103" s="166"/>
      <c r="I103" s="167">
        <f t="shared" si="27"/>
        <v>0</v>
      </c>
      <c r="J103" s="167">
        <f t="shared" si="28"/>
        <v>0</v>
      </c>
      <c r="K103" s="172">
        <f t="shared" si="31"/>
        <v>0</v>
      </c>
      <c r="L103" s="167">
        <f t="shared" si="25"/>
        <v>0</v>
      </c>
      <c r="M103" s="167">
        <f t="shared" si="41"/>
        <v>0</v>
      </c>
      <c r="N103" s="167">
        <f>IF(C103="","",IF(G103=0,0,IF(Simulador!$F$11='Tabla Parámetros'!$W$1,'Tabla Parámetros'!$W$28,IF(Simulador!$F$11='Tabla Parámetros'!$Y$1,'Tabla Parámetros'!$Y$12))))</f>
        <v>0</v>
      </c>
      <c r="O103" s="167"/>
      <c r="P103" s="167">
        <f>Simulador!O477</f>
        <v>0</v>
      </c>
      <c r="Q103" s="167">
        <f t="shared" si="42"/>
        <v>0</v>
      </c>
      <c r="R103" s="167">
        <f t="shared" si="32"/>
        <v>0</v>
      </c>
      <c r="U103" s="6"/>
      <c r="V103" s="6"/>
      <c r="W103" s="6"/>
      <c r="X103" s="256">
        <f t="shared" si="26"/>
        <v>0</v>
      </c>
      <c r="Z103" s="201">
        <f t="shared" si="29"/>
        <v>0</v>
      </c>
      <c r="AA103" s="201">
        <f t="shared" si="33"/>
        <v>0</v>
      </c>
      <c r="AB103" s="202">
        <f t="shared" si="34"/>
        <v>0</v>
      </c>
      <c r="AC103" s="201">
        <f t="shared" si="35"/>
        <v>10421.884210717653</v>
      </c>
      <c r="AD103" s="201">
        <f t="shared" si="36"/>
        <v>0</v>
      </c>
      <c r="AE103" s="201">
        <f t="shared" si="43"/>
        <v>10421.884210717653</v>
      </c>
      <c r="AF103" s="201">
        <f t="shared" si="37"/>
        <v>0</v>
      </c>
      <c r="AG103" s="201">
        <f t="shared" si="38"/>
        <v>0</v>
      </c>
      <c r="AH103" s="201">
        <f t="shared" si="44"/>
        <v>0</v>
      </c>
    </row>
    <row r="104" spans="3:34" x14ac:dyDescent="0.3">
      <c r="C104" s="179">
        <f t="shared" si="30"/>
        <v>87</v>
      </c>
      <c r="D104" s="180">
        <f t="shared" si="39"/>
        <v>30.4</v>
      </c>
      <c r="E104" s="165">
        <f>IF(C104="","",Simulador!$F$62)</f>
        <v>0.11</v>
      </c>
      <c r="F104" s="167"/>
      <c r="G104" s="167">
        <f t="shared" si="40"/>
        <v>0</v>
      </c>
      <c r="H104" s="166"/>
      <c r="I104" s="167">
        <f t="shared" si="27"/>
        <v>0</v>
      </c>
      <c r="J104" s="167">
        <f t="shared" si="28"/>
        <v>0</v>
      </c>
      <c r="K104" s="172">
        <f t="shared" si="31"/>
        <v>0</v>
      </c>
      <c r="L104" s="167">
        <f t="shared" si="25"/>
        <v>0</v>
      </c>
      <c r="M104" s="167">
        <f t="shared" si="41"/>
        <v>0</v>
      </c>
      <c r="N104" s="167">
        <f>IF(C104="","",IF(G104=0,0,IF(Simulador!$F$11='Tabla Parámetros'!$W$1,'Tabla Parámetros'!$W$28,IF(Simulador!$F$11='Tabla Parámetros'!$Y$1,'Tabla Parámetros'!$Y$12))))</f>
        <v>0</v>
      </c>
      <c r="O104" s="167"/>
      <c r="P104" s="167">
        <f>Simulador!O478</f>
        <v>0</v>
      </c>
      <c r="Q104" s="167">
        <f t="shared" si="42"/>
        <v>0</v>
      </c>
      <c r="R104" s="167">
        <f t="shared" si="32"/>
        <v>0</v>
      </c>
      <c r="U104" s="6"/>
      <c r="V104" s="6"/>
      <c r="W104" s="6"/>
      <c r="X104" s="256">
        <f t="shared" si="26"/>
        <v>0</v>
      </c>
      <c r="Z104" s="201">
        <f t="shared" si="29"/>
        <v>0</v>
      </c>
      <c r="AA104" s="201">
        <f t="shared" si="33"/>
        <v>0</v>
      </c>
      <c r="AB104" s="202">
        <f t="shared" si="34"/>
        <v>0</v>
      </c>
      <c r="AC104" s="201">
        <f t="shared" si="35"/>
        <v>10421.884210717653</v>
      </c>
      <c r="AD104" s="201">
        <f t="shared" si="36"/>
        <v>0</v>
      </c>
      <c r="AE104" s="201">
        <f t="shared" si="43"/>
        <v>10421.884210717653</v>
      </c>
      <c r="AF104" s="201">
        <f t="shared" si="37"/>
        <v>0</v>
      </c>
      <c r="AG104" s="201">
        <f t="shared" si="38"/>
        <v>0</v>
      </c>
      <c r="AH104" s="201">
        <f t="shared" si="44"/>
        <v>0</v>
      </c>
    </row>
    <row r="105" spans="3:34" x14ac:dyDescent="0.3">
      <c r="C105" s="179">
        <f t="shared" si="30"/>
        <v>88</v>
      </c>
      <c r="D105" s="180">
        <f t="shared" si="39"/>
        <v>30.4</v>
      </c>
      <c r="E105" s="165">
        <f>IF(C105="","",Simulador!$F$62)</f>
        <v>0.11</v>
      </c>
      <c r="F105" s="167"/>
      <c r="G105" s="167">
        <f t="shared" si="40"/>
        <v>0</v>
      </c>
      <c r="H105" s="166"/>
      <c r="I105" s="167">
        <f t="shared" si="27"/>
        <v>0</v>
      </c>
      <c r="J105" s="167">
        <f t="shared" si="28"/>
        <v>0</v>
      </c>
      <c r="K105" s="172">
        <f t="shared" si="31"/>
        <v>0</v>
      </c>
      <c r="L105" s="167">
        <f t="shared" si="25"/>
        <v>0</v>
      </c>
      <c r="M105" s="167">
        <f t="shared" si="41"/>
        <v>0</v>
      </c>
      <c r="N105" s="167">
        <f>IF(C105="","",IF(G105=0,0,IF(Simulador!$F$11='Tabla Parámetros'!$W$1,'Tabla Parámetros'!$W$28,IF(Simulador!$F$11='Tabla Parámetros'!$Y$1,'Tabla Parámetros'!$Y$12))))</f>
        <v>0</v>
      </c>
      <c r="O105" s="167"/>
      <c r="P105" s="167">
        <f>Simulador!O479</f>
        <v>0</v>
      </c>
      <c r="Q105" s="167">
        <f t="shared" si="42"/>
        <v>0</v>
      </c>
      <c r="R105" s="167">
        <f t="shared" si="32"/>
        <v>0</v>
      </c>
      <c r="U105" s="6"/>
      <c r="V105" s="6"/>
      <c r="W105" s="6"/>
      <c r="X105" s="256">
        <f t="shared" si="26"/>
        <v>0</v>
      </c>
      <c r="Z105" s="201">
        <f t="shared" si="29"/>
        <v>0</v>
      </c>
      <c r="AA105" s="201">
        <f t="shared" si="33"/>
        <v>0</v>
      </c>
      <c r="AB105" s="202">
        <f t="shared" si="34"/>
        <v>0</v>
      </c>
      <c r="AC105" s="201">
        <f t="shared" si="35"/>
        <v>10421.884210717653</v>
      </c>
      <c r="AD105" s="201">
        <f t="shared" si="36"/>
        <v>0</v>
      </c>
      <c r="AE105" s="201">
        <f t="shared" si="43"/>
        <v>10421.884210717653</v>
      </c>
      <c r="AF105" s="201">
        <f t="shared" si="37"/>
        <v>0</v>
      </c>
      <c r="AG105" s="201">
        <f t="shared" si="38"/>
        <v>0</v>
      </c>
      <c r="AH105" s="201">
        <f t="shared" si="44"/>
        <v>0</v>
      </c>
    </row>
    <row r="106" spans="3:34" x14ac:dyDescent="0.3">
      <c r="C106" s="181">
        <f t="shared" si="30"/>
        <v>89</v>
      </c>
      <c r="D106" s="180">
        <f t="shared" si="39"/>
        <v>30.4</v>
      </c>
      <c r="E106" s="165">
        <f>IF(C106="","",Simulador!$F$62)</f>
        <v>0.11</v>
      </c>
      <c r="F106" s="167"/>
      <c r="G106" s="167">
        <f t="shared" si="40"/>
        <v>0</v>
      </c>
      <c r="H106" s="166"/>
      <c r="I106" s="167">
        <f t="shared" si="27"/>
        <v>0</v>
      </c>
      <c r="J106" s="167">
        <f t="shared" si="28"/>
        <v>0</v>
      </c>
      <c r="K106" s="172">
        <f t="shared" si="31"/>
        <v>0</v>
      </c>
      <c r="L106" s="167">
        <f t="shared" si="25"/>
        <v>0</v>
      </c>
      <c r="M106" s="167">
        <f t="shared" si="41"/>
        <v>0</v>
      </c>
      <c r="N106" s="167">
        <f>IF(C106="","",IF(G106=0,0,IF(Simulador!$F$11='Tabla Parámetros'!$W$1,'Tabla Parámetros'!$W$28,IF(Simulador!$F$11='Tabla Parámetros'!$Y$1,'Tabla Parámetros'!$Y$12))))</f>
        <v>0</v>
      </c>
      <c r="O106" s="167"/>
      <c r="P106" s="167">
        <f>Simulador!O480</f>
        <v>0</v>
      </c>
      <c r="Q106" s="167">
        <f t="shared" si="42"/>
        <v>0</v>
      </c>
      <c r="R106" s="167">
        <f t="shared" si="32"/>
        <v>0</v>
      </c>
      <c r="U106" s="6"/>
      <c r="V106" s="6"/>
      <c r="W106" s="6"/>
      <c r="X106" s="256">
        <f t="shared" si="26"/>
        <v>0</v>
      </c>
      <c r="Z106" s="201">
        <f t="shared" si="29"/>
        <v>0</v>
      </c>
      <c r="AA106" s="201">
        <f t="shared" si="33"/>
        <v>0</v>
      </c>
      <c r="AB106" s="202">
        <f t="shared" si="34"/>
        <v>0</v>
      </c>
      <c r="AC106" s="201">
        <f t="shared" si="35"/>
        <v>10421.884210717653</v>
      </c>
      <c r="AD106" s="201">
        <f t="shared" si="36"/>
        <v>0</v>
      </c>
      <c r="AE106" s="201">
        <f t="shared" si="43"/>
        <v>10421.884210717653</v>
      </c>
      <c r="AF106" s="201">
        <f t="shared" si="37"/>
        <v>0</v>
      </c>
      <c r="AG106" s="201">
        <f t="shared" si="38"/>
        <v>0</v>
      </c>
      <c r="AH106" s="201">
        <f t="shared" si="44"/>
        <v>0</v>
      </c>
    </row>
    <row r="107" spans="3:34" x14ac:dyDescent="0.3">
      <c r="C107" s="179">
        <f t="shared" si="30"/>
        <v>90</v>
      </c>
      <c r="D107" s="180">
        <f t="shared" si="39"/>
        <v>30.4</v>
      </c>
      <c r="E107" s="165">
        <f>IF(C107="","",Simulador!$F$62)</f>
        <v>0.11</v>
      </c>
      <c r="F107" s="167"/>
      <c r="G107" s="167">
        <f t="shared" si="40"/>
        <v>0</v>
      </c>
      <c r="H107" s="166"/>
      <c r="I107" s="167">
        <f t="shared" si="27"/>
        <v>0</v>
      </c>
      <c r="J107" s="167">
        <f t="shared" si="28"/>
        <v>0</v>
      </c>
      <c r="K107" s="172">
        <f t="shared" si="31"/>
        <v>0</v>
      </c>
      <c r="L107" s="167">
        <f t="shared" si="25"/>
        <v>0</v>
      </c>
      <c r="M107" s="167">
        <f t="shared" si="41"/>
        <v>0</v>
      </c>
      <c r="N107" s="167">
        <f>IF(C107="","",IF(G107=0,0,IF(Simulador!$F$11='Tabla Parámetros'!$W$1,'Tabla Parámetros'!$W$28,IF(Simulador!$F$11='Tabla Parámetros'!$Y$1,'Tabla Parámetros'!$Y$12))))</f>
        <v>0</v>
      </c>
      <c r="O107" s="167"/>
      <c r="P107" s="167">
        <f>Simulador!O481</f>
        <v>0</v>
      </c>
      <c r="Q107" s="167">
        <f t="shared" si="42"/>
        <v>0</v>
      </c>
      <c r="R107" s="167">
        <f t="shared" si="32"/>
        <v>0</v>
      </c>
      <c r="U107" s="6"/>
      <c r="V107" s="6"/>
      <c r="W107" s="6"/>
      <c r="X107" s="256">
        <f t="shared" si="26"/>
        <v>0</v>
      </c>
      <c r="Z107" s="201">
        <f t="shared" si="29"/>
        <v>0</v>
      </c>
      <c r="AA107" s="201">
        <f t="shared" si="33"/>
        <v>0</v>
      </c>
      <c r="AB107" s="202">
        <f t="shared" si="34"/>
        <v>0</v>
      </c>
      <c r="AC107" s="201">
        <f t="shared" si="35"/>
        <v>10421.884210717653</v>
      </c>
      <c r="AD107" s="201">
        <f t="shared" si="36"/>
        <v>0</v>
      </c>
      <c r="AE107" s="201">
        <f t="shared" si="43"/>
        <v>10421.884210717653</v>
      </c>
      <c r="AF107" s="201">
        <f t="shared" si="37"/>
        <v>0</v>
      </c>
      <c r="AG107" s="201">
        <f t="shared" si="38"/>
        <v>0</v>
      </c>
      <c r="AH107" s="201">
        <f t="shared" si="44"/>
        <v>0</v>
      </c>
    </row>
    <row r="108" spans="3:34" x14ac:dyDescent="0.3">
      <c r="C108" s="179">
        <f t="shared" si="30"/>
        <v>91</v>
      </c>
      <c r="D108" s="180">
        <f t="shared" si="39"/>
        <v>30.4</v>
      </c>
      <c r="E108" s="165">
        <f>IF(C108="","",Simulador!$F$62)</f>
        <v>0.11</v>
      </c>
      <c r="F108" s="167"/>
      <c r="G108" s="167">
        <f t="shared" si="40"/>
        <v>0</v>
      </c>
      <c r="H108" s="166"/>
      <c r="I108" s="167">
        <f t="shared" si="27"/>
        <v>0</v>
      </c>
      <c r="J108" s="167">
        <f t="shared" si="28"/>
        <v>0</v>
      </c>
      <c r="K108" s="172">
        <f t="shared" si="31"/>
        <v>0</v>
      </c>
      <c r="L108" s="167">
        <f t="shared" si="25"/>
        <v>0</v>
      </c>
      <c r="M108" s="167">
        <f t="shared" si="41"/>
        <v>0</v>
      </c>
      <c r="N108" s="167">
        <f>IF(C108="","",IF(G108=0,0,IF(Simulador!$F$11='Tabla Parámetros'!$W$1,'Tabla Parámetros'!$W$28,IF(Simulador!$F$11='Tabla Parámetros'!$Y$1,'Tabla Parámetros'!$Y$12))))</f>
        <v>0</v>
      </c>
      <c r="O108" s="167"/>
      <c r="P108" s="167">
        <f>Simulador!O482</f>
        <v>0</v>
      </c>
      <c r="Q108" s="167">
        <f t="shared" si="42"/>
        <v>0</v>
      </c>
      <c r="R108" s="167">
        <f t="shared" si="32"/>
        <v>0</v>
      </c>
      <c r="U108" s="6"/>
      <c r="V108" s="6"/>
      <c r="W108" s="6"/>
      <c r="X108" s="256">
        <f t="shared" si="26"/>
        <v>0</v>
      </c>
      <c r="Z108" s="201">
        <f t="shared" si="29"/>
        <v>0</v>
      </c>
      <c r="AA108" s="201">
        <f t="shared" si="33"/>
        <v>0</v>
      </c>
      <c r="AB108" s="202">
        <f t="shared" si="34"/>
        <v>0</v>
      </c>
      <c r="AC108" s="201">
        <f t="shared" si="35"/>
        <v>10421.884210717653</v>
      </c>
      <c r="AD108" s="201">
        <f t="shared" si="36"/>
        <v>0</v>
      </c>
      <c r="AE108" s="201">
        <f t="shared" si="43"/>
        <v>10421.884210717653</v>
      </c>
      <c r="AF108" s="201">
        <f t="shared" si="37"/>
        <v>0</v>
      </c>
      <c r="AG108" s="201">
        <f t="shared" si="38"/>
        <v>0</v>
      </c>
      <c r="AH108" s="201">
        <f t="shared" si="44"/>
        <v>0</v>
      </c>
    </row>
    <row r="109" spans="3:34" x14ac:dyDescent="0.3">
      <c r="C109" s="179">
        <f t="shared" si="30"/>
        <v>92</v>
      </c>
      <c r="D109" s="180">
        <f t="shared" si="39"/>
        <v>30.4</v>
      </c>
      <c r="E109" s="165">
        <f>IF(C109="","",Simulador!$F$62)</f>
        <v>0.11</v>
      </c>
      <c r="F109" s="167"/>
      <c r="G109" s="167">
        <f t="shared" si="40"/>
        <v>0</v>
      </c>
      <c r="H109" s="166"/>
      <c r="I109" s="167">
        <f t="shared" si="27"/>
        <v>0</v>
      </c>
      <c r="J109" s="167">
        <f t="shared" si="28"/>
        <v>0</v>
      </c>
      <c r="K109" s="172">
        <f t="shared" si="31"/>
        <v>0</v>
      </c>
      <c r="L109" s="167">
        <f t="shared" si="25"/>
        <v>0</v>
      </c>
      <c r="M109" s="167">
        <f t="shared" si="41"/>
        <v>0</v>
      </c>
      <c r="N109" s="167">
        <f>IF(C109="","",IF(G109=0,0,IF(Simulador!$F$11='Tabla Parámetros'!$W$1,'Tabla Parámetros'!$W$28,IF(Simulador!$F$11='Tabla Parámetros'!$Y$1,'Tabla Parámetros'!$Y$12))))</f>
        <v>0</v>
      </c>
      <c r="O109" s="167"/>
      <c r="P109" s="167">
        <f>Simulador!O483</f>
        <v>0</v>
      </c>
      <c r="Q109" s="167">
        <f t="shared" si="42"/>
        <v>0</v>
      </c>
      <c r="R109" s="167">
        <f t="shared" si="32"/>
        <v>0</v>
      </c>
      <c r="U109" s="6"/>
      <c r="V109" s="6"/>
      <c r="W109" s="6"/>
      <c r="X109" s="256">
        <f t="shared" si="26"/>
        <v>0</v>
      </c>
      <c r="Z109" s="201">
        <f t="shared" si="29"/>
        <v>0</v>
      </c>
      <c r="AA109" s="201">
        <f t="shared" si="33"/>
        <v>0</v>
      </c>
      <c r="AB109" s="202">
        <f t="shared" si="34"/>
        <v>0</v>
      </c>
      <c r="AC109" s="201">
        <f t="shared" si="35"/>
        <v>10421.884210717653</v>
      </c>
      <c r="AD109" s="201">
        <f t="shared" si="36"/>
        <v>0</v>
      </c>
      <c r="AE109" s="201">
        <f t="shared" si="43"/>
        <v>10421.884210717653</v>
      </c>
      <c r="AF109" s="201">
        <f t="shared" si="37"/>
        <v>0</v>
      </c>
      <c r="AG109" s="201">
        <f t="shared" si="38"/>
        <v>0</v>
      </c>
      <c r="AH109" s="201">
        <f t="shared" si="44"/>
        <v>0</v>
      </c>
    </row>
    <row r="110" spans="3:34" x14ac:dyDescent="0.3">
      <c r="C110" s="181">
        <f t="shared" si="30"/>
        <v>93</v>
      </c>
      <c r="D110" s="180">
        <f t="shared" si="39"/>
        <v>30.4</v>
      </c>
      <c r="E110" s="165">
        <f>IF(C110="","",Simulador!$F$62)</f>
        <v>0.11</v>
      </c>
      <c r="F110" s="167"/>
      <c r="G110" s="167">
        <f t="shared" si="40"/>
        <v>0</v>
      </c>
      <c r="H110" s="166"/>
      <c r="I110" s="167">
        <f t="shared" si="27"/>
        <v>0</v>
      </c>
      <c r="J110" s="167">
        <f t="shared" si="28"/>
        <v>0</v>
      </c>
      <c r="K110" s="172">
        <f t="shared" si="31"/>
        <v>0</v>
      </c>
      <c r="L110" s="167">
        <f t="shared" si="25"/>
        <v>0</v>
      </c>
      <c r="M110" s="167">
        <f t="shared" si="41"/>
        <v>0</v>
      </c>
      <c r="N110" s="167">
        <f>IF(C110="","",IF(G110=0,0,IF(Simulador!$F$11='Tabla Parámetros'!$W$1,'Tabla Parámetros'!$W$28,IF(Simulador!$F$11='Tabla Parámetros'!$Y$1,'Tabla Parámetros'!$Y$12))))</f>
        <v>0</v>
      </c>
      <c r="O110" s="167"/>
      <c r="P110" s="167">
        <f>Simulador!O484</f>
        <v>0</v>
      </c>
      <c r="Q110" s="167">
        <f t="shared" si="42"/>
        <v>0</v>
      </c>
      <c r="R110" s="167">
        <f t="shared" si="32"/>
        <v>0</v>
      </c>
      <c r="U110" s="6"/>
      <c r="V110" s="6"/>
      <c r="W110" s="6"/>
      <c r="X110" s="256">
        <f t="shared" si="26"/>
        <v>0</v>
      </c>
      <c r="Z110" s="201">
        <f t="shared" si="29"/>
        <v>0</v>
      </c>
      <c r="AA110" s="201">
        <f t="shared" si="33"/>
        <v>0</v>
      </c>
      <c r="AB110" s="202">
        <f t="shared" si="34"/>
        <v>0</v>
      </c>
      <c r="AC110" s="201">
        <f t="shared" si="35"/>
        <v>10421.884210717653</v>
      </c>
      <c r="AD110" s="201">
        <f t="shared" si="36"/>
        <v>0</v>
      </c>
      <c r="AE110" s="201">
        <f t="shared" si="43"/>
        <v>10421.884210717653</v>
      </c>
      <c r="AF110" s="201">
        <f t="shared" si="37"/>
        <v>0</v>
      </c>
      <c r="AG110" s="201">
        <f t="shared" si="38"/>
        <v>0</v>
      </c>
      <c r="AH110" s="201">
        <f t="shared" si="44"/>
        <v>0</v>
      </c>
    </row>
    <row r="111" spans="3:34" x14ac:dyDescent="0.3">
      <c r="C111" s="179">
        <f t="shared" si="30"/>
        <v>94</v>
      </c>
      <c r="D111" s="180">
        <f t="shared" si="39"/>
        <v>30.4</v>
      </c>
      <c r="E111" s="165">
        <f>IF(C111="","",Simulador!$F$62)</f>
        <v>0.11</v>
      </c>
      <c r="F111" s="167"/>
      <c r="G111" s="167">
        <f t="shared" si="40"/>
        <v>0</v>
      </c>
      <c r="H111" s="166"/>
      <c r="I111" s="167">
        <f t="shared" si="27"/>
        <v>0</v>
      </c>
      <c r="J111" s="167">
        <f t="shared" si="28"/>
        <v>0</v>
      </c>
      <c r="K111" s="172">
        <f t="shared" si="31"/>
        <v>0</v>
      </c>
      <c r="L111" s="167">
        <f t="shared" si="25"/>
        <v>0</v>
      </c>
      <c r="M111" s="167">
        <f t="shared" si="41"/>
        <v>0</v>
      </c>
      <c r="N111" s="167">
        <f>IF(C111="","",IF(G111=0,0,IF(Simulador!$F$11='Tabla Parámetros'!$W$1,'Tabla Parámetros'!$W$28,IF(Simulador!$F$11='Tabla Parámetros'!$Y$1,'Tabla Parámetros'!$Y$12))))</f>
        <v>0</v>
      </c>
      <c r="O111" s="167"/>
      <c r="P111" s="167">
        <f>Simulador!O485</f>
        <v>0</v>
      </c>
      <c r="Q111" s="167">
        <f t="shared" si="42"/>
        <v>0</v>
      </c>
      <c r="R111" s="167">
        <f t="shared" si="32"/>
        <v>0</v>
      </c>
      <c r="U111" s="6"/>
      <c r="V111" s="6"/>
      <c r="W111" s="6"/>
      <c r="X111" s="256">
        <f t="shared" si="26"/>
        <v>0</v>
      </c>
      <c r="Z111" s="201">
        <f t="shared" si="29"/>
        <v>0</v>
      </c>
      <c r="AA111" s="201">
        <f t="shared" si="33"/>
        <v>0</v>
      </c>
      <c r="AB111" s="202">
        <f t="shared" si="34"/>
        <v>0</v>
      </c>
      <c r="AC111" s="201">
        <f t="shared" si="35"/>
        <v>10421.884210717653</v>
      </c>
      <c r="AD111" s="201">
        <f t="shared" si="36"/>
        <v>0</v>
      </c>
      <c r="AE111" s="201">
        <f t="shared" si="43"/>
        <v>10421.884210717653</v>
      </c>
      <c r="AF111" s="201">
        <f t="shared" si="37"/>
        <v>0</v>
      </c>
      <c r="AG111" s="201">
        <f t="shared" si="38"/>
        <v>0</v>
      </c>
      <c r="AH111" s="201">
        <f t="shared" si="44"/>
        <v>0</v>
      </c>
    </row>
    <row r="112" spans="3:34" x14ac:dyDescent="0.3">
      <c r="C112" s="179">
        <f t="shared" si="30"/>
        <v>95</v>
      </c>
      <c r="D112" s="180">
        <f t="shared" si="39"/>
        <v>30.4</v>
      </c>
      <c r="E112" s="165">
        <f>IF(C112="","",Simulador!$F$62)</f>
        <v>0.11</v>
      </c>
      <c r="F112" s="167"/>
      <c r="G112" s="167">
        <f t="shared" si="40"/>
        <v>0</v>
      </c>
      <c r="H112" s="166"/>
      <c r="I112" s="167">
        <f t="shared" si="27"/>
        <v>0</v>
      </c>
      <c r="J112" s="167">
        <f t="shared" si="28"/>
        <v>0</v>
      </c>
      <c r="K112" s="172">
        <f t="shared" si="31"/>
        <v>0</v>
      </c>
      <c r="L112" s="167">
        <f t="shared" si="25"/>
        <v>0</v>
      </c>
      <c r="M112" s="167">
        <f t="shared" si="41"/>
        <v>0</v>
      </c>
      <c r="N112" s="167">
        <f>IF(C112="","",IF(G112=0,0,IF(Simulador!$F$11='Tabla Parámetros'!$W$1,'Tabla Parámetros'!$W$28,IF(Simulador!$F$11='Tabla Parámetros'!$Y$1,'Tabla Parámetros'!$Y$12))))</f>
        <v>0</v>
      </c>
      <c r="O112" s="167"/>
      <c r="P112" s="167">
        <f>Simulador!O486</f>
        <v>0</v>
      </c>
      <c r="Q112" s="167">
        <f t="shared" si="42"/>
        <v>0</v>
      </c>
      <c r="R112" s="167">
        <f t="shared" si="32"/>
        <v>0</v>
      </c>
      <c r="U112" s="6"/>
      <c r="V112" s="6"/>
      <c r="W112" s="6"/>
      <c r="X112" s="256">
        <f t="shared" si="26"/>
        <v>0</v>
      </c>
      <c r="Z112" s="201">
        <f t="shared" si="29"/>
        <v>0</v>
      </c>
      <c r="AA112" s="201">
        <f t="shared" si="33"/>
        <v>0</v>
      </c>
      <c r="AB112" s="202">
        <f t="shared" si="34"/>
        <v>0</v>
      </c>
      <c r="AC112" s="201">
        <f t="shared" si="35"/>
        <v>10421.884210717653</v>
      </c>
      <c r="AD112" s="201">
        <f t="shared" si="36"/>
        <v>0</v>
      </c>
      <c r="AE112" s="201">
        <f t="shared" si="43"/>
        <v>10421.884210717653</v>
      </c>
      <c r="AF112" s="201">
        <f t="shared" si="37"/>
        <v>0</v>
      </c>
      <c r="AG112" s="201">
        <f t="shared" si="38"/>
        <v>0</v>
      </c>
      <c r="AH112" s="201">
        <f t="shared" si="44"/>
        <v>0</v>
      </c>
    </row>
    <row r="113" spans="3:34" x14ac:dyDescent="0.3">
      <c r="C113" s="179">
        <f t="shared" si="30"/>
        <v>96</v>
      </c>
      <c r="D113" s="180">
        <f t="shared" si="39"/>
        <v>30.4</v>
      </c>
      <c r="E113" s="165">
        <f>IF(C113="","",Simulador!$F$62)</f>
        <v>0.11</v>
      </c>
      <c r="F113" s="167"/>
      <c r="G113" s="167">
        <f t="shared" si="40"/>
        <v>0</v>
      </c>
      <c r="H113" s="166"/>
      <c r="I113" s="167">
        <f t="shared" si="27"/>
        <v>0</v>
      </c>
      <c r="J113" s="167">
        <f t="shared" si="28"/>
        <v>0</v>
      </c>
      <c r="K113" s="172">
        <f t="shared" si="31"/>
        <v>0</v>
      </c>
      <c r="L113" s="167">
        <f t="shared" si="25"/>
        <v>0</v>
      </c>
      <c r="M113" s="167">
        <f t="shared" si="41"/>
        <v>0</v>
      </c>
      <c r="N113" s="167">
        <f>IF(C113="","",IF(G113=0,0,IF(Simulador!$F$11='Tabla Parámetros'!$W$1,'Tabla Parámetros'!$W$28,IF(Simulador!$F$11='Tabla Parámetros'!$Y$1,'Tabla Parámetros'!$Y$12))))</f>
        <v>0</v>
      </c>
      <c r="O113" s="167"/>
      <c r="P113" s="167">
        <f>Simulador!O487</f>
        <v>0</v>
      </c>
      <c r="Q113" s="167">
        <f t="shared" si="42"/>
        <v>0</v>
      </c>
      <c r="R113" s="167">
        <f t="shared" si="32"/>
        <v>0</v>
      </c>
      <c r="U113" s="6"/>
      <c r="V113" s="6"/>
      <c r="W113" s="6"/>
      <c r="X113" s="256">
        <f t="shared" si="26"/>
        <v>0</v>
      </c>
      <c r="Z113" s="201">
        <f t="shared" si="29"/>
        <v>0</v>
      </c>
      <c r="AA113" s="201">
        <f t="shared" si="33"/>
        <v>0</v>
      </c>
      <c r="AB113" s="202">
        <f t="shared" si="34"/>
        <v>0</v>
      </c>
      <c r="AC113" s="201">
        <f t="shared" si="35"/>
        <v>10421.884210717653</v>
      </c>
      <c r="AD113" s="201">
        <f t="shared" si="36"/>
        <v>0</v>
      </c>
      <c r="AE113" s="201">
        <f t="shared" si="43"/>
        <v>10421.884210717653</v>
      </c>
      <c r="AF113" s="201">
        <f t="shared" si="37"/>
        <v>0</v>
      </c>
      <c r="AG113" s="201">
        <f t="shared" si="38"/>
        <v>0</v>
      </c>
      <c r="AH113" s="201">
        <f t="shared" si="44"/>
        <v>0</v>
      </c>
    </row>
    <row r="114" spans="3:34" x14ac:dyDescent="0.3">
      <c r="C114" s="181">
        <f t="shared" si="30"/>
        <v>97</v>
      </c>
      <c r="D114" s="180">
        <f t="shared" si="39"/>
        <v>30.4</v>
      </c>
      <c r="E114" s="165">
        <f>IF(C114="","",Simulador!$F$62)</f>
        <v>0.11</v>
      </c>
      <c r="F114" s="167"/>
      <c r="G114" s="167">
        <f t="shared" si="40"/>
        <v>0</v>
      </c>
      <c r="H114" s="166"/>
      <c r="I114" s="167">
        <f t="shared" si="27"/>
        <v>0</v>
      </c>
      <c r="J114" s="167">
        <f t="shared" si="28"/>
        <v>0</v>
      </c>
      <c r="K114" s="172">
        <f t="shared" si="31"/>
        <v>0</v>
      </c>
      <c r="L114" s="167">
        <f t="shared" si="25"/>
        <v>0</v>
      </c>
      <c r="M114" s="167">
        <f t="shared" si="41"/>
        <v>0</v>
      </c>
      <c r="N114" s="167">
        <f>IF(C114="","",IF(G114=0,0,IF(Simulador!$F$11='Tabla Parámetros'!$W$1,'Tabla Parámetros'!$W$28,IF(Simulador!$F$11='Tabla Parámetros'!$Y$1,'Tabla Parámetros'!$Y$12))))</f>
        <v>0</v>
      </c>
      <c r="O114" s="167"/>
      <c r="P114" s="167">
        <f>Simulador!O488</f>
        <v>0</v>
      </c>
      <c r="Q114" s="167">
        <f t="shared" si="42"/>
        <v>0</v>
      </c>
      <c r="R114" s="167">
        <f t="shared" si="32"/>
        <v>0</v>
      </c>
      <c r="U114" s="6"/>
      <c r="V114" s="6"/>
      <c r="W114" s="6"/>
      <c r="X114" s="256">
        <f t="shared" si="26"/>
        <v>0</v>
      </c>
      <c r="Z114" s="201">
        <f t="shared" si="29"/>
        <v>0</v>
      </c>
      <c r="AA114" s="201">
        <f t="shared" si="33"/>
        <v>0</v>
      </c>
      <c r="AB114" s="202">
        <f t="shared" si="34"/>
        <v>0</v>
      </c>
      <c r="AC114" s="201">
        <f t="shared" si="35"/>
        <v>10421.884210717653</v>
      </c>
      <c r="AD114" s="201">
        <f t="shared" si="36"/>
        <v>0</v>
      </c>
      <c r="AE114" s="201">
        <f t="shared" si="43"/>
        <v>10421.884210717653</v>
      </c>
      <c r="AF114" s="201">
        <f t="shared" si="37"/>
        <v>0</v>
      </c>
      <c r="AG114" s="201">
        <f t="shared" si="38"/>
        <v>0</v>
      </c>
      <c r="AH114" s="201">
        <f t="shared" si="44"/>
        <v>0</v>
      </c>
    </row>
    <row r="115" spans="3:34" x14ac:dyDescent="0.3">
      <c r="C115" s="179">
        <f t="shared" si="30"/>
        <v>98</v>
      </c>
      <c r="D115" s="180">
        <f t="shared" si="39"/>
        <v>30.4</v>
      </c>
      <c r="E115" s="165">
        <f>IF(C115="","",Simulador!$F$62)</f>
        <v>0.11</v>
      </c>
      <c r="F115" s="167"/>
      <c r="G115" s="167">
        <f t="shared" si="40"/>
        <v>0</v>
      </c>
      <c r="H115" s="166"/>
      <c r="I115" s="167">
        <f t="shared" si="27"/>
        <v>0</v>
      </c>
      <c r="J115" s="167">
        <f t="shared" si="28"/>
        <v>0</v>
      </c>
      <c r="K115" s="172">
        <f t="shared" si="31"/>
        <v>0</v>
      </c>
      <c r="L115" s="167">
        <f t="shared" si="25"/>
        <v>0</v>
      </c>
      <c r="M115" s="167">
        <f t="shared" si="41"/>
        <v>0</v>
      </c>
      <c r="N115" s="167">
        <f>IF(C115="","",IF(G115=0,0,IF(Simulador!$F$11='Tabla Parámetros'!$W$1,'Tabla Parámetros'!$W$28,IF(Simulador!$F$11='Tabla Parámetros'!$Y$1,'Tabla Parámetros'!$Y$12))))</f>
        <v>0</v>
      </c>
      <c r="O115" s="167"/>
      <c r="P115" s="167">
        <f>Simulador!O489</f>
        <v>0</v>
      </c>
      <c r="Q115" s="167">
        <f t="shared" si="42"/>
        <v>0</v>
      </c>
      <c r="R115" s="167">
        <f t="shared" si="32"/>
        <v>0</v>
      </c>
      <c r="U115" s="6"/>
      <c r="V115" s="6"/>
      <c r="W115" s="6"/>
      <c r="X115" s="256">
        <f t="shared" si="26"/>
        <v>0</v>
      </c>
      <c r="Z115" s="201">
        <f t="shared" si="29"/>
        <v>0</v>
      </c>
      <c r="AA115" s="201">
        <f t="shared" si="33"/>
        <v>0</v>
      </c>
      <c r="AB115" s="202">
        <f t="shared" si="34"/>
        <v>0</v>
      </c>
      <c r="AC115" s="201">
        <f t="shared" si="35"/>
        <v>10421.884210717653</v>
      </c>
      <c r="AD115" s="201">
        <f t="shared" si="36"/>
        <v>0</v>
      </c>
      <c r="AE115" s="201">
        <f t="shared" si="43"/>
        <v>10421.884210717653</v>
      </c>
      <c r="AF115" s="201">
        <f t="shared" si="37"/>
        <v>0</v>
      </c>
      <c r="AG115" s="201">
        <f t="shared" si="38"/>
        <v>0</v>
      </c>
      <c r="AH115" s="201">
        <f t="shared" si="44"/>
        <v>0</v>
      </c>
    </row>
    <row r="116" spans="3:34" x14ac:dyDescent="0.3">
      <c r="C116" s="179">
        <f t="shared" si="30"/>
        <v>99</v>
      </c>
      <c r="D116" s="180">
        <f t="shared" si="39"/>
        <v>30.4</v>
      </c>
      <c r="E116" s="165">
        <f>IF(C116="","",Simulador!$F$62)</f>
        <v>0.11</v>
      </c>
      <c r="F116" s="167"/>
      <c r="G116" s="167">
        <f t="shared" si="40"/>
        <v>0</v>
      </c>
      <c r="H116" s="166"/>
      <c r="I116" s="167">
        <f t="shared" si="27"/>
        <v>0</v>
      </c>
      <c r="J116" s="167">
        <f t="shared" si="28"/>
        <v>0</v>
      </c>
      <c r="K116" s="172">
        <f t="shared" si="31"/>
        <v>0</v>
      </c>
      <c r="L116" s="167">
        <f t="shared" si="25"/>
        <v>0</v>
      </c>
      <c r="M116" s="167">
        <f t="shared" si="41"/>
        <v>0</v>
      </c>
      <c r="N116" s="167">
        <f>IF(C116="","",IF(G116=0,0,IF(Simulador!$F$11='Tabla Parámetros'!$W$1,'Tabla Parámetros'!$W$28,IF(Simulador!$F$11='Tabla Parámetros'!$Y$1,'Tabla Parámetros'!$Y$12))))</f>
        <v>0</v>
      </c>
      <c r="O116" s="167"/>
      <c r="P116" s="167">
        <f>Simulador!O490</f>
        <v>0</v>
      </c>
      <c r="Q116" s="167">
        <f t="shared" si="42"/>
        <v>0</v>
      </c>
      <c r="R116" s="167">
        <f t="shared" si="32"/>
        <v>0</v>
      </c>
      <c r="U116" s="6"/>
      <c r="V116" s="6"/>
      <c r="W116" s="6"/>
      <c r="X116" s="256">
        <f t="shared" si="26"/>
        <v>0</v>
      </c>
      <c r="Z116" s="201">
        <f t="shared" si="29"/>
        <v>0</v>
      </c>
      <c r="AA116" s="201">
        <f t="shared" si="33"/>
        <v>0</v>
      </c>
      <c r="AB116" s="202">
        <f t="shared" si="34"/>
        <v>0</v>
      </c>
      <c r="AC116" s="201">
        <f t="shared" si="35"/>
        <v>10421.884210717653</v>
      </c>
      <c r="AD116" s="201">
        <f t="shared" si="36"/>
        <v>0</v>
      </c>
      <c r="AE116" s="201">
        <f t="shared" si="43"/>
        <v>10421.884210717653</v>
      </c>
      <c r="AF116" s="201">
        <f t="shared" si="37"/>
        <v>0</v>
      </c>
      <c r="AG116" s="201">
        <f t="shared" si="38"/>
        <v>0</v>
      </c>
      <c r="AH116" s="201">
        <f t="shared" si="44"/>
        <v>0</v>
      </c>
    </row>
    <row r="117" spans="3:34" x14ac:dyDescent="0.3">
      <c r="C117" s="179">
        <f t="shared" si="30"/>
        <v>100</v>
      </c>
      <c r="D117" s="180">
        <f t="shared" si="39"/>
        <v>30.4</v>
      </c>
      <c r="E117" s="165">
        <f>IF(C117="","",Simulador!$F$62)</f>
        <v>0.11</v>
      </c>
      <c r="F117" s="167"/>
      <c r="G117" s="167">
        <f t="shared" si="40"/>
        <v>0</v>
      </c>
      <c r="H117" s="166"/>
      <c r="I117" s="167">
        <f t="shared" si="27"/>
        <v>0</v>
      </c>
      <c r="J117" s="167">
        <f t="shared" si="28"/>
        <v>0</v>
      </c>
      <c r="K117" s="172">
        <f t="shared" si="31"/>
        <v>0</v>
      </c>
      <c r="L117" s="167">
        <f t="shared" si="25"/>
        <v>0</v>
      </c>
      <c r="M117" s="167">
        <f t="shared" si="41"/>
        <v>0</v>
      </c>
      <c r="N117" s="167">
        <f>IF(C117="","",IF(G117=0,0,IF(Simulador!$F$11='Tabla Parámetros'!$W$1,'Tabla Parámetros'!$W$28,IF(Simulador!$F$11='Tabla Parámetros'!$Y$1,'Tabla Parámetros'!$Y$12))))</f>
        <v>0</v>
      </c>
      <c r="O117" s="167"/>
      <c r="P117" s="167">
        <f>Simulador!O491</f>
        <v>0</v>
      </c>
      <c r="Q117" s="167">
        <f t="shared" si="42"/>
        <v>0</v>
      </c>
      <c r="R117" s="167">
        <f t="shared" si="32"/>
        <v>0</v>
      </c>
      <c r="U117" s="6"/>
      <c r="V117" s="6"/>
      <c r="W117" s="6"/>
      <c r="X117" s="256">
        <f t="shared" si="26"/>
        <v>0</v>
      </c>
      <c r="Z117" s="201">
        <f t="shared" si="29"/>
        <v>0</v>
      </c>
      <c r="AA117" s="201">
        <f t="shared" si="33"/>
        <v>0</v>
      </c>
      <c r="AB117" s="202">
        <f t="shared" si="34"/>
        <v>0</v>
      </c>
      <c r="AC117" s="201">
        <f t="shared" si="35"/>
        <v>10421.884210717653</v>
      </c>
      <c r="AD117" s="201">
        <f t="shared" si="36"/>
        <v>0</v>
      </c>
      <c r="AE117" s="201">
        <f t="shared" si="43"/>
        <v>10421.884210717653</v>
      </c>
      <c r="AF117" s="201">
        <f t="shared" si="37"/>
        <v>0</v>
      </c>
      <c r="AG117" s="201">
        <f t="shared" si="38"/>
        <v>0</v>
      </c>
      <c r="AH117" s="201">
        <f t="shared" si="44"/>
        <v>0</v>
      </c>
    </row>
    <row r="118" spans="3:34" x14ac:dyDescent="0.3">
      <c r="C118" s="181">
        <f t="shared" si="30"/>
        <v>101</v>
      </c>
      <c r="D118" s="180">
        <f t="shared" si="39"/>
        <v>30.4</v>
      </c>
      <c r="E118" s="165">
        <f>IF(C118="","",Simulador!$F$62)</f>
        <v>0.11</v>
      </c>
      <c r="F118" s="167"/>
      <c r="G118" s="167">
        <f t="shared" si="40"/>
        <v>0</v>
      </c>
      <c r="H118" s="166"/>
      <c r="I118" s="167">
        <f t="shared" si="27"/>
        <v>0</v>
      </c>
      <c r="J118" s="167">
        <f t="shared" si="28"/>
        <v>0</v>
      </c>
      <c r="K118" s="172">
        <f t="shared" si="31"/>
        <v>0</v>
      </c>
      <c r="L118" s="167">
        <f t="shared" si="25"/>
        <v>0</v>
      </c>
      <c r="M118" s="167">
        <f t="shared" si="41"/>
        <v>0</v>
      </c>
      <c r="N118" s="167">
        <f>IF(C118="","",IF(G118=0,0,IF(Simulador!$F$11='Tabla Parámetros'!$W$1,'Tabla Parámetros'!$W$28,IF(Simulador!$F$11='Tabla Parámetros'!$Y$1,'Tabla Parámetros'!$Y$12))))</f>
        <v>0</v>
      </c>
      <c r="O118" s="167"/>
      <c r="P118" s="167">
        <f>Simulador!O492</f>
        <v>0</v>
      </c>
      <c r="Q118" s="167">
        <f t="shared" si="42"/>
        <v>0</v>
      </c>
      <c r="R118" s="167">
        <f t="shared" si="32"/>
        <v>0</v>
      </c>
      <c r="U118" s="6"/>
      <c r="V118" s="6"/>
      <c r="W118" s="6"/>
      <c r="X118" s="256">
        <f t="shared" si="26"/>
        <v>0</v>
      </c>
      <c r="Z118" s="201">
        <f t="shared" si="29"/>
        <v>0</v>
      </c>
      <c r="AA118" s="201">
        <f t="shared" si="33"/>
        <v>0</v>
      </c>
      <c r="AB118" s="202">
        <f t="shared" si="34"/>
        <v>0</v>
      </c>
      <c r="AC118" s="201">
        <f t="shared" si="35"/>
        <v>10421.884210717653</v>
      </c>
      <c r="AD118" s="201">
        <f t="shared" si="36"/>
        <v>0</v>
      </c>
      <c r="AE118" s="201">
        <f t="shared" si="43"/>
        <v>10421.884210717653</v>
      </c>
      <c r="AF118" s="201">
        <f t="shared" si="37"/>
        <v>0</v>
      </c>
      <c r="AG118" s="201">
        <f t="shared" si="38"/>
        <v>0</v>
      </c>
      <c r="AH118" s="201">
        <f t="shared" si="44"/>
        <v>0</v>
      </c>
    </row>
    <row r="119" spans="3:34" x14ac:dyDescent="0.3">
      <c r="C119" s="179">
        <f t="shared" si="30"/>
        <v>102</v>
      </c>
      <c r="D119" s="180">
        <f t="shared" si="39"/>
        <v>30.4</v>
      </c>
      <c r="E119" s="165">
        <f>IF(C119="","",Simulador!$F$62)</f>
        <v>0.11</v>
      </c>
      <c r="F119" s="167"/>
      <c r="G119" s="167">
        <f t="shared" si="40"/>
        <v>0</v>
      </c>
      <c r="H119" s="166"/>
      <c r="I119" s="167">
        <f t="shared" si="27"/>
        <v>0</v>
      </c>
      <c r="J119" s="167">
        <f t="shared" si="28"/>
        <v>0</v>
      </c>
      <c r="K119" s="172">
        <f t="shared" si="31"/>
        <v>0</v>
      </c>
      <c r="L119" s="167">
        <f t="shared" si="25"/>
        <v>0</v>
      </c>
      <c r="M119" s="167">
        <f t="shared" si="41"/>
        <v>0</v>
      </c>
      <c r="N119" s="167">
        <f>IF(C119="","",IF(G119=0,0,IF(Simulador!$F$11='Tabla Parámetros'!$W$1,'Tabla Parámetros'!$W$28,IF(Simulador!$F$11='Tabla Parámetros'!$Y$1,'Tabla Parámetros'!$Y$12))))</f>
        <v>0</v>
      </c>
      <c r="O119" s="167"/>
      <c r="P119" s="167">
        <f>Simulador!O493</f>
        <v>0</v>
      </c>
      <c r="Q119" s="167">
        <f t="shared" si="42"/>
        <v>0</v>
      </c>
      <c r="R119" s="167">
        <f t="shared" si="32"/>
        <v>0</v>
      </c>
      <c r="U119" s="6"/>
      <c r="V119" s="6"/>
      <c r="W119" s="6"/>
      <c r="X119" s="256">
        <f t="shared" si="26"/>
        <v>0</v>
      </c>
      <c r="Z119" s="201">
        <f t="shared" si="29"/>
        <v>0</v>
      </c>
      <c r="AA119" s="201">
        <f t="shared" si="33"/>
        <v>0</v>
      </c>
      <c r="AB119" s="202">
        <f t="shared" si="34"/>
        <v>0</v>
      </c>
      <c r="AC119" s="201">
        <f t="shared" si="35"/>
        <v>10421.884210717653</v>
      </c>
      <c r="AD119" s="201">
        <f t="shared" si="36"/>
        <v>0</v>
      </c>
      <c r="AE119" s="201">
        <f t="shared" si="43"/>
        <v>10421.884210717653</v>
      </c>
      <c r="AF119" s="201">
        <f t="shared" si="37"/>
        <v>0</v>
      </c>
      <c r="AG119" s="201">
        <f t="shared" si="38"/>
        <v>0</v>
      </c>
      <c r="AH119" s="201">
        <f t="shared" si="44"/>
        <v>0</v>
      </c>
    </row>
    <row r="120" spans="3:34" x14ac:dyDescent="0.3">
      <c r="C120" s="179">
        <f t="shared" si="30"/>
        <v>103</v>
      </c>
      <c r="D120" s="180">
        <f t="shared" si="39"/>
        <v>30.4</v>
      </c>
      <c r="E120" s="165">
        <f>IF(C120="","",Simulador!$F$62)</f>
        <v>0.11</v>
      </c>
      <c r="F120" s="167"/>
      <c r="G120" s="167">
        <f t="shared" si="40"/>
        <v>0</v>
      </c>
      <c r="H120" s="166"/>
      <c r="I120" s="167">
        <f t="shared" si="27"/>
        <v>0</v>
      </c>
      <c r="J120" s="167">
        <f t="shared" si="28"/>
        <v>0</v>
      </c>
      <c r="K120" s="172">
        <f t="shared" si="31"/>
        <v>0</v>
      </c>
      <c r="L120" s="167">
        <f t="shared" si="25"/>
        <v>0</v>
      </c>
      <c r="M120" s="167">
        <f t="shared" si="41"/>
        <v>0</v>
      </c>
      <c r="N120" s="167">
        <f>IF(C120="","",IF(G120=0,0,IF(Simulador!$F$11='Tabla Parámetros'!$W$1,'Tabla Parámetros'!$W$28,IF(Simulador!$F$11='Tabla Parámetros'!$Y$1,'Tabla Parámetros'!$Y$12))))</f>
        <v>0</v>
      </c>
      <c r="O120" s="167"/>
      <c r="P120" s="167">
        <f>Simulador!O494</f>
        <v>0</v>
      </c>
      <c r="Q120" s="167">
        <f t="shared" si="42"/>
        <v>0</v>
      </c>
      <c r="R120" s="167">
        <f t="shared" si="32"/>
        <v>0</v>
      </c>
      <c r="U120" s="6"/>
      <c r="V120" s="6"/>
      <c r="W120" s="6"/>
      <c r="X120" s="256">
        <f t="shared" si="26"/>
        <v>0</v>
      </c>
      <c r="Z120" s="201">
        <f t="shared" si="29"/>
        <v>0</v>
      </c>
      <c r="AA120" s="201">
        <f t="shared" si="33"/>
        <v>0</v>
      </c>
      <c r="AB120" s="202">
        <f t="shared" si="34"/>
        <v>0</v>
      </c>
      <c r="AC120" s="201">
        <f t="shared" si="35"/>
        <v>10421.884210717653</v>
      </c>
      <c r="AD120" s="201">
        <f t="shared" si="36"/>
        <v>0</v>
      </c>
      <c r="AE120" s="201">
        <f t="shared" si="43"/>
        <v>10421.884210717653</v>
      </c>
      <c r="AF120" s="201">
        <f t="shared" si="37"/>
        <v>0</v>
      </c>
      <c r="AG120" s="201">
        <f t="shared" si="38"/>
        <v>0</v>
      </c>
      <c r="AH120" s="201">
        <f t="shared" si="44"/>
        <v>0</v>
      </c>
    </row>
    <row r="121" spans="3:34" x14ac:dyDescent="0.3">
      <c r="C121" s="179">
        <f t="shared" si="30"/>
        <v>104</v>
      </c>
      <c r="D121" s="180">
        <f t="shared" si="39"/>
        <v>30.4</v>
      </c>
      <c r="E121" s="165">
        <f>IF(C121="","",Simulador!$F$62)</f>
        <v>0.11</v>
      </c>
      <c r="F121" s="167"/>
      <c r="G121" s="167">
        <f t="shared" si="40"/>
        <v>0</v>
      </c>
      <c r="H121" s="166"/>
      <c r="I121" s="167">
        <f t="shared" si="27"/>
        <v>0</v>
      </c>
      <c r="J121" s="167">
        <f t="shared" si="28"/>
        <v>0</v>
      </c>
      <c r="K121" s="172">
        <f t="shared" si="31"/>
        <v>0</v>
      </c>
      <c r="L121" s="167">
        <f t="shared" si="25"/>
        <v>0</v>
      </c>
      <c r="M121" s="167">
        <f t="shared" si="41"/>
        <v>0</v>
      </c>
      <c r="N121" s="167">
        <f>IF(C121="","",IF(G121=0,0,IF(Simulador!$F$11='Tabla Parámetros'!$W$1,'Tabla Parámetros'!$W$28,IF(Simulador!$F$11='Tabla Parámetros'!$Y$1,'Tabla Parámetros'!$Y$12))))</f>
        <v>0</v>
      </c>
      <c r="O121" s="167"/>
      <c r="P121" s="167">
        <f>Simulador!O495</f>
        <v>0</v>
      </c>
      <c r="Q121" s="167">
        <f t="shared" si="42"/>
        <v>0</v>
      </c>
      <c r="R121" s="167">
        <f t="shared" si="32"/>
        <v>0</v>
      </c>
      <c r="U121" s="6"/>
      <c r="V121" s="6"/>
      <c r="W121" s="6"/>
      <c r="X121" s="256">
        <f t="shared" si="26"/>
        <v>0</v>
      </c>
      <c r="Z121" s="201">
        <f t="shared" si="29"/>
        <v>0</v>
      </c>
      <c r="AA121" s="201">
        <f t="shared" si="33"/>
        <v>0</v>
      </c>
      <c r="AB121" s="202">
        <f t="shared" si="34"/>
        <v>0</v>
      </c>
      <c r="AC121" s="201">
        <f t="shared" si="35"/>
        <v>10421.884210717653</v>
      </c>
      <c r="AD121" s="201">
        <f t="shared" si="36"/>
        <v>0</v>
      </c>
      <c r="AE121" s="201">
        <f t="shared" si="43"/>
        <v>10421.884210717653</v>
      </c>
      <c r="AF121" s="201">
        <f t="shared" si="37"/>
        <v>0</v>
      </c>
      <c r="AG121" s="201">
        <f t="shared" si="38"/>
        <v>0</v>
      </c>
      <c r="AH121" s="201">
        <f t="shared" si="44"/>
        <v>0</v>
      </c>
    </row>
    <row r="122" spans="3:34" x14ac:dyDescent="0.3">
      <c r="C122" s="181">
        <f t="shared" si="30"/>
        <v>105</v>
      </c>
      <c r="D122" s="180">
        <f t="shared" si="39"/>
        <v>30.4</v>
      </c>
      <c r="E122" s="165">
        <f>IF(C122="","",Simulador!$F$62)</f>
        <v>0.11</v>
      </c>
      <c r="F122" s="167"/>
      <c r="G122" s="167">
        <f t="shared" si="40"/>
        <v>0</v>
      </c>
      <c r="H122" s="166"/>
      <c r="I122" s="167">
        <f t="shared" si="27"/>
        <v>0</v>
      </c>
      <c r="J122" s="167">
        <f t="shared" si="28"/>
        <v>0</v>
      </c>
      <c r="K122" s="172">
        <f t="shared" si="31"/>
        <v>0</v>
      </c>
      <c r="L122" s="167">
        <f t="shared" si="25"/>
        <v>0</v>
      </c>
      <c r="M122" s="167">
        <f t="shared" si="41"/>
        <v>0</v>
      </c>
      <c r="N122" s="167">
        <f>IF(C122="","",IF(G122=0,0,IF(Simulador!$F$11='Tabla Parámetros'!$W$1,'Tabla Parámetros'!$W$28,IF(Simulador!$F$11='Tabla Parámetros'!$Y$1,'Tabla Parámetros'!$Y$12))))</f>
        <v>0</v>
      </c>
      <c r="O122" s="167"/>
      <c r="P122" s="167">
        <f>Simulador!O496</f>
        <v>0</v>
      </c>
      <c r="Q122" s="167">
        <f t="shared" si="42"/>
        <v>0</v>
      </c>
      <c r="R122" s="167">
        <f t="shared" si="32"/>
        <v>0</v>
      </c>
      <c r="U122" s="6"/>
      <c r="V122" s="6"/>
      <c r="W122" s="6"/>
      <c r="X122" s="256">
        <f t="shared" si="26"/>
        <v>0</v>
      </c>
      <c r="Z122" s="201">
        <f t="shared" si="29"/>
        <v>0</v>
      </c>
      <c r="AA122" s="201">
        <f t="shared" si="33"/>
        <v>0</v>
      </c>
      <c r="AB122" s="202">
        <f t="shared" si="34"/>
        <v>0</v>
      </c>
      <c r="AC122" s="201">
        <f t="shared" si="35"/>
        <v>10421.884210717653</v>
      </c>
      <c r="AD122" s="201">
        <f t="shared" si="36"/>
        <v>0</v>
      </c>
      <c r="AE122" s="201">
        <f t="shared" si="43"/>
        <v>10421.884210717653</v>
      </c>
      <c r="AF122" s="201">
        <f t="shared" si="37"/>
        <v>0</v>
      </c>
      <c r="AG122" s="201">
        <f t="shared" si="38"/>
        <v>0</v>
      </c>
      <c r="AH122" s="201">
        <f t="shared" si="44"/>
        <v>0</v>
      </c>
    </row>
    <row r="123" spans="3:34" x14ac:dyDescent="0.3">
      <c r="C123" s="179">
        <f t="shared" si="30"/>
        <v>106</v>
      </c>
      <c r="D123" s="180">
        <f t="shared" si="39"/>
        <v>30.4</v>
      </c>
      <c r="E123" s="165">
        <f>IF(C123="","",Simulador!$F$62)</f>
        <v>0.11</v>
      </c>
      <c r="F123" s="167"/>
      <c r="G123" s="167">
        <f t="shared" si="40"/>
        <v>0</v>
      </c>
      <c r="H123" s="166"/>
      <c r="I123" s="167">
        <f t="shared" si="27"/>
        <v>0</v>
      </c>
      <c r="J123" s="167">
        <f t="shared" si="28"/>
        <v>0</v>
      </c>
      <c r="K123" s="172">
        <f t="shared" si="31"/>
        <v>0</v>
      </c>
      <c r="L123" s="167">
        <f t="shared" si="25"/>
        <v>0</v>
      </c>
      <c r="M123" s="167">
        <f t="shared" si="41"/>
        <v>0</v>
      </c>
      <c r="N123" s="167">
        <f>IF(C123="","",IF(G123=0,0,IF(Simulador!$F$11='Tabla Parámetros'!$W$1,'Tabla Parámetros'!$W$28,IF(Simulador!$F$11='Tabla Parámetros'!$Y$1,'Tabla Parámetros'!$Y$12))))</f>
        <v>0</v>
      </c>
      <c r="O123" s="167"/>
      <c r="P123" s="167">
        <f>Simulador!O497</f>
        <v>0</v>
      </c>
      <c r="Q123" s="167">
        <f t="shared" si="42"/>
        <v>0</v>
      </c>
      <c r="R123" s="167">
        <f t="shared" si="32"/>
        <v>0</v>
      </c>
      <c r="U123" s="6"/>
      <c r="V123" s="6"/>
      <c r="W123" s="6"/>
      <c r="X123" s="256">
        <f t="shared" si="26"/>
        <v>0</v>
      </c>
      <c r="Z123" s="201">
        <f t="shared" si="29"/>
        <v>0</v>
      </c>
      <c r="AA123" s="201">
        <f t="shared" si="33"/>
        <v>0</v>
      </c>
      <c r="AB123" s="202">
        <f t="shared" si="34"/>
        <v>0</v>
      </c>
      <c r="AC123" s="201">
        <f t="shared" si="35"/>
        <v>10421.884210717653</v>
      </c>
      <c r="AD123" s="201">
        <f t="shared" si="36"/>
        <v>0</v>
      </c>
      <c r="AE123" s="201">
        <f t="shared" si="43"/>
        <v>10421.884210717653</v>
      </c>
      <c r="AF123" s="201">
        <f t="shared" si="37"/>
        <v>0</v>
      </c>
      <c r="AG123" s="201">
        <f t="shared" si="38"/>
        <v>0</v>
      </c>
      <c r="AH123" s="201">
        <f t="shared" si="44"/>
        <v>0</v>
      </c>
    </row>
    <row r="124" spans="3:34" x14ac:dyDescent="0.3">
      <c r="C124" s="179">
        <f t="shared" si="30"/>
        <v>107</v>
      </c>
      <c r="D124" s="180">
        <f t="shared" si="39"/>
        <v>30.4</v>
      </c>
      <c r="E124" s="165">
        <f>IF(C124="","",Simulador!$F$62)</f>
        <v>0.11</v>
      </c>
      <c r="F124" s="167"/>
      <c r="G124" s="167">
        <f t="shared" si="40"/>
        <v>0</v>
      </c>
      <c r="H124" s="166"/>
      <c r="I124" s="167">
        <f t="shared" si="27"/>
        <v>0</v>
      </c>
      <c r="J124" s="167">
        <f t="shared" si="28"/>
        <v>0</v>
      </c>
      <c r="K124" s="172">
        <f t="shared" si="31"/>
        <v>0</v>
      </c>
      <c r="L124" s="167">
        <f t="shared" si="25"/>
        <v>0</v>
      </c>
      <c r="M124" s="167">
        <f t="shared" si="41"/>
        <v>0</v>
      </c>
      <c r="N124" s="167">
        <f>IF(C124="","",IF(G124=0,0,IF(Simulador!$F$11='Tabla Parámetros'!$W$1,'Tabla Parámetros'!$W$28,IF(Simulador!$F$11='Tabla Parámetros'!$Y$1,'Tabla Parámetros'!$Y$12))))</f>
        <v>0</v>
      </c>
      <c r="O124" s="167"/>
      <c r="P124" s="167">
        <f>Simulador!O498</f>
        <v>0</v>
      </c>
      <c r="Q124" s="167">
        <f t="shared" si="42"/>
        <v>0</v>
      </c>
      <c r="R124" s="167">
        <f t="shared" si="32"/>
        <v>0</v>
      </c>
      <c r="U124" s="6"/>
      <c r="V124" s="6"/>
      <c r="W124" s="6"/>
      <c r="X124" s="256">
        <f t="shared" si="26"/>
        <v>0</v>
      </c>
      <c r="Z124" s="201">
        <f t="shared" si="29"/>
        <v>0</v>
      </c>
      <c r="AA124" s="201">
        <f t="shared" si="33"/>
        <v>0</v>
      </c>
      <c r="AB124" s="202">
        <f t="shared" si="34"/>
        <v>0</v>
      </c>
      <c r="AC124" s="201">
        <f t="shared" si="35"/>
        <v>10421.884210717653</v>
      </c>
      <c r="AD124" s="201">
        <f t="shared" si="36"/>
        <v>0</v>
      </c>
      <c r="AE124" s="201">
        <f t="shared" si="43"/>
        <v>10421.884210717653</v>
      </c>
      <c r="AF124" s="201">
        <f t="shared" si="37"/>
        <v>0</v>
      </c>
      <c r="AG124" s="201">
        <f t="shared" si="38"/>
        <v>0</v>
      </c>
      <c r="AH124" s="201">
        <f t="shared" si="44"/>
        <v>0</v>
      </c>
    </row>
    <row r="125" spans="3:34" x14ac:dyDescent="0.3">
      <c r="C125" s="179">
        <f t="shared" si="30"/>
        <v>108</v>
      </c>
      <c r="D125" s="180">
        <f t="shared" si="39"/>
        <v>30.4</v>
      </c>
      <c r="E125" s="165">
        <f>IF(C125="","",Simulador!$F$62)</f>
        <v>0.11</v>
      </c>
      <c r="F125" s="167"/>
      <c r="G125" s="167">
        <f t="shared" si="40"/>
        <v>0</v>
      </c>
      <c r="H125" s="166"/>
      <c r="I125" s="167">
        <f t="shared" si="27"/>
        <v>0</v>
      </c>
      <c r="J125" s="167">
        <f t="shared" si="28"/>
        <v>0</v>
      </c>
      <c r="K125" s="172">
        <f t="shared" si="31"/>
        <v>0</v>
      </c>
      <c r="L125" s="167">
        <f t="shared" si="25"/>
        <v>0</v>
      </c>
      <c r="M125" s="167">
        <f t="shared" si="41"/>
        <v>0</v>
      </c>
      <c r="N125" s="167">
        <f>IF(C125="","",IF(G125=0,0,IF(Simulador!$F$11='Tabla Parámetros'!$W$1,'Tabla Parámetros'!$W$28,IF(Simulador!$F$11='Tabla Parámetros'!$Y$1,'Tabla Parámetros'!$Y$12))))</f>
        <v>0</v>
      </c>
      <c r="O125" s="167"/>
      <c r="P125" s="167">
        <f>Simulador!O499</f>
        <v>0</v>
      </c>
      <c r="Q125" s="167">
        <f t="shared" si="42"/>
        <v>0</v>
      </c>
      <c r="R125" s="167">
        <f t="shared" si="32"/>
        <v>0</v>
      </c>
      <c r="U125" s="6"/>
      <c r="V125" s="6"/>
      <c r="W125" s="6"/>
      <c r="X125" s="256">
        <f t="shared" si="26"/>
        <v>0</v>
      </c>
      <c r="Z125" s="201">
        <f t="shared" si="29"/>
        <v>0</v>
      </c>
      <c r="AA125" s="201">
        <f t="shared" si="33"/>
        <v>0</v>
      </c>
      <c r="AB125" s="202">
        <f t="shared" si="34"/>
        <v>0</v>
      </c>
      <c r="AC125" s="201">
        <f t="shared" si="35"/>
        <v>10421.884210717653</v>
      </c>
      <c r="AD125" s="201">
        <f t="shared" si="36"/>
        <v>0</v>
      </c>
      <c r="AE125" s="201">
        <f t="shared" si="43"/>
        <v>10421.884210717653</v>
      </c>
      <c r="AF125" s="201">
        <f t="shared" si="37"/>
        <v>0</v>
      </c>
      <c r="AG125" s="201">
        <f t="shared" si="38"/>
        <v>0</v>
      </c>
      <c r="AH125" s="201">
        <f t="shared" si="44"/>
        <v>0</v>
      </c>
    </row>
    <row r="126" spans="3:34" x14ac:dyDescent="0.3">
      <c r="C126" s="181">
        <f t="shared" si="30"/>
        <v>109</v>
      </c>
      <c r="D126" s="180">
        <f t="shared" si="39"/>
        <v>30.4</v>
      </c>
      <c r="E126" s="165">
        <f>IF(C126="","",Simulador!$F$62)</f>
        <v>0.11</v>
      </c>
      <c r="F126" s="167"/>
      <c r="G126" s="167">
        <f t="shared" si="40"/>
        <v>0</v>
      </c>
      <c r="H126" s="166"/>
      <c r="I126" s="167">
        <f t="shared" si="27"/>
        <v>0</v>
      </c>
      <c r="J126" s="167">
        <f t="shared" si="28"/>
        <v>0</v>
      </c>
      <c r="K126" s="172">
        <f t="shared" si="31"/>
        <v>0</v>
      </c>
      <c r="L126" s="167">
        <f t="shared" si="25"/>
        <v>0</v>
      </c>
      <c r="M126" s="167">
        <f t="shared" si="41"/>
        <v>0</v>
      </c>
      <c r="N126" s="167">
        <f>IF(C126="","",IF(G126=0,0,IF(Simulador!$F$11='Tabla Parámetros'!$W$1,'Tabla Parámetros'!$W$28,IF(Simulador!$F$11='Tabla Parámetros'!$Y$1,'Tabla Parámetros'!$Y$12))))</f>
        <v>0</v>
      </c>
      <c r="O126" s="167"/>
      <c r="P126" s="167">
        <f>Simulador!O500</f>
        <v>0</v>
      </c>
      <c r="Q126" s="167">
        <f t="shared" si="42"/>
        <v>0</v>
      </c>
      <c r="R126" s="167">
        <f t="shared" si="32"/>
        <v>0</v>
      </c>
      <c r="U126" s="6"/>
      <c r="V126" s="6"/>
      <c r="W126" s="6"/>
      <c r="X126" s="256">
        <f t="shared" si="26"/>
        <v>0</v>
      </c>
      <c r="Z126" s="201">
        <f t="shared" si="29"/>
        <v>0</v>
      </c>
      <c r="AA126" s="201">
        <f t="shared" si="33"/>
        <v>0</v>
      </c>
      <c r="AB126" s="202">
        <f t="shared" si="34"/>
        <v>0</v>
      </c>
      <c r="AC126" s="201">
        <f t="shared" si="35"/>
        <v>10421.884210717653</v>
      </c>
      <c r="AD126" s="201">
        <f t="shared" si="36"/>
        <v>0</v>
      </c>
      <c r="AE126" s="201">
        <f t="shared" si="43"/>
        <v>10421.884210717653</v>
      </c>
      <c r="AF126" s="201">
        <f t="shared" si="37"/>
        <v>0</v>
      </c>
      <c r="AG126" s="201">
        <f t="shared" si="38"/>
        <v>0</v>
      </c>
      <c r="AH126" s="201">
        <f t="shared" si="44"/>
        <v>0</v>
      </c>
    </row>
    <row r="127" spans="3:34" x14ac:dyDescent="0.3">
      <c r="C127" s="179">
        <f t="shared" si="30"/>
        <v>110</v>
      </c>
      <c r="D127" s="180">
        <f t="shared" si="39"/>
        <v>30.4</v>
      </c>
      <c r="E127" s="165">
        <f>IF(C127="","",Simulador!$F$62)</f>
        <v>0.11</v>
      </c>
      <c r="F127" s="167"/>
      <c r="G127" s="167">
        <f t="shared" si="40"/>
        <v>0</v>
      </c>
      <c r="H127" s="166"/>
      <c r="I127" s="167">
        <f t="shared" si="27"/>
        <v>0</v>
      </c>
      <c r="J127" s="167">
        <f t="shared" si="28"/>
        <v>0</v>
      </c>
      <c r="K127" s="172">
        <f t="shared" si="31"/>
        <v>0</v>
      </c>
      <c r="L127" s="167">
        <f t="shared" si="25"/>
        <v>0</v>
      </c>
      <c r="M127" s="167">
        <f t="shared" si="41"/>
        <v>0</v>
      </c>
      <c r="N127" s="167">
        <f>IF(C127="","",IF(G127=0,0,IF(Simulador!$F$11='Tabla Parámetros'!$W$1,'Tabla Parámetros'!$W$28,IF(Simulador!$F$11='Tabla Parámetros'!$Y$1,'Tabla Parámetros'!$Y$12))))</f>
        <v>0</v>
      </c>
      <c r="O127" s="167"/>
      <c r="P127" s="167">
        <f>Simulador!O501</f>
        <v>0</v>
      </c>
      <c r="Q127" s="167">
        <f t="shared" si="42"/>
        <v>0</v>
      </c>
      <c r="R127" s="167">
        <f t="shared" si="32"/>
        <v>0</v>
      </c>
      <c r="U127" s="6"/>
      <c r="V127" s="6"/>
      <c r="W127" s="6"/>
      <c r="X127" s="256">
        <f t="shared" si="26"/>
        <v>0</v>
      </c>
      <c r="Z127" s="201">
        <f t="shared" si="29"/>
        <v>0</v>
      </c>
      <c r="AA127" s="201">
        <f t="shared" si="33"/>
        <v>0</v>
      </c>
      <c r="AB127" s="202">
        <f t="shared" si="34"/>
        <v>0</v>
      </c>
      <c r="AC127" s="201">
        <f t="shared" si="35"/>
        <v>10421.884210717653</v>
      </c>
      <c r="AD127" s="201">
        <f t="shared" si="36"/>
        <v>0</v>
      </c>
      <c r="AE127" s="201">
        <f t="shared" si="43"/>
        <v>10421.884210717653</v>
      </c>
      <c r="AF127" s="201">
        <f t="shared" si="37"/>
        <v>0</v>
      </c>
      <c r="AG127" s="201">
        <f t="shared" si="38"/>
        <v>0</v>
      </c>
      <c r="AH127" s="201">
        <f t="shared" si="44"/>
        <v>0</v>
      </c>
    </row>
    <row r="128" spans="3:34" x14ac:dyDescent="0.3">
      <c r="C128" s="179">
        <f t="shared" si="30"/>
        <v>111</v>
      </c>
      <c r="D128" s="180">
        <f t="shared" si="39"/>
        <v>30.4</v>
      </c>
      <c r="E128" s="165">
        <f>IF(C128="","",Simulador!$F$62)</f>
        <v>0.11</v>
      </c>
      <c r="F128" s="167"/>
      <c r="G128" s="167">
        <f t="shared" si="40"/>
        <v>0</v>
      </c>
      <c r="H128" s="166"/>
      <c r="I128" s="167">
        <f t="shared" si="27"/>
        <v>0</v>
      </c>
      <c r="J128" s="167">
        <f t="shared" si="28"/>
        <v>0</v>
      </c>
      <c r="K128" s="172">
        <f t="shared" si="31"/>
        <v>0</v>
      </c>
      <c r="L128" s="167">
        <f t="shared" si="25"/>
        <v>0</v>
      </c>
      <c r="M128" s="167">
        <f t="shared" si="41"/>
        <v>0</v>
      </c>
      <c r="N128" s="167">
        <f>IF(C128="","",IF(G128=0,0,IF(Simulador!$F$11='Tabla Parámetros'!$W$1,'Tabla Parámetros'!$W$28,IF(Simulador!$F$11='Tabla Parámetros'!$Y$1,'Tabla Parámetros'!$Y$12))))</f>
        <v>0</v>
      </c>
      <c r="O128" s="167"/>
      <c r="P128" s="167">
        <f>Simulador!O502</f>
        <v>0</v>
      </c>
      <c r="Q128" s="167">
        <f t="shared" si="42"/>
        <v>0</v>
      </c>
      <c r="R128" s="167">
        <f t="shared" si="32"/>
        <v>0</v>
      </c>
      <c r="U128" s="6"/>
      <c r="V128" s="6"/>
      <c r="W128" s="6"/>
      <c r="X128" s="256">
        <f t="shared" si="26"/>
        <v>0</v>
      </c>
      <c r="Z128" s="201">
        <f t="shared" si="29"/>
        <v>0</v>
      </c>
      <c r="AA128" s="201">
        <f t="shared" si="33"/>
        <v>0</v>
      </c>
      <c r="AB128" s="202">
        <f t="shared" si="34"/>
        <v>0</v>
      </c>
      <c r="AC128" s="201">
        <f t="shared" si="35"/>
        <v>10421.884210717653</v>
      </c>
      <c r="AD128" s="201">
        <f t="shared" si="36"/>
        <v>0</v>
      </c>
      <c r="AE128" s="201">
        <f t="shared" si="43"/>
        <v>10421.884210717653</v>
      </c>
      <c r="AF128" s="201">
        <f t="shared" si="37"/>
        <v>0</v>
      </c>
      <c r="AG128" s="201">
        <f t="shared" si="38"/>
        <v>0</v>
      </c>
      <c r="AH128" s="201">
        <f t="shared" si="44"/>
        <v>0</v>
      </c>
    </row>
    <row r="129" spans="3:34" x14ac:dyDescent="0.3">
      <c r="C129" s="179">
        <f t="shared" si="30"/>
        <v>112</v>
      </c>
      <c r="D129" s="180">
        <f t="shared" si="39"/>
        <v>30.4</v>
      </c>
      <c r="E129" s="165">
        <f>IF(C129="","",Simulador!$F$62)</f>
        <v>0.11</v>
      </c>
      <c r="F129" s="167"/>
      <c r="G129" s="167">
        <f t="shared" si="40"/>
        <v>0</v>
      </c>
      <c r="H129" s="166"/>
      <c r="I129" s="167">
        <f t="shared" si="27"/>
        <v>0</v>
      </c>
      <c r="J129" s="167">
        <f t="shared" si="28"/>
        <v>0</v>
      </c>
      <c r="K129" s="172">
        <f t="shared" si="31"/>
        <v>0</v>
      </c>
      <c r="L129" s="167">
        <f t="shared" si="25"/>
        <v>0</v>
      </c>
      <c r="M129" s="167">
        <f t="shared" si="41"/>
        <v>0</v>
      </c>
      <c r="N129" s="167">
        <f>IF(C129="","",IF(G129=0,0,IF(Simulador!$F$11='Tabla Parámetros'!$W$1,'Tabla Parámetros'!$W$28,IF(Simulador!$F$11='Tabla Parámetros'!$Y$1,'Tabla Parámetros'!$Y$12))))</f>
        <v>0</v>
      </c>
      <c r="O129" s="167"/>
      <c r="P129" s="167">
        <f>Simulador!O503</f>
        <v>0</v>
      </c>
      <c r="Q129" s="167">
        <f t="shared" si="42"/>
        <v>0</v>
      </c>
      <c r="R129" s="167">
        <f t="shared" si="32"/>
        <v>0</v>
      </c>
      <c r="U129" s="6"/>
      <c r="V129" s="6"/>
      <c r="W129" s="6"/>
      <c r="X129" s="256">
        <f t="shared" si="26"/>
        <v>0</v>
      </c>
      <c r="Z129" s="201">
        <f t="shared" si="29"/>
        <v>0</v>
      </c>
      <c r="AA129" s="201">
        <f t="shared" si="33"/>
        <v>0</v>
      </c>
      <c r="AB129" s="202">
        <f t="shared" si="34"/>
        <v>0</v>
      </c>
      <c r="AC129" s="201">
        <f t="shared" si="35"/>
        <v>10421.884210717653</v>
      </c>
      <c r="AD129" s="201">
        <f t="shared" si="36"/>
        <v>0</v>
      </c>
      <c r="AE129" s="201">
        <f t="shared" si="43"/>
        <v>10421.884210717653</v>
      </c>
      <c r="AF129" s="201">
        <f t="shared" si="37"/>
        <v>0</v>
      </c>
      <c r="AG129" s="201">
        <f t="shared" si="38"/>
        <v>0</v>
      </c>
      <c r="AH129" s="201">
        <f t="shared" si="44"/>
        <v>0</v>
      </c>
    </row>
    <row r="130" spans="3:34" x14ac:dyDescent="0.3">
      <c r="C130" s="181">
        <f t="shared" si="30"/>
        <v>113</v>
      </c>
      <c r="D130" s="180">
        <f t="shared" si="39"/>
        <v>30.4</v>
      </c>
      <c r="E130" s="165">
        <f>IF(C130="","",Simulador!$F$62)</f>
        <v>0.11</v>
      </c>
      <c r="F130" s="167"/>
      <c r="G130" s="167">
        <f t="shared" si="40"/>
        <v>0</v>
      </c>
      <c r="H130" s="166"/>
      <c r="I130" s="167">
        <f t="shared" si="27"/>
        <v>0</v>
      </c>
      <c r="J130" s="167">
        <f t="shared" si="28"/>
        <v>0</v>
      </c>
      <c r="K130" s="172">
        <f t="shared" si="31"/>
        <v>0</v>
      </c>
      <c r="L130" s="167">
        <f t="shared" si="25"/>
        <v>0</v>
      </c>
      <c r="M130" s="167">
        <f t="shared" si="41"/>
        <v>0</v>
      </c>
      <c r="N130" s="167">
        <f>IF(C130="","",IF(G130=0,0,IF(Simulador!$F$11='Tabla Parámetros'!$W$1,'Tabla Parámetros'!$W$28,IF(Simulador!$F$11='Tabla Parámetros'!$Y$1,'Tabla Parámetros'!$Y$12))))</f>
        <v>0</v>
      </c>
      <c r="O130" s="167"/>
      <c r="P130" s="167">
        <f>Simulador!O504</f>
        <v>0</v>
      </c>
      <c r="Q130" s="167">
        <f t="shared" si="42"/>
        <v>0</v>
      </c>
      <c r="R130" s="167">
        <f t="shared" si="32"/>
        <v>0</v>
      </c>
      <c r="U130" s="6"/>
      <c r="V130" s="6"/>
      <c r="W130" s="6"/>
      <c r="X130" s="256">
        <f t="shared" si="26"/>
        <v>0</v>
      </c>
      <c r="Z130" s="201">
        <f t="shared" si="29"/>
        <v>0</v>
      </c>
      <c r="AA130" s="201">
        <f t="shared" si="33"/>
        <v>0</v>
      </c>
      <c r="AB130" s="202">
        <f t="shared" si="34"/>
        <v>0</v>
      </c>
      <c r="AC130" s="201">
        <f t="shared" si="35"/>
        <v>10421.884210717653</v>
      </c>
      <c r="AD130" s="201">
        <f t="shared" si="36"/>
        <v>0</v>
      </c>
      <c r="AE130" s="201">
        <f t="shared" si="43"/>
        <v>10421.884210717653</v>
      </c>
      <c r="AF130" s="201">
        <f t="shared" si="37"/>
        <v>0</v>
      </c>
      <c r="AG130" s="201">
        <f t="shared" si="38"/>
        <v>0</v>
      </c>
      <c r="AH130" s="201">
        <f t="shared" si="44"/>
        <v>0</v>
      </c>
    </row>
    <row r="131" spans="3:34" x14ac:dyDescent="0.3">
      <c r="C131" s="179">
        <f t="shared" si="30"/>
        <v>114</v>
      </c>
      <c r="D131" s="180">
        <f t="shared" si="39"/>
        <v>30.4</v>
      </c>
      <c r="E131" s="165">
        <f>IF(C131="","",Simulador!$F$62)</f>
        <v>0.11</v>
      </c>
      <c r="F131" s="167"/>
      <c r="G131" s="167">
        <f t="shared" si="40"/>
        <v>0</v>
      </c>
      <c r="H131" s="166"/>
      <c r="I131" s="167">
        <f t="shared" si="27"/>
        <v>0</v>
      </c>
      <c r="J131" s="167">
        <f t="shared" si="28"/>
        <v>0</v>
      </c>
      <c r="K131" s="172">
        <f t="shared" si="31"/>
        <v>0</v>
      </c>
      <c r="L131" s="167">
        <f t="shared" si="25"/>
        <v>0</v>
      </c>
      <c r="M131" s="167">
        <f t="shared" si="41"/>
        <v>0</v>
      </c>
      <c r="N131" s="167">
        <f>IF(C131="","",IF(G131=0,0,IF(Simulador!$F$11='Tabla Parámetros'!$W$1,'Tabla Parámetros'!$W$28,IF(Simulador!$F$11='Tabla Parámetros'!$Y$1,'Tabla Parámetros'!$Y$12))))</f>
        <v>0</v>
      </c>
      <c r="O131" s="167"/>
      <c r="P131" s="167">
        <f>Simulador!O505</f>
        <v>0</v>
      </c>
      <c r="Q131" s="167">
        <f t="shared" si="42"/>
        <v>0</v>
      </c>
      <c r="R131" s="167">
        <f t="shared" si="32"/>
        <v>0</v>
      </c>
      <c r="U131" s="6"/>
      <c r="V131" s="6"/>
      <c r="W131" s="6"/>
      <c r="X131" s="256">
        <f t="shared" si="26"/>
        <v>0</v>
      </c>
      <c r="Z131" s="201">
        <f t="shared" si="29"/>
        <v>0</v>
      </c>
      <c r="AA131" s="201">
        <f t="shared" si="33"/>
        <v>0</v>
      </c>
      <c r="AB131" s="202">
        <f t="shared" si="34"/>
        <v>0</v>
      </c>
      <c r="AC131" s="201">
        <f t="shared" si="35"/>
        <v>10421.884210717653</v>
      </c>
      <c r="AD131" s="201">
        <f t="shared" si="36"/>
        <v>0</v>
      </c>
      <c r="AE131" s="201">
        <f t="shared" si="43"/>
        <v>10421.884210717653</v>
      </c>
      <c r="AF131" s="201">
        <f t="shared" si="37"/>
        <v>0</v>
      </c>
      <c r="AG131" s="201">
        <f t="shared" si="38"/>
        <v>0</v>
      </c>
      <c r="AH131" s="201">
        <f t="shared" si="44"/>
        <v>0</v>
      </c>
    </row>
    <row r="132" spans="3:34" x14ac:dyDescent="0.3">
      <c r="C132" s="179">
        <f t="shared" si="30"/>
        <v>115</v>
      </c>
      <c r="D132" s="180">
        <f t="shared" si="39"/>
        <v>30.4</v>
      </c>
      <c r="E132" s="165">
        <f>IF(C132="","",Simulador!$F$62)</f>
        <v>0.11</v>
      </c>
      <c r="F132" s="167"/>
      <c r="G132" s="167">
        <f t="shared" si="40"/>
        <v>0</v>
      </c>
      <c r="H132" s="166"/>
      <c r="I132" s="167">
        <f t="shared" si="27"/>
        <v>0</v>
      </c>
      <c r="J132" s="167">
        <f t="shared" si="28"/>
        <v>0</v>
      </c>
      <c r="K132" s="172">
        <f t="shared" si="31"/>
        <v>0</v>
      </c>
      <c r="L132" s="167">
        <f t="shared" si="25"/>
        <v>0</v>
      </c>
      <c r="M132" s="167">
        <f t="shared" si="41"/>
        <v>0</v>
      </c>
      <c r="N132" s="167">
        <f>IF(C132="","",IF(G132=0,0,IF(Simulador!$F$11='Tabla Parámetros'!$W$1,'Tabla Parámetros'!$W$28,IF(Simulador!$F$11='Tabla Parámetros'!$Y$1,'Tabla Parámetros'!$Y$12))))</f>
        <v>0</v>
      </c>
      <c r="O132" s="167"/>
      <c r="P132" s="167">
        <f>Simulador!O506</f>
        <v>0</v>
      </c>
      <c r="Q132" s="167">
        <f t="shared" si="42"/>
        <v>0</v>
      </c>
      <c r="R132" s="167">
        <f t="shared" si="32"/>
        <v>0</v>
      </c>
      <c r="U132" s="6"/>
      <c r="V132" s="6"/>
      <c r="W132" s="6"/>
      <c r="X132" s="256">
        <f t="shared" si="26"/>
        <v>0</v>
      </c>
      <c r="Z132" s="201">
        <f t="shared" si="29"/>
        <v>0</v>
      </c>
      <c r="AA132" s="201">
        <f t="shared" si="33"/>
        <v>0</v>
      </c>
      <c r="AB132" s="202">
        <f t="shared" si="34"/>
        <v>0</v>
      </c>
      <c r="AC132" s="201">
        <f t="shared" si="35"/>
        <v>10421.884210717653</v>
      </c>
      <c r="AD132" s="201">
        <f t="shared" si="36"/>
        <v>0</v>
      </c>
      <c r="AE132" s="201">
        <f t="shared" si="43"/>
        <v>10421.884210717653</v>
      </c>
      <c r="AF132" s="201">
        <f t="shared" si="37"/>
        <v>0</v>
      </c>
      <c r="AG132" s="201">
        <f t="shared" si="38"/>
        <v>0</v>
      </c>
      <c r="AH132" s="201">
        <f t="shared" si="44"/>
        <v>0</v>
      </c>
    </row>
    <row r="133" spans="3:34" x14ac:dyDescent="0.3">
      <c r="C133" s="179">
        <f t="shared" si="30"/>
        <v>116</v>
      </c>
      <c r="D133" s="180">
        <f t="shared" si="39"/>
        <v>30.4</v>
      </c>
      <c r="E133" s="165">
        <f>IF(C133="","",Simulador!$F$62)</f>
        <v>0.11</v>
      </c>
      <c r="F133" s="167"/>
      <c r="G133" s="167">
        <f t="shared" si="40"/>
        <v>0</v>
      </c>
      <c r="H133" s="166"/>
      <c r="I133" s="167">
        <f t="shared" si="27"/>
        <v>0</v>
      </c>
      <c r="J133" s="167">
        <f t="shared" si="28"/>
        <v>0</v>
      </c>
      <c r="K133" s="172">
        <f t="shared" si="31"/>
        <v>0</v>
      </c>
      <c r="L133" s="167">
        <f t="shared" si="25"/>
        <v>0</v>
      </c>
      <c r="M133" s="167">
        <f t="shared" si="41"/>
        <v>0</v>
      </c>
      <c r="N133" s="167">
        <f>IF(C133="","",IF(G133=0,0,IF(Simulador!$F$11='Tabla Parámetros'!$W$1,'Tabla Parámetros'!$W$28,IF(Simulador!$F$11='Tabla Parámetros'!$Y$1,'Tabla Parámetros'!$Y$12))))</f>
        <v>0</v>
      </c>
      <c r="O133" s="167"/>
      <c r="P133" s="167">
        <f>Simulador!O507</f>
        <v>0</v>
      </c>
      <c r="Q133" s="167">
        <f t="shared" si="42"/>
        <v>0</v>
      </c>
      <c r="R133" s="167">
        <f t="shared" si="32"/>
        <v>0</v>
      </c>
      <c r="U133" s="6"/>
      <c r="V133" s="6"/>
      <c r="W133" s="6"/>
      <c r="X133" s="256">
        <f t="shared" si="26"/>
        <v>0</v>
      </c>
      <c r="Z133" s="201">
        <f t="shared" si="29"/>
        <v>0</v>
      </c>
      <c r="AA133" s="201">
        <f t="shared" si="33"/>
        <v>0</v>
      </c>
      <c r="AB133" s="202">
        <f t="shared" si="34"/>
        <v>0</v>
      </c>
      <c r="AC133" s="201">
        <f t="shared" si="35"/>
        <v>10421.884210717653</v>
      </c>
      <c r="AD133" s="201">
        <f t="shared" si="36"/>
        <v>0</v>
      </c>
      <c r="AE133" s="201">
        <f t="shared" si="43"/>
        <v>10421.884210717653</v>
      </c>
      <c r="AF133" s="201">
        <f t="shared" si="37"/>
        <v>0</v>
      </c>
      <c r="AG133" s="201">
        <f t="shared" si="38"/>
        <v>0</v>
      </c>
      <c r="AH133" s="201">
        <f t="shared" si="44"/>
        <v>0</v>
      </c>
    </row>
    <row r="134" spans="3:34" x14ac:dyDescent="0.3">
      <c r="C134" s="181">
        <f t="shared" si="30"/>
        <v>117</v>
      </c>
      <c r="D134" s="180">
        <f t="shared" si="39"/>
        <v>30.4</v>
      </c>
      <c r="E134" s="165">
        <f>IF(C134="","",Simulador!$F$62)</f>
        <v>0.11</v>
      </c>
      <c r="F134" s="167"/>
      <c r="G134" s="167">
        <f t="shared" si="40"/>
        <v>0</v>
      </c>
      <c r="H134" s="166"/>
      <c r="I134" s="167">
        <f t="shared" si="27"/>
        <v>0</v>
      </c>
      <c r="J134" s="167">
        <f t="shared" si="28"/>
        <v>0</v>
      </c>
      <c r="K134" s="172">
        <f t="shared" si="31"/>
        <v>0</v>
      </c>
      <c r="L134" s="167">
        <f t="shared" si="25"/>
        <v>0</v>
      </c>
      <c r="M134" s="167">
        <f t="shared" si="41"/>
        <v>0</v>
      </c>
      <c r="N134" s="167">
        <f>IF(C134="","",IF(G134=0,0,IF(Simulador!$F$11='Tabla Parámetros'!$W$1,'Tabla Parámetros'!$W$28,IF(Simulador!$F$11='Tabla Parámetros'!$Y$1,'Tabla Parámetros'!$Y$12))))</f>
        <v>0</v>
      </c>
      <c r="O134" s="167"/>
      <c r="P134" s="167">
        <f>Simulador!O508</f>
        <v>0</v>
      </c>
      <c r="Q134" s="167">
        <f t="shared" si="42"/>
        <v>0</v>
      </c>
      <c r="R134" s="167">
        <f t="shared" si="32"/>
        <v>0</v>
      </c>
      <c r="U134" s="6"/>
      <c r="V134" s="6"/>
      <c r="W134" s="6"/>
      <c r="X134" s="256">
        <f t="shared" si="26"/>
        <v>0</v>
      </c>
      <c r="Z134" s="201">
        <f t="shared" si="29"/>
        <v>0</v>
      </c>
      <c r="AA134" s="201">
        <f t="shared" si="33"/>
        <v>0</v>
      </c>
      <c r="AB134" s="202">
        <f t="shared" si="34"/>
        <v>0</v>
      </c>
      <c r="AC134" s="201">
        <f t="shared" si="35"/>
        <v>10421.884210717653</v>
      </c>
      <c r="AD134" s="201">
        <f t="shared" si="36"/>
        <v>0</v>
      </c>
      <c r="AE134" s="201">
        <f t="shared" si="43"/>
        <v>10421.884210717653</v>
      </c>
      <c r="AF134" s="201">
        <f t="shared" si="37"/>
        <v>0</v>
      </c>
      <c r="AG134" s="201">
        <f t="shared" si="38"/>
        <v>0</v>
      </c>
      <c r="AH134" s="201">
        <f t="shared" si="44"/>
        <v>0</v>
      </c>
    </row>
    <row r="135" spans="3:34" x14ac:dyDescent="0.3">
      <c r="C135" s="179">
        <f t="shared" si="30"/>
        <v>118</v>
      </c>
      <c r="D135" s="180">
        <f t="shared" si="39"/>
        <v>30.4</v>
      </c>
      <c r="E135" s="165">
        <f>IF(C135="","",Simulador!$F$62)</f>
        <v>0.11</v>
      </c>
      <c r="F135" s="167"/>
      <c r="G135" s="167">
        <f t="shared" si="40"/>
        <v>0</v>
      </c>
      <c r="H135" s="166"/>
      <c r="I135" s="167">
        <f t="shared" si="27"/>
        <v>0</v>
      </c>
      <c r="J135" s="167">
        <f t="shared" si="28"/>
        <v>0</v>
      </c>
      <c r="K135" s="172">
        <f t="shared" si="31"/>
        <v>0</v>
      </c>
      <c r="L135" s="167">
        <f t="shared" ref="L135:L198" si="45">G135*$J$2</f>
        <v>0</v>
      </c>
      <c r="M135" s="167">
        <f t="shared" si="41"/>
        <v>0</v>
      </c>
      <c r="N135" s="167">
        <f>IF(C135="","",IF(G135=0,0,IF(Simulador!$F$11='Tabla Parámetros'!$W$1,'Tabla Parámetros'!$W$28,IF(Simulador!$F$11='Tabla Parámetros'!$Y$1,'Tabla Parámetros'!$Y$12))))</f>
        <v>0</v>
      </c>
      <c r="O135" s="167"/>
      <c r="P135" s="167">
        <f>Simulador!O509</f>
        <v>0</v>
      </c>
      <c r="Q135" s="167">
        <f t="shared" si="42"/>
        <v>0</v>
      </c>
      <c r="R135" s="167">
        <f t="shared" si="32"/>
        <v>0</v>
      </c>
      <c r="U135" s="6"/>
      <c r="V135" s="6"/>
      <c r="W135" s="6"/>
      <c r="X135" s="256">
        <f t="shared" si="26"/>
        <v>0</v>
      </c>
      <c r="Z135" s="201">
        <f t="shared" si="29"/>
        <v>0</v>
      </c>
      <c r="AA135" s="201">
        <f t="shared" si="33"/>
        <v>0</v>
      </c>
      <c r="AB135" s="202">
        <f t="shared" si="34"/>
        <v>0</v>
      </c>
      <c r="AC135" s="201">
        <f t="shared" si="35"/>
        <v>10421.884210717653</v>
      </c>
      <c r="AD135" s="201">
        <f t="shared" si="36"/>
        <v>0</v>
      </c>
      <c r="AE135" s="201">
        <f t="shared" si="43"/>
        <v>10421.884210717653</v>
      </c>
      <c r="AF135" s="201">
        <f t="shared" si="37"/>
        <v>0</v>
      </c>
      <c r="AG135" s="201">
        <f t="shared" si="38"/>
        <v>0</v>
      </c>
      <c r="AH135" s="201">
        <f t="shared" si="44"/>
        <v>0</v>
      </c>
    </row>
    <row r="136" spans="3:34" x14ac:dyDescent="0.3">
      <c r="C136" s="179">
        <f t="shared" si="30"/>
        <v>119</v>
      </c>
      <c r="D136" s="180">
        <f t="shared" si="39"/>
        <v>30.4</v>
      </c>
      <c r="E136" s="165">
        <f>IF(C136="","",Simulador!$F$62)</f>
        <v>0.11</v>
      </c>
      <c r="F136" s="167"/>
      <c r="G136" s="167">
        <f t="shared" si="40"/>
        <v>0</v>
      </c>
      <c r="H136" s="166"/>
      <c r="I136" s="167">
        <f t="shared" si="27"/>
        <v>0</v>
      </c>
      <c r="J136" s="167">
        <f t="shared" si="28"/>
        <v>0</v>
      </c>
      <c r="K136" s="172">
        <f t="shared" si="31"/>
        <v>0</v>
      </c>
      <c r="L136" s="167">
        <f t="shared" si="45"/>
        <v>0</v>
      </c>
      <c r="M136" s="167">
        <f t="shared" si="41"/>
        <v>0</v>
      </c>
      <c r="N136" s="167">
        <f>IF(C136="","",IF(G136=0,0,IF(Simulador!$F$11='Tabla Parámetros'!$W$1,'Tabla Parámetros'!$W$28,IF(Simulador!$F$11='Tabla Parámetros'!$Y$1,'Tabla Parámetros'!$Y$12))))</f>
        <v>0</v>
      </c>
      <c r="O136" s="167"/>
      <c r="P136" s="167">
        <f>Simulador!O510</f>
        <v>0</v>
      </c>
      <c r="Q136" s="167">
        <f t="shared" si="42"/>
        <v>0</v>
      </c>
      <c r="R136" s="167">
        <f t="shared" si="32"/>
        <v>0</v>
      </c>
      <c r="U136" s="6"/>
      <c r="V136" s="6"/>
      <c r="W136" s="6"/>
      <c r="X136" s="256">
        <f t="shared" si="26"/>
        <v>0</v>
      </c>
      <c r="Z136" s="201">
        <f t="shared" si="29"/>
        <v>0</v>
      </c>
      <c r="AA136" s="201">
        <f t="shared" si="33"/>
        <v>0</v>
      </c>
      <c r="AB136" s="202">
        <f t="shared" si="34"/>
        <v>0</v>
      </c>
      <c r="AC136" s="201">
        <f t="shared" si="35"/>
        <v>10421.884210717653</v>
      </c>
      <c r="AD136" s="201">
        <f t="shared" si="36"/>
        <v>0</v>
      </c>
      <c r="AE136" s="201">
        <f t="shared" si="43"/>
        <v>10421.884210717653</v>
      </c>
      <c r="AF136" s="201">
        <f t="shared" si="37"/>
        <v>0</v>
      </c>
      <c r="AG136" s="201">
        <f t="shared" si="38"/>
        <v>0</v>
      </c>
      <c r="AH136" s="201">
        <f t="shared" si="44"/>
        <v>0</v>
      </c>
    </row>
    <row r="137" spans="3:34" x14ac:dyDescent="0.3">
      <c r="C137" s="179">
        <f t="shared" si="30"/>
        <v>120</v>
      </c>
      <c r="D137" s="180">
        <f t="shared" si="39"/>
        <v>30.4</v>
      </c>
      <c r="E137" s="165">
        <f>IF(C137="","",Simulador!$F$62)</f>
        <v>0.11</v>
      </c>
      <c r="F137" s="167"/>
      <c r="G137" s="167">
        <f t="shared" si="40"/>
        <v>0</v>
      </c>
      <c r="H137" s="166"/>
      <c r="I137" s="167">
        <f t="shared" si="27"/>
        <v>0</v>
      </c>
      <c r="J137" s="167">
        <f t="shared" si="28"/>
        <v>0</v>
      </c>
      <c r="K137" s="172">
        <f t="shared" si="31"/>
        <v>0</v>
      </c>
      <c r="L137" s="167">
        <f t="shared" si="45"/>
        <v>0</v>
      </c>
      <c r="M137" s="167">
        <f t="shared" si="41"/>
        <v>0</v>
      </c>
      <c r="N137" s="167">
        <f>IF(C137="","",IF(G137=0,0,IF(Simulador!$F$11='Tabla Parámetros'!$W$1,'Tabla Parámetros'!$W$28,IF(Simulador!$F$11='Tabla Parámetros'!$Y$1,'Tabla Parámetros'!$Y$12))))</f>
        <v>0</v>
      </c>
      <c r="O137" s="167"/>
      <c r="P137" s="167">
        <f>Simulador!O511</f>
        <v>0</v>
      </c>
      <c r="Q137" s="167">
        <f t="shared" si="42"/>
        <v>0</v>
      </c>
      <c r="R137" s="167">
        <f t="shared" si="32"/>
        <v>0</v>
      </c>
      <c r="U137" s="6"/>
      <c r="V137" s="6"/>
      <c r="W137" s="6"/>
      <c r="X137" s="256">
        <f t="shared" si="26"/>
        <v>0</v>
      </c>
      <c r="Z137" s="201">
        <f t="shared" si="29"/>
        <v>0</v>
      </c>
      <c r="AA137" s="201">
        <f t="shared" si="33"/>
        <v>0</v>
      </c>
      <c r="AB137" s="202">
        <f t="shared" si="34"/>
        <v>0</v>
      </c>
      <c r="AC137" s="201">
        <f t="shared" si="35"/>
        <v>10421.884210717653</v>
      </c>
      <c r="AD137" s="201">
        <f t="shared" si="36"/>
        <v>0</v>
      </c>
      <c r="AE137" s="201">
        <f t="shared" si="43"/>
        <v>10421.884210717653</v>
      </c>
      <c r="AF137" s="201">
        <f t="shared" si="37"/>
        <v>0</v>
      </c>
      <c r="AG137" s="201">
        <f t="shared" si="38"/>
        <v>0</v>
      </c>
      <c r="AH137" s="201">
        <f t="shared" si="44"/>
        <v>0</v>
      </c>
    </row>
    <row r="138" spans="3:34" x14ac:dyDescent="0.3">
      <c r="C138" s="181">
        <f t="shared" si="30"/>
        <v>121</v>
      </c>
      <c r="D138" s="180">
        <f t="shared" si="39"/>
        <v>30.4</v>
      </c>
      <c r="E138" s="165">
        <f>IF(C138="","",Simulador!$F$62)</f>
        <v>0.11</v>
      </c>
      <c r="F138" s="167"/>
      <c r="G138" s="167">
        <f t="shared" si="40"/>
        <v>0</v>
      </c>
      <c r="H138" s="166"/>
      <c r="I138" s="167">
        <f t="shared" si="27"/>
        <v>0</v>
      </c>
      <c r="J138" s="167">
        <f t="shared" si="28"/>
        <v>0</v>
      </c>
      <c r="K138" s="172">
        <f t="shared" si="31"/>
        <v>0</v>
      </c>
      <c r="L138" s="167">
        <f t="shared" si="45"/>
        <v>0</v>
      </c>
      <c r="M138" s="167">
        <f t="shared" si="41"/>
        <v>0</v>
      </c>
      <c r="N138" s="167">
        <f>IF(C138="","",IF(G138=0,0,IF(Simulador!$F$11='Tabla Parámetros'!$W$1,'Tabla Parámetros'!$W$28,IF(Simulador!$F$11='Tabla Parámetros'!$Y$1,'Tabla Parámetros'!$Y$12))))</f>
        <v>0</v>
      </c>
      <c r="O138" s="167"/>
      <c r="P138" s="167">
        <f>Simulador!O512</f>
        <v>0</v>
      </c>
      <c r="Q138" s="167">
        <f t="shared" si="42"/>
        <v>0</v>
      </c>
      <c r="R138" s="167">
        <f t="shared" si="32"/>
        <v>0</v>
      </c>
      <c r="U138" s="6"/>
      <c r="V138" s="6"/>
      <c r="W138" s="6"/>
      <c r="X138" s="256">
        <f t="shared" si="26"/>
        <v>0</v>
      </c>
      <c r="Z138" s="201">
        <f t="shared" si="29"/>
        <v>0</v>
      </c>
      <c r="AA138" s="201">
        <f t="shared" si="33"/>
        <v>0</v>
      </c>
      <c r="AB138" s="202">
        <f t="shared" si="34"/>
        <v>0</v>
      </c>
      <c r="AC138" s="201">
        <f t="shared" si="35"/>
        <v>10421.884210717653</v>
      </c>
      <c r="AD138" s="201">
        <f t="shared" si="36"/>
        <v>0</v>
      </c>
      <c r="AE138" s="201">
        <f t="shared" si="43"/>
        <v>10421.884210717653</v>
      </c>
      <c r="AF138" s="201">
        <f t="shared" si="37"/>
        <v>0</v>
      </c>
      <c r="AG138" s="201">
        <f t="shared" si="38"/>
        <v>0</v>
      </c>
      <c r="AH138" s="201">
        <f t="shared" si="44"/>
        <v>0</v>
      </c>
    </row>
    <row r="139" spans="3:34" x14ac:dyDescent="0.3">
      <c r="C139" s="179">
        <f t="shared" si="30"/>
        <v>122</v>
      </c>
      <c r="D139" s="180">
        <f t="shared" si="39"/>
        <v>30.4</v>
      </c>
      <c r="E139" s="165">
        <f>IF(C139="","",Simulador!$F$62)</f>
        <v>0.11</v>
      </c>
      <c r="F139" s="167"/>
      <c r="G139" s="167">
        <f t="shared" si="40"/>
        <v>0</v>
      </c>
      <c r="H139" s="166"/>
      <c r="I139" s="167">
        <f t="shared" si="27"/>
        <v>0</v>
      </c>
      <c r="J139" s="167">
        <f t="shared" si="28"/>
        <v>0</v>
      </c>
      <c r="K139" s="172">
        <f t="shared" si="31"/>
        <v>0</v>
      </c>
      <c r="L139" s="167">
        <f t="shared" si="45"/>
        <v>0</v>
      </c>
      <c r="M139" s="167">
        <f t="shared" si="41"/>
        <v>0</v>
      </c>
      <c r="N139" s="167">
        <f>IF(C139="","",IF(G139=0,0,IF(Simulador!$F$11='Tabla Parámetros'!$W$1,'Tabla Parámetros'!$W$28,IF(Simulador!$F$11='Tabla Parámetros'!$Y$1,'Tabla Parámetros'!$Y$12))))</f>
        <v>0</v>
      </c>
      <c r="O139" s="167"/>
      <c r="P139" s="167">
        <f>Simulador!O513</f>
        <v>0</v>
      </c>
      <c r="Q139" s="167">
        <f t="shared" si="42"/>
        <v>0</v>
      </c>
      <c r="R139" s="167">
        <f t="shared" si="32"/>
        <v>0</v>
      </c>
      <c r="U139" s="6"/>
      <c r="V139" s="6"/>
      <c r="W139" s="6"/>
      <c r="X139" s="256">
        <f t="shared" si="26"/>
        <v>0</v>
      </c>
      <c r="Z139" s="201">
        <f t="shared" si="29"/>
        <v>0</v>
      </c>
      <c r="AA139" s="201">
        <f t="shared" si="33"/>
        <v>0</v>
      </c>
      <c r="AB139" s="202">
        <f t="shared" si="34"/>
        <v>0</v>
      </c>
      <c r="AC139" s="201">
        <f t="shared" si="35"/>
        <v>10421.884210717653</v>
      </c>
      <c r="AD139" s="201">
        <f t="shared" si="36"/>
        <v>0</v>
      </c>
      <c r="AE139" s="201">
        <f t="shared" si="43"/>
        <v>10421.884210717653</v>
      </c>
      <c r="AF139" s="201">
        <f t="shared" si="37"/>
        <v>0</v>
      </c>
      <c r="AG139" s="201">
        <f t="shared" si="38"/>
        <v>0</v>
      </c>
      <c r="AH139" s="201">
        <f t="shared" si="44"/>
        <v>0</v>
      </c>
    </row>
    <row r="140" spans="3:34" x14ac:dyDescent="0.3">
      <c r="C140" s="179">
        <f t="shared" si="30"/>
        <v>123</v>
      </c>
      <c r="D140" s="180">
        <f t="shared" si="39"/>
        <v>30.4</v>
      </c>
      <c r="E140" s="165">
        <f>IF(C140="","",Simulador!$F$62)</f>
        <v>0.11</v>
      </c>
      <c r="F140" s="167"/>
      <c r="G140" s="167">
        <f t="shared" si="40"/>
        <v>0</v>
      </c>
      <c r="H140" s="166"/>
      <c r="I140" s="167">
        <f t="shared" si="27"/>
        <v>0</v>
      </c>
      <c r="J140" s="167">
        <f t="shared" si="28"/>
        <v>0</v>
      </c>
      <c r="K140" s="172">
        <f t="shared" si="31"/>
        <v>0</v>
      </c>
      <c r="L140" s="167">
        <f t="shared" si="45"/>
        <v>0</v>
      </c>
      <c r="M140" s="167">
        <f t="shared" si="41"/>
        <v>0</v>
      </c>
      <c r="N140" s="167">
        <f>IF(C140="","",IF(G140=0,0,IF(Simulador!$F$11='Tabla Parámetros'!$W$1,'Tabla Parámetros'!$W$28,IF(Simulador!$F$11='Tabla Parámetros'!$Y$1,'Tabla Parámetros'!$Y$12))))</f>
        <v>0</v>
      </c>
      <c r="O140" s="167"/>
      <c r="P140" s="167">
        <f>Simulador!O514</f>
        <v>0</v>
      </c>
      <c r="Q140" s="167">
        <f t="shared" si="42"/>
        <v>0</v>
      </c>
      <c r="R140" s="167">
        <f t="shared" si="32"/>
        <v>0</v>
      </c>
      <c r="U140" s="6"/>
      <c r="V140" s="6"/>
      <c r="W140" s="6"/>
      <c r="X140" s="256">
        <f t="shared" si="26"/>
        <v>0</v>
      </c>
      <c r="Z140" s="201">
        <f t="shared" si="29"/>
        <v>0</v>
      </c>
      <c r="AA140" s="201">
        <f t="shared" si="33"/>
        <v>0</v>
      </c>
      <c r="AB140" s="202">
        <f t="shared" si="34"/>
        <v>0</v>
      </c>
      <c r="AC140" s="201">
        <f t="shared" si="35"/>
        <v>10421.884210717653</v>
      </c>
      <c r="AD140" s="201">
        <f t="shared" si="36"/>
        <v>0</v>
      </c>
      <c r="AE140" s="201">
        <f t="shared" si="43"/>
        <v>10421.884210717653</v>
      </c>
      <c r="AF140" s="201">
        <f t="shared" si="37"/>
        <v>0</v>
      </c>
      <c r="AG140" s="201">
        <f t="shared" si="38"/>
        <v>0</v>
      </c>
      <c r="AH140" s="201">
        <f t="shared" si="44"/>
        <v>0</v>
      </c>
    </row>
    <row r="141" spans="3:34" x14ac:dyDescent="0.3">
      <c r="C141" s="179">
        <f t="shared" si="30"/>
        <v>124</v>
      </c>
      <c r="D141" s="180">
        <f t="shared" si="39"/>
        <v>30.4</v>
      </c>
      <c r="E141" s="165">
        <f>IF(C141="","",Simulador!$F$62)</f>
        <v>0.11</v>
      </c>
      <c r="F141" s="167"/>
      <c r="G141" s="167">
        <f t="shared" si="40"/>
        <v>0</v>
      </c>
      <c r="H141" s="166"/>
      <c r="I141" s="167">
        <f t="shared" si="27"/>
        <v>0</v>
      </c>
      <c r="J141" s="167">
        <f t="shared" si="28"/>
        <v>0</v>
      </c>
      <c r="K141" s="172">
        <f t="shared" si="31"/>
        <v>0</v>
      </c>
      <c r="L141" s="167">
        <f t="shared" si="45"/>
        <v>0</v>
      </c>
      <c r="M141" s="167">
        <f t="shared" si="41"/>
        <v>0</v>
      </c>
      <c r="N141" s="167">
        <f>IF(C141="","",IF(G141=0,0,IF(Simulador!$F$11='Tabla Parámetros'!$W$1,'Tabla Parámetros'!$W$28,IF(Simulador!$F$11='Tabla Parámetros'!$Y$1,'Tabla Parámetros'!$Y$12))))</f>
        <v>0</v>
      </c>
      <c r="O141" s="167"/>
      <c r="P141" s="167">
        <f>Simulador!O515</f>
        <v>0</v>
      </c>
      <c r="Q141" s="167">
        <f t="shared" si="42"/>
        <v>0</v>
      </c>
      <c r="R141" s="167">
        <f t="shared" si="32"/>
        <v>0</v>
      </c>
      <c r="U141" s="6"/>
      <c r="V141" s="6"/>
      <c r="W141" s="6"/>
      <c r="X141" s="256">
        <f t="shared" si="26"/>
        <v>0</v>
      </c>
      <c r="Z141" s="201">
        <f t="shared" si="29"/>
        <v>0</v>
      </c>
      <c r="AA141" s="201">
        <f t="shared" si="33"/>
        <v>0</v>
      </c>
      <c r="AB141" s="202">
        <f t="shared" si="34"/>
        <v>0</v>
      </c>
      <c r="AC141" s="201">
        <f t="shared" si="35"/>
        <v>10421.884210717653</v>
      </c>
      <c r="AD141" s="201">
        <f t="shared" si="36"/>
        <v>0</v>
      </c>
      <c r="AE141" s="201">
        <f t="shared" si="43"/>
        <v>10421.884210717653</v>
      </c>
      <c r="AF141" s="201">
        <f t="shared" si="37"/>
        <v>0</v>
      </c>
      <c r="AG141" s="201">
        <f t="shared" si="38"/>
        <v>0</v>
      </c>
      <c r="AH141" s="201">
        <f t="shared" si="44"/>
        <v>0</v>
      </c>
    </row>
    <row r="142" spans="3:34" x14ac:dyDescent="0.3">
      <c r="C142" s="181">
        <f t="shared" si="30"/>
        <v>125</v>
      </c>
      <c r="D142" s="180">
        <f t="shared" si="39"/>
        <v>30.4</v>
      </c>
      <c r="E142" s="165">
        <f>IF(C142="","",Simulador!$F$62)</f>
        <v>0.11</v>
      </c>
      <c r="F142" s="167"/>
      <c r="G142" s="167">
        <f t="shared" si="40"/>
        <v>0</v>
      </c>
      <c r="H142" s="166"/>
      <c r="I142" s="167">
        <f t="shared" si="27"/>
        <v>0</v>
      </c>
      <c r="J142" s="167">
        <f t="shared" si="28"/>
        <v>0</v>
      </c>
      <c r="K142" s="172">
        <f t="shared" si="31"/>
        <v>0</v>
      </c>
      <c r="L142" s="167">
        <f t="shared" si="45"/>
        <v>0</v>
      </c>
      <c r="M142" s="167">
        <f t="shared" si="41"/>
        <v>0</v>
      </c>
      <c r="N142" s="167">
        <f>IF(C142="","",IF(G142=0,0,IF(Simulador!$F$11='Tabla Parámetros'!$W$1,'Tabla Parámetros'!$W$28,IF(Simulador!$F$11='Tabla Parámetros'!$Y$1,'Tabla Parámetros'!$Y$12))))</f>
        <v>0</v>
      </c>
      <c r="O142" s="167"/>
      <c r="P142" s="167">
        <f>Simulador!O516</f>
        <v>0</v>
      </c>
      <c r="Q142" s="167">
        <f t="shared" si="42"/>
        <v>0</v>
      </c>
      <c r="R142" s="167">
        <f t="shared" si="32"/>
        <v>0</v>
      </c>
      <c r="U142" s="6"/>
      <c r="V142" s="6"/>
      <c r="W142" s="6"/>
      <c r="X142" s="256">
        <f t="shared" si="26"/>
        <v>0</v>
      </c>
      <c r="Z142" s="201">
        <f t="shared" si="29"/>
        <v>0</v>
      </c>
      <c r="AA142" s="201">
        <f t="shared" si="33"/>
        <v>0</v>
      </c>
      <c r="AB142" s="202">
        <f t="shared" si="34"/>
        <v>0</v>
      </c>
      <c r="AC142" s="201">
        <f t="shared" si="35"/>
        <v>10421.884210717653</v>
      </c>
      <c r="AD142" s="201">
        <f t="shared" si="36"/>
        <v>0</v>
      </c>
      <c r="AE142" s="201">
        <f t="shared" si="43"/>
        <v>10421.884210717653</v>
      </c>
      <c r="AF142" s="201">
        <f t="shared" si="37"/>
        <v>0</v>
      </c>
      <c r="AG142" s="201">
        <f t="shared" si="38"/>
        <v>0</v>
      </c>
      <c r="AH142" s="201">
        <f t="shared" si="44"/>
        <v>0</v>
      </c>
    </row>
    <row r="143" spans="3:34" x14ac:dyDescent="0.3">
      <c r="C143" s="179">
        <f t="shared" si="30"/>
        <v>126</v>
      </c>
      <c r="D143" s="180">
        <f t="shared" si="39"/>
        <v>30.4</v>
      </c>
      <c r="E143" s="165">
        <f>IF(C143="","",Simulador!$F$62)</f>
        <v>0.11</v>
      </c>
      <c r="F143" s="167"/>
      <c r="G143" s="167">
        <f t="shared" si="40"/>
        <v>0</v>
      </c>
      <c r="H143" s="166"/>
      <c r="I143" s="167">
        <f t="shared" si="27"/>
        <v>0</v>
      </c>
      <c r="J143" s="167">
        <f t="shared" si="28"/>
        <v>0</v>
      </c>
      <c r="K143" s="172">
        <f t="shared" si="31"/>
        <v>0</v>
      </c>
      <c r="L143" s="167">
        <f t="shared" si="45"/>
        <v>0</v>
      </c>
      <c r="M143" s="167">
        <f t="shared" si="41"/>
        <v>0</v>
      </c>
      <c r="N143" s="167">
        <f>IF(C143="","",IF(G143=0,0,IF(Simulador!$F$11='Tabla Parámetros'!$W$1,'Tabla Parámetros'!$W$28,IF(Simulador!$F$11='Tabla Parámetros'!$Y$1,'Tabla Parámetros'!$Y$12))))</f>
        <v>0</v>
      </c>
      <c r="O143" s="167"/>
      <c r="P143" s="167">
        <f>Simulador!O517</f>
        <v>0</v>
      </c>
      <c r="Q143" s="167">
        <f t="shared" si="42"/>
        <v>0</v>
      </c>
      <c r="R143" s="167">
        <f t="shared" si="32"/>
        <v>0</v>
      </c>
      <c r="U143" s="6"/>
      <c r="V143" s="6"/>
      <c r="W143" s="6"/>
      <c r="X143" s="256">
        <f t="shared" si="26"/>
        <v>0</v>
      </c>
      <c r="Z143" s="201">
        <f t="shared" si="29"/>
        <v>0</v>
      </c>
      <c r="AA143" s="201">
        <f t="shared" si="33"/>
        <v>0</v>
      </c>
      <c r="AB143" s="202">
        <f t="shared" si="34"/>
        <v>0</v>
      </c>
      <c r="AC143" s="201">
        <f t="shared" si="35"/>
        <v>10421.884210717653</v>
      </c>
      <c r="AD143" s="201">
        <f t="shared" si="36"/>
        <v>0</v>
      </c>
      <c r="AE143" s="201">
        <f t="shared" si="43"/>
        <v>10421.884210717653</v>
      </c>
      <c r="AF143" s="201">
        <f t="shared" si="37"/>
        <v>0</v>
      </c>
      <c r="AG143" s="201">
        <f t="shared" si="38"/>
        <v>0</v>
      </c>
      <c r="AH143" s="201">
        <f t="shared" si="44"/>
        <v>0</v>
      </c>
    </row>
    <row r="144" spans="3:34" x14ac:dyDescent="0.3">
      <c r="C144" s="179">
        <f t="shared" si="30"/>
        <v>127</v>
      </c>
      <c r="D144" s="180">
        <f t="shared" si="39"/>
        <v>30.4</v>
      </c>
      <c r="E144" s="165">
        <f>IF(C144="","",Simulador!$F$62)</f>
        <v>0.11</v>
      </c>
      <c r="F144" s="167"/>
      <c r="G144" s="167">
        <f t="shared" si="40"/>
        <v>0</v>
      </c>
      <c r="H144" s="166"/>
      <c r="I144" s="167">
        <f t="shared" si="27"/>
        <v>0</v>
      </c>
      <c r="J144" s="167">
        <f t="shared" si="28"/>
        <v>0</v>
      </c>
      <c r="K144" s="172">
        <f t="shared" si="31"/>
        <v>0</v>
      </c>
      <c r="L144" s="167">
        <f t="shared" si="45"/>
        <v>0</v>
      </c>
      <c r="M144" s="167">
        <f t="shared" si="41"/>
        <v>0</v>
      </c>
      <c r="N144" s="167">
        <f>IF(C144="","",IF(G144=0,0,IF(Simulador!$F$11='Tabla Parámetros'!$W$1,'Tabla Parámetros'!$W$28,IF(Simulador!$F$11='Tabla Parámetros'!$Y$1,'Tabla Parámetros'!$Y$12))))</f>
        <v>0</v>
      </c>
      <c r="O144" s="167"/>
      <c r="P144" s="167">
        <f>Simulador!O518</f>
        <v>0</v>
      </c>
      <c r="Q144" s="167">
        <f t="shared" si="42"/>
        <v>0</v>
      </c>
      <c r="R144" s="167">
        <f t="shared" si="32"/>
        <v>0</v>
      </c>
      <c r="U144" s="6"/>
      <c r="V144" s="6"/>
      <c r="W144" s="6"/>
      <c r="X144" s="256">
        <f t="shared" si="26"/>
        <v>0</v>
      </c>
      <c r="Z144" s="201">
        <f t="shared" si="29"/>
        <v>0</v>
      </c>
      <c r="AA144" s="201">
        <f t="shared" si="33"/>
        <v>0</v>
      </c>
      <c r="AB144" s="202">
        <f t="shared" si="34"/>
        <v>0</v>
      </c>
      <c r="AC144" s="201">
        <f t="shared" si="35"/>
        <v>10421.884210717653</v>
      </c>
      <c r="AD144" s="201">
        <f t="shared" si="36"/>
        <v>0</v>
      </c>
      <c r="AE144" s="201">
        <f t="shared" si="43"/>
        <v>10421.884210717653</v>
      </c>
      <c r="AF144" s="201">
        <f t="shared" si="37"/>
        <v>0</v>
      </c>
      <c r="AG144" s="201">
        <f t="shared" si="38"/>
        <v>0</v>
      </c>
      <c r="AH144" s="201">
        <f t="shared" si="44"/>
        <v>0</v>
      </c>
    </row>
    <row r="145" spans="3:34" x14ac:dyDescent="0.3">
      <c r="C145" s="179">
        <f t="shared" si="30"/>
        <v>128</v>
      </c>
      <c r="D145" s="180">
        <f t="shared" si="39"/>
        <v>30.4</v>
      </c>
      <c r="E145" s="165">
        <f>IF(C145="","",Simulador!$F$62)</f>
        <v>0.11</v>
      </c>
      <c r="F145" s="167"/>
      <c r="G145" s="167">
        <f t="shared" si="40"/>
        <v>0</v>
      </c>
      <c r="H145" s="166"/>
      <c r="I145" s="167">
        <f t="shared" si="27"/>
        <v>0</v>
      </c>
      <c r="J145" s="167">
        <f t="shared" si="28"/>
        <v>0</v>
      </c>
      <c r="K145" s="172">
        <f t="shared" si="31"/>
        <v>0</v>
      </c>
      <c r="L145" s="167">
        <f t="shared" si="45"/>
        <v>0</v>
      </c>
      <c r="M145" s="167">
        <f t="shared" si="41"/>
        <v>0</v>
      </c>
      <c r="N145" s="167">
        <f>IF(C145="","",IF(G145=0,0,IF(Simulador!$F$11='Tabla Parámetros'!$W$1,'Tabla Parámetros'!$W$28,IF(Simulador!$F$11='Tabla Parámetros'!$Y$1,'Tabla Parámetros'!$Y$12))))</f>
        <v>0</v>
      </c>
      <c r="O145" s="167"/>
      <c r="P145" s="167">
        <f>Simulador!O519</f>
        <v>0</v>
      </c>
      <c r="Q145" s="167">
        <f t="shared" si="42"/>
        <v>0</v>
      </c>
      <c r="R145" s="167">
        <f t="shared" si="32"/>
        <v>0</v>
      </c>
      <c r="U145" s="6"/>
      <c r="V145" s="6"/>
      <c r="W145" s="6"/>
      <c r="X145" s="256">
        <f t="shared" ref="X145:X208" si="46">IF(C147="","",K147+L147+(M147/1.16)+N147)</f>
        <v>0</v>
      </c>
      <c r="Z145" s="201">
        <f t="shared" si="29"/>
        <v>0</v>
      </c>
      <c r="AA145" s="201">
        <f t="shared" si="33"/>
        <v>0</v>
      </c>
      <c r="AB145" s="202">
        <f t="shared" si="34"/>
        <v>0</v>
      </c>
      <c r="AC145" s="201">
        <f t="shared" si="35"/>
        <v>10421.884210717653</v>
      </c>
      <c r="AD145" s="201">
        <f t="shared" si="36"/>
        <v>0</v>
      </c>
      <c r="AE145" s="201">
        <f t="shared" si="43"/>
        <v>10421.884210717653</v>
      </c>
      <c r="AF145" s="201">
        <f t="shared" si="37"/>
        <v>0</v>
      </c>
      <c r="AG145" s="201">
        <f t="shared" si="38"/>
        <v>0</v>
      </c>
      <c r="AH145" s="201">
        <f t="shared" si="44"/>
        <v>0</v>
      </c>
    </row>
    <row r="146" spans="3:34" x14ac:dyDescent="0.3">
      <c r="C146" s="181">
        <f t="shared" si="30"/>
        <v>129</v>
      </c>
      <c r="D146" s="180">
        <f t="shared" si="39"/>
        <v>30.4</v>
      </c>
      <c r="E146" s="165">
        <f>IF(C146="","",Simulador!$F$62)</f>
        <v>0.11</v>
      </c>
      <c r="F146" s="167"/>
      <c r="G146" s="167">
        <f t="shared" si="40"/>
        <v>0</v>
      </c>
      <c r="H146" s="166"/>
      <c r="I146" s="167">
        <f t="shared" ref="I146:I209" si="47">IF(C146="","",IF(G146&lt;=I145,G146,IF($R$2=$Z$16,Z146,IF($R$2=$AC$16,AC146,IF($R$2=$AF$16,AF146,)))))</f>
        <v>0</v>
      </c>
      <c r="J146" s="167">
        <f t="shared" ref="J146:J209" si="48">IF(D146="","",IF($R$2=$Z$16,AA146,IF($R$2=$AC$16,AD146,IF($R$2=$AF$16,AG146,))))</f>
        <v>0</v>
      </c>
      <c r="K146" s="172">
        <f t="shared" si="31"/>
        <v>0</v>
      </c>
      <c r="L146" s="167">
        <f t="shared" si="45"/>
        <v>0</v>
      </c>
      <c r="M146" s="167">
        <f t="shared" si="41"/>
        <v>0</v>
      </c>
      <c r="N146" s="167">
        <f>IF(C146="","",IF(G146=0,0,IF(Simulador!$F$11='Tabla Parámetros'!$W$1,'Tabla Parámetros'!$W$28,IF(Simulador!$F$11='Tabla Parámetros'!$Y$1,'Tabla Parámetros'!$Y$12))))</f>
        <v>0</v>
      </c>
      <c r="O146" s="167"/>
      <c r="P146" s="167">
        <f>Simulador!O520</f>
        <v>0</v>
      </c>
      <c r="Q146" s="167">
        <f t="shared" si="42"/>
        <v>0</v>
      </c>
      <c r="R146" s="167">
        <f t="shared" si="32"/>
        <v>0</v>
      </c>
      <c r="U146" s="6"/>
      <c r="V146" s="6"/>
      <c r="W146" s="6"/>
      <c r="X146" s="256">
        <f t="shared" si="46"/>
        <v>0</v>
      </c>
      <c r="Z146" s="201">
        <f t="shared" ref="Z146:Z209" si="49">PPMT(E146/360*30.4,C146,$F$2,-$G$18)+O146+P146</f>
        <v>0</v>
      </c>
      <c r="AA146" s="201">
        <f t="shared" si="33"/>
        <v>0</v>
      </c>
      <c r="AB146" s="202">
        <f t="shared" si="34"/>
        <v>0</v>
      </c>
      <c r="AC146" s="201">
        <f t="shared" si="35"/>
        <v>10421.884210717653</v>
      </c>
      <c r="AD146" s="201">
        <f t="shared" si="36"/>
        <v>0</v>
      </c>
      <c r="AE146" s="201">
        <f t="shared" si="43"/>
        <v>10421.884210717653</v>
      </c>
      <c r="AF146" s="201">
        <f t="shared" si="37"/>
        <v>0</v>
      </c>
      <c r="AG146" s="201">
        <f t="shared" si="38"/>
        <v>0</v>
      </c>
      <c r="AH146" s="201">
        <f t="shared" si="44"/>
        <v>0</v>
      </c>
    </row>
    <row r="147" spans="3:34" x14ac:dyDescent="0.3">
      <c r="C147" s="179">
        <f t="shared" ref="C147:C210" si="50">IF(C146="","",IF(C146=$F$2,"",C146+1))</f>
        <v>130</v>
      </c>
      <c r="D147" s="180">
        <f t="shared" si="39"/>
        <v>30.4</v>
      </c>
      <c r="E147" s="165">
        <f>IF(C147="","",Simulador!$F$62)</f>
        <v>0.11</v>
      </c>
      <c r="F147" s="167"/>
      <c r="G147" s="167">
        <f t="shared" si="40"/>
        <v>0</v>
      </c>
      <c r="H147" s="166"/>
      <c r="I147" s="167">
        <f t="shared" si="47"/>
        <v>0</v>
      </c>
      <c r="J147" s="167">
        <f t="shared" si="48"/>
        <v>0</v>
      </c>
      <c r="K147" s="172">
        <f t="shared" ref="K147:K210" si="51">IF(C147="","",PMT(E147/360*D147,$F$2,-$G$18))</f>
        <v>0</v>
      </c>
      <c r="L147" s="167">
        <f t="shared" si="45"/>
        <v>0</v>
      </c>
      <c r="M147" s="167">
        <f t="shared" si="41"/>
        <v>0</v>
      </c>
      <c r="N147" s="167">
        <f>IF(C147="","",IF(G147=0,0,IF(Simulador!$F$11='Tabla Parámetros'!$W$1,'Tabla Parámetros'!$W$28,IF(Simulador!$F$11='Tabla Parámetros'!$Y$1,'Tabla Parámetros'!$Y$12))))</f>
        <v>0</v>
      </c>
      <c r="O147" s="167"/>
      <c r="P147" s="167">
        <f>Simulador!O521</f>
        <v>0</v>
      </c>
      <c r="Q147" s="167">
        <f t="shared" si="42"/>
        <v>0</v>
      </c>
      <c r="R147" s="167">
        <f t="shared" ref="R147:R210" si="52">IF(C147="","",G147-I147)</f>
        <v>0</v>
      </c>
      <c r="U147" s="6"/>
      <c r="V147" s="6"/>
      <c r="W147" s="6"/>
      <c r="X147" s="256">
        <f t="shared" si="46"/>
        <v>0</v>
      </c>
      <c r="Z147" s="201">
        <f t="shared" si="49"/>
        <v>0</v>
      </c>
      <c r="AA147" s="201">
        <f t="shared" ref="AA147:AA210" si="53">(E147/360*D147)*G147</f>
        <v>0</v>
      </c>
      <c r="AB147" s="202">
        <f t="shared" ref="AB147:AB210" si="54">Z147+AA147</f>
        <v>0</v>
      </c>
      <c r="AC147" s="201">
        <f t="shared" ref="AC147:AC210" si="55">AE147-AD147</f>
        <v>10421.884210717653</v>
      </c>
      <c r="AD147" s="201">
        <f t="shared" ref="AD147:AD210" si="56">(E147/360*D147)*G147</f>
        <v>0</v>
      </c>
      <c r="AE147" s="201">
        <f t="shared" si="43"/>
        <v>10421.884210717653</v>
      </c>
      <c r="AF147" s="201">
        <f t="shared" ref="AF147:AF210" si="57">AH147-AG147</f>
        <v>0</v>
      </c>
      <c r="AG147" s="201">
        <f t="shared" ref="AG147:AG210" si="58">(E147/360*D147)*G147</f>
        <v>0</v>
      </c>
      <c r="AH147" s="201">
        <f t="shared" si="44"/>
        <v>0</v>
      </c>
    </row>
    <row r="148" spans="3:34" x14ac:dyDescent="0.3">
      <c r="C148" s="179">
        <f t="shared" si="50"/>
        <v>131</v>
      </c>
      <c r="D148" s="180">
        <f t="shared" ref="D148:D211" si="59">IF(C148="","",30.4)</f>
        <v>30.4</v>
      </c>
      <c r="E148" s="165">
        <f>IF(C148="","",Simulador!$F$62)</f>
        <v>0.11</v>
      </c>
      <c r="F148" s="167"/>
      <c r="G148" s="167">
        <f t="shared" ref="G148:G211" si="60">IF(C148="","",G147-I147)</f>
        <v>0</v>
      </c>
      <c r="H148" s="166"/>
      <c r="I148" s="167">
        <f t="shared" si="47"/>
        <v>0</v>
      </c>
      <c r="J148" s="167">
        <f t="shared" si="48"/>
        <v>0</v>
      </c>
      <c r="K148" s="172">
        <f t="shared" si="51"/>
        <v>0</v>
      </c>
      <c r="L148" s="167">
        <f t="shared" si="45"/>
        <v>0</v>
      </c>
      <c r="M148" s="167">
        <f t="shared" ref="M148:M211" si="61">IF(C148="","",IF(G148=0,0,$M$1*$K$2))</f>
        <v>0</v>
      </c>
      <c r="N148" s="167">
        <f>IF(C148="","",IF(G148=0,0,IF(Simulador!$F$11='Tabla Parámetros'!$W$1,'Tabla Parámetros'!$W$28,IF(Simulador!$F$11='Tabla Parámetros'!$Y$1,'Tabla Parámetros'!$Y$12))))</f>
        <v>0</v>
      </c>
      <c r="O148" s="167"/>
      <c r="P148" s="167">
        <f>Simulador!O522</f>
        <v>0</v>
      </c>
      <c r="Q148" s="167">
        <f t="shared" ref="Q148:Q211" si="62">IF(C148="","",SUM(K148:N148))</f>
        <v>0</v>
      </c>
      <c r="R148" s="167">
        <f t="shared" si="52"/>
        <v>0</v>
      </c>
      <c r="U148" s="6"/>
      <c r="V148" s="6"/>
      <c r="W148" s="6"/>
      <c r="X148" s="256">
        <f t="shared" si="46"/>
        <v>0</v>
      </c>
      <c r="Z148" s="201">
        <f t="shared" si="49"/>
        <v>0</v>
      </c>
      <c r="AA148" s="201">
        <f t="shared" si="53"/>
        <v>0</v>
      </c>
      <c r="AB148" s="202">
        <f t="shared" si="54"/>
        <v>0</v>
      </c>
      <c r="AC148" s="201">
        <f t="shared" si="55"/>
        <v>10421.884210717653</v>
      </c>
      <c r="AD148" s="201">
        <f t="shared" si="56"/>
        <v>0</v>
      </c>
      <c r="AE148" s="201">
        <f t="shared" ref="AE148:AE211" si="63">PMT($F$1/360*30.4,$F$2,-$I$2)+O148+P148</f>
        <v>10421.884210717653</v>
      </c>
      <c r="AF148" s="201">
        <f t="shared" si="57"/>
        <v>0</v>
      </c>
      <c r="AG148" s="201">
        <f t="shared" si="58"/>
        <v>0</v>
      </c>
      <c r="AH148" s="201">
        <f t="shared" ref="AH148:AH211" si="64">PMT($F$1/360*30.4,$F$2-C147,-G148)+O148+P148</f>
        <v>0</v>
      </c>
    </row>
    <row r="149" spans="3:34" x14ac:dyDescent="0.3">
      <c r="C149" s="179">
        <f t="shared" si="50"/>
        <v>132</v>
      </c>
      <c r="D149" s="180">
        <f t="shared" si="59"/>
        <v>30.4</v>
      </c>
      <c r="E149" s="165">
        <f>IF(C149="","",Simulador!$F$62)</f>
        <v>0.11</v>
      </c>
      <c r="F149" s="167"/>
      <c r="G149" s="167">
        <f t="shared" si="60"/>
        <v>0</v>
      </c>
      <c r="H149" s="166"/>
      <c r="I149" s="167">
        <f t="shared" si="47"/>
        <v>0</v>
      </c>
      <c r="J149" s="167">
        <f t="shared" si="48"/>
        <v>0</v>
      </c>
      <c r="K149" s="172">
        <f t="shared" si="51"/>
        <v>0</v>
      </c>
      <c r="L149" s="167">
        <f t="shared" si="45"/>
        <v>0</v>
      </c>
      <c r="M149" s="167">
        <f t="shared" si="61"/>
        <v>0</v>
      </c>
      <c r="N149" s="167">
        <f>IF(C149="","",IF(G149=0,0,IF(Simulador!$F$11='Tabla Parámetros'!$W$1,'Tabla Parámetros'!$W$28,IF(Simulador!$F$11='Tabla Parámetros'!$Y$1,'Tabla Parámetros'!$Y$12))))</f>
        <v>0</v>
      </c>
      <c r="O149" s="167"/>
      <c r="P149" s="167">
        <f>Simulador!O523</f>
        <v>0</v>
      </c>
      <c r="Q149" s="167">
        <f t="shared" si="62"/>
        <v>0</v>
      </c>
      <c r="R149" s="167">
        <f t="shared" si="52"/>
        <v>0</v>
      </c>
      <c r="U149" s="6"/>
      <c r="V149" s="6"/>
      <c r="W149" s="6"/>
      <c r="X149" s="256">
        <f t="shared" si="46"/>
        <v>0</v>
      </c>
      <c r="Z149" s="201">
        <f t="shared" si="49"/>
        <v>0</v>
      </c>
      <c r="AA149" s="201">
        <f t="shared" si="53"/>
        <v>0</v>
      </c>
      <c r="AB149" s="202">
        <f t="shared" si="54"/>
        <v>0</v>
      </c>
      <c r="AC149" s="201">
        <f t="shared" si="55"/>
        <v>10421.884210717653</v>
      </c>
      <c r="AD149" s="201">
        <f t="shared" si="56"/>
        <v>0</v>
      </c>
      <c r="AE149" s="201">
        <f t="shared" si="63"/>
        <v>10421.884210717653</v>
      </c>
      <c r="AF149" s="201">
        <f t="shared" si="57"/>
        <v>0</v>
      </c>
      <c r="AG149" s="201">
        <f t="shared" si="58"/>
        <v>0</v>
      </c>
      <c r="AH149" s="201">
        <f t="shared" si="64"/>
        <v>0</v>
      </c>
    </row>
    <row r="150" spans="3:34" x14ac:dyDescent="0.3">
      <c r="C150" s="181">
        <f t="shared" si="50"/>
        <v>133</v>
      </c>
      <c r="D150" s="180">
        <f t="shared" si="59"/>
        <v>30.4</v>
      </c>
      <c r="E150" s="165">
        <f>IF(C150="","",Simulador!$F$62)</f>
        <v>0.11</v>
      </c>
      <c r="F150" s="167"/>
      <c r="G150" s="167">
        <f t="shared" si="60"/>
        <v>0</v>
      </c>
      <c r="H150" s="166"/>
      <c r="I150" s="167">
        <f t="shared" si="47"/>
        <v>0</v>
      </c>
      <c r="J150" s="167">
        <f t="shared" si="48"/>
        <v>0</v>
      </c>
      <c r="K150" s="172">
        <f t="shared" si="51"/>
        <v>0</v>
      </c>
      <c r="L150" s="167">
        <f t="shared" si="45"/>
        <v>0</v>
      </c>
      <c r="M150" s="167">
        <f t="shared" si="61"/>
        <v>0</v>
      </c>
      <c r="N150" s="167">
        <f>IF(C150="","",IF(G150=0,0,IF(Simulador!$F$11='Tabla Parámetros'!$W$1,'Tabla Parámetros'!$W$28,IF(Simulador!$F$11='Tabla Parámetros'!$Y$1,'Tabla Parámetros'!$Y$12))))</f>
        <v>0</v>
      </c>
      <c r="O150" s="167"/>
      <c r="P150" s="167">
        <f>Simulador!O524</f>
        <v>0</v>
      </c>
      <c r="Q150" s="167">
        <f t="shared" si="62"/>
        <v>0</v>
      </c>
      <c r="R150" s="167">
        <f t="shared" si="52"/>
        <v>0</v>
      </c>
      <c r="U150" s="6"/>
      <c r="V150" s="6"/>
      <c r="W150" s="6"/>
      <c r="X150" s="256">
        <f t="shared" si="46"/>
        <v>0</v>
      </c>
      <c r="Z150" s="201">
        <f t="shared" si="49"/>
        <v>0</v>
      </c>
      <c r="AA150" s="201">
        <f t="shared" si="53"/>
        <v>0</v>
      </c>
      <c r="AB150" s="202">
        <f t="shared" si="54"/>
        <v>0</v>
      </c>
      <c r="AC150" s="201">
        <f t="shared" si="55"/>
        <v>10421.884210717653</v>
      </c>
      <c r="AD150" s="201">
        <f t="shared" si="56"/>
        <v>0</v>
      </c>
      <c r="AE150" s="201">
        <f t="shared" si="63"/>
        <v>10421.884210717653</v>
      </c>
      <c r="AF150" s="201">
        <f t="shared" si="57"/>
        <v>0</v>
      </c>
      <c r="AG150" s="201">
        <f t="shared" si="58"/>
        <v>0</v>
      </c>
      <c r="AH150" s="201">
        <f t="shared" si="64"/>
        <v>0</v>
      </c>
    </row>
    <row r="151" spans="3:34" x14ac:dyDescent="0.3">
      <c r="C151" s="179">
        <f t="shared" si="50"/>
        <v>134</v>
      </c>
      <c r="D151" s="180">
        <f t="shared" si="59"/>
        <v>30.4</v>
      </c>
      <c r="E151" s="165">
        <f>IF(C151="","",Simulador!$F$62)</f>
        <v>0.11</v>
      </c>
      <c r="F151" s="167"/>
      <c r="G151" s="167">
        <f t="shared" si="60"/>
        <v>0</v>
      </c>
      <c r="H151" s="166"/>
      <c r="I151" s="167">
        <f t="shared" si="47"/>
        <v>0</v>
      </c>
      <c r="J151" s="167">
        <f t="shared" si="48"/>
        <v>0</v>
      </c>
      <c r="K151" s="172">
        <f t="shared" si="51"/>
        <v>0</v>
      </c>
      <c r="L151" s="167">
        <f t="shared" si="45"/>
        <v>0</v>
      </c>
      <c r="M151" s="167">
        <f t="shared" si="61"/>
        <v>0</v>
      </c>
      <c r="N151" s="167">
        <f>IF(C151="","",IF(G151=0,0,IF(Simulador!$F$11='Tabla Parámetros'!$W$1,'Tabla Parámetros'!$W$28,IF(Simulador!$F$11='Tabla Parámetros'!$Y$1,'Tabla Parámetros'!$Y$12))))</f>
        <v>0</v>
      </c>
      <c r="O151" s="167"/>
      <c r="P151" s="167">
        <f>Simulador!O525</f>
        <v>0</v>
      </c>
      <c r="Q151" s="167">
        <f t="shared" si="62"/>
        <v>0</v>
      </c>
      <c r="R151" s="167">
        <f t="shared" si="52"/>
        <v>0</v>
      </c>
      <c r="U151" s="6"/>
      <c r="V151" s="6"/>
      <c r="W151" s="6"/>
      <c r="X151" s="256">
        <f t="shared" si="46"/>
        <v>0</v>
      </c>
      <c r="Z151" s="201">
        <f t="shared" si="49"/>
        <v>0</v>
      </c>
      <c r="AA151" s="201">
        <f t="shared" si="53"/>
        <v>0</v>
      </c>
      <c r="AB151" s="202">
        <f t="shared" si="54"/>
        <v>0</v>
      </c>
      <c r="AC151" s="201">
        <f t="shared" si="55"/>
        <v>10421.884210717653</v>
      </c>
      <c r="AD151" s="201">
        <f t="shared" si="56"/>
        <v>0</v>
      </c>
      <c r="AE151" s="201">
        <f t="shared" si="63"/>
        <v>10421.884210717653</v>
      </c>
      <c r="AF151" s="201">
        <f t="shared" si="57"/>
        <v>0</v>
      </c>
      <c r="AG151" s="201">
        <f t="shared" si="58"/>
        <v>0</v>
      </c>
      <c r="AH151" s="201">
        <f t="shared" si="64"/>
        <v>0</v>
      </c>
    </row>
    <row r="152" spans="3:34" x14ac:dyDescent="0.3">
      <c r="C152" s="179">
        <f t="shared" si="50"/>
        <v>135</v>
      </c>
      <c r="D152" s="180">
        <f t="shared" si="59"/>
        <v>30.4</v>
      </c>
      <c r="E152" s="165">
        <f>IF(C152="","",Simulador!$F$62)</f>
        <v>0.11</v>
      </c>
      <c r="F152" s="167"/>
      <c r="G152" s="167">
        <f t="shared" si="60"/>
        <v>0</v>
      </c>
      <c r="H152" s="166"/>
      <c r="I152" s="167">
        <f t="shared" si="47"/>
        <v>0</v>
      </c>
      <c r="J152" s="167">
        <f t="shared" si="48"/>
        <v>0</v>
      </c>
      <c r="K152" s="172">
        <f t="shared" si="51"/>
        <v>0</v>
      </c>
      <c r="L152" s="167">
        <f t="shared" si="45"/>
        <v>0</v>
      </c>
      <c r="M152" s="167">
        <f t="shared" si="61"/>
        <v>0</v>
      </c>
      <c r="N152" s="167">
        <f>IF(C152="","",IF(G152=0,0,IF(Simulador!$F$11='Tabla Parámetros'!$W$1,'Tabla Parámetros'!$W$28,IF(Simulador!$F$11='Tabla Parámetros'!$Y$1,'Tabla Parámetros'!$Y$12))))</f>
        <v>0</v>
      </c>
      <c r="O152" s="167"/>
      <c r="P152" s="167">
        <f>Simulador!O526</f>
        <v>0</v>
      </c>
      <c r="Q152" s="167">
        <f t="shared" si="62"/>
        <v>0</v>
      </c>
      <c r="R152" s="167">
        <f t="shared" si="52"/>
        <v>0</v>
      </c>
      <c r="U152" s="6"/>
      <c r="V152" s="6"/>
      <c r="W152" s="6"/>
      <c r="X152" s="256">
        <f t="shared" si="46"/>
        <v>0</v>
      </c>
      <c r="Z152" s="201">
        <f t="shared" si="49"/>
        <v>0</v>
      </c>
      <c r="AA152" s="201">
        <f t="shared" si="53"/>
        <v>0</v>
      </c>
      <c r="AB152" s="202">
        <f t="shared" si="54"/>
        <v>0</v>
      </c>
      <c r="AC152" s="201">
        <f t="shared" si="55"/>
        <v>10421.884210717653</v>
      </c>
      <c r="AD152" s="201">
        <f t="shared" si="56"/>
        <v>0</v>
      </c>
      <c r="AE152" s="201">
        <f t="shared" si="63"/>
        <v>10421.884210717653</v>
      </c>
      <c r="AF152" s="201">
        <f t="shared" si="57"/>
        <v>0</v>
      </c>
      <c r="AG152" s="201">
        <f t="shared" si="58"/>
        <v>0</v>
      </c>
      <c r="AH152" s="201">
        <f t="shared" si="64"/>
        <v>0</v>
      </c>
    </row>
    <row r="153" spans="3:34" x14ac:dyDescent="0.3">
      <c r="C153" s="179">
        <f t="shared" si="50"/>
        <v>136</v>
      </c>
      <c r="D153" s="180">
        <f t="shared" si="59"/>
        <v>30.4</v>
      </c>
      <c r="E153" s="165">
        <f>IF(C153="","",Simulador!$F$62)</f>
        <v>0.11</v>
      </c>
      <c r="F153" s="167"/>
      <c r="G153" s="167">
        <f t="shared" si="60"/>
        <v>0</v>
      </c>
      <c r="H153" s="166"/>
      <c r="I153" s="167">
        <f t="shared" si="47"/>
        <v>0</v>
      </c>
      <c r="J153" s="167">
        <f t="shared" si="48"/>
        <v>0</v>
      </c>
      <c r="K153" s="172">
        <f t="shared" si="51"/>
        <v>0</v>
      </c>
      <c r="L153" s="167">
        <f t="shared" si="45"/>
        <v>0</v>
      </c>
      <c r="M153" s="167">
        <f t="shared" si="61"/>
        <v>0</v>
      </c>
      <c r="N153" s="167">
        <f>IF(C153="","",IF(G153=0,0,IF(Simulador!$F$11='Tabla Parámetros'!$W$1,'Tabla Parámetros'!$W$28,IF(Simulador!$F$11='Tabla Parámetros'!$Y$1,'Tabla Parámetros'!$Y$12))))</f>
        <v>0</v>
      </c>
      <c r="O153" s="167"/>
      <c r="P153" s="167">
        <f>Simulador!O527</f>
        <v>0</v>
      </c>
      <c r="Q153" s="167">
        <f t="shared" si="62"/>
        <v>0</v>
      </c>
      <c r="R153" s="167">
        <f t="shared" si="52"/>
        <v>0</v>
      </c>
      <c r="U153" s="6"/>
      <c r="V153" s="6"/>
      <c r="W153" s="6"/>
      <c r="X153" s="256">
        <f t="shared" si="46"/>
        <v>0</v>
      </c>
      <c r="Z153" s="201">
        <f t="shared" si="49"/>
        <v>0</v>
      </c>
      <c r="AA153" s="201">
        <f t="shared" si="53"/>
        <v>0</v>
      </c>
      <c r="AB153" s="202">
        <f t="shared" si="54"/>
        <v>0</v>
      </c>
      <c r="AC153" s="201">
        <f t="shared" si="55"/>
        <v>10421.884210717653</v>
      </c>
      <c r="AD153" s="201">
        <f t="shared" si="56"/>
        <v>0</v>
      </c>
      <c r="AE153" s="201">
        <f t="shared" si="63"/>
        <v>10421.884210717653</v>
      </c>
      <c r="AF153" s="201">
        <f t="shared" si="57"/>
        <v>0</v>
      </c>
      <c r="AG153" s="201">
        <f t="shared" si="58"/>
        <v>0</v>
      </c>
      <c r="AH153" s="201">
        <f t="shared" si="64"/>
        <v>0</v>
      </c>
    </row>
    <row r="154" spans="3:34" x14ac:dyDescent="0.3">
      <c r="C154" s="181">
        <f t="shared" si="50"/>
        <v>137</v>
      </c>
      <c r="D154" s="180">
        <f t="shared" si="59"/>
        <v>30.4</v>
      </c>
      <c r="E154" s="165">
        <f>IF(C154="","",Simulador!$F$62)</f>
        <v>0.11</v>
      </c>
      <c r="F154" s="167"/>
      <c r="G154" s="167">
        <f t="shared" si="60"/>
        <v>0</v>
      </c>
      <c r="H154" s="166"/>
      <c r="I154" s="167">
        <f t="shared" si="47"/>
        <v>0</v>
      </c>
      <c r="J154" s="167">
        <f t="shared" si="48"/>
        <v>0</v>
      </c>
      <c r="K154" s="172">
        <f t="shared" si="51"/>
        <v>0</v>
      </c>
      <c r="L154" s="167">
        <f t="shared" si="45"/>
        <v>0</v>
      </c>
      <c r="M154" s="167">
        <f t="shared" si="61"/>
        <v>0</v>
      </c>
      <c r="N154" s="167">
        <f>IF(C154="","",IF(G154=0,0,IF(Simulador!$F$11='Tabla Parámetros'!$W$1,'Tabla Parámetros'!$W$28,IF(Simulador!$F$11='Tabla Parámetros'!$Y$1,'Tabla Parámetros'!$Y$12))))</f>
        <v>0</v>
      </c>
      <c r="O154" s="167"/>
      <c r="P154" s="167">
        <f>Simulador!O528</f>
        <v>0</v>
      </c>
      <c r="Q154" s="167">
        <f t="shared" si="62"/>
        <v>0</v>
      </c>
      <c r="R154" s="167">
        <f t="shared" si="52"/>
        <v>0</v>
      </c>
      <c r="U154" s="6"/>
      <c r="V154" s="6"/>
      <c r="W154" s="6"/>
      <c r="X154" s="256">
        <f t="shared" si="46"/>
        <v>0</v>
      </c>
      <c r="Z154" s="201">
        <f t="shared" si="49"/>
        <v>0</v>
      </c>
      <c r="AA154" s="201">
        <f t="shared" si="53"/>
        <v>0</v>
      </c>
      <c r="AB154" s="202">
        <f t="shared" si="54"/>
        <v>0</v>
      </c>
      <c r="AC154" s="201">
        <f t="shared" si="55"/>
        <v>10421.884210717653</v>
      </c>
      <c r="AD154" s="201">
        <f t="shared" si="56"/>
        <v>0</v>
      </c>
      <c r="AE154" s="201">
        <f t="shared" si="63"/>
        <v>10421.884210717653</v>
      </c>
      <c r="AF154" s="201">
        <f t="shared" si="57"/>
        <v>0</v>
      </c>
      <c r="AG154" s="201">
        <f t="shared" si="58"/>
        <v>0</v>
      </c>
      <c r="AH154" s="201">
        <f t="shared" si="64"/>
        <v>0</v>
      </c>
    </row>
    <row r="155" spans="3:34" x14ac:dyDescent="0.3">
      <c r="C155" s="179">
        <f t="shared" si="50"/>
        <v>138</v>
      </c>
      <c r="D155" s="180">
        <f t="shared" si="59"/>
        <v>30.4</v>
      </c>
      <c r="E155" s="165">
        <f>IF(C155="","",Simulador!$F$62)</f>
        <v>0.11</v>
      </c>
      <c r="F155" s="167"/>
      <c r="G155" s="167">
        <f t="shared" si="60"/>
        <v>0</v>
      </c>
      <c r="H155" s="166"/>
      <c r="I155" s="167">
        <f t="shared" si="47"/>
        <v>0</v>
      </c>
      <c r="J155" s="167">
        <f t="shared" si="48"/>
        <v>0</v>
      </c>
      <c r="K155" s="172">
        <f t="shared" si="51"/>
        <v>0</v>
      </c>
      <c r="L155" s="167">
        <f t="shared" si="45"/>
        <v>0</v>
      </c>
      <c r="M155" s="167">
        <f t="shared" si="61"/>
        <v>0</v>
      </c>
      <c r="N155" s="167">
        <f>IF(C155="","",IF(G155=0,0,IF(Simulador!$F$11='Tabla Parámetros'!$W$1,'Tabla Parámetros'!$W$28,IF(Simulador!$F$11='Tabla Parámetros'!$Y$1,'Tabla Parámetros'!$Y$12))))</f>
        <v>0</v>
      </c>
      <c r="O155" s="167"/>
      <c r="P155" s="167">
        <f>Simulador!O529</f>
        <v>0</v>
      </c>
      <c r="Q155" s="167">
        <f t="shared" si="62"/>
        <v>0</v>
      </c>
      <c r="R155" s="167">
        <f t="shared" si="52"/>
        <v>0</v>
      </c>
      <c r="U155" s="6"/>
      <c r="V155" s="6"/>
      <c r="W155" s="6"/>
      <c r="X155" s="256">
        <f t="shared" si="46"/>
        <v>0</v>
      </c>
      <c r="Z155" s="201">
        <f t="shared" si="49"/>
        <v>0</v>
      </c>
      <c r="AA155" s="201">
        <f t="shared" si="53"/>
        <v>0</v>
      </c>
      <c r="AB155" s="202">
        <f t="shared" si="54"/>
        <v>0</v>
      </c>
      <c r="AC155" s="201">
        <f t="shared" si="55"/>
        <v>10421.884210717653</v>
      </c>
      <c r="AD155" s="201">
        <f t="shared" si="56"/>
        <v>0</v>
      </c>
      <c r="AE155" s="201">
        <f t="shared" si="63"/>
        <v>10421.884210717653</v>
      </c>
      <c r="AF155" s="201">
        <f t="shared" si="57"/>
        <v>0</v>
      </c>
      <c r="AG155" s="201">
        <f t="shared" si="58"/>
        <v>0</v>
      </c>
      <c r="AH155" s="201">
        <f t="shared" si="64"/>
        <v>0</v>
      </c>
    </row>
    <row r="156" spans="3:34" x14ac:dyDescent="0.3">
      <c r="C156" s="179">
        <f t="shared" si="50"/>
        <v>139</v>
      </c>
      <c r="D156" s="180">
        <f t="shared" si="59"/>
        <v>30.4</v>
      </c>
      <c r="E156" s="165">
        <f>IF(C156="","",Simulador!$F$62)</f>
        <v>0.11</v>
      </c>
      <c r="F156" s="167"/>
      <c r="G156" s="167">
        <f t="shared" si="60"/>
        <v>0</v>
      </c>
      <c r="H156" s="166"/>
      <c r="I156" s="167">
        <f t="shared" si="47"/>
        <v>0</v>
      </c>
      <c r="J156" s="167">
        <f t="shared" si="48"/>
        <v>0</v>
      </c>
      <c r="K156" s="172">
        <f t="shared" si="51"/>
        <v>0</v>
      </c>
      <c r="L156" s="167">
        <f t="shared" si="45"/>
        <v>0</v>
      </c>
      <c r="M156" s="167">
        <f t="shared" si="61"/>
        <v>0</v>
      </c>
      <c r="N156" s="167">
        <f>IF(C156="","",IF(G156=0,0,IF(Simulador!$F$11='Tabla Parámetros'!$W$1,'Tabla Parámetros'!$W$28,IF(Simulador!$F$11='Tabla Parámetros'!$Y$1,'Tabla Parámetros'!$Y$12))))</f>
        <v>0</v>
      </c>
      <c r="O156" s="167"/>
      <c r="P156" s="167">
        <f>Simulador!O530</f>
        <v>0</v>
      </c>
      <c r="Q156" s="167">
        <f t="shared" si="62"/>
        <v>0</v>
      </c>
      <c r="R156" s="167">
        <f t="shared" si="52"/>
        <v>0</v>
      </c>
      <c r="U156" s="6"/>
      <c r="V156" s="6"/>
      <c r="W156" s="6"/>
      <c r="X156" s="256">
        <f t="shared" si="46"/>
        <v>0</v>
      </c>
      <c r="Z156" s="201">
        <f t="shared" si="49"/>
        <v>0</v>
      </c>
      <c r="AA156" s="201">
        <f t="shared" si="53"/>
        <v>0</v>
      </c>
      <c r="AB156" s="202">
        <f t="shared" si="54"/>
        <v>0</v>
      </c>
      <c r="AC156" s="201">
        <f t="shared" si="55"/>
        <v>10421.884210717653</v>
      </c>
      <c r="AD156" s="201">
        <f t="shared" si="56"/>
        <v>0</v>
      </c>
      <c r="AE156" s="201">
        <f t="shared" si="63"/>
        <v>10421.884210717653</v>
      </c>
      <c r="AF156" s="201">
        <f t="shared" si="57"/>
        <v>0</v>
      </c>
      <c r="AG156" s="201">
        <f t="shared" si="58"/>
        <v>0</v>
      </c>
      <c r="AH156" s="201">
        <f t="shared" si="64"/>
        <v>0</v>
      </c>
    </row>
    <row r="157" spans="3:34" x14ac:dyDescent="0.3">
      <c r="C157" s="179">
        <f t="shared" si="50"/>
        <v>140</v>
      </c>
      <c r="D157" s="180">
        <f t="shared" si="59"/>
        <v>30.4</v>
      </c>
      <c r="E157" s="165">
        <f>IF(C157="","",Simulador!$F$62)</f>
        <v>0.11</v>
      </c>
      <c r="F157" s="167"/>
      <c r="G157" s="167">
        <f t="shared" si="60"/>
        <v>0</v>
      </c>
      <c r="H157" s="166"/>
      <c r="I157" s="167">
        <f t="shared" si="47"/>
        <v>0</v>
      </c>
      <c r="J157" s="167">
        <f t="shared" si="48"/>
        <v>0</v>
      </c>
      <c r="K157" s="172">
        <f t="shared" si="51"/>
        <v>0</v>
      </c>
      <c r="L157" s="167">
        <f t="shared" si="45"/>
        <v>0</v>
      </c>
      <c r="M157" s="167">
        <f t="shared" si="61"/>
        <v>0</v>
      </c>
      <c r="N157" s="167">
        <f>IF(C157="","",IF(G157=0,0,IF(Simulador!$F$11='Tabla Parámetros'!$W$1,'Tabla Parámetros'!$W$28,IF(Simulador!$F$11='Tabla Parámetros'!$Y$1,'Tabla Parámetros'!$Y$12))))</f>
        <v>0</v>
      </c>
      <c r="O157" s="167"/>
      <c r="P157" s="167">
        <f>Simulador!O531</f>
        <v>0</v>
      </c>
      <c r="Q157" s="167">
        <f t="shared" si="62"/>
        <v>0</v>
      </c>
      <c r="R157" s="167">
        <f t="shared" si="52"/>
        <v>0</v>
      </c>
      <c r="U157" s="6"/>
      <c r="V157" s="6"/>
      <c r="W157" s="6"/>
      <c r="X157" s="256">
        <f t="shared" si="46"/>
        <v>0</v>
      </c>
      <c r="Z157" s="201">
        <f t="shared" si="49"/>
        <v>0</v>
      </c>
      <c r="AA157" s="201">
        <f t="shared" si="53"/>
        <v>0</v>
      </c>
      <c r="AB157" s="202">
        <f t="shared" si="54"/>
        <v>0</v>
      </c>
      <c r="AC157" s="201">
        <f t="shared" si="55"/>
        <v>10421.884210717653</v>
      </c>
      <c r="AD157" s="201">
        <f t="shared" si="56"/>
        <v>0</v>
      </c>
      <c r="AE157" s="201">
        <f t="shared" si="63"/>
        <v>10421.884210717653</v>
      </c>
      <c r="AF157" s="201">
        <f t="shared" si="57"/>
        <v>0</v>
      </c>
      <c r="AG157" s="201">
        <f t="shared" si="58"/>
        <v>0</v>
      </c>
      <c r="AH157" s="201">
        <f t="shared" si="64"/>
        <v>0</v>
      </c>
    </row>
    <row r="158" spans="3:34" x14ac:dyDescent="0.3">
      <c r="C158" s="181">
        <f t="shared" si="50"/>
        <v>141</v>
      </c>
      <c r="D158" s="180">
        <f t="shared" si="59"/>
        <v>30.4</v>
      </c>
      <c r="E158" s="165">
        <f>IF(C158="","",Simulador!$F$62)</f>
        <v>0.11</v>
      </c>
      <c r="F158" s="167"/>
      <c r="G158" s="167">
        <f t="shared" si="60"/>
        <v>0</v>
      </c>
      <c r="H158" s="166"/>
      <c r="I158" s="167">
        <f t="shared" si="47"/>
        <v>0</v>
      </c>
      <c r="J158" s="167">
        <f t="shared" si="48"/>
        <v>0</v>
      </c>
      <c r="K158" s="172">
        <f t="shared" si="51"/>
        <v>0</v>
      </c>
      <c r="L158" s="167">
        <f t="shared" si="45"/>
        <v>0</v>
      </c>
      <c r="M158" s="167">
        <f t="shared" si="61"/>
        <v>0</v>
      </c>
      <c r="N158" s="167">
        <f>IF(C158="","",IF(G158=0,0,IF(Simulador!$F$11='Tabla Parámetros'!$W$1,'Tabla Parámetros'!$W$28,IF(Simulador!$F$11='Tabla Parámetros'!$Y$1,'Tabla Parámetros'!$Y$12))))</f>
        <v>0</v>
      </c>
      <c r="O158" s="167"/>
      <c r="P158" s="167">
        <f>Simulador!O532</f>
        <v>0</v>
      </c>
      <c r="Q158" s="167">
        <f t="shared" si="62"/>
        <v>0</v>
      </c>
      <c r="R158" s="167">
        <f t="shared" si="52"/>
        <v>0</v>
      </c>
      <c r="U158" s="6"/>
      <c r="V158" s="6"/>
      <c r="W158" s="6"/>
      <c r="X158" s="256">
        <f t="shared" si="46"/>
        <v>0</v>
      </c>
      <c r="Z158" s="201">
        <f t="shared" si="49"/>
        <v>0</v>
      </c>
      <c r="AA158" s="201">
        <f t="shared" si="53"/>
        <v>0</v>
      </c>
      <c r="AB158" s="202">
        <f t="shared" si="54"/>
        <v>0</v>
      </c>
      <c r="AC158" s="201">
        <f t="shared" si="55"/>
        <v>10421.884210717653</v>
      </c>
      <c r="AD158" s="201">
        <f t="shared" si="56"/>
        <v>0</v>
      </c>
      <c r="AE158" s="201">
        <f t="shared" si="63"/>
        <v>10421.884210717653</v>
      </c>
      <c r="AF158" s="201">
        <f t="shared" si="57"/>
        <v>0</v>
      </c>
      <c r="AG158" s="201">
        <f t="shared" si="58"/>
        <v>0</v>
      </c>
      <c r="AH158" s="201">
        <f t="shared" si="64"/>
        <v>0</v>
      </c>
    </row>
    <row r="159" spans="3:34" x14ac:dyDescent="0.3">
      <c r="C159" s="179">
        <f t="shared" si="50"/>
        <v>142</v>
      </c>
      <c r="D159" s="180">
        <f t="shared" si="59"/>
        <v>30.4</v>
      </c>
      <c r="E159" s="165">
        <f>IF(C159="","",Simulador!$F$62)</f>
        <v>0.11</v>
      </c>
      <c r="F159" s="167"/>
      <c r="G159" s="167">
        <f t="shared" si="60"/>
        <v>0</v>
      </c>
      <c r="H159" s="166"/>
      <c r="I159" s="167">
        <f t="shared" si="47"/>
        <v>0</v>
      </c>
      <c r="J159" s="167">
        <f t="shared" si="48"/>
        <v>0</v>
      </c>
      <c r="K159" s="172">
        <f t="shared" si="51"/>
        <v>0</v>
      </c>
      <c r="L159" s="167">
        <f t="shared" si="45"/>
        <v>0</v>
      </c>
      <c r="M159" s="167">
        <f t="shared" si="61"/>
        <v>0</v>
      </c>
      <c r="N159" s="167">
        <f>IF(C159="","",IF(G159=0,0,IF(Simulador!$F$11='Tabla Parámetros'!$W$1,'Tabla Parámetros'!$W$28,IF(Simulador!$F$11='Tabla Parámetros'!$Y$1,'Tabla Parámetros'!$Y$12))))</f>
        <v>0</v>
      </c>
      <c r="O159" s="167"/>
      <c r="P159" s="167">
        <f>Simulador!O533</f>
        <v>0</v>
      </c>
      <c r="Q159" s="167">
        <f t="shared" si="62"/>
        <v>0</v>
      </c>
      <c r="R159" s="167">
        <f t="shared" si="52"/>
        <v>0</v>
      </c>
      <c r="U159" s="6"/>
      <c r="V159" s="6"/>
      <c r="W159" s="6"/>
      <c r="X159" s="256">
        <f t="shared" si="46"/>
        <v>0</v>
      </c>
      <c r="Z159" s="201">
        <f t="shared" si="49"/>
        <v>0</v>
      </c>
      <c r="AA159" s="201">
        <f t="shared" si="53"/>
        <v>0</v>
      </c>
      <c r="AB159" s="202">
        <f t="shared" si="54"/>
        <v>0</v>
      </c>
      <c r="AC159" s="201">
        <f t="shared" si="55"/>
        <v>10421.884210717653</v>
      </c>
      <c r="AD159" s="201">
        <f t="shared" si="56"/>
        <v>0</v>
      </c>
      <c r="AE159" s="201">
        <f t="shared" si="63"/>
        <v>10421.884210717653</v>
      </c>
      <c r="AF159" s="201">
        <f t="shared" si="57"/>
        <v>0</v>
      </c>
      <c r="AG159" s="201">
        <f t="shared" si="58"/>
        <v>0</v>
      </c>
      <c r="AH159" s="201">
        <f t="shared" si="64"/>
        <v>0</v>
      </c>
    </row>
    <row r="160" spans="3:34" x14ac:dyDescent="0.3">
      <c r="C160" s="179">
        <f t="shared" si="50"/>
        <v>143</v>
      </c>
      <c r="D160" s="180">
        <f t="shared" si="59"/>
        <v>30.4</v>
      </c>
      <c r="E160" s="165">
        <f>IF(C160="","",Simulador!$F$62)</f>
        <v>0.11</v>
      </c>
      <c r="F160" s="167"/>
      <c r="G160" s="167">
        <f t="shared" si="60"/>
        <v>0</v>
      </c>
      <c r="H160" s="166"/>
      <c r="I160" s="167">
        <f t="shared" si="47"/>
        <v>0</v>
      </c>
      <c r="J160" s="167">
        <f t="shared" si="48"/>
        <v>0</v>
      </c>
      <c r="K160" s="172">
        <f t="shared" si="51"/>
        <v>0</v>
      </c>
      <c r="L160" s="167">
        <f t="shared" si="45"/>
        <v>0</v>
      </c>
      <c r="M160" s="167">
        <f t="shared" si="61"/>
        <v>0</v>
      </c>
      <c r="N160" s="167">
        <f>IF(C160="","",IF(G160=0,0,IF(Simulador!$F$11='Tabla Parámetros'!$W$1,'Tabla Parámetros'!$W$28,IF(Simulador!$F$11='Tabla Parámetros'!$Y$1,'Tabla Parámetros'!$Y$12))))</f>
        <v>0</v>
      </c>
      <c r="O160" s="167"/>
      <c r="P160" s="167">
        <f>Simulador!O534</f>
        <v>0</v>
      </c>
      <c r="Q160" s="167">
        <f t="shared" si="62"/>
        <v>0</v>
      </c>
      <c r="R160" s="167">
        <f t="shared" si="52"/>
        <v>0</v>
      </c>
      <c r="U160" s="6"/>
      <c r="V160" s="6"/>
      <c r="W160" s="6"/>
      <c r="X160" s="256">
        <f t="shared" si="46"/>
        <v>0</v>
      </c>
      <c r="Z160" s="201">
        <f t="shared" si="49"/>
        <v>0</v>
      </c>
      <c r="AA160" s="201">
        <f t="shared" si="53"/>
        <v>0</v>
      </c>
      <c r="AB160" s="202">
        <f t="shared" si="54"/>
        <v>0</v>
      </c>
      <c r="AC160" s="201">
        <f t="shared" si="55"/>
        <v>10421.884210717653</v>
      </c>
      <c r="AD160" s="201">
        <f t="shared" si="56"/>
        <v>0</v>
      </c>
      <c r="AE160" s="201">
        <f t="shared" si="63"/>
        <v>10421.884210717653</v>
      </c>
      <c r="AF160" s="201">
        <f t="shared" si="57"/>
        <v>0</v>
      </c>
      <c r="AG160" s="201">
        <f t="shared" si="58"/>
        <v>0</v>
      </c>
      <c r="AH160" s="201">
        <f t="shared" si="64"/>
        <v>0</v>
      </c>
    </row>
    <row r="161" spans="3:34" x14ac:dyDescent="0.3">
      <c r="C161" s="179">
        <f t="shared" si="50"/>
        <v>144</v>
      </c>
      <c r="D161" s="180">
        <f t="shared" si="59"/>
        <v>30.4</v>
      </c>
      <c r="E161" s="165">
        <f>IF(C161="","",Simulador!$F$62)</f>
        <v>0.11</v>
      </c>
      <c r="F161" s="167"/>
      <c r="G161" s="167">
        <f t="shared" si="60"/>
        <v>0</v>
      </c>
      <c r="H161" s="166"/>
      <c r="I161" s="167">
        <f t="shared" si="47"/>
        <v>0</v>
      </c>
      <c r="J161" s="167">
        <f t="shared" si="48"/>
        <v>0</v>
      </c>
      <c r="K161" s="172">
        <f t="shared" si="51"/>
        <v>0</v>
      </c>
      <c r="L161" s="167">
        <f t="shared" si="45"/>
        <v>0</v>
      </c>
      <c r="M161" s="167">
        <f t="shared" si="61"/>
        <v>0</v>
      </c>
      <c r="N161" s="167">
        <f>IF(C161="","",IF(G161=0,0,IF(Simulador!$F$11='Tabla Parámetros'!$W$1,'Tabla Parámetros'!$W$28,IF(Simulador!$F$11='Tabla Parámetros'!$Y$1,'Tabla Parámetros'!$Y$12))))</f>
        <v>0</v>
      </c>
      <c r="O161" s="167"/>
      <c r="P161" s="167">
        <f>Simulador!O535</f>
        <v>0</v>
      </c>
      <c r="Q161" s="167">
        <f t="shared" si="62"/>
        <v>0</v>
      </c>
      <c r="R161" s="167">
        <f t="shared" si="52"/>
        <v>0</v>
      </c>
      <c r="U161" s="6"/>
      <c r="V161" s="6"/>
      <c r="W161" s="6"/>
      <c r="X161" s="256">
        <f t="shared" si="46"/>
        <v>0</v>
      </c>
      <c r="Z161" s="201">
        <f t="shared" si="49"/>
        <v>0</v>
      </c>
      <c r="AA161" s="201">
        <f t="shared" si="53"/>
        <v>0</v>
      </c>
      <c r="AB161" s="202">
        <f t="shared" si="54"/>
        <v>0</v>
      </c>
      <c r="AC161" s="201">
        <f t="shared" si="55"/>
        <v>10421.884210717653</v>
      </c>
      <c r="AD161" s="201">
        <f t="shared" si="56"/>
        <v>0</v>
      </c>
      <c r="AE161" s="201">
        <f t="shared" si="63"/>
        <v>10421.884210717653</v>
      </c>
      <c r="AF161" s="201">
        <f t="shared" si="57"/>
        <v>0</v>
      </c>
      <c r="AG161" s="201">
        <f t="shared" si="58"/>
        <v>0</v>
      </c>
      <c r="AH161" s="201">
        <f t="shared" si="64"/>
        <v>0</v>
      </c>
    </row>
    <row r="162" spans="3:34" x14ac:dyDescent="0.3">
      <c r="C162" s="181">
        <f t="shared" si="50"/>
        <v>145</v>
      </c>
      <c r="D162" s="180">
        <f t="shared" si="59"/>
        <v>30.4</v>
      </c>
      <c r="E162" s="165">
        <f>IF(C162="","",Simulador!$F$62)</f>
        <v>0.11</v>
      </c>
      <c r="F162" s="167"/>
      <c r="G162" s="167">
        <f t="shared" si="60"/>
        <v>0</v>
      </c>
      <c r="H162" s="166"/>
      <c r="I162" s="167">
        <f t="shared" si="47"/>
        <v>0</v>
      </c>
      <c r="J162" s="167">
        <f t="shared" si="48"/>
        <v>0</v>
      </c>
      <c r="K162" s="172">
        <f t="shared" si="51"/>
        <v>0</v>
      </c>
      <c r="L162" s="167">
        <f t="shared" si="45"/>
        <v>0</v>
      </c>
      <c r="M162" s="167">
        <f t="shared" si="61"/>
        <v>0</v>
      </c>
      <c r="N162" s="167">
        <f>IF(C162="","",IF(G162=0,0,IF(Simulador!$F$11='Tabla Parámetros'!$W$1,'Tabla Parámetros'!$W$28,IF(Simulador!$F$11='Tabla Parámetros'!$Y$1,'Tabla Parámetros'!$Y$12))))</f>
        <v>0</v>
      </c>
      <c r="O162" s="167"/>
      <c r="P162" s="167">
        <f>Simulador!O536</f>
        <v>0</v>
      </c>
      <c r="Q162" s="167">
        <f t="shared" si="62"/>
        <v>0</v>
      </c>
      <c r="R162" s="167">
        <f t="shared" si="52"/>
        <v>0</v>
      </c>
      <c r="U162" s="6"/>
      <c r="V162" s="6"/>
      <c r="W162" s="6"/>
      <c r="X162" s="256">
        <f t="shared" si="46"/>
        <v>0</v>
      </c>
      <c r="Z162" s="201">
        <f t="shared" si="49"/>
        <v>0</v>
      </c>
      <c r="AA162" s="201">
        <f t="shared" si="53"/>
        <v>0</v>
      </c>
      <c r="AB162" s="202">
        <f t="shared" si="54"/>
        <v>0</v>
      </c>
      <c r="AC162" s="201">
        <f t="shared" si="55"/>
        <v>10421.884210717653</v>
      </c>
      <c r="AD162" s="201">
        <f t="shared" si="56"/>
        <v>0</v>
      </c>
      <c r="AE162" s="201">
        <f t="shared" si="63"/>
        <v>10421.884210717653</v>
      </c>
      <c r="AF162" s="201">
        <f t="shared" si="57"/>
        <v>0</v>
      </c>
      <c r="AG162" s="201">
        <f t="shared" si="58"/>
        <v>0</v>
      </c>
      <c r="AH162" s="201">
        <f t="shared" si="64"/>
        <v>0</v>
      </c>
    </row>
    <row r="163" spans="3:34" x14ac:dyDescent="0.3">
      <c r="C163" s="179">
        <f t="shared" si="50"/>
        <v>146</v>
      </c>
      <c r="D163" s="180">
        <f t="shared" si="59"/>
        <v>30.4</v>
      </c>
      <c r="E163" s="165">
        <f>IF(C163="","",Simulador!$F$62)</f>
        <v>0.11</v>
      </c>
      <c r="F163" s="167"/>
      <c r="G163" s="167">
        <f t="shared" si="60"/>
        <v>0</v>
      </c>
      <c r="H163" s="166"/>
      <c r="I163" s="167">
        <f t="shared" si="47"/>
        <v>0</v>
      </c>
      <c r="J163" s="167">
        <f t="shared" si="48"/>
        <v>0</v>
      </c>
      <c r="K163" s="172">
        <f t="shared" si="51"/>
        <v>0</v>
      </c>
      <c r="L163" s="167">
        <f t="shared" si="45"/>
        <v>0</v>
      </c>
      <c r="M163" s="167">
        <f t="shared" si="61"/>
        <v>0</v>
      </c>
      <c r="N163" s="167">
        <f>IF(C163="","",IF(G163=0,0,IF(Simulador!$F$11='Tabla Parámetros'!$W$1,'Tabla Parámetros'!$W$28,IF(Simulador!$F$11='Tabla Parámetros'!$Y$1,'Tabla Parámetros'!$Y$12))))</f>
        <v>0</v>
      </c>
      <c r="O163" s="167"/>
      <c r="P163" s="167">
        <f>Simulador!O537</f>
        <v>0</v>
      </c>
      <c r="Q163" s="167">
        <f t="shared" si="62"/>
        <v>0</v>
      </c>
      <c r="R163" s="167">
        <f t="shared" si="52"/>
        <v>0</v>
      </c>
      <c r="U163" s="6"/>
      <c r="V163" s="6"/>
      <c r="W163" s="6"/>
      <c r="X163" s="256">
        <f t="shared" si="46"/>
        <v>0</v>
      </c>
      <c r="Z163" s="201">
        <f t="shared" si="49"/>
        <v>0</v>
      </c>
      <c r="AA163" s="201">
        <f t="shared" si="53"/>
        <v>0</v>
      </c>
      <c r="AB163" s="202">
        <f t="shared" si="54"/>
        <v>0</v>
      </c>
      <c r="AC163" s="201">
        <f t="shared" si="55"/>
        <v>10421.884210717653</v>
      </c>
      <c r="AD163" s="201">
        <f t="shared" si="56"/>
        <v>0</v>
      </c>
      <c r="AE163" s="201">
        <f t="shared" si="63"/>
        <v>10421.884210717653</v>
      </c>
      <c r="AF163" s="201">
        <f t="shared" si="57"/>
        <v>0</v>
      </c>
      <c r="AG163" s="201">
        <f t="shared" si="58"/>
        <v>0</v>
      </c>
      <c r="AH163" s="201">
        <f t="shared" si="64"/>
        <v>0</v>
      </c>
    </row>
    <row r="164" spans="3:34" x14ac:dyDescent="0.3">
      <c r="C164" s="179">
        <f t="shared" si="50"/>
        <v>147</v>
      </c>
      <c r="D164" s="180">
        <f t="shared" si="59"/>
        <v>30.4</v>
      </c>
      <c r="E164" s="165">
        <f>IF(C164="","",Simulador!$F$62)</f>
        <v>0.11</v>
      </c>
      <c r="F164" s="167"/>
      <c r="G164" s="167">
        <f t="shared" si="60"/>
        <v>0</v>
      </c>
      <c r="H164" s="166"/>
      <c r="I164" s="167">
        <f t="shared" si="47"/>
        <v>0</v>
      </c>
      <c r="J164" s="167">
        <f t="shared" si="48"/>
        <v>0</v>
      </c>
      <c r="K164" s="172">
        <f t="shared" si="51"/>
        <v>0</v>
      </c>
      <c r="L164" s="167">
        <f t="shared" si="45"/>
        <v>0</v>
      </c>
      <c r="M164" s="167">
        <f t="shared" si="61"/>
        <v>0</v>
      </c>
      <c r="N164" s="167">
        <f>IF(C164="","",IF(G164=0,0,IF(Simulador!$F$11='Tabla Parámetros'!$W$1,'Tabla Parámetros'!$W$28,IF(Simulador!$F$11='Tabla Parámetros'!$Y$1,'Tabla Parámetros'!$Y$12))))</f>
        <v>0</v>
      </c>
      <c r="O164" s="167"/>
      <c r="P164" s="167">
        <f>Simulador!O538</f>
        <v>0</v>
      </c>
      <c r="Q164" s="167">
        <f t="shared" si="62"/>
        <v>0</v>
      </c>
      <c r="R164" s="167">
        <f t="shared" si="52"/>
        <v>0</v>
      </c>
      <c r="U164" s="6"/>
      <c r="V164" s="6"/>
      <c r="W164" s="6"/>
      <c r="X164" s="256">
        <f t="shared" si="46"/>
        <v>0</v>
      </c>
      <c r="Z164" s="201">
        <f t="shared" si="49"/>
        <v>0</v>
      </c>
      <c r="AA164" s="201">
        <f t="shared" si="53"/>
        <v>0</v>
      </c>
      <c r="AB164" s="202">
        <f t="shared" si="54"/>
        <v>0</v>
      </c>
      <c r="AC164" s="201">
        <f t="shared" si="55"/>
        <v>10421.884210717653</v>
      </c>
      <c r="AD164" s="201">
        <f t="shared" si="56"/>
        <v>0</v>
      </c>
      <c r="AE164" s="201">
        <f t="shared" si="63"/>
        <v>10421.884210717653</v>
      </c>
      <c r="AF164" s="201">
        <f t="shared" si="57"/>
        <v>0</v>
      </c>
      <c r="AG164" s="201">
        <f t="shared" si="58"/>
        <v>0</v>
      </c>
      <c r="AH164" s="201">
        <f t="shared" si="64"/>
        <v>0</v>
      </c>
    </row>
    <row r="165" spans="3:34" x14ac:dyDescent="0.3">
      <c r="C165" s="179">
        <f t="shared" si="50"/>
        <v>148</v>
      </c>
      <c r="D165" s="180">
        <f t="shared" si="59"/>
        <v>30.4</v>
      </c>
      <c r="E165" s="165">
        <f>IF(C165="","",Simulador!$F$62)</f>
        <v>0.11</v>
      </c>
      <c r="F165" s="167"/>
      <c r="G165" s="167">
        <f t="shared" si="60"/>
        <v>0</v>
      </c>
      <c r="H165" s="166"/>
      <c r="I165" s="167">
        <f t="shared" si="47"/>
        <v>0</v>
      </c>
      <c r="J165" s="167">
        <f t="shared" si="48"/>
        <v>0</v>
      </c>
      <c r="K165" s="172">
        <f t="shared" si="51"/>
        <v>0</v>
      </c>
      <c r="L165" s="167">
        <f t="shared" si="45"/>
        <v>0</v>
      </c>
      <c r="M165" s="167">
        <f t="shared" si="61"/>
        <v>0</v>
      </c>
      <c r="N165" s="167">
        <f>IF(C165="","",IF(G165=0,0,IF(Simulador!$F$11='Tabla Parámetros'!$W$1,'Tabla Parámetros'!$W$28,IF(Simulador!$F$11='Tabla Parámetros'!$Y$1,'Tabla Parámetros'!$Y$12))))</f>
        <v>0</v>
      </c>
      <c r="O165" s="167"/>
      <c r="P165" s="167">
        <f>Simulador!O539</f>
        <v>0</v>
      </c>
      <c r="Q165" s="167">
        <f t="shared" si="62"/>
        <v>0</v>
      </c>
      <c r="R165" s="167">
        <f t="shared" si="52"/>
        <v>0</v>
      </c>
      <c r="U165" s="6"/>
      <c r="V165" s="6"/>
      <c r="W165" s="6"/>
      <c r="X165" s="256">
        <f t="shared" si="46"/>
        <v>0</v>
      </c>
      <c r="Z165" s="201">
        <f t="shared" si="49"/>
        <v>0</v>
      </c>
      <c r="AA165" s="201">
        <f t="shared" si="53"/>
        <v>0</v>
      </c>
      <c r="AB165" s="202">
        <f t="shared" si="54"/>
        <v>0</v>
      </c>
      <c r="AC165" s="201">
        <f t="shared" si="55"/>
        <v>10421.884210717653</v>
      </c>
      <c r="AD165" s="201">
        <f t="shared" si="56"/>
        <v>0</v>
      </c>
      <c r="AE165" s="201">
        <f t="shared" si="63"/>
        <v>10421.884210717653</v>
      </c>
      <c r="AF165" s="201">
        <f t="shared" si="57"/>
        <v>0</v>
      </c>
      <c r="AG165" s="201">
        <f t="shared" si="58"/>
        <v>0</v>
      </c>
      <c r="AH165" s="201">
        <f t="shared" si="64"/>
        <v>0</v>
      </c>
    </row>
    <row r="166" spans="3:34" x14ac:dyDescent="0.3">
      <c r="C166" s="181">
        <f t="shared" si="50"/>
        <v>149</v>
      </c>
      <c r="D166" s="180">
        <f t="shared" si="59"/>
        <v>30.4</v>
      </c>
      <c r="E166" s="165">
        <f>IF(C166="","",Simulador!$F$62)</f>
        <v>0.11</v>
      </c>
      <c r="F166" s="167"/>
      <c r="G166" s="167">
        <f t="shared" si="60"/>
        <v>0</v>
      </c>
      <c r="H166" s="166"/>
      <c r="I166" s="167">
        <f t="shared" si="47"/>
        <v>0</v>
      </c>
      <c r="J166" s="167">
        <f t="shared" si="48"/>
        <v>0</v>
      </c>
      <c r="K166" s="172">
        <f t="shared" si="51"/>
        <v>0</v>
      </c>
      <c r="L166" s="167">
        <f t="shared" si="45"/>
        <v>0</v>
      </c>
      <c r="M166" s="167">
        <f t="shared" si="61"/>
        <v>0</v>
      </c>
      <c r="N166" s="167">
        <f>IF(C166="","",IF(G166=0,0,IF(Simulador!$F$11='Tabla Parámetros'!$W$1,'Tabla Parámetros'!$W$28,IF(Simulador!$F$11='Tabla Parámetros'!$Y$1,'Tabla Parámetros'!$Y$12))))</f>
        <v>0</v>
      </c>
      <c r="O166" s="167"/>
      <c r="P166" s="167">
        <f>Simulador!O540</f>
        <v>0</v>
      </c>
      <c r="Q166" s="167">
        <f t="shared" si="62"/>
        <v>0</v>
      </c>
      <c r="R166" s="167">
        <f t="shared" si="52"/>
        <v>0</v>
      </c>
      <c r="U166" s="6"/>
      <c r="V166" s="6"/>
      <c r="W166" s="6"/>
      <c r="X166" s="256">
        <f t="shared" si="46"/>
        <v>0</v>
      </c>
      <c r="Z166" s="201">
        <f t="shared" si="49"/>
        <v>0</v>
      </c>
      <c r="AA166" s="201">
        <f t="shared" si="53"/>
        <v>0</v>
      </c>
      <c r="AB166" s="202">
        <f t="shared" si="54"/>
        <v>0</v>
      </c>
      <c r="AC166" s="201">
        <f t="shared" si="55"/>
        <v>10421.884210717653</v>
      </c>
      <c r="AD166" s="201">
        <f t="shared" si="56"/>
        <v>0</v>
      </c>
      <c r="AE166" s="201">
        <f t="shared" si="63"/>
        <v>10421.884210717653</v>
      </c>
      <c r="AF166" s="201">
        <f t="shared" si="57"/>
        <v>0</v>
      </c>
      <c r="AG166" s="201">
        <f t="shared" si="58"/>
        <v>0</v>
      </c>
      <c r="AH166" s="201">
        <f t="shared" si="64"/>
        <v>0</v>
      </c>
    </row>
    <row r="167" spans="3:34" x14ac:dyDescent="0.3">
      <c r="C167" s="179">
        <f t="shared" si="50"/>
        <v>150</v>
      </c>
      <c r="D167" s="180">
        <f t="shared" si="59"/>
        <v>30.4</v>
      </c>
      <c r="E167" s="165">
        <f>IF(C167="","",Simulador!$F$62)</f>
        <v>0.11</v>
      </c>
      <c r="F167" s="167"/>
      <c r="G167" s="167">
        <f t="shared" si="60"/>
        <v>0</v>
      </c>
      <c r="H167" s="166"/>
      <c r="I167" s="167">
        <f t="shared" si="47"/>
        <v>0</v>
      </c>
      <c r="J167" s="167">
        <f t="shared" si="48"/>
        <v>0</v>
      </c>
      <c r="K167" s="172">
        <f t="shared" si="51"/>
        <v>0</v>
      </c>
      <c r="L167" s="167">
        <f t="shared" si="45"/>
        <v>0</v>
      </c>
      <c r="M167" s="167">
        <f t="shared" si="61"/>
        <v>0</v>
      </c>
      <c r="N167" s="167">
        <f>IF(C167="","",IF(G167=0,0,IF(Simulador!$F$11='Tabla Parámetros'!$W$1,'Tabla Parámetros'!$W$28,IF(Simulador!$F$11='Tabla Parámetros'!$Y$1,'Tabla Parámetros'!$Y$12))))</f>
        <v>0</v>
      </c>
      <c r="O167" s="167"/>
      <c r="P167" s="167">
        <f>Simulador!O541</f>
        <v>0</v>
      </c>
      <c r="Q167" s="167">
        <f t="shared" si="62"/>
        <v>0</v>
      </c>
      <c r="R167" s="167">
        <f t="shared" si="52"/>
        <v>0</v>
      </c>
      <c r="U167" s="6"/>
      <c r="V167" s="6"/>
      <c r="W167" s="6"/>
      <c r="X167" s="256">
        <f t="shared" si="46"/>
        <v>0</v>
      </c>
      <c r="Z167" s="201">
        <f t="shared" si="49"/>
        <v>0</v>
      </c>
      <c r="AA167" s="201">
        <f t="shared" si="53"/>
        <v>0</v>
      </c>
      <c r="AB167" s="202">
        <f t="shared" si="54"/>
        <v>0</v>
      </c>
      <c r="AC167" s="201">
        <f t="shared" si="55"/>
        <v>10421.884210717653</v>
      </c>
      <c r="AD167" s="201">
        <f t="shared" si="56"/>
        <v>0</v>
      </c>
      <c r="AE167" s="201">
        <f t="shared" si="63"/>
        <v>10421.884210717653</v>
      </c>
      <c r="AF167" s="201">
        <f t="shared" si="57"/>
        <v>0</v>
      </c>
      <c r="AG167" s="201">
        <f t="shared" si="58"/>
        <v>0</v>
      </c>
      <c r="AH167" s="201">
        <f t="shared" si="64"/>
        <v>0</v>
      </c>
    </row>
    <row r="168" spans="3:34" x14ac:dyDescent="0.3">
      <c r="C168" s="179">
        <f t="shared" si="50"/>
        <v>151</v>
      </c>
      <c r="D168" s="180">
        <f t="shared" si="59"/>
        <v>30.4</v>
      </c>
      <c r="E168" s="165">
        <f>IF(C168="","",Simulador!$F$62)</f>
        <v>0.11</v>
      </c>
      <c r="F168" s="167"/>
      <c r="G168" s="167">
        <f t="shared" si="60"/>
        <v>0</v>
      </c>
      <c r="H168" s="166"/>
      <c r="I168" s="167">
        <f t="shared" si="47"/>
        <v>0</v>
      </c>
      <c r="J168" s="167">
        <f t="shared" si="48"/>
        <v>0</v>
      </c>
      <c r="K168" s="172">
        <f t="shared" si="51"/>
        <v>0</v>
      </c>
      <c r="L168" s="167">
        <f t="shared" si="45"/>
        <v>0</v>
      </c>
      <c r="M168" s="167">
        <f t="shared" si="61"/>
        <v>0</v>
      </c>
      <c r="N168" s="167">
        <f>IF(C168="","",IF(G168=0,0,IF(Simulador!$F$11='Tabla Parámetros'!$W$1,'Tabla Parámetros'!$W$28,IF(Simulador!$F$11='Tabla Parámetros'!$Y$1,'Tabla Parámetros'!$Y$12))))</f>
        <v>0</v>
      </c>
      <c r="O168" s="167"/>
      <c r="P168" s="167">
        <f>Simulador!O542</f>
        <v>0</v>
      </c>
      <c r="Q168" s="167">
        <f t="shared" si="62"/>
        <v>0</v>
      </c>
      <c r="R168" s="167">
        <f t="shared" si="52"/>
        <v>0</v>
      </c>
      <c r="U168" s="6"/>
      <c r="V168" s="6"/>
      <c r="W168" s="6"/>
      <c r="X168" s="256">
        <f t="shared" si="46"/>
        <v>0</v>
      </c>
      <c r="Z168" s="201">
        <f t="shared" si="49"/>
        <v>0</v>
      </c>
      <c r="AA168" s="201">
        <f t="shared" si="53"/>
        <v>0</v>
      </c>
      <c r="AB168" s="202">
        <f t="shared" si="54"/>
        <v>0</v>
      </c>
      <c r="AC168" s="201">
        <f t="shared" si="55"/>
        <v>10421.884210717653</v>
      </c>
      <c r="AD168" s="201">
        <f t="shared" si="56"/>
        <v>0</v>
      </c>
      <c r="AE168" s="201">
        <f t="shared" si="63"/>
        <v>10421.884210717653</v>
      </c>
      <c r="AF168" s="201">
        <f t="shared" si="57"/>
        <v>0</v>
      </c>
      <c r="AG168" s="201">
        <f t="shared" si="58"/>
        <v>0</v>
      </c>
      <c r="AH168" s="201">
        <f t="shared" si="64"/>
        <v>0</v>
      </c>
    </row>
    <row r="169" spans="3:34" x14ac:dyDescent="0.3">
      <c r="C169" s="179">
        <f t="shared" si="50"/>
        <v>152</v>
      </c>
      <c r="D169" s="180">
        <f t="shared" si="59"/>
        <v>30.4</v>
      </c>
      <c r="E169" s="165">
        <f>IF(C169="","",Simulador!$F$62)</f>
        <v>0.11</v>
      </c>
      <c r="F169" s="167"/>
      <c r="G169" s="167">
        <f t="shared" si="60"/>
        <v>0</v>
      </c>
      <c r="H169" s="166"/>
      <c r="I169" s="167">
        <f t="shared" si="47"/>
        <v>0</v>
      </c>
      <c r="J169" s="167">
        <f t="shared" si="48"/>
        <v>0</v>
      </c>
      <c r="K169" s="172">
        <f t="shared" si="51"/>
        <v>0</v>
      </c>
      <c r="L169" s="167">
        <f t="shared" si="45"/>
        <v>0</v>
      </c>
      <c r="M169" s="167">
        <f t="shared" si="61"/>
        <v>0</v>
      </c>
      <c r="N169" s="167">
        <f>IF(C169="","",IF(G169=0,0,IF(Simulador!$F$11='Tabla Parámetros'!$W$1,'Tabla Parámetros'!$W$28,IF(Simulador!$F$11='Tabla Parámetros'!$Y$1,'Tabla Parámetros'!$Y$12))))</f>
        <v>0</v>
      </c>
      <c r="O169" s="167"/>
      <c r="P169" s="167">
        <f>Simulador!O543</f>
        <v>0</v>
      </c>
      <c r="Q169" s="167">
        <f t="shared" si="62"/>
        <v>0</v>
      </c>
      <c r="R169" s="167">
        <f t="shared" si="52"/>
        <v>0</v>
      </c>
      <c r="U169" s="6"/>
      <c r="V169" s="6"/>
      <c r="W169" s="6"/>
      <c r="X169" s="256">
        <f t="shared" si="46"/>
        <v>0</v>
      </c>
      <c r="Z169" s="201">
        <f t="shared" si="49"/>
        <v>0</v>
      </c>
      <c r="AA169" s="201">
        <f t="shared" si="53"/>
        <v>0</v>
      </c>
      <c r="AB169" s="202">
        <f t="shared" si="54"/>
        <v>0</v>
      </c>
      <c r="AC169" s="201">
        <f t="shared" si="55"/>
        <v>10421.884210717653</v>
      </c>
      <c r="AD169" s="201">
        <f t="shared" si="56"/>
        <v>0</v>
      </c>
      <c r="AE169" s="201">
        <f t="shared" si="63"/>
        <v>10421.884210717653</v>
      </c>
      <c r="AF169" s="201">
        <f t="shared" si="57"/>
        <v>0</v>
      </c>
      <c r="AG169" s="201">
        <f t="shared" si="58"/>
        <v>0</v>
      </c>
      <c r="AH169" s="201">
        <f t="shared" si="64"/>
        <v>0</v>
      </c>
    </row>
    <row r="170" spans="3:34" x14ac:dyDescent="0.3">
      <c r="C170" s="181">
        <f t="shared" si="50"/>
        <v>153</v>
      </c>
      <c r="D170" s="180">
        <f t="shared" si="59"/>
        <v>30.4</v>
      </c>
      <c r="E170" s="165">
        <f>IF(C170="","",Simulador!$F$62)</f>
        <v>0.11</v>
      </c>
      <c r="F170" s="167"/>
      <c r="G170" s="167">
        <f t="shared" si="60"/>
        <v>0</v>
      </c>
      <c r="H170" s="166"/>
      <c r="I170" s="167">
        <f t="shared" si="47"/>
        <v>0</v>
      </c>
      <c r="J170" s="167">
        <f t="shared" si="48"/>
        <v>0</v>
      </c>
      <c r="K170" s="172">
        <f t="shared" si="51"/>
        <v>0</v>
      </c>
      <c r="L170" s="167">
        <f t="shared" si="45"/>
        <v>0</v>
      </c>
      <c r="M170" s="167">
        <f t="shared" si="61"/>
        <v>0</v>
      </c>
      <c r="N170" s="167">
        <f>IF(C170="","",IF(G170=0,0,IF(Simulador!$F$11='Tabla Parámetros'!$W$1,'Tabla Parámetros'!$W$28,IF(Simulador!$F$11='Tabla Parámetros'!$Y$1,'Tabla Parámetros'!$Y$12))))</f>
        <v>0</v>
      </c>
      <c r="O170" s="167"/>
      <c r="P170" s="167">
        <f>Simulador!O544</f>
        <v>0</v>
      </c>
      <c r="Q170" s="167">
        <f t="shared" si="62"/>
        <v>0</v>
      </c>
      <c r="R170" s="167">
        <f t="shared" si="52"/>
        <v>0</v>
      </c>
      <c r="U170" s="6"/>
      <c r="V170" s="6"/>
      <c r="W170" s="6"/>
      <c r="X170" s="256">
        <f t="shared" si="46"/>
        <v>0</v>
      </c>
      <c r="Z170" s="201">
        <f t="shared" si="49"/>
        <v>0</v>
      </c>
      <c r="AA170" s="201">
        <f t="shared" si="53"/>
        <v>0</v>
      </c>
      <c r="AB170" s="202">
        <f t="shared" si="54"/>
        <v>0</v>
      </c>
      <c r="AC170" s="201">
        <f t="shared" si="55"/>
        <v>10421.884210717653</v>
      </c>
      <c r="AD170" s="201">
        <f t="shared" si="56"/>
        <v>0</v>
      </c>
      <c r="AE170" s="201">
        <f t="shared" si="63"/>
        <v>10421.884210717653</v>
      </c>
      <c r="AF170" s="201">
        <f t="shared" si="57"/>
        <v>0</v>
      </c>
      <c r="AG170" s="201">
        <f t="shared" si="58"/>
        <v>0</v>
      </c>
      <c r="AH170" s="201">
        <f t="shared" si="64"/>
        <v>0</v>
      </c>
    </row>
    <row r="171" spans="3:34" x14ac:dyDescent="0.3">
      <c r="C171" s="179">
        <f t="shared" si="50"/>
        <v>154</v>
      </c>
      <c r="D171" s="180">
        <f t="shared" si="59"/>
        <v>30.4</v>
      </c>
      <c r="E171" s="165">
        <f>IF(C171="","",Simulador!$F$62)</f>
        <v>0.11</v>
      </c>
      <c r="F171" s="167"/>
      <c r="G171" s="167">
        <f t="shared" si="60"/>
        <v>0</v>
      </c>
      <c r="H171" s="166"/>
      <c r="I171" s="167">
        <f t="shared" si="47"/>
        <v>0</v>
      </c>
      <c r="J171" s="167">
        <f t="shared" si="48"/>
        <v>0</v>
      </c>
      <c r="K171" s="172">
        <f t="shared" si="51"/>
        <v>0</v>
      </c>
      <c r="L171" s="167">
        <f t="shared" si="45"/>
        <v>0</v>
      </c>
      <c r="M171" s="167">
        <f t="shared" si="61"/>
        <v>0</v>
      </c>
      <c r="N171" s="167">
        <f>IF(C171="","",IF(G171=0,0,IF(Simulador!$F$11='Tabla Parámetros'!$W$1,'Tabla Parámetros'!$W$28,IF(Simulador!$F$11='Tabla Parámetros'!$Y$1,'Tabla Parámetros'!$Y$12))))</f>
        <v>0</v>
      </c>
      <c r="O171" s="167"/>
      <c r="P171" s="167">
        <f>Simulador!O545</f>
        <v>0</v>
      </c>
      <c r="Q171" s="167">
        <f t="shared" si="62"/>
        <v>0</v>
      </c>
      <c r="R171" s="167">
        <f t="shared" si="52"/>
        <v>0</v>
      </c>
      <c r="U171" s="6"/>
      <c r="V171" s="6"/>
      <c r="W171" s="6"/>
      <c r="X171" s="256">
        <f t="shared" si="46"/>
        <v>0</v>
      </c>
      <c r="Z171" s="201">
        <f t="shared" si="49"/>
        <v>0</v>
      </c>
      <c r="AA171" s="201">
        <f t="shared" si="53"/>
        <v>0</v>
      </c>
      <c r="AB171" s="202">
        <f t="shared" si="54"/>
        <v>0</v>
      </c>
      <c r="AC171" s="201">
        <f t="shared" si="55"/>
        <v>10421.884210717653</v>
      </c>
      <c r="AD171" s="201">
        <f t="shared" si="56"/>
        <v>0</v>
      </c>
      <c r="AE171" s="201">
        <f t="shared" si="63"/>
        <v>10421.884210717653</v>
      </c>
      <c r="AF171" s="201">
        <f t="shared" si="57"/>
        <v>0</v>
      </c>
      <c r="AG171" s="201">
        <f t="shared" si="58"/>
        <v>0</v>
      </c>
      <c r="AH171" s="201">
        <f t="shared" si="64"/>
        <v>0</v>
      </c>
    </row>
    <row r="172" spans="3:34" x14ac:dyDescent="0.3">
      <c r="C172" s="179">
        <f t="shared" si="50"/>
        <v>155</v>
      </c>
      <c r="D172" s="180">
        <f t="shared" si="59"/>
        <v>30.4</v>
      </c>
      <c r="E172" s="165">
        <f>IF(C172="","",Simulador!$F$62)</f>
        <v>0.11</v>
      </c>
      <c r="F172" s="167"/>
      <c r="G172" s="167">
        <f t="shared" si="60"/>
        <v>0</v>
      </c>
      <c r="H172" s="166"/>
      <c r="I172" s="167">
        <f t="shared" si="47"/>
        <v>0</v>
      </c>
      <c r="J172" s="167">
        <f t="shared" si="48"/>
        <v>0</v>
      </c>
      <c r="K172" s="172">
        <f t="shared" si="51"/>
        <v>0</v>
      </c>
      <c r="L172" s="167">
        <f t="shared" si="45"/>
        <v>0</v>
      </c>
      <c r="M172" s="167">
        <f t="shared" si="61"/>
        <v>0</v>
      </c>
      <c r="N172" s="167">
        <f>IF(C172="","",IF(G172=0,0,IF(Simulador!$F$11='Tabla Parámetros'!$W$1,'Tabla Parámetros'!$W$28,IF(Simulador!$F$11='Tabla Parámetros'!$Y$1,'Tabla Parámetros'!$Y$12))))</f>
        <v>0</v>
      </c>
      <c r="O172" s="167"/>
      <c r="P172" s="167">
        <f>Simulador!O546</f>
        <v>0</v>
      </c>
      <c r="Q172" s="167">
        <f t="shared" si="62"/>
        <v>0</v>
      </c>
      <c r="R172" s="167">
        <f t="shared" si="52"/>
        <v>0</v>
      </c>
      <c r="U172" s="6"/>
      <c r="V172" s="6"/>
      <c r="W172" s="6"/>
      <c r="X172" s="256">
        <f t="shared" si="46"/>
        <v>0</v>
      </c>
      <c r="Z172" s="201">
        <f t="shared" si="49"/>
        <v>0</v>
      </c>
      <c r="AA172" s="201">
        <f t="shared" si="53"/>
        <v>0</v>
      </c>
      <c r="AB172" s="202">
        <f t="shared" si="54"/>
        <v>0</v>
      </c>
      <c r="AC172" s="201">
        <f t="shared" si="55"/>
        <v>10421.884210717653</v>
      </c>
      <c r="AD172" s="201">
        <f t="shared" si="56"/>
        <v>0</v>
      </c>
      <c r="AE172" s="201">
        <f t="shared" si="63"/>
        <v>10421.884210717653</v>
      </c>
      <c r="AF172" s="201">
        <f t="shared" si="57"/>
        <v>0</v>
      </c>
      <c r="AG172" s="201">
        <f t="shared" si="58"/>
        <v>0</v>
      </c>
      <c r="AH172" s="201">
        <f t="shared" si="64"/>
        <v>0</v>
      </c>
    </row>
    <row r="173" spans="3:34" x14ac:dyDescent="0.3">
      <c r="C173" s="179">
        <f t="shared" si="50"/>
        <v>156</v>
      </c>
      <c r="D173" s="180">
        <f t="shared" si="59"/>
        <v>30.4</v>
      </c>
      <c r="E173" s="165">
        <f>IF(C173="","",Simulador!$F$62)</f>
        <v>0.11</v>
      </c>
      <c r="F173" s="167"/>
      <c r="G173" s="167">
        <f t="shared" si="60"/>
        <v>0</v>
      </c>
      <c r="H173" s="166"/>
      <c r="I173" s="167">
        <f t="shared" si="47"/>
        <v>0</v>
      </c>
      <c r="J173" s="167">
        <f t="shared" si="48"/>
        <v>0</v>
      </c>
      <c r="K173" s="172">
        <f t="shared" si="51"/>
        <v>0</v>
      </c>
      <c r="L173" s="167">
        <f t="shared" si="45"/>
        <v>0</v>
      </c>
      <c r="M173" s="167">
        <f t="shared" si="61"/>
        <v>0</v>
      </c>
      <c r="N173" s="167">
        <f>IF(C173="","",IF(G173=0,0,IF(Simulador!$F$11='Tabla Parámetros'!$W$1,'Tabla Parámetros'!$W$28,IF(Simulador!$F$11='Tabla Parámetros'!$Y$1,'Tabla Parámetros'!$Y$12))))</f>
        <v>0</v>
      </c>
      <c r="O173" s="167"/>
      <c r="P173" s="167">
        <f>Simulador!O547</f>
        <v>0</v>
      </c>
      <c r="Q173" s="167">
        <f t="shared" si="62"/>
        <v>0</v>
      </c>
      <c r="R173" s="167">
        <f t="shared" si="52"/>
        <v>0</v>
      </c>
      <c r="U173" s="6"/>
      <c r="V173" s="6"/>
      <c r="W173" s="6"/>
      <c r="X173" s="256">
        <f t="shared" si="46"/>
        <v>0</v>
      </c>
      <c r="Z173" s="201">
        <f t="shared" si="49"/>
        <v>0</v>
      </c>
      <c r="AA173" s="201">
        <f t="shared" si="53"/>
        <v>0</v>
      </c>
      <c r="AB173" s="202">
        <f t="shared" si="54"/>
        <v>0</v>
      </c>
      <c r="AC173" s="201">
        <f t="shared" si="55"/>
        <v>10421.884210717653</v>
      </c>
      <c r="AD173" s="201">
        <f t="shared" si="56"/>
        <v>0</v>
      </c>
      <c r="AE173" s="201">
        <f t="shared" si="63"/>
        <v>10421.884210717653</v>
      </c>
      <c r="AF173" s="201">
        <f t="shared" si="57"/>
        <v>0</v>
      </c>
      <c r="AG173" s="201">
        <f t="shared" si="58"/>
        <v>0</v>
      </c>
      <c r="AH173" s="201">
        <f t="shared" si="64"/>
        <v>0</v>
      </c>
    </row>
    <row r="174" spans="3:34" x14ac:dyDescent="0.3">
      <c r="C174" s="181">
        <f t="shared" si="50"/>
        <v>157</v>
      </c>
      <c r="D174" s="180">
        <f t="shared" si="59"/>
        <v>30.4</v>
      </c>
      <c r="E174" s="165">
        <f>IF(C174="","",Simulador!$F$62)</f>
        <v>0.11</v>
      </c>
      <c r="F174" s="167"/>
      <c r="G174" s="167">
        <f t="shared" si="60"/>
        <v>0</v>
      </c>
      <c r="H174" s="166"/>
      <c r="I174" s="167">
        <f t="shared" si="47"/>
        <v>0</v>
      </c>
      <c r="J174" s="167">
        <f t="shared" si="48"/>
        <v>0</v>
      </c>
      <c r="K174" s="172">
        <f t="shared" si="51"/>
        <v>0</v>
      </c>
      <c r="L174" s="167">
        <f t="shared" si="45"/>
        <v>0</v>
      </c>
      <c r="M174" s="167">
        <f t="shared" si="61"/>
        <v>0</v>
      </c>
      <c r="N174" s="167">
        <f>IF(C174="","",IF(G174=0,0,IF(Simulador!$F$11='Tabla Parámetros'!$W$1,'Tabla Parámetros'!$W$28,IF(Simulador!$F$11='Tabla Parámetros'!$Y$1,'Tabla Parámetros'!$Y$12))))</f>
        <v>0</v>
      </c>
      <c r="O174" s="167"/>
      <c r="P174" s="167">
        <f>Simulador!O548</f>
        <v>0</v>
      </c>
      <c r="Q174" s="167">
        <f t="shared" si="62"/>
        <v>0</v>
      </c>
      <c r="R174" s="167">
        <f t="shared" si="52"/>
        <v>0</v>
      </c>
      <c r="U174" s="6"/>
      <c r="V174" s="6"/>
      <c r="W174" s="6"/>
      <c r="X174" s="256">
        <f t="shared" si="46"/>
        <v>0</v>
      </c>
      <c r="Z174" s="201">
        <f t="shared" si="49"/>
        <v>0</v>
      </c>
      <c r="AA174" s="201">
        <f t="shared" si="53"/>
        <v>0</v>
      </c>
      <c r="AB174" s="202">
        <f t="shared" si="54"/>
        <v>0</v>
      </c>
      <c r="AC174" s="201">
        <f t="shared" si="55"/>
        <v>10421.884210717653</v>
      </c>
      <c r="AD174" s="201">
        <f t="shared" si="56"/>
        <v>0</v>
      </c>
      <c r="AE174" s="201">
        <f t="shared" si="63"/>
        <v>10421.884210717653</v>
      </c>
      <c r="AF174" s="201">
        <f t="shared" si="57"/>
        <v>0</v>
      </c>
      <c r="AG174" s="201">
        <f t="shared" si="58"/>
        <v>0</v>
      </c>
      <c r="AH174" s="201">
        <f t="shared" si="64"/>
        <v>0</v>
      </c>
    </row>
    <row r="175" spans="3:34" x14ac:dyDescent="0.3">
      <c r="C175" s="179">
        <f t="shared" si="50"/>
        <v>158</v>
      </c>
      <c r="D175" s="180">
        <f t="shared" si="59"/>
        <v>30.4</v>
      </c>
      <c r="E175" s="165">
        <f>IF(C175="","",Simulador!$F$62)</f>
        <v>0.11</v>
      </c>
      <c r="F175" s="167"/>
      <c r="G175" s="167">
        <f t="shared" si="60"/>
        <v>0</v>
      </c>
      <c r="H175" s="166"/>
      <c r="I175" s="167">
        <f t="shared" si="47"/>
        <v>0</v>
      </c>
      <c r="J175" s="167">
        <f t="shared" si="48"/>
        <v>0</v>
      </c>
      <c r="K175" s="172">
        <f t="shared" si="51"/>
        <v>0</v>
      </c>
      <c r="L175" s="167">
        <f t="shared" si="45"/>
        <v>0</v>
      </c>
      <c r="M175" s="167">
        <f t="shared" si="61"/>
        <v>0</v>
      </c>
      <c r="N175" s="167">
        <f>IF(C175="","",IF(G175=0,0,IF(Simulador!$F$11='Tabla Parámetros'!$W$1,'Tabla Parámetros'!$W$28,IF(Simulador!$F$11='Tabla Parámetros'!$Y$1,'Tabla Parámetros'!$Y$12))))</f>
        <v>0</v>
      </c>
      <c r="O175" s="167"/>
      <c r="P175" s="167">
        <f>Simulador!O549</f>
        <v>0</v>
      </c>
      <c r="Q175" s="167">
        <f t="shared" si="62"/>
        <v>0</v>
      </c>
      <c r="R175" s="167">
        <f t="shared" si="52"/>
        <v>0</v>
      </c>
      <c r="U175" s="6"/>
      <c r="V175" s="6"/>
      <c r="W175" s="6"/>
      <c r="X175" s="256">
        <f t="shared" si="46"/>
        <v>0</v>
      </c>
      <c r="Z175" s="201">
        <f t="shared" si="49"/>
        <v>0</v>
      </c>
      <c r="AA175" s="201">
        <f t="shared" si="53"/>
        <v>0</v>
      </c>
      <c r="AB175" s="202">
        <f t="shared" si="54"/>
        <v>0</v>
      </c>
      <c r="AC175" s="201">
        <f t="shared" si="55"/>
        <v>10421.884210717653</v>
      </c>
      <c r="AD175" s="201">
        <f t="shared" si="56"/>
        <v>0</v>
      </c>
      <c r="AE175" s="201">
        <f t="shared" si="63"/>
        <v>10421.884210717653</v>
      </c>
      <c r="AF175" s="201">
        <f t="shared" si="57"/>
        <v>0</v>
      </c>
      <c r="AG175" s="201">
        <f t="shared" si="58"/>
        <v>0</v>
      </c>
      <c r="AH175" s="201">
        <f t="shared" si="64"/>
        <v>0</v>
      </c>
    </row>
    <row r="176" spans="3:34" x14ac:dyDescent="0.3">
      <c r="C176" s="179">
        <f t="shared" si="50"/>
        <v>159</v>
      </c>
      <c r="D176" s="180">
        <f t="shared" si="59"/>
        <v>30.4</v>
      </c>
      <c r="E176" s="165">
        <f>IF(C176="","",Simulador!$F$62)</f>
        <v>0.11</v>
      </c>
      <c r="F176" s="167"/>
      <c r="G176" s="167">
        <f t="shared" si="60"/>
        <v>0</v>
      </c>
      <c r="H176" s="166"/>
      <c r="I176" s="167">
        <f t="shared" si="47"/>
        <v>0</v>
      </c>
      <c r="J176" s="167">
        <f t="shared" si="48"/>
        <v>0</v>
      </c>
      <c r="K176" s="172">
        <f t="shared" si="51"/>
        <v>0</v>
      </c>
      <c r="L176" s="167">
        <f t="shared" si="45"/>
        <v>0</v>
      </c>
      <c r="M176" s="167">
        <f t="shared" si="61"/>
        <v>0</v>
      </c>
      <c r="N176" s="167">
        <f>IF(C176="","",IF(G176=0,0,IF(Simulador!$F$11='Tabla Parámetros'!$W$1,'Tabla Parámetros'!$W$28,IF(Simulador!$F$11='Tabla Parámetros'!$Y$1,'Tabla Parámetros'!$Y$12))))</f>
        <v>0</v>
      </c>
      <c r="O176" s="167"/>
      <c r="P176" s="167">
        <f>Simulador!O550</f>
        <v>0</v>
      </c>
      <c r="Q176" s="167">
        <f t="shared" si="62"/>
        <v>0</v>
      </c>
      <c r="R176" s="167">
        <f t="shared" si="52"/>
        <v>0</v>
      </c>
      <c r="U176" s="6"/>
      <c r="V176" s="6"/>
      <c r="W176" s="6"/>
      <c r="X176" s="256">
        <f t="shared" si="46"/>
        <v>0</v>
      </c>
      <c r="Z176" s="201">
        <f t="shared" si="49"/>
        <v>0</v>
      </c>
      <c r="AA176" s="201">
        <f t="shared" si="53"/>
        <v>0</v>
      </c>
      <c r="AB176" s="202">
        <f t="shared" si="54"/>
        <v>0</v>
      </c>
      <c r="AC176" s="201">
        <f t="shared" si="55"/>
        <v>10421.884210717653</v>
      </c>
      <c r="AD176" s="201">
        <f t="shared" si="56"/>
        <v>0</v>
      </c>
      <c r="AE176" s="201">
        <f t="shared" si="63"/>
        <v>10421.884210717653</v>
      </c>
      <c r="AF176" s="201">
        <f t="shared" si="57"/>
        <v>0</v>
      </c>
      <c r="AG176" s="201">
        <f t="shared" si="58"/>
        <v>0</v>
      </c>
      <c r="AH176" s="201">
        <f t="shared" si="64"/>
        <v>0</v>
      </c>
    </row>
    <row r="177" spans="3:34" x14ac:dyDescent="0.3">
      <c r="C177" s="179">
        <f t="shared" si="50"/>
        <v>160</v>
      </c>
      <c r="D177" s="180">
        <f t="shared" si="59"/>
        <v>30.4</v>
      </c>
      <c r="E177" s="165">
        <f>IF(C177="","",Simulador!$F$62)</f>
        <v>0.11</v>
      </c>
      <c r="F177" s="167"/>
      <c r="G177" s="167">
        <f t="shared" si="60"/>
        <v>0</v>
      </c>
      <c r="H177" s="166"/>
      <c r="I177" s="167">
        <f t="shared" si="47"/>
        <v>0</v>
      </c>
      <c r="J177" s="167">
        <f t="shared" si="48"/>
        <v>0</v>
      </c>
      <c r="K177" s="172">
        <f t="shared" si="51"/>
        <v>0</v>
      </c>
      <c r="L177" s="167">
        <f t="shared" si="45"/>
        <v>0</v>
      </c>
      <c r="M177" s="167">
        <f t="shared" si="61"/>
        <v>0</v>
      </c>
      <c r="N177" s="167">
        <f>IF(C177="","",IF(G177=0,0,IF(Simulador!$F$11='Tabla Parámetros'!$W$1,'Tabla Parámetros'!$W$28,IF(Simulador!$F$11='Tabla Parámetros'!$Y$1,'Tabla Parámetros'!$Y$12))))</f>
        <v>0</v>
      </c>
      <c r="O177" s="167"/>
      <c r="P177" s="167">
        <f>Simulador!O551</f>
        <v>0</v>
      </c>
      <c r="Q177" s="167">
        <f t="shared" si="62"/>
        <v>0</v>
      </c>
      <c r="R177" s="167">
        <f t="shared" si="52"/>
        <v>0</v>
      </c>
      <c r="U177" s="6"/>
      <c r="V177" s="6"/>
      <c r="W177" s="6"/>
      <c r="X177" s="256">
        <f t="shared" si="46"/>
        <v>0</v>
      </c>
      <c r="Z177" s="201">
        <f t="shared" si="49"/>
        <v>0</v>
      </c>
      <c r="AA177" s="201">
        <f t="shared" si="53"/>
        <v>0</v>
      </c>
      <c r="AB177" s="202">
        <f t="shared" si="54"/>
        <v>0</v>
      </c>
      <c r="AC177" s="201">
        <f t="shared" si="55"/>
        <v>10421.884210717653</v>
      </c>
      <c r="AD177" s="201">
        <f t="shared" si="56"/>
        <v>0</v>
      </c>
      <c r="AE177" s="201">
        <f t="shared" si="63"/>
        <v>10421.884210717653</v>
      </c>
      <c r="AF177" s="201">
        <f t="shared" si="57"/>
        <v>0</v>
      </c>
      <c r="AG177" s="201">
        <f t="shared" si="58"/>
        <v>0</v>
      </c>
      <c r="AH177" s="201">
        <f t="shared" si="64"/>
        <v>0</v>
      </c>
    </row>
    <row r="178" spans="3:34" x14ac:dyDescent="0.3">
      <c r="C178" s="181">
        <f t="shared" si="50"/>
        <v>161</v>
      </c>
      <c r="D178" s="180">
        <f t="shared" si="59"/>
        <v>30.4</v>
      </c>
      <c r="E178" s="165">
        <f>IF(C178="","",Simulador!$F$62)</f>
        <v>0.11</v>
      </c>
      <c r="F178" s="167"/>
      <c r="G178" s="167">
        <f t="shared" si="60"/>
        <v>0</v>
      </c>
      <c r="H178" s="166"/>
      <c r="I178" s="167">
        <f t="shared" si="47"/>
        <v>0</v>
      </c>
      <c r="J178" s="167">
        <f t="shared" si="48"/>
        <v>0</v>
      </c>
      <c r="K178" s="172">
        <f t="shared" si="51"/>
        <v>0</v>
      </c>
      <c r="L178" s="167">
        <f t="shared" si="45"/>
        <v>0</v>
      </c>
      <c r="M178" s="167">
        <f t="shared" si="61"/>
        <v>0</v>
      </c>
      <c r="N178" s="167">
        <f>IF(C178="","",IF(G178=0,0,IF(Simulador!$F$11='Tabla Parámetros'!$W$1,'Tabla Parámetros'!$W$28,IF(Simulador!$F$11='Tabla Parámetros'!$Y$1,'Tabla Parámetros'!$Y$12))))</f>
        <v>0</v>
      </c>
      <c r="O178" s="167"/>
      <c r="P178" s="167">
        <f>Simulador!O552</f>
        <v>0</v>
      </c>
      <c r="Q178" s="167">
        <f t="shared" si="62"/>
        <v>0</v>
      </c>
      <c r="R178" s="167">
        <f t="shared" si="52"/>
        <v>0</v>
      </c>
      <c r="U178" s="6"/>
      <c r="V178" s="6"/>
      <c r="W178" s="6"/>
      <c r="X178" s="256">
        <f t="shared" si="46"/>
        <v>0</v>
      </c>
      <c r="Z178" s="201">
        <f t="shared" si="49"/>
        <v>0</v>
      </c>
      <c r="AA178" s="201">
        <f t="shared" si="53"/>
        <v>0</v>
      </c>
      <c r="AB178" s="202">
        <f t="shared" si="54"/>
        <v>0</v>
      </c>
      <c r="AC178" s="201">
        <f t="shared" si="55"/>
        <v>10421.884210717653</v>
      </c>
      <c r="AD178" s="201">
        <f t="shared" si="56"/>
        <v>0</v>
      </c>
      <c r="AE178" s="201">
        <f t="shared" si="63"/>
        <v>10421.884210717653</v>
      </c>
      <c r="AF178" s="201">
        <f t="shared" si="57"/>
        <v>0</v>
      </c>
      <c r="AG178" s="201">
        <f t="shared" si="58"/>
        <v>0</v>
      </c>
      <c r="AH178" s="201">
        <f t="shared" si="64"/>
        <v>0</v>
      </c>
    </row>
    <row r="179" spans="3:34" x14ac:dyDescent="0.3">
      <c r="C179" s="179">
        <f t="shared" si="50"/>
        <v>162</v>
      </c>
      <c r="D179" s="180">
        <f t="shared" si="59"/>
        <v>30.4</v>
      </c>
      <c r="E179" s="165">
        <f>IF(C179="","",Simulador!$F$62)</f>
        <v>0.11</v>
      </c>
      <c r="F179" s="167"/>
      <c r="G179" s="167">
        <f t="shared" si="60"/>
        <v>0</v>
      </c>
      <c r="H179" s="166"/>
      <c r="I179" s="167">
        <f t="shared" si="47"/>
        <v>0</v>
      </c>
      <c r="J179" s="167">
        <f t="shared" si="48"/>
        <v>0</v>
      </c>
      <c r="K179" s="172">
        <f t="shared" si="51"/>
        <v>0</v>
      </c>
      <c r="L179" s="167">
        <f t="shared" si="45"/>
        <v>0</v>
      </c>
      <c r="M179" s="167">
        <f t="shared" si="61"/>
        <v>0</v>
      </c>
      <c r="N179" s="167">
        <f>IF(C179="","",IF(G179=0,0,IF(Simulador!$F$11='Tabla Parámetros'!$W$1,'Tabla Parámetros'!$W$28,IF(Simulador!$F$11='Tabla Parámetros'!$Y$1,'Tabla Parámetros'!$Y$12))))</f>
        <v>0</v>
      </c>
      <c r="O179" s="167"/>
      <c r="P179" s="167">
        <f>Simulador!O553</f>
        <v>0</v>
      </c>
      <c r="Q179" s="167">
        <f t="shared" si="62"/>
        <v>0</v>
      </c>
      <c r="R179" s="167">
        <f t="shared" si="52"/>
        <v>0</v>
      </c>
      <c r="U179" s="6"/>
      <c r="V179" s="6"/>
      <c r="W179" s="6"/>
      <c r="X179" s="256">
        <f t="shared" si="46"/>
        <v>0</v>
      </c>
      <c r="Z179" s="201">
        <f t="shared" si="49"/>
        <v>0</v>
      </c>
      <c r="AA179" s="201">
        <f t="shared" si="53"/>
        <v>0</v>
      </c>
      <c r="AB179" s="202">
        <f t="shared" si="54"/>
        <v>0</v>
      </c>
      <c r="AC179" s="201">
        <f t="shared" si="55"/>
        <v>10421.884210717653</v>
      </c>
      <c r="AD179" s="201">
        <f t="shared" si="56"/>
        <v>0</v>
      </c>
      <c r="AE179" s="201">
        <f t="shared" si="63"/>
        <v>10421.884210717653</v>
      </c>
      <c r="AF179" s="201">
        <f t="shared" si="57"/>
        <v>0</v>
      </c>
      <c r="AG179" s="201">
        <f t="shared" si="58"/>
        <v>0</v>
      </c>
      <c r="AH179" s="201">
        <f t="shared" si="64"/>
        <v>0</v>
      </c>
    </row>
    <row r="180" spans="3:34" x14ac:dyDescent="0.3">
      <c r="C180" s="179">
        <f t="shared" si="50"/>
        <v>163</v>
      </c>
      <c r="D180" s="180">
        <f t="shared" si="59"/>
        <v>30.4</v>
      </c>
      <c r="E180" s="165">
        <f>IF(C180="","",Simulador!$F$62)</f>
        <v>0.11</v>
      </c>
      <c r="F180" s="167"/>
      <c r="G180" s="167">
        <f t="shared" si="60"/>
        <v>0</v>
      </c>
      <c r="H180" s="166"/>
      <c r="I180" s="167">
        <f t="shared" si="47"/>
        <v>0</v>
      </c>
      <c r="J180" s="167">
        <f t="shared" si="48"/>
        <v>0</v>
      </c>
      <c r="K180" s="172">
        <f t="shared" si="51"/>
        <v>0</v>
      </c>
      <c r="L180" s="167">
        <f t="shared" si="45"/>
        <v>0</v>
      </c>
      <c r="M180" s="167">
        <f t="shared" si="61"/>
        <v>0</v>
      </c>
      <c r="N180" s="167">
        <f>IF(C180="","",IF(G180=0,0,IF(Simulador!$F$11='Tabla Parámetros'!$W$1,'Tabla Parámetros'!$W$28,IF(Simulador!$F$11='Tabla Parámetros'!$Y$1,'Tabla Parámetros'!$Y$12))))</f>
        <v>0</v>
      </c>
      <c r="O180" s="167"/>
      <c r="P180" s="167">
        <f>Simulador!O554</f>
        <v>0</v>
      </c>
      <c r="Q180" s="167">
        <f t="shared" si="62"/>
        <v>0</v>
      </c>
      <c r="R180" s="167">
        <f t="shared" si="52"/>
        <v>0</v>
      </c>
      <c r="U180" s="6"/>
      <c r="V180" s="6"/>
      <c r="W180" s="6"/>
      <c r="X180" s="256">
        <f t="shared" si="46"/>
        <v>0</v>
      </c>
      <c r="Z180" s="201">
        <f t="shared" si="49"/>
        <v>0</v>
      </c>
      <c r="AA180" s="201">
        <f t="shared" si="53"/>
        <v>0</v>
      </c>
      <c r="AB180" s="202">
        <f t="shared" si="54"/>
        <v>0</v>
      </c>
      <c r="AC180" s="201">
        <f t="shared" si="55"/>
        <v>10421.884210717653</v>
      </c>
      <c r="AD180" s="201">
        <f t="shared" si="56"/>
        <v>0</v>
      </c>
      <c r="AE180" s="201">
        <f t="shared" si="63"/>
        <v>10421.884210717653</v>
      </c>
      <c r="AF180" s="201">
        <f t="shared" si="57"/>
        <v>0</v>
      </c>
      <c r="AG180" s="201">
        <f t="shared" si="58"/>
        <v>0</v>
      </c>
      <c r="AH180" s="201">
        <f t="shared" si="64"/>
        <v>0</v>
      </c>
    </row>
    <row r="181" spans="3:34" x14ac:dyDescent="0.3">
      <c r="C181" s="179">
        <f t="shared" si="50"/>
        <v>164</v>
      </c>
      <c r="D181" s="180">
        <f t="shared" si="59"/>
        <v>30.4</v>
      </c>
      <c r="E181" s="165">
        <f>IF(C181="","",Simulador!$F$62)</f>
        <v>0.11</v>
      </c>
      <c r="F181" s="167"/>
      <c r="G181" s="167">
        <f t="shared" si="60"/>
        <v>0</v>
      </c>
      <c r="H181" s="166"/>
      <c r="I181" s="167">
        <f t="shared" si="47"/>
        <v>0</v>
      </c>
      <c r="J181" s="167">
        <f t="shared" si="48"/>
        <v>0</v>
      </c>
      <c r="K181" s="172">
        <f t="shared" si="51"/>
        <v>0</v>
      </c>
      <c r="L181" s="167">
        <f t="shared" si="45"/>
        <v>0</v>
      </c>
      <c r="M181" s="167">
        <f t="shared" si="61"/>
        <v>0</v>
      </c>
      <c r="N181" s="167">
        <f>IF(C181="","",IF(G181=0,0,IF(Simulador!$F$11='Tabla Parámetros'!$W$1,'Tabla Parámetros'!$W$28,IF(Simulador!$F$11='Tabla Parámetros'!$Y$1,'Tabla Parámetros'!$Y$12))))</f>
        <v>0</v>
      </c>
      <c r="O181" s="167"/>
      <c r="P181" s="167">
        <f>Simulador!O555</f>
        <v>0</v>
      </c>
      <c r="Q181" s="167">
        <f t="shared" si="62"/>
        <v>0</v>
      </c>
      <c r="R181" s="167">
        <f t="shared" si="52"/>
        <v>0</v>
      </c>
      <c r="U181" s="6"/>
      <c r="V181" s="6"/>
      <c r="W181" s="6"/>
      <c r="X181" s="256">
        <f t="shared" si="46"/>
        <v>0</v>
      </c>
      <c r="Z181" s="201">
        <f t="shared" si="49"/>
        <v>0</v>
      </c>
      <c r="AA181" s="201">
        <f t="shared" si="53"/>
        <v>0</v>
      </c>
      <c r="AB181" s="202">
        <f t="shared" si="54"/>
        <v>0</v>
      </c>
      <c r="AC181" s="201">
        <f t="shared" si="55"/>
        <v>10421.884210717653</v>
      </c>
      <c r="AD181" s="201">
        <f t="shared" si="56"/>
        <v>0</v>
      </c>
      <c r="AE181" s="201">
        <f t="shared" si="63"/>
        <v>10421.884210717653</v>
      </c>
      <c r="AF181" s="201">
        <f t="shared" si="57"/>
        <v>0</v>
      </c>
      <c r="AG181" s="201">
        <f t="shared" si="58"/>
        <v>0</v>
      </c>
      <c r="AH181" s="201">
        <f t="shared" si="64"/>
        <v>0</v>
      </c>
    </row>
    <row r="182" spans="3:34" x14ac:dyDescent="0.3">
      <c r="C182" s="181">
        <f t="shared" si="50"/>
        <v>165</v>
      </c>
      <c r="D182" s="180">
        <f t="shared" si="59"/>
        <v>30.4</v>
      </c>
      <c r="E182" s="165">
        <f>IF(C182="","",Simulador!$F$62)</f>
        <v>0.11</v>
      </c>
      <c r="F182" s="167"/>
      <c r="G182" s="167">
        <f t="shared" si="60"/>
        <v>0</v>
      </c>
      <c r="H182" s="166"/>
      <c r="I182" s="167">
        <f t="shared" si="47"/>
        <v>0</v>
      </c>
      <c r="J182" s="167">
        <f t="shared" si="48"/>
        <v>0</v>
      </c>
      <c r="K182" s="172">
        <f t="shared" si="51"/>
        <v>0</v>
      </c>
      <c r="L182" s="167">
        <f t="shared" si="45"/>
        <v>0</v>
      </c>
      <c r="M182" s="167">
        <f t="shared" si="61"/>
        <v>0</v>
      </c>
      <c r="N182" s="167">
        <f>IF(C182="","",IF(G182=0,0,IF(Simulador!$F$11='Tabla Parámetros'!$W$1,'Tabla Parámetros'!$W$28,IF(Simulador!$F$11='Tabla Parámetros'!$Y$1,'Tabla Parámetros'!$Y$12))))</f>
        <v>0</v>
      </c>
      <c r="O182" s="167"/>
      <c r="P182" s="167">
        <f>Simulador!O556</f>
        <v>0</v>
      </c>
      <c r="Q182" s="167">
        <f t="shared" si="62"/>
        <v>0</v>
      </c>
      <c r="R182" s="167">
        <f t="shared" si="52"/>
        <v>0</v>
      </c>
      <c r="U182" s="6"/>
      <c r="V182" s="6"/>
      <c r="W182" s="6"/>
      <c r="X182" s="256">
        <f t="shared" si="46"/>
        <v>0</v>
      </c>
      <c r="Z182" s="201">
        <f t="shared" si="49"/>
        <v>0</v>
      </c>
      <c r="AA182" s="201">
        <f t="shared" si="53"/>
        <v>0</v>
      </c>
      <c r="AB182" s="202">
        <f t="shared" si="54"/>
        <v>0</v>
      </c>
      <c r="AC182" s="201">
        <f t="shared" si="55"/>
        <v>10421.884210717653</v>
      </c>
      <c r="AD182" s="201">
        <f t="shared" si="56"/>
        <v>0</v>
      </c>
      <c r="AE182" s="201">
        <f t="shared" si="63"/>
        <v>10421.884210717653</v>
      </c>
      <c r="AF182" s="201">
        <f t="shared" si="57"/>
        <v>0</v>
      </c>
      <c r="AG182" s="201">
        <f t="shared" si="58"/>
        <v>0</v>
      </c>
      <c r="AH182" s="201">
        <f t="shared" si="64"/>
        <v>0</v>
      </c>
    </row>
    <row r="183" spans="3:34" x14ac:dyDescent="0.3">
      <c r="C183" s="179">
        <f t="shared" si="50"/>
        <v>166</v>
      </c>
      <c r="D183" s="180">
        <f t="shared" si="59"/>
        <v>30.4</v>
      </c>
      <c r="E183" s="165">
        <f>IF(C183="","",Simulador!$F$62)</f>
        <v>0.11</v>
      </c>
      <c r="F183" s="167"/>
      <c r="G183" s="167">
        <f t="shared" si="60"/>
        <v>0</v>
      </c>
      <c r="H183" s="166"/>
      <c r="I183" s="167">
        <f t="shared" si="47"/>
        <v>0</v>
      </c>
      <c r="J183" s="167">
        <f t="shared" si="48"/>
        <v>0</v>
      </c>
      <c r="K183" s="172">
        <f t="shared" si="51"/>
        <v>0</v>
      </c>
      <c r="L183" s="167">
        <f t="shared" si="45"/>
        <v>0</v>
      </c>
      <c r="M183" s="167">
        <f t="shared" si="61"/>
        <v>0</v>
      </c>
      <c r="N183" s="167">
        <f>IF(C183="","",IF(G183=0,0,IF(Simulador!$F$11='Tabla Parámetros'!$W$1,'Tabla Parámetros'!$W$28,IF(Simulador!$F$11='Tabla Parámetros'!$Y$1,'Tabla Parámetros'!$Y$12))))</f>
        <v>0</v>
      </c>
      <c r="O183" s="167"/>
      <c r="P183" s="167">
        <f>Simulador!O557</f>
        <v>0</v>
      </c>
      <c r="Q183" s="167">
        <f t="shared" si="62"/>
        <v>0</v>
      </c>
      <c r="R183" s="167">
        <f t="shared" si="52"/>
        <v>0</v>
      </c>
      <c r="U183" s="6"/>
      <c r="V183" s="6"/>
      <c r="W183" s="6"/>
      <c r="X183" s="256">
        <f t="shared" si="46"/>
        <v>0</v>
      </c>
      <c r="Z183" s="201">
        <f t="shared" si="49"/>
        <v>0</v>
      </c>
      <c r="AA183" s="201">
        <f t="shared" si="53"/>
        <v>0</v>
      </c>
      <c r="AB183" s="202">
        <f t="shared" si="54"/>
        <v>0</v>
      </c>
      <c r="AC183" s="201">
        <f t="shared" si="55"/>
        <v>10421.884210717653</v>
      </c>
      <c r="AD183" s="201">
        <f t="shared" si="56"/>
        <v>0</v>
      </c>
      <c r="AE183" s="201">
        <f t="shared" si="63"/>
        <v>10421.884210717653</v>
      </c>
      <c r="AF183" s="201">
        <f t="shared" si="57"/>
        <v>0</v>
      </c>
      <c r="AG183" s="201">
        <f t="shared" si="58"/>
        <v>0</v>
      </c>
      <c r="AH183" s="201">
        <f t="shared" si="64"/>
        <v>0</v>
      </c>
    </row>
    <row r="184" spans="3:34" x14ac:dyDescent="0.3">
      <c r="C184" s="179">
        <f t="shared" si="50"/>
        <v>167</v>
      </c>
      <c r="D184" s="180">
        <f t="shared" si="59"/>
        <v>30.4</v>
      </c>
      <c r="E184" s="165">
        <f>IF(C184="","",Simulador!$F$62)</f>
        <v>0.11</v>
      </c>
      <c r="F184" s="167"/>
      <c r="G184" s="167">
        <f t="shared" si="60"/>
        <v>0</v>
      </c>
      <c r="H184" s="166"/>
      <c r="I184" s="167">
        <f t="shared" si="47"/>
        <v>0</v>
      </c>
      <c r="J184" s="167">
        <f t="shared" si="48"/>
        <v>0</v>
      </c>
      <c r="K184" s="172">
        <f t="shared" si="51"/>
        <v>0</v>
      </c>
      <c r="L184" s="167">
        <f t="shared" si="45"/>
        <v>0</v>
      </c>
      <c r="M184" s="167">
        <f t="shared" si="61"/>
        <v>0</v>
      </c>
      <c r="N184" s="167">
        <f>IF(C184="","",IF(G184=0,0,IF(Simulador!$F$11='Tabla Parámetros'!$W$1,'Tabla Parámetros'!$W$28,IF(Simulador!$F$11='Tabla Parámetros'!$Y$1,'Tabla Parámetros'!$Y$12))))</f>
        <v>0</v>
      </c>
      <c r="O184" s="167"/>
      <c r="P184" s="167">
        <f>Simulador!O558</f>
        <v>0</v>
      </c>
      <c r="Q184" s="167">
        <f t="shared" si="62"/>
        <v>0</v>
      </c>
      <c r="R184" s="167">
        <f t="shared" si="52"/>
        <v>0</v>
      </c>
      <c r="U184" s="6"/>
      <c r="V184" s="6"/>
      <c r="W184" s="6"/>
      <c r="X184" s="256">
        <f t="shared" si="46"/>
        <v>0</v>
      </c>
      <c r="Z184" s="201">
        <f t="shared" si="49"/>
        <v>0</v>
      </c>
      <c r="AA184" s="201">
        <f t="shared" si="53"/>
        <v>0</v>
      </c>
      <c r="AB184" s="202">
        <f t="shared" si="54"/>
        <v>0</v>
      </c>
      <c r="AC184" s="201">
        <f t="shared" si="55"/>
        <v>10421.884210717653</v>
      </c>
      <c r="AD184" s="201">
        <f t="shared" si="56"/>
        <v>0</v>
      </c>
      <c r="AE184" s="201">
        <f t="shared" si="63"/>
        <v>10421.884210717653</v>
      </c>
      <c r="AF184" s="201">
        <f t="shared" si="57"/>
        <v>0</v>
      </c>
      <c r="AG184" s="201">
        <f t="shared" si="58"/>
        <v>0</v>
      </c>
      <c r="AH184" s="201">
        <f t="shared" si="64"/>
        <v>0</v>
      </c>
    </row>
    <row r="185" spans="3:34" x14ac:dyDescent="0.3">
      <c r="C185" s="179">
        <f t="shared" si="50"/>
        <v>168</v>
      </c>
      <c r="D185" s="180">
        <f t="shared" si="59"/>
        <v>30.4</v>
      </c>
      <c r="E185" s="165">
        <f>IF(C185="","",Simulador!$F$62)</f>
        <v>0.11</v>
      </c>
      <c r="F185" s="167"/>
      <c r="G185" s="167">
        <f t="shared" si="60"/>
        <v>0</v>
      </c>
      <c r="H185" s="166"/>
      <c r="I185" s="167">
        <f t="shared" si="47"/>
        <v>0</v>
      </c>
      <c r="J185" s="167">
        <f t="shared" si="48"/>
        <v>0</v>
      </c>
      <c r="K185" s="172">
        <f t="shared" si="51"/>
        <v>0</v>
      </c>
      <c r="L185" s="167">
        <f t="shared" si="45"/>
        <v>0</v>
      </c>
      <c r="M185" s="167">
        <f t="shared" si="61"/>
        <v>0</v>
      </c>
      <c r="N185" s="167">
        <f>IF(C185="","",IF(G185=0,0,IF(Simulador!$F$11='Tabla Parámetros'!$W$1,'Tabla Parámetros'!$W$28,IF(Simulador!$F$11='Tabla Parámetros'!$Y$1,'Tabla Parámetros'!$Y$12))))</f>
        <v>0</v>
      </c>
      <c r="O185" s="167"/>
      <c r="P185" s="167">
        <f>Simulador!O559</f>
        <v>0</v>
      </c>
      <c r="Q185" s="167">
        <f t="shared" si="62"/>
        <v>0</v>
      </c>
      <c r="R185" s="167">
        <f t="shared" si="52"/>
        <v>0</v>
      </c>
      <c r="U185" s="6"/>
      <c r="V185" s="6"/>
      <c r="W185" s="6"/>
      <c r="X185" s="256">
        <f t="shared" si="46"/>
        <v>0</v>
      </c>
      <c r="Z185" s="201">
        <f t="shared" si="49"/>
        <v>0</v>
      </c>
      <c r="AA185" s="201">
        <f t="shared" si="53"/>
        <v>0</v>
      </c>
      <c r="AB185" s="202">
        <f t="shared" si="54"/>
        <v>0</v>
      </c>
      <c r="AC185" s="201">
        <f t="shared" si="55"/>
        <v>10421.884210717653</v>
      </c>
      <c r="AD185" s="201">
        <f t="shared" si="56"/>
        <v>0</v>
      </c>
      <c r="AE185" s="201">
        <f t="shared" si="63"/>
        <v>10421.884210717653</v>
      </c>
      <c r="AF185" s="201">
        <f t="shared" si="57"/>
        <v>0</v>
      </c>
      <c r="AG185" s="201">
        <f t="shared" si="58"/>
        <v>0</v>
      </c>
      <c r="AH185" s="201">
        <f t="shared" si="64"/>
        <v>0</v>
      </c>
    </row>
    <row r="186" spans="3:34" x14ac:dyDescent="0.3">
      <c r="C186" s="181">
        <f t="shared" si="50"/>
        <v>169</v>
      </c>
      <c r="D186" s="180">
        <f t="shared" si="59"/>
        <v>30.4</v>
      </c>
      <c r="E186" s="165">
        <f>IF(C186="","",Simulador!$F$62)</f>
        <v>0.11</v>
      </c>
      <c r="F186" s="167"/>
      <c r="G186" s="167">
        <f t="shared" si="60"/>
        <v>0</v>
      </c>
      <c r="H186" s="166"/>
      <c r="I186" s="167">
        <f t="shared" si="47"/>
        <v>0</v>
      </c>
      <c r="J186" s="167">
        <f t="shared" si="48"/>
        <v>0</v>
      </c>
      <c r="K186" s="172">
        <f t="shared" si="51"/>
        <v>0</v>
      </c>
      <c r="L186" s="167">
        <f t="shared" si="45"/>
        <v>0</v>
      </c>
      <c r="M186" s="167">
        <f t="shared" si="61"/>
        <v>0</v>
      </c>
      <c r="N186" s="167">
        <f>IF(C186="","",IF(G186=0,0,IF(Simulador!$F$11='Tabla Parámetros'!$W$1,'Tabla Parámetros'!$W$28,IF(Simulador!$F$11='Tabla Parámetros'!$Y$1,'Tabla Parámetros'!$Y$12))))</f>
        <v>0</v>
      </c>
      <c r="O186" s="167"/>
      <c r="P186" s="167">
        <f>Simulador!O560</f>
        <v>0</v>
      </c>
      <c r="Q186" s="167">
        <f t="shared" si="62"/>
        <v>0</v>
      </c>
      <c r="R186" s="167">
        <f t="shared" si="52"/>
        <v>0</v>
      </c>
      <c r="U186" s="6"/>
      <c r="V186" s="6"/>
      <c r="W186" s="6"/>
      <c r="X186" s="256">
        <f t="shared" si="46"/>
        <v>0</v>
      </c>
      <c r="Z186" s="201">
        <f t="shared" si="49"/>
        <v>0</v>
      </c>
      <c r="AA186" s="201">
        <f t="shared" si="53"/>
        <v>0</v>
      </c>
      <c r="AB186" s="202">
        <f t="shared" si="54"/>
        <v>0</v>
      </c>
      <c r="AC186" s="201">
        <f t="shared" si="55"/>
        <v>10421.884210717653</v>
      </c>
      <c r="AD186" s="201">
        <f t="shared" si="56"/>
        <v>0</v>
      </c>
      <c r="AE186" s="201">
        <f t="shared" si="63"/>
        <v>10421.884210717653</v>
      </c>
      <c r="AF186" s="201">
        <f t="shared" si="57"/>
        <v>0</v>
      </c>
      <c r="AG186" s="201">
        <f t="shared" si="58"/>
        <v>0</v>
      </c>
      <c r="AH186" s="201">
        <f t="shared" si="64"/>
        <v>0</v>
      </c>
    </row>
    <row r="187" spans="3:34" x14ac:dyDescent="0.3">
      <c r="C187" s="179">
        <f t="shared" si="50"/>
        <v>170</v>
      </c>
      <c r="D187" s="180">
        <f t="shared" si="59"/>
        <v>30.4</v>
      </c>
      <c r="E187" s="165">
        <f>IF(C187="","",Simulador!$F$62)</f>
        <v>0.11</v>
      </c>
      <c r="F187" s="167"/>
      <c r="G187" s="167">
        <f t="shared" si="60"/>
        <v>0</v>
      </c>
      <c r="H187" s="166"/>
      <c r="I187" s="167">
        <f t="shared" si="47"/>
        <v>0</v>
      </c>
      <c r="J187" s="167">
        <f t="shared" si="48"/>
        <v>0</v>
      </c>
      <c r="K187" s="172">
        <f t="shared" si="51"/>
        <v>0</v>
      </c>
      <c r="L187" s="167">
        <f t="shared" si="45"/>
        <v>0</v>
      </c>
      <c r="M187" s="167">
        <f t="shared" si="61"/>
        <v>0</v>
      </c>
      <c r="N187" s="167">
        <f>IF(C187="","",IF(G187=0,0,IF(Simulador!$F$11='Tabla Parámetros'!$W$1,'Tabla Parámetros'!$W$28,IF(Simulador!$F$11='Tabla Parámetros'!$Y$1,'Tabla Parámetros'!$Y$12))))</f>
        <v>0</v>
      </c>
      <c r="O187" s="167"/>
      <c r="P187" s="167">
        <f>Simulador!O561</f>
        <v>0</v>
      </c>
      <c r="Q187" s="167">
        <f t="shared" si="62"/>
        <v>0</v>
      </c>
      <c r="R187" s="167">
        <f t="shared" si="52"/>
        <v>0</v>
      </c>
      <c r="U187" s="6"/>
      <c r="V187" s="6"/>
      <c r="W187" s="6"/>
      <c r="X187" s="256">
        <f t="shared" si="46"/>
        <v>0</v>
      </c>
      <c r="Z187" s="201">
        <f t="shared" si="49"/>
        <v>0</v>
      </c>
      <c r="AA187" s="201">
        <f t="shared" si="53"/>
        <v>0</v>
      </c>
      <c r="AB187" s="202">
        <f t="shared" si="54"/>
        <v>0</v>
      </c>
      <c r="AC187" s="201">
        <f t="shared" si="55"/>
        <v>10421.884210717653</v>
      </c>
      <c r="AD187" s="201">
        <f t="shared" si="56"/>
        <v>0</v>
      </c>
      <c r="AE187" s="201">
        <f t="shared" si="63"/>
        <v>10421.884210717653</v>
      </c>
      <c r="AF187" s="201">
        <f t="shared" si="57"/>
        <v>0</v>
      </c>
      <c r="AG187" s="201">
        <f t="shared" si="58"/>
        <v>0</v>
      </c>
      <c r="AH187" s="201">
        <f t="shared" si="64"/>
        <v>0</v>
      </c>
    </row>
    <row r="188" spans="3:34" x14ac:dyDescent="0.3">
      <c r="C188" s="179">
        <f t="shared" si="50"/>
        <v>171</v>
      </c>
      <c r="D188" s="180">
        <f t="shared" si="59"/>
        <v>30.4</v>
      </c>
      <c r="E188" s="165">
        <f>IF(C188="","",Simulador!$F$62)</f>
        <v>0.11</v>
      </c>
      <c r="F188" s="167"/>
      <c r="G188" s="167">
        <f t="shared" si="60"/>
        <v>0</v>
      </c>
      <c r="H188" s="166"/>
      <c r="I188" s="167">
        <f t="shared" si="47"/>
        <v>0</v>
      </c>
      <c r="J188" s="167">
        <f t="shared" si="48"/>
        <v>0</v>
      </c>
      <c r="K188" s="172">
        <f t="shared" si="51"/>
        <v>0</v>
      </c>
      <c r="L188" s="167">
        <f t="shared" si="45"/>
        <v>0</v>
      </c>
      <c r="M188" s="167">
        <f t="shared" si="61"/>
        <v>0</v>
      </c>
      <c r="N188" s="167">
        <f>IF(C188="","",IF(G188=0,0,IF(Simulador!$F$11='Tabla Parámetros'!$W$1,'Tabla Parámetros'!$W$28,IF(Simulador!$F$11='Tabla Parámetros'!$Y$1,'Tabla Parámetros'!$Y$12))))</f>
        <v>0</v>
      </c>
      <c r="O188" s="167"/>
      <c r="P188" s="167">
        <f>Simulador!O562</f>
        <v>0</v>
      </c>
      <c r="Q188" s="167">
        <f t="shared" si="62"/>
        <v>0</v>
      </c>
      <c r="R188" s="167">
        <f t="shared" si="52"/>
        <v>0</v>
      </c>
      <c r="U188" s="6"/>
      <c r="V188" s="6"/>
      <c r="W188" s="6"/>
      <c r="X188" s="256">
        <f t="shared" si="46"/>
        <v>0</v>
      </c>
      <c r="Z188" s="201">
        <f t="shared" si="49"/>
        <v>0</v>
      </c>
      <c r="AA188" s="201">
        <f t="shared" si="53"/>
        <v>0</v>
      </c>
      <c r="AB188" s="202">
        <f t="shared" si="54"/>
        <v>0</v>
      </c>
      <c r="AC188" s="201">
        <f t="shared" si="55"/>
        <v>10421.884210717653</v>
      </c>
      <c r="AD188" s="201">
        <f t="shared" si="56"/>
        <v>0</v>
      </c>
      <c r="AE188" s="201">
        <f t="shared" si="63"/>
        <v>10421.884210717653</v>
      </c>
      <c r="AF188" s="201">
        <f t="shared" si="57"/>
        <v>0</v>
      </c>
      <c r="AG188" s="201">
        <f t="shared" si="58"/>
        <v>0</v>
      </c>
      <c r="AH188" s="201">
        <f t="shared" si="64"/>
        <v>0</v>
      </c>
    </row>
    <row r="189" spans="3:34" x14ac:dyDescent="0.3">
      <c r="C189" s="179">
        <f t="shared" si="50"/>
        <v>172</v>
      </c>
      <c r="D189" s="180">
        <f t="shared" si="59"/>
        <v>30.4</v>
      </c>
      <c r="E189" s="165">
        <f>IF(C189="","",Simulador!$F$62)</f>
        <v>0.11</v>
      </c>
      <c r="F189" s="167"/>
      <c r="G189" s="167">
        <f t="shared" si="60"/>
        <v>0</v>
      </c>
      <c r="H189" s="166"/>
      <c r="I189" s="167">
        <f t="shared" si="47"/>
        <v>0</v>
      </c>
      <c r="J189" s="167">
        <f t="shared" si="48"/>
        <v>0</v>
      </c>
      <c r="K189" s="172">
        <f t="shared" si="51"/>
        <v>0</v>
      </c>
      <c r="L189" s="167">
        <f t="shared" si="45"/>
        <v>0</v>
      </c>
      <c r="M189" s="167">
        <f t="shared" si="61"/>
        <v>0</v>
      </c>
      <c r="N189" s="167">
        <f>IF(C189="","",IF(G189=0,0,IF(Simulador!$F$11='Tabla Parámetros'!$W$1,'Tabla Parámetros'!$W$28,IF(Simulador!$F$11='Tabla Parámetros'!$Y$1,'Tabla Parámetros'!$Y$12))))</f>
        <v>0</v>
      </c>
      <c r="O189" s="167"/>
      <c r="P189" s="167">
        <f>Simulador!O563</f>
        <v>0</v>
      </c>
      <c r="Q189" s="167">
        <f t="shared" si="62"/>
        <v>0</v>
      </c>
      <c r="R189" s="167">
        <f t="shared" si="52"/>
        <v>0</v>
      </c>
      <c r="U189" s="6"/>
      <c r="V189" s="6"/>
      <c r="W189" s="6"/>
      <c r="X189" s="256">
        <f t="shared" si="46"/>
        <v>0</v>
      </c>
      <c r="Z189" s="201">
        <f t="shared" si="49"/>
        <v>0</v>
      </c>
      <c r="AA189" s="201">
        <f t="shared" si="53"/>
        <v>0</v>
      </c>
      <c r="AB189" s="202">
        <f t="shared" si="54"/>
        <v>0</v>
      </c>
      <c r="AC189" s="201">
        <f t="shared" si="55"/>
        <v>10421.884210717653</v>
      </c>
      <c r="AD189" s="201">
        <f t="shared" si="56"/>
        <v>0</v>
      </c>
      <c r="AE189" s="201">
        <f t="shared" si="63"/>
        <v>10421.884210717653</v>
      </c>
      <c r="AF189" s="201">
        <f t="shared" si="57"/>
        <v>0</v>
      </c>
      <c r="AG189" s="201">
        <f t="shared" si="58"/>
        <v>0</v>
      </c>
      <c r="AH189" s="201">
        <f t="shared" si="64"/>
        <v>0</v>
      </c>
    </row>
    <row r="190" spans="3:34" x14ac:dyDescent="0.3">
      <c r="C190" s="181">
        <f t="shared" si="50"/>
        <v>173</v>
      </c>
      <c r="D190" s="180">
        <f t="shared" si="59"/>
        <v>30.4</v>
      </c>
      <c r="E190" s="165">
        <f>IF(C190="","",Simulador!$F$62)</f>
        <v>0.11</v>
      </c>
      <c r="F190" s="167"/>
      <c r="G190" s="167">
        <f t="shared" si="60"/>
        <v>0</v>
      </c>
      <c r="H190" s="166"/>
      <c r="I190" s="167">
        <f t="shared" si="47"/>
        <v>0</v>
      </c>
      <c r="J190" s="167">
        <f t="shared" si="48"/>
        <v>0</v>
      </c>
      <c r="K190" s="172">
        <f t="shared" si="51"/>
        <v>0</v>
      </c>
      <c r="L190" s="167">
        <f t="shared" si="45"/>
        <v>0</v>
      </c>
      <c r="M190" s="167">
        <f t="shared" si="61"/>
        <v>0</v>
      </c>
      <c r="N190" s="167">
        <f>IF(C190="","",IF(G190=0,0,IF(Simulador!$F$11='Tabla Parámetros'!$W$1,'Tabla Parámetros'!$W$28,IF(Simulador!$F$11='Tabla Parámetros'!$Y$1,'Tabla Parámetros'!$Y$12))))</f>
        <v>0</v>
      </c>
      <c r="O190" s="167"/>
      <c r="P190" s="167">
        <f>Simulador!O564</f>
        <v>0</v>
      </c>
      <c r="Q190" s="167">
        <f t="shared" si="62"/>
        <v>0</v>
      </c>
      <c r="R190" s="167">
        <f t="shared" si="52"/>
        <v>0</v>
      </c>
      <c r="U190" s="6"/>
      <c r="V190" s="6"/>
      <c r="W190" s="6"/>
      <c r="X190" s="256">
        <f t="shared" si="46"/>
        <v>0</v>
      </c>
      <c r="Z190" s="201">
        <f t="shared" si="49"/>
        <v>0</v>
      </c>
      <c r="AA190" s="201">
        <f t="shared" si="53"/>
        <v>0</v>
      </c>
      <c r="AB190" s="202">
        <f t="shared" si="54"/>
        <v>0</v>
      </c>
      <c r="AC190" s="201">
        <f t="shared" si="55"/>
        <v>10421.884210717653</v>
      </c>
      <c r="AD190" s="201">
        <f t="shared" si="56"/>
        <v>0</v>
      </c>
      <c r="AE190" s="201">
        <f t="shared" si="63"/>
        <v>10421.884210717653</v>
      </c>
      <c r="AF190" s="201">
        <f t="shared" si="57"/>
        <v>0</v>
      </c>
      <c r="AG190" s="201">
        <f t="shared" si="58"/>
        <v>0</v>
      </c>
      <c r="AH190" s="201">
        <f t="shared" si="64"/>
        <v>0</v>
      </c>
    </row>
    <row r="191" spans="3:34" x14ac:dyDescent="0.3">
      <c r="C191" s="179">
        <f t="shared" si="50"/>
        <v>174</v>
      </c>
      <c r="D191" s="180">
        <f t="shared" si="59"/>
        <v>30.4</v>
      </c>
      <c r="E191" s="165">
        <f>IF(C191="","",Simulador!$F$62)</f>
        <v>0.11</v>
      </c>
      <c r="F191" s="167"/>
      <c r="G191" s="167">
        <f t="shared" si="60"/>
        <v>0</v>
      </c>
      <c r="H191" s="166"/>
      <c r="I191" s="167">
        <f t="shared" si="47"/>
        <v>0</v>
      </c>
      <c r="J191" s="167">
        <f t="shared" si="48"/>
        <v>0</v>
      </c>
      <c r="K191" s="172">
        <f t="shared" si="51"/>
        <v>0</v>
      </c>
      <c r="L191" s="167">
        <f t="shared" si="45"/>
        <v>0</v>
      </c>
      <c r="M191" s="167">
        <f t="shared" si="61"/>
        <v>0</v>
      </c>
      <c r="N191" s="167">
        <f>IF(C191="","",IF(G191=0,0,IF(Simulador!$F$11='Tabla Parámetros'!$W$1,'Tabla Parámetros'!$W$28,IF(Simulador!$F$11='Tabla Parámetros'!$Y$1,'Tabla Parámetros'!$Y$12))))</f>
        <v>0</v>
      </c>
      <c r="O191" s="167"/>
      <c r="P191" s="167">
        <f>Simulador!O565</f>
        <v>0</v>
      </c>
      <c r="Q191" s="167">
        <f t="shared" si="62"/>
        <v>0</v>
      </c>
      <c r="R191" s="167">
        <f t="shared" si="52"/>
        <v>0</v>
      </c>
      <c r="U191" s="6"/>
      <c r="V191" s="6"/>
      <c r="W191" s="6"/>
      <c r="X191" s="256">
        <f t="shared" si="46"/>
        <v>0</v>
      </c>
      <c r="Z191" s="201">
        <f t="shared" si="49"/>
        <v>0</v>
      </c>
      <c r="AA191" s="201">
        <f t="shared" si="53"/>
        <v>0</v>
      </c>
      <c r="AB191" s="202">
        <f t="shared" si="54"/>
        <v>0</v>
      </c>
      <c r="AC191" s="201">
        <f t="shared" si="55"/>
        <v>10421.884210717653</v>
      </c>
      <c r="AD191" s="201">
        <f t="shared" si="56"/>
        <v>0</v>
      </c>
      <c r="AE191" s="201">
        <f t="shared" si="63"/>
        <v>10421.884210717653</v>
      </c>
      <c r="AF191" s="201">
        <f t="shared" si="57"/>
        <v>0</v>
      </c>
      <c r="AG191" s="201">
        <f t="shared" si="58"/>
        <v>0</v>
      </c>
      <c r="AH191" s="201">
        <f t="shared" si="64"/>
        <v>0</v>
      </c>
    </row>
    <row r="192" spans="3:34" x14ac:dyDescent="0.3">
      <c r="C192" s="179">
        <f t="shared" si="50"/>
        <v>175</v>
      </c>
      <c r="D192" s="180">
        <f t="shared" si="59"/>
        <v>30.4</v>
      </c>
      <c r="E192" s="165">
        <f>IF(C192="","",Simulador!$F$62)</f>
        <v>0.11</v>
      </c>
      <c r="F192" s="167"/>
      <c r="G192" s="167">
        <f t="shared" si="60"/>
        <v>0</v>
      </c>
      <c r="H192" s="166"/>
      <c r="I192" s="167">
        <f t="shared" si="47"/>
        <v>0</v>
      </c>
      <c r="J192" s="167">
        <f t="shared" si="48"/>
        <v>0</v>
      </c>
      <c r="K192" s="172">
        <f t="shared" si="51"/>
        <v>0</v>
      </c>
      <c r="L192" s="167">
        <f t="shared" si="45"/>
        <v>0</v>
      </c>
      <c r="M192" s="167">
        <f t="shared" si="61"/>
        <v>0</v>
      </c>
      <c r="N192" s="167">
        <f>IF(C192="","",IF(G192=0,0,IF(Simulador!$F$11='Tabla Parámetros'!$W$1,'Tabla Parámetros'!$W$28,IF(Simulador!$F$11='Tabla Parámetros'!$Y$1,'Tabla Parámetros'!$Y$12))))</f>
        <v>0</v>
      </c>
      <c r="O192" s="167"/>
      <c r="P192" s="167">
        <f>Simulador!O566</f>
        <v>0</v>
      </c>
      <c r="Q192" s="167">
        <f t="shared" si="62"/>
        <v>0</v>
      </c>
      <c r="R192" s="167">
        <f t="shared" si="52"/>
        <v>0</v>
      </c>
      <c r="U192" s="6"/>
      <c r="V192" s="6"/>
      <c r="W192" s="6"/>
      <c r="X192" s="256">
        <f t="shared" si="46"/>
        <v>0</v>
      </c>
      <c r="Z192" s="201">
        <f t="shared" si="49"/>
        <v>0</v>
      </c>
      <c r="AA192" s="201">
        <f t="shared" si="53"/>
        <v>0</v>
      </c>
      <c r="AB192" s="202">
        <f t="shared" si="54"/>
        <v>0</v>
      </c>
      <c r="AC192" s="201">
        <f t="shared" si="55"/>
        <v>10421.884210717653</v>
      </c>
      <c r="AD192" s="201">
        <f t="shared" si="56"/>
        <v>0</v>
      </c>
      <c r="AE192" s="201">
        <f t="shared" si="63"/>
        <v>10421.884210717653</v>
      </c>
      <c r="AF192" s="201">
        <f t="shared" si="57"/>
        <v>0</v>
      </c>
      <c r="AG192" s="201">
        <f t="shared" si="58"/>
        <v>0</v>
      </c>
      <c r="AH192" s="201">
        <f t="shared" si="64"/>
        <v>0</v>
      </c>
    </row>
    <row r="193" spans="3:34" x14ac:dyDescent="0.3">
      <c r="C193" s="179">
        <f t="shared" si="50"/>
        <v>176</v>
      </c>
      <c r="D193" s="180">
        <f t="shared" si="59"/>
        <v>30.4</v>
      </c>
      <c r="E193" s="165">
        <f>IF(C193="","",Simulador!$F$62)</f>
        <v>0.11</v>
      </c>
      <c r="F193" s="167"/>
      <c r="G193" s="167">
        <f t="shared" si="60"/>
        <v>0</v>
      </c>
      <c r="H193" s="166"/>
      <c r="I193" s="167">
        <f t="shared" si="47"/>
        <v>0</v>
      </c>
      <c r="J193" s="167">
        <f t="shared" si="48"/>
        <v>0</v>
      </c>
      <c r="K193" s="172">
        <f t="shared" si="51"/>
        <v>0</v>
      </c>
      <c r="L193" s="167">
        <f t="shared" si="45"/>
        <v>0</v>
      </c>
      <c r="M193" s="167">
        <f t="shared" si="61"/>
        <v>0</v>
      </c>
      <c r="N193" s="167">
        <f>IF(C193="","",IF(G193=0,0,IF(Simulador!$F$11='Tabla Parámetros'!$W$1,'Tabla Parámetros'!$W$28,IF(Simulador!$F$11='Tabla Parámetros'!$Y$1,'Tabla Parámetros'!$Y$12))))</f>
        <v>0</v>
      </c>
      <c r="O193" s="167"/>
      <c r="P193" s="167">
        <f>Simulador!O567</f>
        <v>0</v>
      </c>
      <c r="Q193" s="167">
        <f t="shared" si="62"/>
        <v>0</v>
      </c>
      <c r="R193" s="167">
        <f t="shared" si="52"/>
        <v>0</v>
      </c>
      <c r="U193" s="6"/>
      <c r="V193" s="6"/>
      <c r="W193" s="6"/>
      <c r="X193" s="256">
        <f t="shared" si="46"/>
        <v>0</v>
      </c>
      <c r="Z193" s="201">
        <f t="shared" si="49"/>
        <v>0</v>
      </c>
      <c r="AA193" s="201">
        <f t="shared" si="53"/>
        <v>0</v>
      </c>
      <c r="AB193" s="202">
        <f t="shared" si="54"/>
        <v>0</v>
      </c>
      <c r="AC193" s="201">
        <f t="shared" si="55"/>
        <v>10421.884210717653</v>
      </c>
      <c r="AD193" s="201">
        <f t="shared" si="56"/>
        <v>0</v>
      </c>
      <c r="AE193" s="201">
        <f t="shared" si="63"/>
        <v>10421.884210717653</v>
      </c>
      <c r="AF193" s="201">
        <f t="shared" si="57"/>
        <v>0</v>
      </c>
      <c r="AG193" s="201">
        <f t="shared" si="58"/>
        <v>0</v>
      </c>
      <c r="AH193" s="201">
        <f t="shared" si="64"/>
        <v>0</v>
      </c>
    </row>
    <row r="194" spans="3:34" x14ac:dyDescent="0.3">
      <c r="C194" s="181">
        <f t="shared" si="50"/>
        <v>177</v>
      </c>
      <c r="D194" s="180">
        <f t="shared" si="59"/>
        <v>30.4</v>
      </c>
      <c r="E194" s="165">
        <f>IF(C194="","",Simulador!$F$62)</f>
        <v>0.11</v>
      </c>
      <c r="F194" s="167"/>
      <c r="G194" s="167">
        <f t="shared" si="60"/>
        <v>0</v>
      </c>
      <c r="H194" s="166"/>
      <c r="I194" s="167">
        <f t="shared" si="47"/>
        <v>0</v>
      </c>
      <c r="J194" s="167">
        <f t="shared" si="48"/>
        <v>0</v>
      </c>
      <c r="K194" s="172">
        <f t="shared" si="51"/>
        <v>0</v>
      </c>
      <c r="L194" s="167">
        <f t="shared" si="45"/>
        <v>0</v>
      </c>
      <c r="M194" s="167">
        <f t="shared" si="61"/>
        <v>0</v>
      </c>
      <c r="N194" s="167">
        <f>IF(C194="","",IF(G194=0,0,IF(Simulador!$F$11='Tabla Parámetros'!$W$1,'Tabla Parámetros'!$W$28,IF(Simulador!$F$11='Tabla Parámetros'!$Y$1,'Tabla Parámetros'!$Y$12))))</f>
        <v>0</v>
      </c>
      <c r="O194" s="167"/>
      <c r="P194" s="167">
        <f>Simulador!O568</f>
        <v>0</v>
      </c>
      <c r="Q194" s="167">
        <f t="shared" si="62"/>
        <v>0</v>
      </c>
      <c r="R194" s="167">
        <f t="shared" si="52"/>
        <v>0</v>
      </c>
      <c r="U194" s="6"/>
      <c r="V194" s="6"/>
      <c r="W194" s="6"/>
      <c r="X194" s="256">
        <f t="shared" si="46"/>
        <v>0</v>
      </c>
      <c r="Z194" s="201">
        <f t="shared" si="49"/>
        <v>0</v>
      </c>
      <c r="AA194" s="201">
        <f t="shared" si="53"/>
        <v>0</v>
      </c>
      <c r="AB194" s="202">
        <f t="shared" si="54"/>
        <v>0</v>
      </c>
      <c r="AC194" s="201">
        <f t="shared" si="55"/>
        <v>10421.884210717653</v>
      </c>
      <c r="AD194" s="201">
        <f t="shared" si="56"/>
        <v>0</v>
      </c>
      <c r="AE194" s="201">
        <f t="shared" si="63"/>
        <v>10421.884210717653</v>
      </c>
      <c r="AF194" s="201">
        <f t="shared" si="57"/>
        <v>0</v>
      </c>
      <c r="AG194" s="201">
        <f t="shared" si="58"/>
        <v>0</v>
      </c>
      <c r="AH194" s="201">
        <f t="shared" si="64"/>
        <v>0</v>
      </c>
    </row>
    <row r="195" spans="3:34" x14ac:dyDescent="0.3">
      <c r="C195" s="179">
        <f t="shared" si="50"/>
        <v>178</v>
      </c>
      <c r="D195" s="180">
        <f t="shared" si="59"/>
        <v>30.4</v>
      </c>
      <c r="E195" s="165">
        <f>IF(C195="","",Simulador!$F$62)</f>
        <v>0.11</v>
      </c>
      <c r="F195" s="167"/>
      <c r="G195" s="167">
        <f t="shared" si="60"/>
        <v>0</v>
      </c>
      <c r="H195" s="166"/>
      <c r="I195" s="167">
        <f t="shared" si="47"/>
        <v>0</v>
      </c>
      <c r="J195" s="167">
        <f t="shared" si="48"/>
        <v>0</v>
      </c>
      <c r="K195" s="172">
        <f t="shared" si="51"/>
        <v>0</v>
      </c>
      <c r="L195" s="167">
        <f t="shared" si="45"/>
        <v>0</v>
      </c>
      <c r="M195" s="167">
        <f t="shared" si="61"/>
        <v>0</v>
      </c>
      <c r="N195" s="167">
        <f>IF(C195="","",IF(G195=0,0,IF(Simulador!$F$11='Tabla Parámetros'!$W$1,'Tabla Parámetros'!$W$28,IF(Simulador!$F$11='Tabla Parámetros'!$Y$1,'Tabla Parámetros'!$Y$12))))</f>
        <v>0</v>
      </c>
      <c r="O195" s="167"/>
      <c r="P195" s="167">
        <f>Simulador!O569</f>
        <v>0</v>
      </c>
      <c r="Q195" s="167">
        <f t="shared" si="62"/>
        <v>0</v>
      </c>
      <c r="R195" s="167">
        <f t="shared" si="52"/>
        <v>0</v>
      </c>
      <c r="U195" s="6"/>
      <c r="V195" s="6"/>
      <c r="W195" s="6"/>
      <c r="X195" s="256">
        <f t="shared" si="46"/>
        <v>0</v>
      </c>
      <c r="Z195" s="201">
        <f t="shared" si="49"/>
        <v>0</v>
      </c>
      <c r="AA195" s="201">
        <f t="shared" si="53"/>
        <v>0</v>
      </c>
      <c r="AB195" s="202">
        <f t="shared" si="54"/>
        <v>0</v>
      </c>
      <c r="AC195" s="201">
        <f t="shared" si="55"/>
        <v>10421.884210717653</v>
      </c>
      <c r="AD195" s="201">
        <f t="shared" si="56"/>
        <v>0</v>
      </c>
      <c r="AE195" s="201">
        <f t="shared" si="63"/>
        <v>10421.884210717653</v>
      </c>
      <c r="AF195" s="201">
        <f t="shared" si="57"/>
        <v>0</v>
      </c>
      <c r="AG195" s="201">
        <f t="shared" si="58"/>
        <v>0</v>
      </c>
      <c r="AH195" s="201">
        <f t="shared" si="64"/>
        <v>0</v>
      </c>
    </row>
    <row r="196" spans="3:34" x14ac:dyDescent="0.3">
      <c r="C196" s="179">
        <f t="shared" si="50"/>
        <v>179</v>
      </c>
      <c r="D196" s="180">
        <f t="shared" si="59"/>
        <v>30.4</v>
      </c>
      <c r="E196" s="165">
        <f>IF(C196="","",Simulador!$F$62)</f>
        <v>0.11</v>
      </c>
      <c r="F196" s="167"/>
      <c r="G196" s="167">
        <f t="shared" si="60"/>
        <v>0</v>
      </c>
      <c r="H196" s="166"/>
      <c r="I196" s="167">
        <f t="shared" si="47"/>
        <v>0</v>
      </c>
      <c r="J196" s="167">
        <f t="shared" si="48"/>
        <v>0</v>
      </c>
      <c r="K196" s="172">
        <f t="shared" si="51"/>
        <v>0</v>
      </c>
      <c r="L196" s="167">
        <f t="shared" si="45"/>
        <v>0</v>
      </c>
      <c r="M196" s="167">
        <f t="shared" si="61"/>
        <v>0</v>
      </c>
      <c r="N196" s="167">
        <f>IF(C196="","",IF(G196=0,0,IF(Simulador!$F$11='Tabla Parámetros'!$W$1,'Tabla Parámetros'!$W$28,IF(Simulador!$F$11='Tabla Parámetros'!$Y$1,'Tabla Parámetros'!$Y$12))))</f>
        <v>0</v>
      </c>
      <c r="O196" s="167"/>
      <c r="P196" s="167">
        <f>Simulador!O570</f>
        <v>0</v>
      </c>
      <c r="Q196" s="167">
        <f t="shared" si="62"/>
        <v>0</v>
      </c>
      <c r="R196" s="167">
        <f t="shared" si="52"/>
        <v>0</v>
      </c>
      <c r="U196" s="6"/>
      <c r="V196" s="6"/>
      <c r="W196" s="6"/>
      <c r="X196" s="256">
        <f t="shared" si="46"/>
        <v>0</v>
      </c>
      <c r="Z196" s="201">
        <f t="shared" si="49"/>
        <v>0</v>
      </c>
      <c r="AA196" s="201">
        <f t="shared" si="53"/>
        <v>0</v>
      </c>
      <c r="AB196" s="202">
        <f t="shared" si="54"/>
        <v>0</v>
      </c>
      <c r="AC196" s="201">
        <f t="shared" si="55"/>
        <v>10421.884210717653</v>
      </c>
      <c r="AD196" s="201">
        <f t="shared" si="56"/>
        <v>0</v>
      </c>
      <c r="AE196" s="201">
        <f t="shared" si="63"/>
        <v>10421.884210717653</v>
      </c>
      <c r="AF196" s="201">
        <f t="shared" si="57"/>
        <v>0</v>
      </c>
      <c r="AG196" s="201">
        <f t="shared" si="58"/>
        <v>0</v>
      </c>
      <c r="AH196" s="201">
        <f t="shared" si="64"/>
        <v>0</v>
      </c>
    </row>
    <row r="197" spans="3:34" x14ac:dyDescent="0.3">
      <c r="C197" s="179">
        <f t="shared" si="50"/>
        <v>180</v>
      </c>
      <c r="D197" s="180">
        <f t="shared" si="59"/>
        <v>30.4</v>
      </c>
      <c r="E197" s="165">
        <f>IF(C197="","",Simulador!$F$62)</f>
        <v>0.11</v>
      </c>
      <c r="F197" s="167"/>
      <c r="G197" s="167">
        <f t="shared" si="60"/>
        <v>0</v>
      </c>
      <c r="H197" s="166"/>
      <c r="I197" s="167">
        <f t="shared" si="47"/>
        <v>0</v>
      </c>
      <c r="J197" s="167">
        <f t="shared" si="48"/>
        <v>0</v>
      </c>
      <c r="K197" s="172">
        <f t="shared" si="51"/>
        <v>0</v>
      </c>
      <c r="L197" s="167">
        <f t="shared" si="45"/>
        <v>0</v>
      </c>
      <c r="M197" s="167">
        <f t="shared" si="61"/>
        <v>0</v>
      </c>
      <c r="N197" s="167">
        <f>IF(C197="","",IF(G197=0,0,IF(Simulador!$F$11='Tabla Parámetros'!$W$1,'Tabla Parámetros'!$W$28,IF(Simulador!$F$11='Tabla Parámetros'!$Y$1,'Tabla Parámetros'!$Y$12))))</f>
        <v>0</v>
      </c>
      <c r="O197" s="167"/>
      <c r="P197" s="167">
        <f>Simulador!O571</f>
        <v>0</v>
      </c>
      <c r="Q197" s="167">
        <f t="shared" si="62"/>
        <v>0</v>
      </c>
      <c r="R197" s="167">
        <f t="shared" si="52"/>
        <v>0</v>
      </c>
      <c r="U197" s="6"/>
      <c r="V197" s="6"/>
      <c r="W197" s="6"/>
      <c r="X197" s="256">
        <f t="shared" si="46"/>
        <v>0</v>
      </c>
      <c r="Z197" s="201">
        <f t="shared" si="49"/>
        <v>0</v>
      </c>
      <c r="AA197" s="201">
        <f t="shared" si="53"/>
        <v>0</v>
      </c>
      <c r="AB197" s="202">
        <f t="shared" si="54"/>
        <v>0</v>
      </c>
      <c r="AC197" s="201">
        <f t="shared" si="55"/>
        <v>10421.884210717653</v>
      </c>
      <c r="AD197" s="201">
        <f t="shared" si="56"/>
        <v>0</v>
      </c>
      <c r="AE197" s="201">
        <f t="shared" si="63"/>
        <v>10421.884210717653</v>
      </c>
      <c r="AF197" s="201">
        <f t="shared" si="57"/>
        <v>0</v>
      </c>
      <c r="AG197" s="201">
        <f t="shared" si="58"/>
        <v>0</v>
      </c>
      <c r="AH197" s="201">
        <f t="shared" si="64"/>
        <v>0</v>
      </c>
    </row>
    <row r="198" spans="3:34" x14ac:dyDescent="0.3">
      <c r="C198" s="181">
        <f t="shared" si="50"/>
        <v>181</v>
      </c>
      <c r="D198" s="180">
        <f t="shared" si="59"/>
        <v>30.4</v>
      </c>
      <c r="E198" s="165">
        <f>IF(C198="","",Simulador!$F$62)</f>
        <v>0.11</v>
      </c>
      <c r="F198" s="167"/>
      <c r="G198" s="167">
        <f t="shared" si="60"/>
        <v>0</v>
      </c>
      <c r="H198" s="166"/>
      <c r="I198" s="167">
        <f t="shared" si="47"/>
        <v>0</v>
      </c>
      <c r="J198" s="167">
        <f t="shared" si="48"/>
        <v>0</v>
      </c>
      <c r="K198" s="172">
        <f t="shared" si="51"/>
        <v>0</v>
      </c>
      <c r="L198" s="167">
        <f t="shared" si="45"/>
        <v>0</v>
      </c>
      <c r="M198" s="167">
        <f t="shared" si="61"/>
        <v>0</v>
      </c>
      <c r="N198" s="167">
        <f>IF(C198="","",IF(G198=0,0,IF(Simulador!$F$11='Tabla Parámetros'!$W$1,'Tabla Parámetros'!$W$28,IF(Simulador!$F$11='Tabla Parámetros'!$Y$1,'Tabla Parámetros'!$Y$12))))</f>
        <v>0</v>
      </c>
      <c r="O198" s="167"/>
      <c r="P198" s="167">
        <f>Simulador!O572</f>
        <v>0</v>
      </c>
      <c r="Q198" s="167">
        <f t="shared" si="62"/>
        <v>0</v>
      </c>
      <c r="R198" s="167">
        <f t="shared" si="52"/>
        <v>0</v>
      </c>
      <c r="U198" s="6"/>
      <c r="V198" s="6"/>
      <c r="W198" s="6"/>
      <c r="X198" s="256">
        <f t="shared" si="46"/>
        <v>0</v>
      </c>
      <c r="Z198" s="201">
        <f t="shared" si="49"/>
        <v>0</v>
      </c>
      <c r="AA198" s="201">
        <f t="shared" si="53"/>
        <v>0</v>
      </c>
      <c r="AB198" s="202">
        <f t="shared" si="54"/>
        <v>0</v>
      </c>
      <c r="AC198" s="201">
        <f t="shared" si="55"/>
        <v>10421.884210717653</v>
      </c>
      <c r="AD198" s="201">
        <f t="shared" si="56"/>
        <v>0</v>
      </c>
      <c r="AE198" s="201">
        <f t="shared" si="63"/>
        <v>10421.884210717653</v>
      </c>
      <c r="AF198" s="201">
        <f t="shared" si="57"/>
        <v>0</v>
      </c>
      <c r="AG198" s="201">
        <f t="shared" si="58"/>
        <v>0</v>
      </c>
      <c r="AH198" s="201">
        <f t="shared" si="64"/>
        <v>0</v>
      </c>
    </row>
    <row r="199" spans="3:34" x14ac:dyDescent="0.3">
      <c r="C199" s="179">
        <f t="shared" si="50"/>
        <v>182</v>
      </c>
      <c r="D199" s="180">
        <f t="shared" si="59"/>
        <v>30.4</v>
      </c>
      <c r="E199" s="165">
        <f>IF(C199="","",Simulador!$F$62)</f>
        <v>0.11</v>
      </c>
      <c r="F199" s="167"/>
      <c r="G199" s="167">
        <f t="shared" si="60"/>
        <v>0</v>
      </c>
      <c r="H199" s="166"/>
      <c r="I199" s="167">
        <f t="shared" si="47"/>
        <v>0</v>
      </c>
      <c r="J199" s="167">
        <f t="shared" si="48"/>
        <v>0</v>
      </c>
      <c r="K199" s="172">
        <f t="shared" si="51"/>
        <v>0</v>
      </c>
      <c r="L199" s="167">
        <f t="shared" ref="L199:L257" si="65">G199*$J$2</f>
        <v>0</v>
      </c>
      <c r="M199" s="167">
        <f t="shared" si="61"/>
        <v>0</v>
      </c>
      <c r="N199" s="167">
        <f>IF(C199="","",IF(G199=0,0,IF(Simulador!$F$11='Tabla Parámetros'!$W$1,'Tabla Parámetros'!$W$28,IF(Simulador!$F$11='Tabla Parámetros'!$Y$1,'Tabla Parámetros'!$Y$12))))</f>
        <v>0</v>
      </c>
      <c r="O199" s="167"/>
      <c r="P199" s="167">
        <f>Simulador!O573</f>
        <v>0</v>
      </c>
      <c r="Q199" s="167">
        <f t="shared" si="62"/>
        <v>0</v>
      </c>
      <c r="R199" s="167">
        <f t="shared" si="52"/>
        <v>0</v>
      </c>
      <c r="U199" s="6"/>
      <c r="V199" s="6"/>
      <c r="W199" s="6"/>
      <c r="X199" s="256">
        <f t="shared" si="46"/>
        <v>0</v>
      </c>
      <c r="Z199" s="201">
        <f t="shared" si="49"/>
        <v>0</v>
      </c>
      <c r="AA199" s="201">
        <f t="shared" si="53"/>
        <v>0</v>
      </c>
      <c r="AB199" s="202">
        <f t="shared" si="54"/>
        <v>0</v>
      </c>
      <c r="AC199" s="201">
        <f t="shared" si="55"/>
        <v>10421.884210717653</v>
      </c>
      <c r="AD199" s="201">
        <f t="shared" si="56"/>
        <v>0</v>
      </c>
      <c r="AE199" s="201">
        <f t="shared" si="63"/>
        <v>10421.884210717653</v>
      </c>
      <c r="AF199" s="201">
        <f t="shared" si="57"/>
        <v>0</v>
      </c>
      <c r="AG199" s="201">
        <f t="shared" si="58"/>
        <v>0</v>
      </c>
      <c r="AH199" s="201">
        <f t="shared" si="64"/>
        <v>0</v>
      </c>
    </row>
    <row r="200" spans="3:34" x14ac:dyDescent="0.3">
      <c r="C200" s="179">
        <f t="shared" si="50"/>
        <v>183</v>
      </c>
      <c r="D200" s="180">
        <f t="shared" si="59"/>
        <v>30.4</v>
      </c>
      <c r="E200" s="165">
        <f>IF(C200="","",Simulador!$F$62)</f>
        <v>0.11</v>
      </c>
      <c r="F200" s="167"/>
      <c r="G200" s="167">
        <f t="shared" si="60"/>
        <v>0</v>
      </c>
      <c r="H200" s="166"/>
      <c r="I200" s="167">
        <f t="shared" si="47"/>
        <v>0</v>
      </c>
      <c r="J200" s="167">
        <f t="shared" si="48"/>
        <v>0</v>
      </c>
      <c r="K200" s="172">
        <f t="shared" si="51"/>
        <v>0</v>
      </c>
      <c r="L200" s="167">
        <f t="shared" si="65"/>
        <v>0</v>
      </c>
      <c r="M200" s="167">
        <f t="shared" si="61"/>
        <v>0</v>
      </c>
      <c r="N200" s="167">
        <f>IF(C200="","",IF(G200=0,0,IF(Simulador!$F$11='Tabla Parámetros'!$W$1,'Tabla Parámetros'!$W$28,IF(Simulador!$F$11='Tabla Parámetros'!$Y$1,'Tabla Parámetros'!$Y$12))))</f>
        <v>0</v>
      </c>
      <c r="O200" s="167"/>
      <c r="P200" s="167">
        <f>Simulador!O574</f>
        <v>0</v>
      </c>
      <c r="Q200" s="167">
        <f t="shared" si="62"/>
        <v>0</v>
      </c>
      <c r="R200" s="167">
        <f t="shared" si="52"/>
        <v>0</v>
      </c>
      <c r="U200" s="6"/>
      <c r="V200" s="6"/>
      <c r="W200" s="6"/>
      <c r="X200" s="256">
        <f t="shared" si="46"/>
        <v>0</v>
      </c>
      <c r="Z200" s="201">
        <f t="shared" si="49"/>
        <v>0</v>
      </c>
      <c r="AA200" s="201">
        <f t="shared" si="53"/>
        <v>0</v>
      </c>
      <c r="AB200" s="202">
        <f t="shared" si="54"/>
        <v>0</v>
      </c>
      <c r="AC200" s="201">
        <f t="shared" si="55"/>
        <v>10421.884210717653</v>
      </c>
      <c r="AD200" s="201">
        <f t="shared" si="56"/>
        <v>0</v>
      </c>
      <c r="AE200" s="201">
        <f t="shared" si="63"/>
        <v>10421.884210717653</v>
      </c>
      <c r="AF200" s="201">
        <f t="shared" si="57"/>
        <v>0</v>
      </c>
      <c r="AG200" s="201">
        <f t="shared" si="58"/>
        <v>0</v>
      </c>
      <c r="AH200" s="201">
        <f t="shared" si="64"/>
        <v>0</v>
      </c>
    </row>
    <row r="201" spans="3:34" x14ac:dyDescent="0.3">
      <c r="C201" s="179">
        <f t="shared" si="50"/>
        <v>184</v>
      </c>
      <c r="D201" s="180">
        <f t="shared" si="59"/>
        <v>30.4</v>
      </c>
      <c r="E201" s="165">
        <f>IF(C201="","",Simulador!$F$62)</f>
        <v>0.11</v>
      </c>
      <c r="F201" s="167"/>
      <c r="G201" s="167">
        <f t="shared" si="60"/>
        <v>0</v>
      </c>
      <c r="H201" s="166"/>
      <c r="I201" s="167">
        <f t="shared" si="47"/>
        <v>0</v>
      </c>
      <c r="J201" s="167">
        <f t="shared" si="48"/>
        <v>0</v>
      </c>
      <c r="K201" s="172">
        <f t="shared" si="51"/>
        <v>0</v>
      </c>
      <c r="L201" s="167">
        <f t="shared" si="65"/>
        <v>0</v>
      </c>
      <c r="M201" s="167">
        <f t="shared" si="61"/>
        <v>0</v>
      </c>
      <c r="N201" s="167">
        <f>IF(C201="","",IF(G201=0,0,IF(Simulador!$F$11='Tabla Parámetros'!$W$1,'Tabla Parámetros'!$W$28,IF(Simulador!$F$11='Tabla Parámetros'!$Y$1,'Tabla Parámetros'!$Y$12))))</f>
        <v>0</v>
      </c>
      <c r="O201" s="167"/>
      <c r="P201" s="167">
        <f>Simulador!O575</f>
        <v>0</v>
      </c>
      <c r="Q201" s="167">
        <f t="shared" si="62"/>
        <v>0</v>
      </c>
      <c r="R201" s="167">
        <f t="shared" si="52"/>
        <v>0</v>
      </c>
      <c r="U201" s="6"/>
      <c r="V201" s="6"/>
      <c r="W201" s="6"/>
      <c r="X201" s="256">
        <f t="shared" si="46"/>
        <v>0</v>
      </c>
      <c r="Z201" s="201">
        <f t="shared" si="49"/>
        <v>0</v>
      </c>
      <c r="AA201" s="201">
        <f t="shared" si="53"/>
        <v>0</v>
      </c>
      <c r="AB201" s="202">
        <f t="shared" si="54"/>
        <v>0</v>
      </c>
      <c r="AC201" s="201">
        <f t="shared" si="55"/>
        <v>10421.884210717653</v>
      </c>
      <c r="AD201" s="201">
        <f t="shared" si="56"/>
        <v>0</v>
      </c>
      <c r="AE201" s="201">
        <f t="shared" si="63"/>
        <v>10421.884210717653</v>
      </c>
      <c r="AF201" s="201">
        <f t="shared" si="57"/>
        <v>0</v>
      </c>
      <c r="AG201" s="201">
        <f t="shared" si="58"/>
        <v>0</v>
      </c>
      <c r="AH201" s="201">
        <f t="shared" si="64"/>
        <v>0</v>
      </c>
    </row>
    <row r="202" spans="3:34" x14ac:dyDescent="0.3">
      <c r="C202" s="181">
        <f t="shared" si="50"/>
        <v>185</v>
      </c>
      <c r="D202" s="180">
        <f t="shared" si="59"/>
        <v>30.4</v>
      </c>
      <c r="E202" s="165">
        <f>IF(C202="","",Simulador!$F$62)</f>
        <v>0.11</v>
      </c>
      <c r="F202" s="167"/>
      <c r="G202" s="167">
        <f t="shared" si="60"/>
        <v>0</v>
      </c>
      <c r="H202" s="166"/>
      <c r="I202" s="167">
        <f t="shared" si="47"/>
        <v>0</v>
      </c>
      <c r="J202" s="167">
        <f t="shared" si="48"/>
        <v>0</v>
      </c>
      <c r="K202" s="172">
        <f t="shared" si="51"/>
        <v>0</v>
      </c>
      <c r="L202" s="167">
        <f t="shared" si="65"/>
        <v>0</v>
      </c>
      <c r="M202" s="167">
        <f t="shared" si="61"/>
        <v>0</v>
      </c>
      <c r="N202" s="167">
        <f>IF(C202="","",IF(G202=0,0,IF(Simulador!$F$11='Tabla Parámetros'!$W$1,'Tabla Parámetros'!$W$28,IF(Simulador!$F$11='Tabla Parámetros'!$Y$1,'Tabla Parámetros'!$Y$12))))</f>
        <v>0</v>
      </c>
      <c r="O202" s="167"/>
      <c r="P202" s="167">
        <f>Simulador!O576</f>
        <v>0</v>
      </c>
      <c r="Q202" s="167">
        <f t="shared" si="62"/>
        <v>0</v>
      </c>
      <c r="R202" s="167">
        <f t="shared" si="52"/>
        <v>0</v>
      </c>
      <c r="U202" s="6"/>
      <c r="V202" s="6"/>
      <c r="W202" s="6"/>
      <c r="X202" s="256">
        <f t="shared" si="46"/>
        <v>0</v>
      </c>
      <c r="Z202" s="201">
        <f t="shared" si="49"/>
        <v>0</v>
      </c>
      <c r="AA202" s="201">
        <f t="shared" si="53"/>
        <v>0</v>
      </c>
      <c r="AB202" s="202">
        <f t="shared" si="54"/>
        <v>0</v>
      </c>
      <c r="AC202" s="201">
        <f t="shared" si="55"/>
        <v>10421.884210717653</v>
      </c>
      <c r="AD202" s="201">
        <f t="shared" si="56"/>
        <v>0</v>
      </c>
      <c r="AE202" s="201">
        <f t="shared" si="63"/>
        <v>10421.884210717653</v>
      </c>
      <c r="AF202" s="201">
        <f t="shared" si="57"/>
        <v>0</v>
      </c>
      <c r="AG202" s="201">
        <f t="shared" si="58"/>
        <v>0</v>
      </c>
      <c r="AH202" s="201">
        <f t="shared" si="64"/>
        <v>0</v>
      </c>
    </row>
    <row r="203" spans="3:34" x14ac:dyDescent="0.3">
      <c r="C203" s="179">
        <f t="shared" si="50"/>
        <v>186</v>
      </c>
      <c r="D203" s="180">
        <f t="shared" si="59"/>
        <v>30.4</v>
      </c>
      <c r="E203" s="165">
        <f>IF(C203="","",Simulador!$F$62)</f>
        <v>0.11</v>
      </c>
      <c r="F203" s="167"/>
      <c r="G203" s="167">
        <f t="shared" si="60"/>
        <v>0</v>
      </c>
      <c r="H203" s="166"/>
      <c r="I203" s="167">
        <f t="shared" si="47"/>
        <v>0</v>
      </c>
      <c r="J203" s="167">
        <f t="shared" si="48"/>
        <v>0</v>
      </c>
      <c r="K203" s="172">
        <f t="shared" si="51"/>
        <v>0</v>
      </c>
      <c r="L203" s="167">
        <f t="shared" si="65"/>
        <v>0</v>
      </c>
      <c r="M203" s="167">
        <f t="shared" si="61"/>
        <v>0</v>
      </c>
      <c r="N203" s="167">
        <f>IF(C203="","",IF(G203=0,0,IF(Simulador!$F$11='Tabla Parámetros'!$W$1,'Tabla Parámetros'!$W$28,IF(Simulador!$F$11='Tabla Parámetros'!$Y$1,'Tabla Parámetros'!$Y$12))))</f>
        <v>0</v>
      </c>
      <c r="O203" s="167"/>
      <c r="P203" s="167">
        <f>Simulador!O577</f>
        <v>0</v>
      </c>
      <c r="Q203" s="167">
        <f t="shared" si="62"/>
        <v>0</v>
      </c>
      <c r="R203" s="167">
        <f t="shared" si="52"/>
        <v>0</v>
      </c>
      <c r="U203" s="6"/>
      <c r="V203" s="6"/>
      <c r="W203" s="6"/>
      <c r="X203" s="256">
        <f t="shared" si="46"/>
        <v>0</v>
      </c>
      <c r="Z203" s="201">
        <f t="shared" si="49"/>
        <v>0</v>
      </c>
      <c r="AA203" s="201">
        <f t="shared" si="53"/>
        <v>0</v>
      </c>
      <c r="AB203" s="202">
        <f t="shared" si="54"/>
        <v>0</v>
      </c>
      <c r="AC203" s="201">
        <f t="shared" si="55"/>
        <v>10421.884210717653</v>
      </c>
      <c r="AD203" s="201">
        <f t="shared" si="56"/>
        <v>0</v>
      </c>
      <c r="AE203" s="201">
        <f t="shared" si="63"/>
        <v>10421.884210717653</v>
      </c>
      <c r="AF203" s="201">
        <f t="shared" si="57"/>
        <v>0</v>
      </c>
      <c r="AG203" s="201">
        <f t="shared" si="58"/>
        <v>0</v>
      </c>
      <c r="AH203" s="201">
        <f t="shared" si="64"/>
        <v>0</v>
      </c>
    </row>
    <row r="204" spans="3:34" x14ac:dyDescent="0.3">
      <c r="C204" s="179">
        <f t="shared" si="50"/>
        <v>187</v>
      </c>
      <c r="D204" s="180">
        <f t="shared" si="59"/>
        <v>30.4</v>
      </c>
      <c r="E204" s="165">
        <f>IF(C204="","",Simulador!$F$62)</f>
        <v>0.11</v>
      </c>
      <c r="F204" s="167"/>
      <c r="G204" s="167">
        <f t="shared" si="60"/>
        <v>0</v>
      </c>
      <c r="H204" s="166"/>
      <c r="I204" s="167">
        <f t="shared" si="47"/>
        <v>0</v>
      </c>
      <c r="J204" s="167">
        <f t="shared" si="48"/>
        <v>0</v>
      </c>
      <c r="K204" s="172">
        <f t="shared" si="51"/>
        <v>0</v>
      </c>
      <c r="L204" s="167">
        <f t="shared" si="65"/>
        <v>0</v>
      </c>
      <c r="M204" s="167">
        <f t="shared" si="61"/>
        <v>0</v>
      </c>
      <c r="N204" s="167">
        <f>IF(C204="","",IF(G204=0,0,IF(Simulador!$F$11='Tabla Parámetros'!$W$1,'Tabla Parámetros'!$W$28,IF(Simulador!$F$11='Tabla Parámetros'!$Y$1,'Tabla Parámetros'!$Y$12))))</f>
        <v>0</v>
      </c>
      <c r="O204" s="167"/>
      <c r="P204" s="167">
        <f>Simulador!O578</f>
        <v>0</v>
      </c>
      <c r="Q204" s="167">
        <f t="shared" si="62"/>
        <v>0</v>
      </c>
      <c r="R204" s="167">
        <f t="shared" si="52"/>
        <v>0</v>
      </c>
      <c r="U204" s="6"/>
      <c r="V204" s="6"/>
      <c r="W204" s="6"/>
      <c r="X204" s="256">
        <f t="shared" si="46"/>
        <v>0</v>
      </c>
      <c r="Z204" s="201">
        <f t="shared" si="49"/>
        <v>0</v>
      </c>
      <c r="AA204" s="201">
        <f t="shared" si="53"/>
        <v>0</v>
      </c>
      <c r="AB204" s="202">
        <f t="shared" si="54"/>
        <v>0</v>
      </c>
      <c r="AC204" s="201">
        <f t="shared" si="55"/>
        <v>10421.884210717653</v>
      </c>
      <c r="AD204" s="201">
        <f t="shared" si="56"/>
        <v>0</v>
      </c>
      <c r="AE204" s="201">
        <f t="shared" si="63"/>
        <v>10421.884210717653</v>
      </c>
      <c r="AF204" s="201">
        <f t="shared" si="57"/>
        <v>0</v>
      </c>
      <c r="AG204" s="201">
        <f t="shared" si="58"/>
        <v>0</v>
      </c>
      <c r="AH204" s="201">
        <f t="shared" si="64"/>
        <v>0</v>
      </c>
    </row>
    <row r="205" spans="3:34" x14ac:dyDescent="0.3">
      <c r="C205" s="179">
        <f t="shared" si="50"/>
        <v>188</v>
      </c>
      <c r="D205" s="180">
        <f t="shared" si="59"/>
        <v>30.4</v>
      </c>
      <c r="E205" s="165">
        <f>IF(C205="","",Simulador!$F$62)</f>
        <v>0.11</v>
      </c>
      <c r="F205" s="167"/>
      <c r="G205" s="167">
        <f t="shared" si="60"/>
        <v>0</v>
      </c>
      <c r="H205" s="166"/>
      <c r="I205" s="167">
        <f t="shared" si="47"/>
        <v>0</v>
      </c>
      <c r="J205" s="167">
        <f t="shared" si="48"/>
        <v>0</v>
      </c>
      <c r="K205" s="172">
        <f t="shared" si="51"/>
        <v>0</v>
      </c>
      <c r="L205" s="167">
        <f t="shared" si="65"/>
        <v>0</v>
      </c>
      <c r="M205" s="167">
        <f t="shared" si="61"/>
        <v>0</v>
      </c>
      <c r="N205" s="167">
        <f>IF(C205="","",IF(G205=0,0,IF(Simulador!$F$11='Tabla Parámetros'!$W$1,'Tabla Parámetros'!$W$28,IF(Simulador!$F$11='Tabla Parámetros'!$Y$1,'Tabla Parámetros'!$Y$12))))</f>
        <v>0</v>
      </c>
      <c r="O205" s="167"/>
      <c r="P205" s="167">
        <f>Simulador!O579</f>
        <v>0</v>
      </c>
      <c r="Q205" s="167">
        <f t="shared" si="62"/>
        <v>0</v>
      </c>
      <c r="R205" s="167">
        <f t="shared" si="52"/>
        <v>0</v>
      </c>
      <c r="U205" s="6"/>
      <c r="V205" s="6"/>
      <c r="W205" s="6"/>
      <c r="X205" s="256">
        <f t="shared" si="46"/>
        <v>0</v>
      </c>
      <c r="Z205" s="201">
        <f t="shared" si="49"/>
        <v>0</v>
      </c>
      <c r="AA205" s="201">
        <f t="shared" si="53"/>
        <v>0</v>
      </c>
      <c r="AB205" s="202">
        <f t="shared" si="54"/>
        <v>0</v>
      </c>
      <c r="AC205" s="201">
        <f t="shared" si="55"/>
        <v>10421.884210717653</v>
      </c>
      <c r="AD205" s="201">
        <f t="shared" si="56"/>
        <v>0</v>
      </c>
      <c r="AE205" s="201">
        <f t="shared" si="63"/>
        <v>10421.884210717653</v>
      </c>
      <c r="AF205" s="201">
        <f t="shared" si="57"/>
        <v>0</v>
      </c>
      <c r="AG205" s="201">
        <f t="shared" si="58"/>
        <v>0</v>
      </c>
      <c r="AH205" s="201">
        <f t="shared" si="64"/>
        <v>0</v>
      </c>
    </row>
    <row r="206" spans="3:34" x14ac:dyDescent="0.3">
      <c r="C206" s="181">
        <f t="shared" si="50"/>
        <v>189</v>
      </c>
      <c r="D206" s="180">
        <f t="shared" si="59"/>
        <v>30.4</v>
      </c>
      <c r="E206" s="165">
        <f>IF(C206="","",Simulador!$F$62)</f>
        <v>0.11</v>
      </c>
      <c r="F206" s="167"/>
      <c r="G206" s="167">
        <f t="shared" si="60"/>
        <v>0</v>
      </c>
      <c r="H206" s="166"/>
      <c r="I206" s="167">
        <f t="shared" si="47"/>
        <v>0</v>
      </c>
      <c r="J206" s="167">
        <f t="shared" si="48"/>
        <v>0</v>
      </c>
      <c r="K206" s="172">
        <f t="shared" si="51"/>
        <v>0</v>
      </c>
      <c r="L206" s="167">
        <f t="shared" si="65"/>
        <v>0</v>
      </c>
      <c r="M206" s="167">
        <f t="shared" si="61"/>
        <v>0</v>
      </c>
      <c r="N206" s="167">
        <f>IF(C206="","",IF(G206=0,0,IF(Simulador!$F$11='Tabla Parámetros'!$W$1,'Tabla Parámetros'!$W$28,IF(Simulador!$F$11='Tabla Parámetros'!$Y$1,'Tabla Parámetros'!$Y$12))))</f>
        <v>0</v>
      </c>
      <c r="O206" s="167"/>
      <c r="P206" s="167">
        <f>Simulador!O580</f>
        <v>0</v>
      </c>
      <c r="Q206" s="167">
        <f t="shared" si="62"/>
        <v>0</v>
      </c>
      <c r="R206" s="167">
        <f t="shared" si="52"/>
        <v>0</v>
      </c>
      <c r="U206" s="6"/>
      <c r="V206" s="6"/>
      <c r="W206" s="6"/>
      <c r="X206" s="256">
        <f t="shared" si="46"/>
        <v>0</v>
      </c>
      <c r="Z206" s="201">
        <f t="shared" si="49"/>
        <v>0</v>
      </c>
      <c r="AA206" s="201">
        <f t="shared" si="53"/>
        <v>0</v>
      </c>
      <c r="AB206" s="202">
        <f t="shared" si="54"/>
        <v>0</v>
      </c>
      <c r="AC206" s="201">
        <f t="shared" si="55"/>
        <v>10421.884210717653</v>
      </c>
      <c r="AD206" s="201">
        <f t="shared" si="56"/>
        <v>0</v>
      </c>
      <c r="AE206" s="201">
        <f t="shared" si="63"/>
        <v>10421.884210717653</v>
      </c>
      <c r="AF206" s="201">
        <f t="shared" si="57"/>
        <v>0</v>
      </c>
      <c r="AG206" s="201">
        <f t="shared" si="58"/>
        <v>0</v>
      </c>
      <c r="AH206" s="201">
        <f t="shared" si="64"/>
        <v>0</v>
      </c>
    </row>
    <row r="207" spans="3:34" x14ac:dyDescent="0.3">
      <c r="C207" s="179">
        <f t="shared" si="50"/>
        <v>190</v>
      </c>
      <c r="D207" s="180">
        <f t="shared" si="59"/>
        <v>30.4</v>
      </c>
      <c r="E207" s="165">
        <f>IF(C207="","",Simulador!$F$62)</f>
        <v>0.11</v>
      </c>
      <c r="F207" s="167"/>
      <c r="G207" s="167">
        <f t="shared" si="60"/>
        <v>0</v>
      </c>
      <c r="H207" s="166"/>
      <c r="I207" s="167">
        <f t="shared" si="47"/>
        <v>0</v>
      </c>
      <c r="J207" s="167">
        <f t="shared" si="48"/>
        <v>0</v>
      </c>
      <c r="K207" s="172">
        <f t="shared" si="51"/>
        <v>0</v>
      </c>
      <c r="L207" s="167">
        <f t="shared" si="65"/>
        <v>0</v>
      </c>
      <c r="M207" s="167">
        <f t="shared" si="61"/>
        <v>0</v>
      </c>
      <c r="N207" s="167">
        <f>IF(C207="","",IF(G207=0,0,IF(Simulador!$F$11='Tabla Parámetros'!$W$1,'Tabla Parámetros'!$W$28,IF(Simulador!$F$11='Tabla Parámetros'!$Y$1,'Tabla Parámetros'!$Y$12))))</f>
        <v>0</v>
      </c>
      <c r="O207" s="167"/>
      <c r="P207" s="167">
        <f>Simulador!O581</f>
        <v>0</v>
      </c>
      <c r="Q207" s="167">
        <f t="shared" si="62"/>
        <v>0</v>
      </c>
      <c r="R207" s="167">
        <f t="shared" si="52"/>
        <v>0</v>
      </c>
      <c r="U207" s="6"/>
      <c r="V207" s="6"/>
      <c r="W207" s="6"/>
      <c r="X207" s="256">
        <f t="shared" si="46"/>
        <v>0</v>
      </c>
      <c r="Z207" s="201">
        <f t="shared" si="49"/>
        <v>0</v>
      </c>
      <c r="AA207" s="201">
        <f t="shared" si="53"/>
        <v>0</v>
      </c>
      <c r="AB207" s="202">
        <f t="shared" si="54"/>
        <v>0</v>
      </c>
      <c r="AC207" s="201">
        <f t="shared" si="55"/>
        <v>10421.884210717653</v>
      </c>
      <c r="AD207" s="201">
        <f t="shared" si="56"/>
        <v>0</v>
      </c>
      <c r="AE207" s="201">
        <f t="shared" si="63"/>
        <v>10421.884210717653</v>
      </c>
      <c r="AF207" s="201">
        <f t="shared" si="57"/>
        <v>0</v>
      </c>
      <c r="AG207" s="201">
        <f t="shared" si="58"/>
        <v>0</v>
      </c>
      <c r="AH207" s="201">
        <f t="shared" si="64"/>
        <v>0</v>
      </c>
    </row>
    <row r="208" spans="3:34" x14ac:dyDescent="0.3">
      <c r="C208" s="179">
        <f t="shared" si="50"/>
        <v>191</v>
      </c>
      <c r="D208" s="180">
        <f t="shared" si="59"/>
        <v>30.4</v>
      </c>
      <c r="E208" s="165">
        <f>IF(C208="","",Simulador!$F$62)</f>
        <v>0.11</v>
      </c>
      <c r="F208" s="167"/>
      <c r="G208" s="167">
        <f t="shared" si="60"/>
        <v>0</v>
      </c>
      <c r="H208" s="166"/>
      <c r="I208" s="167">
        <f t="shared" si="47"/>
        <v>0</v>
      </c>
      <c r="J208" s="167">
        <f t="shared" si="48"/>
        <v>0</v>
      </c>
      <c r="K208" s="172">
        <f t="shared" si="51"/>
        <v>0</v>
      </c>
      <c r="L208" s="167">
        <f t="shared" si="65"/>
        <v>0</v>
      </c>
      <c r="M208" s="167">
        <f t="shared" si="61"/>
        <v>0</v>
      </c>
      <c r="N208" s="167">
        <f>IF(C208="","",IF(G208=0,0,IF(Simulador!$F$11='Tabla Parámetros'!$W$1,'Tabla Parámetros'!$W$28,IF(Simulador!$F$11='Tabla Parámetros'!$Y$1,'Tabla Parámetros'!$Y$12))))</f>
        <v>0</v>
      </c>
      <c r="O208" s="167"/>
      <c r="P208" s="167">
        <f>Simulador!O582</f>
        <v>0</v>
      </c>
      <c r="Q208" s="167">
        <f t="shared" si="62"/>
        <v>0</v>
      </c>
      <c r="R208" s="167">
        <f t="shared" si="52"/>
        <v>0</v>
      </c>
      <c r="U208" s="6"/>
      <c r="V208" s="6"/>
      <c r="W208" s="6"/>
      <c r="X208" s="256">
        <f t="shared" si="46"/>
        <v>0</v>
      </c>
      <c r="Z208" s="201">
        <f t="shared" si="49"/>
        <v>0</v>
      </c>
      <c r="AA208" s="201">
        <f t="shared" si="53"/>
        <v>0</v>
      </c>
      <c r="AB208" s="202">
        <f t="shared" si="54"/>
        <v>0</v>
      </c>
      <c r="AC208" s="201">
        <f t="shared" si="55"/>
        <v>10421.884210717653</v>
      </c>
      <c r="AD208" s="201">
        <f t="shared" si="56"/>
        <v>0</v>
      </c>
      <c r="AE208" s="201">
        <f t="shared" si="63"/>
        <v>10421.884210717653</v>
      </c>
      <c r="AF208" s="201">
        <f t="shared" si="57"/>
        <v>0</v>
      </c>
      <c r="AG208" s="201">
        <f t="shared" si="58"/>
        <v>0</v>
      </c>
      <c r="AH208" s="201">
        <f t="shared" si="64"/>
        <v>0</v>
      </c>
    </row>
    <row r="209" spans="3:34" x14ac:dyDescent="0.3">
      <c r="C209" s="179">
        <f t="shared" si="50"/>
        <v>192</v>
      </c>
      <c r="D209" s="180">
        <f t="shared" si="59"/>
        <v>30.4</v>
      </c>
      <c r="E209" s="165">
        <f>IF(C209="","",Simulador!$F$62)</f>
        <v>0.11</v>
      </c>
      <c r="F209" s="167"/>
      <c r="G209" s="167">
        <f t="shared" si="60"/>
        <v>0</v>
      </c>
      <c r="H209" s="166"/>
      <c r="I209" s="167">
        <f t="shared" si="47"/>
        <v>0</v>
      </c>
      <c r="J209" s="167">
        <f t="shared" si="48"/>
        <v>0</v>
      </c>
      <c r="K209" s="172">
        <f t="shared" si="51"/>
        <v>0</v>
      </c>
      <c r="L209" s="167">
        <f t="shared" si="65"/>
        <v>0</v>
      </c>
      <c r="M209" s="167">
        <f t="shared" si="61"/>
        <v>0</v>
      </c>
      <c r="N209" s="167">
        <f>IF(C209="","",IF(G209=0,0,IF(Simulador!$F$11='Tabla Parámetros'!$W$1,'Tabla Parámetros'!$W$28,IF(Simulador!$F$11='Tabla Parámetros'!$Y$1,'Tabla Parámetros'!$Y$12))))</f>
        <v>0</v>
      </c>
      <c r="O209" s="167"/>
      <c r="P209" s="167">
        <f>Simulador!O583</f>
        <v>0</v>
      </c>
      <c r="Q209" s="167">
        <f t="shared" si="62"/>
        <v>0</v>
      </c>
      <c r="R209" s="167">
        <f t="shared" si="52"/>
        <v>0</v>
      </c>
      <c r="U209" s="6"/>
      <c r="V209" s="6"/>
      <c r="W209" s="6"/>
      <c r="X209" s="256">
        <f t="shared" ref="X209:X255" si="66">IF(C211="","",K211+L211+(M211/1.16)+N211)</f>
        <v>0</v>
      </c>
      <c r="Z209" s="201">
        <f t="shared" si="49"/>
        <v>0</v>
      </c>
      <c r="AA209" s="201">
        <f t="shared" si="53"/>
        <v>0</v>
      </c>
      <c r="AB209" s="202">
        <f t="shared" si="54"/>
        <v>0</v>
      </c>
      <c r="AC209" s="201">
        <f t="shared" si="55"/>
        <v>10421.884210717653</v>
      </c>
      <c r="AD209" s="201">
        <f t="shared" si="56"/>
        <v>0</v>
      </c>
      <c r="AE209" s="201">
        <f t="shared" si="63"/>
        <v>10421.884210717653</v>
      </c>
      <c r="AF209" s="201">
        <f t="shared" si="57"/>
        <v>0</v>
      </c>
      <c r="AG209" s="201">
        <f t="shared" si="58"/>
        <v>0</v>
      </c>
      <c r="AH209" s="201">
        <f t="shared" si="64"/>
        <v>0</v>
      </c>
    </row>
    <row r="210" spans="3:34" x14ac:dyDescent="0.3">
      <c r="C210" s="181">
        <f t="shared" si="50"/>
        <v>193</v>
      </c>
      <c r="D210" s="180">
        <f t="shared" si="59"/>
        <v>30.4</v>
      </c>
      <c r="E210" s="165">
        <f>IF(C210="","",Simulador!$F$62)</f>
        <v>0.11</v>
      </c>
      <c r="F210" s="167"/>
      <c r="G210" s="167">
        <f t="shared" si="60"/>
        <v>0</v>
      </c>
      <c r="H210" s="166"/>
      <c r="I210" s="167">
        <f t="shared" ref="I210:I257" si="67">IF(C210="","",IF(G210&lt;=I209,G210,IF($R$2=$Z$16,Z210,IF($R$2=$AC$16,AC210,IF($R$2=$AF$16,AF210,)))))</f>
        <v>0</v>
      </c>
      <c r="J210" s="167">
        <f t="shared" ref="J210:J257" si="68">IF(D210="","",IF($R$2=$Z$16,AA210,IF($R$2=$AC$16,AD210,IF($R$2=$AF$16,AG210,))))</f>
        <v>0</v>
      </c>
      <c r="K210" s="172">
        <f t="shared" si="51"/>
        <v>0</v>
      </c>
      <c r="L210" s="167">
        <f t="shared" si="65"/>
        <v>0</v>
      </c>
      <c r="M210" s="167">
        <f t="shared" si="61"/>
        <v>0</v>
      </c>
      <c r="N210" s="167">
        <f>IF(C210="","",IF(G210=0,0,IF(Simulador!$F$11='Tabla Parámetros'!$W$1,'Tabla Parámetros'!$W$28,IF(Simulador!$F$11='Tabla Parámetros'!$Y$1,'Tabla Parámetros'!$Y$12))))</f>
        <v>0</v>
      </c>
      <c r="O210" s="167"/>
      <c r="P210" s="167">
        <f>Simulador!O584</f>
        <v>0</v>
      </c>
      <c r="Q210" s="167">
        <f t="shared" si="62"/>
        <v>0</v>
      </c>
      <c r="R210" s="167">
        <f t="shared" si="52"/>
        <v>0</v>
      </c>
      <c r="U210" s="6"/>
      <c r="V210" s="6"/>
      <c r="W210" s="6"/>
      <c r="X210" s="256">
        <f t="shared" si="66"/>
        <v>0</v>
      </c>
      <c r="Z210" s="201">
        <f t="shared" ref="Z210:Z257" si="69">PPMT(E210/360*30.4,C210,$F$2,-$G$18)+O210+P210</f>
        <v>0</v>
      </c>
      <c r="AA210" s="201">
        <f t="shared" si="53"/>
        <v>0</v>
      </c>
      <c r="AB210" s="202">
        <f t="shared" si="54"/>
        <v>0</v>
      </c>
      <c r="AC210" s="201">
        <f t="shared" si="55"/>
        <v>10421.884210717653</v>
      </c>
      <c r="AD210" s="201">
        <f t="shared" si="56"/>
        <v>0</v>
      </c>
      <c r="AE210" s="201">
        <f t="shared" si="63"/>
        <v>10421.884210717653</v>
      </c>
      <c r="AF210" s="201">
        <f t="shared" si="57"/>
        <v>0</v>
      </c>
      <c r="AG210" s="201">
        <f t="shared" si="58"/>
        <v>0</v>
      </c>
      <c r="AH210" s="201">
        <f t="shared" si="64"/>
        <v>0</v>
      </c>
    </row>
    <row r="211" spans="3:34" x14ac:dyDescent="0.3">
      <c r="C211" s="179">
        <f t="shared" ref="C211:C257" si="70">IF(C210="","",IF(C210=$F$2,"",C210+1))</f>
        <v>194</v>
      </c>
      <c r="D211" s="180">
        <f t="shared" si="59"/>
        <v>30.4</v>
      </c>
      <c r="E211" s="165">
        <f>IF(C211="","",Simulador!$F$62)</f>
        <v>0.11</v>
      </c>
      <c r="F211" s="167"/>
      <c r="G211" s="167">
        <f t="shared" si="60"/>
        <v>0</v>
      </c>
      <c r="H211" s="166"/>
      <c r="I211" s="167">
        <f t="shared" si="67"/>
        <v>0</v>
      </c>
      <c r="J211" s="167">
        <f t="shared" si="68"/>
        <v>0</v>
      </c>
      <c r="K211" s="172">
        <f t="shared" ref="K211:K257" si="71">IF(C211="","",PMT(E211/360*D211,$F$2,-$G$18))</f>
        <v>0</v>
      </c>
      <c r="L211" s="167">
        <f t="shared" si="65"/>
        <v>0</v>
      </c>
      <c r="M211" s="167">
        <f t="shared" si="61"/>
        <v>0</v>
      </c>
      <c r="N211" s="167">
        <f>IF(C211="","",IF(G211=0,0,IF(Simulador!$F$11='Tabla Parámetros'!$W$1,'Tabla Parámetros'!$W$28,IF(Simulador!$F$11='Tabla Parámetros'!$Y$1,'Tabla Parámetros'!$Y$12))))</f>
        <v>0</v>
      </c>
      <c r="O211" s="167"/>
      <c r="P211" s="167">
        <f>Simulador!O585</f>
        <v>0</v>
      </c>
      <c r="Q211" s="167">
        <f t="shared" si="62"/>
        <v>0</v>
      </c>
      <c r="R211" s="167">
        <f t="shared" ref="R211:R257" si="72">IF(C211="","",G211-I211)</f>
        <v>0</v>
      </c>
      <c r="U211" s="6"/>
      <c r="V211" s="6"/>
      <c r="W211" s="6"/>
      <c r="X211" s="256">
        <f t="shared" si="66"/>
        <v>0</v>
      </c>
      <c r="Z211" s="201">
        <f t="shared" si="69"/>
        <v>0</v>
      </c>
      <c r="AA211" s="201">
        <f t="shared" ref="AA211:AA257" si="73">(E211/360*D211)*G211</f>
        <v>0</v>
      </c>
      <c r="AB211" s="202">
        <f t="shared" ref="AB211:AB257" si="74">Z211+AA211</f>
        <v>0</v>
      </c>
      <c r="AC211" s="201">
        <f t="shared" ref="AC211:AC257" si="75">AE211-AD211</f>
        <v>10421.884210717653</v>
      </c>
      <c r="AD211" s="201">
        <f t="shared" ref="AD211:AD257" si="76">(E211/360*D211)*G211</f>
        <v>0</v>
      </c>
      <c r="AE211" s="201">
        <f t="shared" si="63"/>
        <v>10421.884210717653</v>
      </c>
      <c r="AF211" s="201">
        <f t="shared" ref="AF211:AF257" si="77">AH211-AG211</f>
        <v>0</v>
      </c>
      <c r="AG211" s="201">
        <f t="shared" ref="AG211:AG257" si="78">(E211/360*D211)*G211</f>
        <v>0</v>
      </c>
      <c r="AH211" s="201">
        <f t="shared" si="64"/>
        <v>0</v>
      </c>
    </row>
    <row r="212" spans="3:34" x14ac:dyDescent="0.3">
      <c r="C212" s="179">
        <f t="shared" si="70"/>
        <v>195</v>
      </c>
      <c r="D212" s="180">
        <f t="shared" ref="D212:D257" si="79">IF(C212="","",30.4)</f>
        <v>30.4</v>
      </c>
      <c r="E212" s="165">
        <f>IF(C212="","",Simulador!$F$62)</f>
        <v>0.11</v>
      </c>
      <c r="F212" s="167"/>
      <c r="G212" s="167">
        <f t="shared" ref="G212:G257" si="80">IF(C212="","",G211-I211)</f>
        <v>0</v>
      </c>
      <c r="H212" s="166"/>
      <c r="I212" s="167">
        <f t="shared" si="67"/>
        <v>0</v>
      </c>
      <c r="J212" s="167">
        <f t="shared" si="68"/>
        <v>0</v>
      </c>
      <c r="K212" s="172">
        <f t="shared" si="71"/>
        <v>0</v>
      </c>
      <c r="L212" s="167">
        <f t="shared" si="65"/>
        <v>0</v>
      </c>
      <c r="M212" s="167">
        <f t="shared" ref="M212:M257" si="81">IF(C212="","",IF(G212=0,0,$M$1*$K$2))</f>
        <v>0</v>
      </c>
      <c r="N212" s="167">
        <f>IF(C212="","",IF(G212=0,0,IF(Simulador!$F$11='Tabla Parámetros'!$W$1,'Tabla Parámetros'!$W$28,IF(Simulador!$F$11='Tabla Parámetros'!$Y$1,'Tabla Parámetros'!$Y$12))))</f>
        <v>0</v>
      </c>
      <c r="O212" s="167"/>
      <c r="P212" s="167">
        <f>Simulador!O586</f>
        <v>0</v>
      </c>
      <c r="Q212" s="167">
        <f t="shared" ref="Q212:Q257" si="82">IF(C212="","",SUM(K212:N212))</f>
        <v>0</v>
      </c>
      <c r="R212" s="167">
        <f t="shared" si="72"/>
        <v>0</v>
      </c>
      <c r="U212" s="6"/>
      <c r="V212" s="6"/>
      <c r="W212" s="6"/>
      <c r="X212" s="256">
        <f t="shared" si="66"/>
        <v>0</v>
      </c>
      <c r="Z212" s="201">
        <f t="shared" si="69"/>
        <v>0</v>
      </c>
      <c r="AA212" s="201">
        <f t="shared" si="73"/>
        <v>0</v>
      </c>
      <c r="AB212" s="202">
        <f t="shared" si="74"/>
        <v>0</v>
      </c>
      <c r="AC212" s="201">
        <f t="shared" si="75"/>
        <v>10421.884210717653</v>
      </c>
      <c r="AD212" s="201">
        <f t="shared" si="76"/>
        <v>0</v>
      </c>
      <c r="AE212" s="201">
        <f t="shared" ref="AE212:AE257" si="83">PMT($F$1/360*30.4,$F$2,-$I$2)+O212+P212</f>
        <v>10421.884210717653</v>
      </c>
      <c r="AF212" s="201">
        <f t="shared" si="77"/>
        <v>0</v>
      </c>
      <c r="AG212" s="201">
        <f t="shared" si="78"/>
        <v>0</v>
      </c>
      <c r="AH212" s="201">
        <f t="shared" ref="AH212:AH257" si="84">PMT($F$1/360*30.4,$F$2-C211,-G212)+O212+P212</f>
        <v>0</v>
      </c>
    </row>
    <row r="213" spans="3:34" x14ac:dyDescent="0.3">
      <c r="C213" s="179">
        <f t="shared" si="70"/>
        <v>196</v>
      </c>
      <c r="D213" s="180">
        <f t="shared" si="79"/>
        <v>30.4</v>
      </c>
      <c r="E213" s="165">
        <f>IF(C213="","",Simulador!$F$62)</f>
        <v>0.11</v>
      </c>
      <c r="F213" s="167"/>
      <c r="G213" s="167">
        <f t="shared" si="80"/>
        <v>0</v>
      </c>
      <c r="H213" s="166"/>
      <c r="I213" s="167">
        <f t="shared" si="67"/>
        <v>0</v>
      </c>
      <c r="J213" s="167">
        <f t="shared" si="68"/>
        <v>0</v>
      </c>
      <c r="K213" s="172">
        <f t="shared" si="71"/>
        <v>0</v>
      </c>
      <c r="L213" s="167">
        <f t="shared" si="65"/>
        <v>0</v>
      </c>
      <c r="M213" s="167">
        <f t="shared" si="81"/>
        <v>0</v>
      </c>
      <c r="N213" s="167">
        <f>IF(C213="","",IF(G213=0,0,IF(Simulador!$F$11='Tabla Parámetros'!$W$1,'Tabla Parámetros'!$W$28,IF(Simulador!$F$11='Tabla Parámetros'!$Y$1,'Tabla Parámetros'!$Y$12))))</f>
        <v>0</v>
      </c>
      <c r="O213" s="167"/>
      <c r="P213" s="167">
        <f>Simulador!O587</f>
        <v>0</v>
      </c>
      <c r="Q213" s="167">
        <f t="shared" si="82"/>
        <v>0</v>
      </c>
      <c r="R213" s="167">
        <f t="shared" si="72"/>
        <v>0</v>
      </c>
      <c r="U213" s="6"/>
      <c r="V213" s="6"/>
      <c r="W213" s="6"/>
      <c r="X213" s="256">
        <f t="shared" si="66"/>
        <v>0</v>
      </c>
      <c r="Z213" s="201">
        <f t="shared" si="69"/>
        <v>0</v>
      </c>
      <c r="AA213" s="201">
        <f t="shared" si="73"/>
        <v>0</v>
      </c>
      <c r="AB213" s="202">
        <f t="shared" si="74"/>
        <v>0</v>
      </c>
      <c r="AC213" s="201">
        <f t="shared" si="75"/>
        <v>10421.884210717653</v>
      </c>
      <c r="AD213" s="201">
        <f t="shared" si="76"/>
        <v>0</v>
      </c>
      <c r="AE213" s="201">
        <f t="shared" si="83"/>
        <v>10421.884210717653</v>
      </c>
      <c r="AF213" s="201">
        <f t="shared" si="77"/>
        <v>0</v>
      </c>
      <c r="AG213" s="201">
        <f t="shared" si="78"/>
        <v>0</v>
      </c>
      <c r="AH213" s="201">
        <f t="shared" si="84"/>
        <v>0</v>
      </c>
    </row>
    <row r="214" spans="3:34" x14ac:dyDescent="0.3">
      <c r="C214" s="181">
        <f t="shared" si="70"/>
        <v>197</v>
      </c>
      <c r="D214" s="180">
        <f t="shared" si="79"/>
        <v>30.4</v>
      </c>
      <c r="E214" s="165">
        <f>IF(C214="","",Simulador!$F$62)</f>
        <v>0.11</v>
      </c>
      <c r="F214" s="167"/>
      <c r="G214" s="167">
        <f t="shared" si="80"/>
        <v>0</v>
      </c>
      <c r="H214" s="166"/>
      <c r="I214" s="167">
        <f t="shared" si="67"/>
        <v>0</v>
      </c>
      <c r="J214" s="167">
        <f t="shared" si="68"/>
        <v>0</v>
      </c>
      <c r="K214" s="172">
        <f t="shared" si="71"/>
        <v>0</v>
      </c>
      <c r="L214" s="167">
        <f t="shared" si="65"/>
        <v>0</v>
      </c>
      <c r="M214" s="167">
        <f t="shared" si="81"/>
        <v>0</v>
      </c>
      <c r="N214" s="167">
        <f>IF(C214="","",IF(G214=0,0,IF(Simulador!$F$11='Tabla Parámetros'!$W$1,'Tabla Parámetros'!$W$28,IF(Simulador!$F$11='Tabla Parámetros'!$Y$1,'Tabla Parámetros'!$Y$12))))</f>
        <v>0</v>
      </c>
      <c r="O214" s="167"/>
      <c r="P214" s="167">
        <f>Simulador!O588</f>
        <v>0</v>
      </c>
      <c r="Q214" s="167">
        <f t="shared" si="82"/>
        <v>0</v>
      </c>
      <c r="R214" s="167">
        <f t="shared" si="72"/>
        <v>0</v>
      </c>
      <c r="U214" s="6"/>
      <c r="V214" s="6"/>
      <c r="W214" s="6"/>
      <c r="X214" s="256">
        <f t="shared" si="66"/>
        <v>0</v>
      </c>
      <c r="Z214" s="201">
        <f t="shared" si="69"/>
        <v>0</v>
      </c>
      <c r="AA214" s="201">
        <f t="shared" si="73"/>
        <v>0</v>
      </c>
      <c r="AB214" s="202">
        <f t="shared" si="74"/>
        <v>0</v>
      </c>
      <c r="AC214" s="201">
        <f t="shared" si="75"/>
        <v>10421.884210717653</v>
      </c>
      <c r="AD214" s="201">
        <f t="shared" si="76"/>
        <v>0</v>
      </c>
      <c r="AE214" s="201">
        <f t="shared" si="83"/>
        <v>10421.884210717653</v>
      </c>
      <c r="AF214" s="201">
        <f t="shared" si="77"/>
        <v>0</v>
      </c>
      <c r="AG214" s="201">
        <f t="shared" si="78"/>
        <v>0</v>
      </c>
      <c r="AH214" s="201">
        <f t="shared" si="84"/>
        <v>0</v>
      </c>
    </row>
    <row r="215" spans="3:34" x14ac:dyDescent="0.3">
      <c r="C215" s="179">
        <f t="shared" si="70"/>
        <v>198</v>
      </c>
      <c r="D215" s="180">
        <f t="shared" si="79"/>
        <v>30.4</v>
      </c>
      <c r="E215" s="165">
        <f>IF(C215="","",Simulador!$F$62)</f>
        <v>0.11</v>
      </c>
      <c r="F215" s="167"/>
      <c r="G215" s="167">
        <f t="shared" si="80"/>
        <v>0</v>
      </c>
      <c r="H215" s="166"/>
      <c r="I215" s="167">
        <f t="shared" si="67"/>
        <v>0</v>
      </c>
      <c r="J215" s="167">
        <f t="shared" si="68"/>
        <v>0</v>
      </c>
      <c r="K215" s="172">
        <f t="shared" si="71"/>
        <v>0</v>
      </c>
      <c r="L215" s="167">
        <f t="shared" si="65"/>
        <v>0</v>
      </c>
      <c r="M215" s="167">
        <f t="shared" si="81"/>
        <v>0</v>
      </c>
      <c r="N215" s="167">
        <f>IF(C215="","",IF(G215=0,0,IF(Simulador!$F$11='Tabla Parámetros'!$W$1,'Tabla Parámetros'!$W$28,IF(Simulador!$F$11='Tabla Parámetros'!$Y$1,'Tabla Parámetros'!$Y$12))))</f>
        <v>0</v>
      </c>
      <c r="O215" s="167"/>
      <c r="P215" s="167">
        <f>Simulador!O589</f>
        <v>0</v>
      </c>
      <c r="Q215" s="167">
        <f t="shared" si="82"/>
        <v>0</v>
      </c>
      <c r="R215" s="167">
        <f t="shared" si="72"/>
        <v>0</v>
      </c>
      <c r="U215" s="6"/>
      <c r="V215" s="6"/>
      <c r="W215" s="6"/>
      <c r="X215" s="256">
        <f t="shared" si="66"/>
        <v>0</v>
      </c>
      <c r="Z215" s="201">
        <f t="shared" si="69"/>
        <v>0</v>
      </c>
      <c r="AA215" s="201">
        <f t="shared" si="73"/>
        <v>0</v>
      </c>
      <c r="AB215" s="202">
        <f t="shared" si="74"/>
        <v>0</v>
      </c>
      <c r="AC215" s="201">
        <f t="shared" si="75"/>
        <v>10421.884210717653</v>
      </c>
      <c r="AD215" s="201">
        <f t="shared" si="76"/>
        <v>0</v>
      </c>
      <c r="AE215" s="201">
        <f t="shared" si="83"/>
        <v>10421.884210717653</v>
      </c>
      <c r="AF215" s="201">
        <f t="shared" si="77"/>
        <v>0</v>
      </c>
      <c r="AG215" s="201">
        <f t="shared" si="78"/>
        <v>0</v>
      </c>
      <c r="AH215" s="201">
        <f t="shared" si="84"/>
        <v>0</v>
      </c>
    </row>
    <row r="216" spans="3:34" x14ac:dyDescent="0.3">
      <c r="C216" s="179">
        <f t="shared" si="70"/>
        <v>199</v>
      </c>
      <c r="D216" s="180">
        <f t="shared" si="79"/>
        <v>30.4</v>
      </c>
      <c r="E216" s="165">
        <f>IF(C216="","",Simulador!$F$62)</f>
        <v>0.11</v>
      </c>
      <c r="F216" s="167"/>
      <c r="G216" s="167">
        <f t="shared" si="80"/>
        <v>0</v>
      </c>
      <c r="H216" s="166"/>
      <c r="I216" s="167">
        <f t="shared" si="67"/>
        <v>0</v>
      </c>
      <c r="J216" s="167">
        <f t="shared" si="68"/>
        <v>0</v>
      </c>
      <c r="K216" s="172">
        <f t="shared" si="71"/>
        <v>0</v>
      </c>
      <c r="L216" s="167">
        <f t="shared" si="65"/>
        <v>0</v>
      </c>
      <c r="M216" s="167">
        <f t="shared" si="81"/>
        <v>0</v>
      </c>
      <c r="N216" s="167">
        <f>IF(C216="","",IF(G216=0,0,IF(Simulador!$F$11='Tabla Parámetros'!$W$1,'Tabla Parámetros'!$W$28,IF(Simulador!$F$11='Tabla Parámetros'!$Y$1,'Tabla Parámetros'!$Y$12))))</f>
        <v>0</v>
      </c>
      <c r="O216" s="167"/>
      <c r="P216" s="167">
        <f>Simulador!O590</f>
        <v>0</v>
      </c>
      <c r="Q216" s="167">
        <f t="shared" si="82"/>
        <v>0</v>
      </c>
      <c r="R216" s="167">
        <f t="shared" si="72"/>
        <v>0</v>
      </c>
      <c r="U216" s="6"/>
      <c r="V216" s="6"/>
      <c r="W216" s="6"/>
      <c r="X216" s="256">
        <f t="shared" si="66"/>
        <v>0</v>
      </c>
      <c r="Z216" s="201">
        <f t="shared" si="69"/>
        <v>0</v>
      </c>
      <c r="AA216" s="201">
        <f t="shared" si="73"/>
        <v>0</v>
      </c>
      <c r="AB216" s="202">
        <f t="shared" si="74"/>
        <v>0</v>
      </c>
      <c r="AC216" s="201">
        <f t="shared" si="75"/>
        <v>10421.884210717653</v>
      </c>
      <c r="AD216" s="201">
        <f t="shared" si="76"/>
        <v>0</v>
      </c>
      <c r="AE216" s="201">
        <f t="shared" si="83"/>
        <v>10421.884210717653</v>
      </c>
      <c r="AF216" s="201">
        <f t="shared" si="77"/>
        <v>0</v>
      </c>
      <c r="AG216" s="201">
        <f t="shared" si="78"/>
        <v>0</v>
      </c>
      <c r="AH216" s="201">
        <f t="shared" si="84"/>
        <v>0</v>
      </c>
    </row>
    <row r="217" spans="3:34" x14ac:dyDescent="0.3">
      <c r="C217" s="179">
        <f t="shared" si="70"/>
        <v>200</v>
      </c>
      <c r="D217" s="180">
        <f t="shared" si="79"/>
        <v>30.4</v>
      </c>
      <c r="E217" s="165">
        <f>IF(C217="","",Simulador!$F$62)</f>
        <v>0.11</v>
      </c>
      <c r="F217" s="167"/>
      <c r="G217" s="167">
        <f t="shared" si="80"/>
        <v>0</v>
      </c>
      <c r="H217" s="166"/>
      <c r="I217" s="167">
        <f t="shared" si="67"/>
        <v>0</v>
      </c>
      <c r="J217" s="167">
        <f t="shared" si="68"/>
        <v>0</v>
      </c>
      <c r="K217" s="172">
        <f t="shared" si="71"/>
        <v>0</v>
      </c>
      <c r="L217" s="167">
        <f t="shared" si="65"/>
        <v>0</v>
      </c>
      <c r="M217" s="167">
        <f t="shared" si="81"/>
        <v>0</v>
      </c>
      <c r="N217" s="167">
        <f>IF(C217="","",IF(G217=0,0,IF(Simulador!$F$11='Tabla Parámetros'!$W$1,'Tabla Parámetros'!$W$28,IF(Simulador!$F$11='Tabla Parámetros'!$Y$1,'Tabla Parámetros'!$Y$12))))</f>
        <v>0</v>
      </c>
      <c r="O217" s="167"/>
      <c r="P217" s="167">
        <f>Simulador!O591</f>
        <v>0</v>
      </c>
      <c r="Q217" s="167">
        <f t="shared" si="82"/>
        <v>0</v>
      </c>
      <c r="R217" s="167">
        <f t="shared" si="72"/>
        <v>0</v>
      </c>
      <c r="U217" s="6"/>
      <c r="V217" s="6"/>
      <c r="W217" s="6"/>
      <c r="X217" s="256">
        <f t="shared" si="66"/>
        <v>0</v>
      </c>
      <c r="Z217" s="201">
        <f t="shared" si="69"/>
        <v>0</v>
      </c>
      <c r="AA217" s="201">
        <f t="shared" si="73"/>
        <v>0</v>
      </c>
      <c r="AB217" s="202">
        <f t="shared" si="74"/>
        <v>0</v>
      </c>
      <c r="AC217" s="201">
        <f t="shared" si="75"/>
        <v>10421.884210717653</v>
      </c>
      <c r="AD217" s="201">
        <f t="shared" si="76"/>
        <v>0</v>
      </c>
      <c r="AE217" s="201">
        <f t="shared" si="83"/>
        <v>10421.884210717653</v>
      </c>
      <c r="AF217" s="201">
        <f t="shared" si="77"/>
        <v>0</v>
      </c>
      <c r="AG217" s="201">
        <f t="shared" si="78"/>
        <v>0</v>
      </c>
      <c r="AH217" s="201">
        <f t="shared" si="84"/>
        <v>0</v>
      </c>
    </row>
    <row r="218" spans="3:34" x14ac:dyDescent="0.3">
      <c r="C218" s="181">
        <f t="shared" si="70"/>
        <v>201</v>
      </c>
      <c r="D218" s="180">
        <f t="shared" si="79"/>
        <v>30.4</v>
      </c>
      <c r="E218" s="165">
        <f>IF(C218="","",Simulador!$F$62)</f>
        <v>0.11</v>
      </c>
      <c r="F218" s="167"/>
      <c r="G218" s="167">
        <f t="shared" si="80"/>
        <v>0</v>
      </c>
      <c r="H218" s="166"/>
      <c r="I218" s="167">
        <f t="shared" si="67"/>
        <v>0</v>
      </c>
      <c r="J218" s="167">
        <f t="shared" si="68"/>
        <v>0</v>
      </c>
      <c r="K218" s="172">
        <f t="shared" si="71"/>
        <v>0</v>
      </c>
      <c r="L218" s="167">
        <f t="shared" si="65"/>
        <v>0</v>
      </c>
      <c r="M218" s="167">
        <f t="shared" si="81"/>
        <v>0</v>
      </c>
      <c r="N218" s="167">
        <f>IF(C218="","",IF(G218=0,0,IF(Simulador!$F$11='Tabla Parámetros'!$W$1,'Tabla Parámetros'!$W$28,IF(Simulador!$F$11='Tabla Parámetros'!$Y$1,'Tabla Parámetros'!$Y$12))))</f>
        <v>0</v>
      </c>
      <c r="O218" s="167"/>
      <c r="P218" s="167">
        <f>Simulador!O592</f>
        <v>0</v>
      </c>
      <c r="Q218" s="167">
        <f t="shared" si="82"/>
        <v>0</v>
      </c>
      <c r="R218" s="167">
        <f t="shared" si="72"/>
        <v>0</v>
      </c>
      <c r="U218" s="6"/>
      <c r="V218" s="6"/>
      <c r="W218" s="6"/>
      <c r="X218" s="256">
        <f t="shared" si="66"/>
        <v>0</v>
      </c>
      <c r="Z218" s="201">
        <f t="shared" si="69"/>
        <v>0</v>
      </c>
      <c r="AA218" s="201">
        <f t="shared" si="73"/>
        <v>0</v>
      </c>
      <c r="AB218" s="202">
        <f t="shared" si="74"/>
        <v>0</v>
      </c>
      <c r="AC218" s="201">
        <f t="shared" si="75"/>
        <v>10421.884210717653</v>
      </c>
      <c r="AD218" s="201">
        <f t="shared" si="76"/>
        <v>0</v>
      </c>
      <c r="AE218" s="201">
        <f t="shared" si="83"/>
        <v>10421.884210717653</v>
      </c>
      <c r="AF218" s="201">
        <f t="shared" si="77"/>
        <v>0</v>
      </c>
      <c r="AG218" s="201">
        <f t="shared" si="78"/>
        <v>0</v>
      </c>
      <c r="AH218" s="201">
        <f t="shared" si="84"/>
        <v>0</v>
      </c>
    </row>
    <row r="219" spans="3:34" x14ac:dyDescent="0.3">
      <c r="C219" s="179">
        <f t="shared" si="70"/>
        <v>202</v>
      </c>
      <c r="D219" s="180">
        <f t="shared" si="79"/>
        <v>30.4</v>
      </c>
      <c r="E219" s="165">
        <f>IF(C219="","",Simulador!$F$62)</f>
        <v>0.11</v>
      </c>
      <c r="F219" s="167"/>
      <c r="G219" s="167">
        <f t="shared" si="80"/>
        <v>0</v>
      </c>
      <c r="H219" s="166"/>
      <c r="I219" s="167">
        <f t="shared" si="67"/>
        <v>0</v>
      </c>
      <c r="J219" s="167">
        <f t="shared" si="68"/>
        <v>0</v>
      </c>
      <c r="K219" s="172">
        <f t="shared" si="71"/>
        <v>0</v>
      </c>
      <c r="L219" s="167">
        <f t="shared" si="65"/>
        <v>0</v>
      </c>
      <c r="M219" s="167">
        <f t="shared" si="81"/>
        <v>0</v>
      </c>
      <c r="N219" s="167">
        <f>IF(C219="","",IF(G219=0,0,IF(Simulador!$F$11='Tabla Parámetros'!$W$1,'Tabla Parámetros'!$W$28,IF(Simulador!$F$11='Tabla Parámetros'!$Y$1,'Tabla Parámetros'!$Y$12))))</f>
        <v>0</v>
      </c>
      <c r="O219" s="167"/>
      <c r="P219" s="167">
        <f>Simulador!O593</f>
        <v>0</v>
      </c>
      <c r="Q219" s="167">
        <f t="shared" si="82"/>
        <v>0</v>
      </c>
      <c r="R219" s="167">
        <f t="shared" si="72"/>
        <v>0</v>
      </c>
      <c r="U219" s="6"/>
      <c r="V219" s="6"/>
      <c r="W219" s="6"/>
      <c r="X219" s="256">
        <f t="shared" si="66"/>
        <v>0</v>
      </c>
      <c r="Z219" s="201">
        <f t="shared" si="69"/>
        <v>0</v>
      </c>
      <c r="AA219" s="201">
        <f t="shared" si="73"/>
        <v>0</v>
      </c>
      <c r="AB219" s="202">
        <f t="shared" si="74"/>
        <v>0</v>
      </c>
      <c r="AC219" s="201">
        <f t="shared" si="75"/>
        <v>10421.884210717653</v>
      </c>
      <c r="AD219" s="201">
        <f t="shared" si="76"/>
        <v>0</v>
      </c>
      <c r="AE219" s="201">
        <f t="shared" si="83"/>
        <v>10421.884210717653</v>
      </c>
      <c r="AF219" s="201">
        <f t="shared" si="77"/>
        <v>0</v>
      </c>
      <c r="AG219" s="201">
        <f t="shared" si="78"/>
        <v>0</v>
      </c>
      <c r="AH219" s="201">
        <f t="shared" si="84"/>
        <v>0</v>
      </c>
    </row>
    <row r="220" spans="3:34" x14ac:dyDescent="0.3">
      <c r="C220" s="179">
        <f t="shared" si="70"/>
        <v>203</v>
      </c>
      <c r="D220" s="180">
        <f t="shared" si="79"/>
        <v>30.4</v>
      </c>
      <c r="E220" s="165">
        <f>IF(C220="","",Simulador!$F$62)</f>
        <v>0.11</v>
      </c>
      <c r="F220" s="167"/>
      <c r="G220" s="167">
        <f t="shared" si="80"/>
        <v>0</v>
      </c>
      <c r="H220" s="166"/>
      <c r="I220" s="167">
        <f t="shared" si="67"/>
        <v>0</v>
      </c>
      <c r="J220" s="167">
        <f t="shared" si="68"/>
        <v>0</v>
      </c>
      <c r="K220" s="172">
        <f t="shared" si="71"/>
        <v>0</v>
      </c>
      <c r="L220" s="167">
        <f t="shared" si="65"/>
        <v>0</v>
      </c>
      <c r="M220" s="167">
        <f t="shared" si="81"/>
        <v>0</v>
      </c>
      <c r="N220" s="167">
        <f>IF(C220="","",IF(G220=0,0,IF(Simulador!$F$11='Tabla Parámetros'!$W$1,'Tabla Parámetros'!$W$28,IF(Simulador!$F$11='Tabla Parámetros'!$Y$1,'Tabla Parámetros'!$Y$12))))</f>
        <v>0</v>
      </c>
      <c r="O220" s="167"/>
      <c r="P220" s="167">
        <f>Simulador!O594</f>
        <v>0</v>
      </c>
      <c r="Q220" s="167">
        <f t="shared" si="82"/>
        <v>0</v>
      </c>
      <c r="R220" s="167">
        <f t="shared" si="72"/>
        <v>0</v>
      </c>
      <c r="U220" s="6"/>
      <c r="V220" s="6"/>
      <c r="W220" s="6"/>
      <c r="X220" s="256">
        <f t="shared" si="66"/>
        <v>0</v>
      </c>
      <c r="Z220" s="201">
        <f t="shared" si="69"/>
        <v>0</v>
      </c>
      <c r="AA220" s="201">
        <f t="shared" si="73"/>
        <v>0</v>
      </c>
      <c r="AB220" s="202">
        <f t="shared" si="74"/>
        <v>0</v>
      </c>
      <c r="AC220" s="201">
        <f t="shared" si="75"/>
        <v>10421.884210717653</v>
      </c>
      <c r="AD220" s="201">
        <f t="shared" si="76"/>
        <v>0</v>
      </c>
      <c r="AE220" s="201">
        <f t="shared" si="83"/>
        <v>10421.884210717653</v>
      </c>
      <c r="AF220" s="201">
        <f t="shared" si="77"/>
        <v>0</v>
      </c>
      <c r="AG220" s="201">
        <f t="shared" si="78"/>
        <v>0</v>
      </c>
      <c r="AH220" s="201">
        <f t="shared" si="84"/>
        <v>0</v>
      </c>
    </row>
    <row r="221" spans="3:34" x14ac:dyDescent="0.3">
      <c r="C221" s="179">
        <f t="shared" si="70"/>
        <v>204</v>
      </c>
      <c r="D221" s="180">
        <f t="shared" si="79"/>
        <v>30.4</v>
      </c>
      <c r="E221" s="165">
        <f>IF(C221="","",Simulador!$F$62)</f>
        <v>0.11</v>
      </c>
      <c r="F221" s="167"/>
      <c r="G221" s="167">
        <f t="shared" si="80"/>
        <v>0</v>
      </c>
      <c r="H221" s="166"/>
      <c r="I221" s="167">
        <f t="shared" si="67"/>
        <v>0</v>
      </c>
      <c r="J221" s="167">
        <f t="shared" si="68"/>
        <v>0</v>
      </c>
      <c r="K221" s="172">
        <f t="shared" si="71"/>
        <v>0</v>
      </c>
      <c r="L221" s="167">
        <f t="shared" si="65"/>
        <v>0</v>
      </c>
      <c r="M221" s="167">
        <f t="shared" si="81"/>
        <v>0</v>
      </c>
      <c r="N221" s="167">
        <f>IF(C221="","",IF(G221=0,0,IF(Simulador!$F$11='Tabla Parámetros'!$W$1,'Tabla Parámetros'!$W$28,IF(Simulador!$F$11='Tabla Parámetros'!$Y$1,'Tabla Parámetros'!$Y$12))))</f>
        <v>0</v>
      </c>
      <c r="O221" s="167"/>
      <c r="P221" s="167">
        <f>Simulador!O595</f>
        <v>0</v>
      </c>
      <c r="Q221" s="167">
        <f t="shared" si="82"/>
        <v>0</v>
      </c>
      <c r="R221" s="167">
        <f t="shared" si="72"/>
        <v>0</v>
      </c>
      <c r="U221" s="6"/>
      <c r="V221" s="6"/>
      <c r="W221" s="6"/>
      <c r="X221" s="256">
        <f t="shared" si="66"/>
        <v>0</v>
      </c>
      <c r="Z221" s="201">
        <f t="shared" si="69"/>
        <v>0</v>
      </c>
      <c r="AA221" s="201">
        <f t="shared" si="73"/>
        <v>0</v>
      </c>
      <c r="AB221" s="202">
        <f t="shared" si="74"/>
        <v>0</v>
      </c>
      <c r="AC221" s="201">
        <f t="shared" si="75"/>
        <v>10421.884210717653</v>
      </c>
      <c r="AD221" s="201">
        <f t="shared" si="76"/>
        <v>0</v>
      </c>
      <c r="AE221" s="201">
        <f t="shared" si="83"/>
        <v>10421.884210717653</v>
      </c>
      <c r="AF221" s="201">
        <f t="shared" si="77"/>
        <v>0</v>
      </c>
      <c r="AG221" s="201">
        <f t="shared" si="78"/>
        <v>0</v>
      </c>
      <c r="AH221" s="201">
        <f t="shared" si="84"/>
        <v>0</v>
      </c>
    </row>
    <row r="222" spans="3:34" x14ac:dyDescent="0.3">
      <c r="C222" s="181">
        <f t="shared" si="70"/>
        <v>205</v>
      </c>
      <c r="D222" s="180">
        <f t="shared" si="79"/>
        <v>30.4</v>
      </c>
      <c r="E222" s="165">
        <f>IF(C222="","",Simulador!$F$62)</f>
        <v>0.11</v>
      </c>
      <c r="F222" s="167"/>
      <c r="G222" s="167">
        <f t="shared" si="80"/>
        <v>0</v>
      </c>
      <c r="H222" s="166"/>
      <c r="I222" s="167">
        <f t="shared" si="67"/>
        <v>0</v>
      </c>
      <c r="J222" s="167">
        <f t="shared" si="68"/>
        <v>0</v>
      </c>
      <c r="K222" s="172">
        <f t="shared" si="71"/>
        <v>0</v>
      </c>
      <c r="L222" s="167">
        <f t="shared" si="65"/>
        <v>0</v>
      </c>
      <c r="M222" s="167">
        <f t="shared" si="81"/>
        <v>0</v>
      </c>
      <c r="N222" s="167">
        <f>IF(C222="","",IF(G222=0,0,IF(Simulador!$F$11='Tabla Parámetros'!$W$1,'Tabla Parámetros'!$W$28,IF(Simulador!$F$11='Tabla Parámetros'!$Y$1,'Tabla Parámetros'!$Y$12))))</f>
        <v>0</v>
      </c>
      <c r="O222" s="167"/>
      <c r="P222" s="167">
        <f>Simulador!O596</f>
        <v>0</v>
      </c>
      <c r="Q222" s="167">
        <f t="shared" si="82"/>
        <v>0</v>
      </c>
      <c r="R222" s="167">
        <f t="shared" si="72"/>
        <v>0</v>
      </c>
      <c r="U222" s="6"/>
      <c r="V222" s="6"/>
      <c r="W222" s="6"/>
      <c r="X222" s="256">
        <f t="shared" si="66"/>
        <v>0</v>
      </c>
      <c r="Z222" s="201">
        <f t="shared" si="69"/>
        <v>0</v>
      </c>
      <c r="AA222" s="201">
        <f t="shared" si="73"/>
        <v>0</v>
      </c>
      <c r="AB222" s="202">
        <f t="shared" si="74"/>
        <v>0</v>
      </c>
      <c r="AC222" s="201">
        <f t="shared" si="75"/>
        <v>10421.884210717653</v>
      </c>
      <c r="AD222" s="201">
        <f t="shared" si="76"/>
        <v>0</v>
      </c>
      <c r="AE222" s="201">
        <f t="shared" si="83"/>
        <v>10421.884210717653</v>
      </c>
      <c r="AF222" s="201">
        <f t="shared" si="77"/>
        <v>0</v>
      </c>
      <c r="AG222" s="201">
        <f t="shared" si="78"/>
        <v>0</v>
      </c>
      <c r="AH222" s="201">
        <f t="shared" si="84"/>
        <v>0</v>
      </c>
    </row>
    <row r="223" spans="3:34" x14ac:dyDescent="0.3">
      <c r="C223" s="179">
        <f t="shared" si="70"/>
        <v>206</v>
      </c>
      <c r="D223" s="180">
        <f t="shared" si="79"/>
        <v>30.4</v>
      </c>
      <c r="E223" s="165">
        <f>IF(C223="","",Simulador!$F$62)</f>
        <v>0.11</v>
      </c>
      <c r="F223" s="167"/>
      <c r="G223" s="167">
        <f t="shared" si="80"/>
        <v>0</v>
      </c>
      <c r="H223" s="166"/>
      <c r="I223" s="167">
        <f t="shared" si="67"/>
        <v>0</v>
      </c>
      <c r="J223" s="167">
        <f t="shared" si="68"/>
        <v>0</v>
      </c>
      <c r="K223" s="172">
        <f t="shared" si="71"/>
        <v>0</v>
      </c>
      <c r="L223" s="167">
        <f t="shared" si="65"/>
        <v>0</v>
      </c>
      <c r="M223" s="167">
        <f t="shared" si="81"/>
        <v>0</v>
      </c>
      <c r="N223" s="167">
        <f>IF(C223="","",IF(G223=0,0,IF(Simulador!$F$11='Tabla Parámetros'!$W$1,'Tabla Parámetros'!$W$28,IF(Simulador!$F$11='Tabla Parámetros'!$Y$1,'Tabla Parámetros'!$Y$12))))</f>
        <v>0</v>
      </c>
      <c r="O223" s="167"/>
      <c r="P223" s="167">
        <f>Simulador!O597</f>
        <v>0</v>
      </c>
      <c r="Q223" s="167">
        <f t="shared" si="82"/>
        <v>0</v>
      </c>
      <c r="R223" s="167">
        <f t="shared" si="72"/>
        <v>0</v>
      </c>
      <c r="U223" s="6"/>
      <c r="V223" s="6"/>
      <c r="W223" s="6"/>
      <c r="X223" s="256">
        <f t="shared" si="66"/>
        <v>0</v>
      </c>
      <c r="Z223" s="201">
        <f t="shared" si="69"/>
        <v>0</v>
      </c>
      <c r="AA223" s="201">
        <f t="shared" si="73"/>
        <v>0</v>
      </c>
      <c r="AB223" s="202">
        <f t="shared" si="74"/>
        <v>0</v>
      </c>
      <c r="AC223" s="201">
        <f t="shared" si="75"/>
        <v>10421.884210717653</v>
      </c>
      <c r="AD223" s="201">
        <f t="shared" si="76"/>
        <v>0</v>
      </c>
      <c r="AE223" s="201">
        <f t="shared" si="83"/>
        <v>10421.884210717653</v>
      </c>
      <c r="AF223" s="201">
        <f t="shared" si="77"/>
        <v>0</v>
      </c>
      <c r="AG223" s="201">
        <f t="shared" si="78"/>
        <v>0</v>
      </c>
      <c r="AH223" s="201">
        <f t="shared" si="84"/>
        <v>0</v>
      </c>
    </row>
    <row r="224" spans="3:34" x14ac:dyDescent="0.3">
      <c r="C224" s="179">
        <f t="shared" si="70"/>
        <v>207</v>
      </c>
      <c r="D224" s="180">
        <f t="shared" si="79"/>
        <v>30.4</v>
      </c>
      <c r="E224" s="165">
        <f>IF(C224="","",Simulador!$F$62)</f>
        <v>0.11</v>
      </c>
      <c r="F224" s="167"/>
      <c r="G224" s="167">
        <f t="shared" si="80"/>
        <v>0</v>
      </c>
      <c r="H224" s="166"/>
      <c r="I224" s="167">
        <f t="shared" si="67"/>
        <v>0</v>
      </c>
      <c r="J224" s="167">
        <f t="shared" si="68"/>
        <v>0</v>
      </c>
      <c r="K224" s="172">
        <f t="shared" si="71"/>
        <v>0</v>
      </c>
      <c r="L224" s="167">
        <f t="shared" si="65"/>
        <v>0</v>
      </c>
      <c r="M224" s="167">
        <f t="shared" si="81"/>
        <v>0</v>
      </c>
      <c r="N224" s="167">
        <f>IF(C224="","",IF(G224=0,0,IF(Simulador!$F$11='Tabla Parámetros'!$W$1,'Tabla Parámetros'!$W$28,IF(Simulador!$F$11='Tabla Parámetros'!$Y$1,'Tabla Parámetros'!$Y$12))))</f>
        <v>0</v>
      </c>
      <c r="O224" s="167"/>
      <c r="P224" s="167">
        <f>Simulador!O598</f>
        <v>0</v>
      </c>
      <c r="Q224" s="167">
        <f t="shared" si="82"/>
        <v>0</v>
      </c>
      <c r="R224" s="167">
        <f t="shared" si="72"/>
        <v>0</v>
      </c>
      <c r="U224" s="6"/>
      <c r="V224" s="6"/>
      <c r="W224" s="6"/>
      <c r="X224" s="256">
        <f t="shared" si="66"/>
        <v>0</v>
      </c>
      <c r="Z224" s="201">
        <f t="shared" si="69"/>
        <v>0</v>
      </c>
      <c r="AA224" s="201">
        <f t="shared" si="73"/>
        <v>0</v>
      </c>
      <c r="AB224" s="202">
        <f t="shared" si="74"/>
        <v>0</v>
      </c>
      <c r="AC224" s="201">
        <f t="shared" si="75"/>
        <v>10421.884210717653</v>
      </c>
      <c r="AD224" s="201">
        <f t="shared" si="76"/>
        <v>0</v>
      </c>
      <c r="AE224" s="201">
        <f t="shared" si="83"/>
        <v>10421.884210717653</v>
      </c>
      <c r="AF224" s="201">
        <f t="shared" si="77"/>
        <v>0</v>
      </c>
      <c r="AG224" s="201">
        <f t="shared" si="78"/>
        <v>0</v>
      </c>
      <c r="AH224" s="201">
        <f t="shared" si="84"/>
        <v>0</v>
      </c>
    </row>
    <row r="225" spans="3:34" x14ac:dyDescent="0.3">
      <c r="C225" s="179">
        <f t="shared" si="70"/>
        <v>208</v>
      </c>
      <c r="D225" s="180">
        <f t="shared" si="79"/>
        <v>30.4</v>
      </c>
      <c r="E225" s="165">
        <f>IF(C225="","",Simulador!$F$62)</f>
        <v>0.11</v>
      </c>
      <c r="F225" s="167"/>
      <c r="G225" s="167">
        <f t="shared" si="80"/>
        <v>0</v>
      </c>
      <c r="H225" s="166"/>
      <c r="I225" s="167">
        <f t="shared" si="67"/>
        <v>0</v>
      </c>
      <c r="J225" s="167">
        <f t="shared" si="68"/>
        <v>0</v>
      </c>
      <c r="K225" s="172">
        <f t="shared" si="71"/>
        <v>0</v>
      </c>
      <c r="L225" s="167">
        <f t="shared" si="65"/>
        <v>0</v>
      </c>
      <c r="M225" s="167">
        <f t="shared" si="81"/>
        <v>0</v>
      </c>
      <c r="N225" s="167">
        <f>IF(C225="","",IF(G225=0,0,IF(Simulador!$F$11='Tabla Parámetros'!$W$1,'Tabla Parámetros'!$W$28,IF(Simulador!$F$11='Tabla Parámetros'!$Y$1,'Tabla Parámetros'!$Y$12))))</f>
        <v>0</v>
      </c>
      <c r="O225" s="167"/>
      <c r="P225" s="167">
        <f>Simulador!O599</f>
        <v>0</v>
      </c>
      <c r="Q225" s="167">
        <f t="shared" si="82"/>
        <v>0</v>
      </c>
      <c r="R225" s="167">
        <f t="shared" si="72"/>
        <v>0</v>
      </c>
      <c r="U225" s="6"/>
      <c r="V225" s="6"/>
      <c r="W225" s="6"/>
      <c r="X225" s="256">
        <f t="shared" si="66"/>
        <v>0</v>
      </c>
      <c r="Z225" s="201">
        <f t="shared" si="69"/>
        <v>0</v>
      </c>
      <c r="AA225" s="201">
        <f t="shared" si="73"/>
        <v>0</v>
      </c>
      <c r="AB225" s="202">
        <f t="shared" si="74"/>
        <v>0</v>
      </c>
      <c r="AC225" s="201">
        <f t="shared" si="75"/>
        <v>10421.884210717653</v>
      </c>
      <c r="AD225" s="201">
        <f t="shared" si="76"/>
        <v>0</v>
      </c>
      <c r="AE225" s="201">
        <f t="shared" si="83"/>
        <v>10421.884210717653</v>
      </c>
      <c r="AF225" s="201">
        <f t="shared" si="77"/>
        <v>0</v>
      </c>
      <c r="AG225" s="201">
        <f t="shared" si="78"/>
        <v>0</v>
      </c>
      <c r="AH225" s="201">
        <f t="shared" si="84"/>
        <v>0</v>
      </c>
    </row>
    <row r="226" spans="3:34" x14ac:dyDescent="0.3">
      <c r="C226" s="181">
        <f t="shared" si="70"/>
        <v>209</v>
      </c>
      <c r="D226" s="180">
        <f t="shared" si="79"/>
        <v>30.4</v>
      </c>
      <c r="E226" s="165">
        <f>IF(C226="","",Simulador!$F$62)</f>
        <v>0.11</v>
      </c>
      <c r="F226" s="167"/>
      <c r="G226" s="167">
        <f t="shared" si="80"/>
        <v>0</v>
      </c>
      <c r="H226" s="166"/>
      <c r="I226" s="167">
        <f t="shared" si="67"/>
        <v>0</v>
      </c>
      <c r="J226" s="167">
        <f t="shared" si="68"/>
        <v>0</v>
      </c>
      <c r="K226" s="172">
        <f t="shared" si="71"/>
        <v>0</v>
      </c>
      <c r="L226" s="167">
        <f t="shared" si="65"/>
        <v>0</v>
      </c>
      <c r="M226" s="167">
        <f t="shared" si="81"/>
        <v>0</v>
      </c>
      <c r="N226" s="167">
        <f>IF(C226="","",IF(G226=0,0,IF(Simulador!$F$11='Tabla Parámetros'!$W$1,'Tabla Parámetros'!$W$28,IF(Simulador!$F$11='Tabla Parámetros'!$Y$1,'Tabla Parámetros'!$Y$12))))</f>
        <v>0</v>
      </c>
      <c r="O226" s="167"/>
      <c r="P226" s="167">
        <f>Simulador!O600</f>
        <v>0</v>
      </c>
      <c r="Q226" s="167">
        <f t="shared" si="82"/>
        <v>0</v>
      </c>
      <c r="R226" s="167">
        <f t="shared" si="72"/>
        <v>0</v>
      </c>
      <c r="U226" s="6"/>
      <c r="V226" s="6"/>
      <c r="W226" s="6"/>
      <c r="X226" s="256">
        <f t="shared" si="66"/>
        <v>0</v>
      </c>
      <c r="Z226" s="201">
        <f t="shared" si="69"/>
        <v>0</v>
      </c>
      <c r="AA226" s="201">
        <f t="shared" si="73"/>
        <v>0</v>
      </c>
      <c r="AB226" s="202">
        <f t="shared" si="74"/>
        <v>0</v>
      </c>
      <c r="AC226" s="201">
        <f t="shared" si="75"/>
        <v>10421.884210717653</v>
      </c>
      <c r="AD226" s="201">
        <f t="shared" si="76"/>
        <v>0</v>
      </c>
      <c r="AE226" s="201">
        <f t="shared" si="83"/>
        <v>10421.884210717653</v>
      </c>
      <c r="AF226" s="201">
        <f t="shared" si="77"/>
        <v>0</v>
      </c>
      <c r="AG226" s="201">
        <f t="shared" si="78"/>
        <v>0</v>
      </c>
      <c r="AH226" s="201">
        <f t="shared" si="84"/>
        <v>0</v>
      </c>
    </row>
    <row r="227" spans="3:34" x14ac:dyDescent="0.3">
      <c r="C227" s="179">
        <f t="shared" si="70"/>
        <v>210</v>
      </c>
      <c r="D227" s="180">
        <f t="shared" si="79"/>
        <v>30.4</v>
      </c>
      <c r="E227" s="165">
        <f>IF(C227="","",Simulador!$F$62)</f>
        <v>0.11</v>
      </c>
      <c r="F227" s="167"/>
      <c r="G227" s="167">
        <f t="shared" si="80"/>
        <v>0</v>
      </c>
      <c r="H227" s="166"/>
      <c r="I227" s="167">
        <f t="shared" si="67"/>
        <v>0</v>
      </c>
      <c r="J227" s="167">
        <f t="shared" si="68"/>
        <v>0</v>
      </c>
      <c r="K227" s="172">
        <f t="shared" si="71"/>
        <v>0</v>
      </c>
      <c r="L227" s="167">
        <f t="shared" si="65"/>
        <v>0</v>
      </c>
      <c r="M227" s="167">
        <f t="shared" si="81"/>
        <v>0</v>
      </c>
      <c r="N227" s="167">
        <f>IF(C227="","",IF(G227=0,0,IF(Simulador!$F$11='Tabla Parámetros'!$W$1,'Tabla Parámetros'!$W$28,IF(Simulador!$F$11='Tabla Parámetros'!$Y$1,'Tabla Parámetros'!$Y$12))))</f>
        <v>0</v>
      </c>
      <c r="O227" s="167"/>
      <c r="P227" s="167">
        <f>Simulador!O601</f>
        <v>0</v>
      </c>
      <c r="Q227" s="167">
        <f t="shared" si="82"/>
        <v>0</v>
      </c>
      <c r="R227" s="167">
        <f t="shared" si="72"/>
        <v>0</v>
      </c>
      <c r="U227" s="6"/>
      <c r="V227" s="6"/>
      <c r="W227" s="6"/>
      <c r="X227" s="256">
        <f t="shared" si="66"/>
        <v>0</v>
      </c>
      <c r="Z227" s="201">
        <f t="shared" si="69"/>
        <v>0</v>
      </c>
      <c r="AA227" s="201">
        <f t="shared" si="73"/>
        <v>0</v>
      </c>
      <c r="AB227" s="202">
        <f t="shared" si="74"/>
        <v>0</v>
      </c>
      <c r="AC227" s="201">
        <f t="shared" si="75"/>
        <v>10421.884210717653</v>
      </c>
      <c r="AD227" s="201">
        <f t="shared" si="76"/>
        <v>0</v>
      </c>
      <c r="AE227" s="201">
        <f t="shared" si="83"/>
        <v>10421.884210717653</v>
      </c>
      <c r="AF227" s="201">
        <f t="shared" si="77"/>
        <v>0</v>
      </c>
      <c r="AG227" s="201">
        <f t="shared" si="78"/>
        <v>0</v>
      </c>
      <c r="AH227" s="201">
        <f t="shared" si="84"/>
        <v>0</v>
      </c>
    </row>
    <row r="228" spans="3:34" x14ac:dyDescent="0.3">
      <c r="C228" s="179">
        <f t="shared" si="70"/>
        <v>211</v>
      </c>
      <c r="D228" s="180">
        <f t="shared" si="79"/>
        <v>30.4</v>
      </c>
      <c r="E228" s="165">
        <f>IF(C228="","",Simulador!$F$62)</f>
        <v>0.11</v>
      </c>
      <c r="F228" s="167"/>
      <c r="G228" s="167">
        <f t="shared" si="80"/>
        <v>0</v>
      </c>
      <c r="H228" s="166"/>
      <c r="I228" s="167">
        <f t="shared" si="67"/>
        <v>0</v>
      </c>
      <c r="J228" s="167">
        <f t="shared" si="68"/>
        <v>0</v>
      </c>
      <c r="K228" s="172">
        <f t="shared" si="71"/>
        <v>0</v>
      </c>
      <c r="L228" s="167">
        <f t="shared" si="65"/>
        <v>0</v>
      </c>
      <c r="M228" s="167">
        <f t="shared" si="81"/>
        <v>0</v>
      </c>
      <c r="N228" s="167">
        <f>IF(C228="","",IF(G228=0,0,IF(Simulador!$F$11='Tabla Parámetros'!$W$1,'Tabla Parámetros'!$W$28,IF(Simulador!$F$11='Tabla Parámetros'!$Y$1,'Tabla Parámetros'!$Y$12))))</f>
        <v>0</v>
      </c>
      <c r="O228" s="167"/>
      <c r="P228" s="167">
        <f>Simulador!O602</f>
        <v>0</v>
      </c>
      <c r="Q228" s="167">
        <f t="shared" si="82"/>
        <v>0</v>
      </c>
      <c r="R228" s="167">
        <f t="shared" si="72"/>
        <v>0</v>
      </c>
      <c r="U228" s="6"/>
      <c r="V228" s="6"/>
      <c r="W228" s="6"/>
      <c r="X228" s="256">
        <f t="shared" si="66"/>
        <v>0</v>
      </c>
      <c r="Z228" s="201">
        <f t="shared" si="69"/>
        <v>0</v>
      </c>
      <c r="AA228" s="201">
        <f t="shared" si="73"/>
        <v>0</v>
      </c>
      <c r="AB228" s="202">
        <f t="shared" si="74"/>
        <v>0</v>
      </c>
      <c r="AC228" s="201">
        <f t="shared" si="75"/>
        <v>10421.884210717653</v>
      </c>
      <c r="AD228" s="201">
        <f t="shared" si="76"/>
        <v>0</v>
      </c>
      <c r="AE228" s="201">
        <f t="shared" si="83"/>
        <v>10421.884210717653</v>
      </c>
      <c r="AF228" s="201">
        <f t="shared" si="77"/>
        <v>0</v>
      </c>
      <c r="AG228" s="201">
        <f t="shared" si="78"/>
        <v>0</v>
      </c>
      <c r="AH228" s="201">
        <f t="shared" si="84"/>
        <v>0</v>
      </c>
    </row>
    <row r="229" spans="3:34" x14ac:dyDescent="0.3">
      <c r="C229" s="179">
        <f t="shared" si="70"/>
        <v>212</v>
      </c>
      <c r="D229" s="180">
        <f t="shared" si="79"/>
        <v>30.4</v>
      </c>
      <c r="E229" s="165">
        <f>IF(C229="","",Simulador!$F$62)</f>
        <v>0.11</v>
      </c>
      <c r="F229" s="167"/>
      <c r="G229" s="167">
        <f t="shared" si="80"/>
        <v>0</v>
      </c>
      <c r="H229" s="166"/>
      <c r="I229" s="167">
        <f t="shared" si="67"/>
        <v>0</v>
      </c>
      <c r="J229" s="167">
        <f t="shared" si="68"/>
        <v>0</v>
      </c>
      <c r="K229" s="172">
        <f t="shared" si="71"/>
        <v>0</v>
      </c>
      <c r="L229" s="167">
        <f t="shared" si="65"/>
        <v>0</v>
      </c>
      <c r="M229" s="167">
        <f t="shared" si="81"/>
        <v>0</v>
      </c>
      <c r="N229" s="167">
        <f>IF(C229="","",IF(G229=0,0,IF(Simulador!$F$11='Tabla Parámetros'!$W$1,'Tabla Parámetros'!$W$28,IF(Simulador!$F$11='Tabla Parámetros'!$Y$1,'Tabla Parámetros'!$Y$12))))</f>
        <v>0</v>
      </c>
      <c r="O229" s="167"/>
      <c r="P229" s="167">
        <f>Simulador!O603</f>
        <v>0</v>
      </c>
      <c r="Q229" s="167">
        <f t="shared" si="82"/>
        <v>0</v>
      </c>
      <c r="R229" s="167">
        <f t="shared" si="72"/>
        <v>0</v>
      </c>
      <c r="U229" s="6"/>
      <c r="V229" s="6"/>
      <c r="W229" s="6"/>
      <c r="X229" s="256">
        <f t="shared" si="66"/>
        <v>0</v>
      </c>
      <c r="Z229" s="201">
        <f t="shared" si="69"/>
        <v>0</v>
      </c>
      <c r="AA229" s="201">
        <f t="shared" si="73"/>
        <v>0</v>
      </c>
      <c r="AB229" s="202">
        <f t="shared" si="74"/>
        <v>0</v>
      </c>
      <c r="AC229" s="201">
        <f t="shared" si="75"/>
        <v>10421.884210717653</v>
      </c>
      <c r="AD229" s="201">
        <f t="shared" si="76"/>
        <v>0</v>
      </c>
      <c r="AE229" s="201">
        <f t="shared" si="83"/>
        <v>10421.884210717653</v>
      </c>
      <c r="AF229" s="201">
        <f t="shared" si="77"/>
        <v>0</v>
      </c>
      <c r="AG229" s="201">
        <f t="shared" si="78"/>
        <v>0</v>
      </c>
      <c r="AH229" s="201">
        <f t="shared" si="84"/>
        <v>0</v>
      </c>
    </row>
    <row r="230" spans="3:34" x14ac:dyDescent="0.3">
      <c r="C230" s="181">
        <f t="shared" si="70"/>
        <v>213</v>
      </c>
      <c r="D230" s="180">
        <f t="shared" si="79"/>
        <v>30.4</v>
      </c>
      <c r="E230" s="165">
        <f>IF(C230="","",Simulador!$F$62)</f>
        <v>0.11</v>
      </c>
      <c r="F230" s="167"/>
      <c r="G230" s="167">
        <f t="shared" si="80"/>
        <v>0</v>
      </c>
      <c r="H230" s="166"/>
      <c r="I230" s="167">
        <f t="shared" si="67"/>
        <v>0</v>
      </c>
      <c r="J230" s="167">
        <f t="shared" si="68"/>
        <v>0</v>
      </c>
      <c r="K230" s="172">
        <f t="shared" si="71"/>
        <v>0</v>
      </c>
      <c r="L230" s="167">
        <f t="shared" si="65"/>
        <v>0</v>
      </c>
      <c r="M230" s="167">
        <f t="shared" si="81"/>
        <v>0</v>
      </c>
      <c r="N230" s="167">
        <f>IF(C230="","",IF(G230=0,0,IF(Simulador!$F$11='Tabla Parámetros'!$W$1,'Tabla Parámetros'!$W$28,IF(Simulador!$F$11='Tabla Parámetros'!$Y$1,'Tabla Parámetros'!$Y$12))))</f>
        <v>0</v>
      </c>
      <c r="O230" s="167"/>
      <c r="P230" s="167">
        <f>Simulador!O604</f>
        <v>0</v>
      </c>
      <c r="Q230" s="167">
        <f t="shared" si="82"/>
        <v>0</v>
      </c>
      <c r="R230" s="167">
        <f t="shared" si="72"/>
        <v>0</v>
      </c>
      <c r="U230" s="6"/>
      <c r="V230" s="6"/>
      <c r="W230" s="6"/>
      <c r="X230" s="256">
        <f t="shared" si="66"/>
        <v>0</v>
      </c>
      <c r="Z230" s="201">
        <f t="shared" si="69"/>
        <v>0</v>
      </c>
      <c r="AA230" s="201">
        <f t="shared" si="73"/>
        <v>0</v>
      </c>
      <c r="AB230" s="202">
        <f t="shared" si="74"/>
        <v>0</v>
      </c>
      <c r="AC230" s="201">
        <f t="shared" si="75"/>
        <v>10421.884210717653</v>
      </c>
      <c r="AD230" s="201">
        <f t="shared" si="76"/>
        <v>0</v>
      </c>
      <c r="AE230" s="201">
        <f t="shared" si="83"/>
        <v>10421.884210717653</v>
      </c>
      <c r="AF230" s="201">
        <f t="shared" si="77"/>
        <v>0</v>
      </c>
      <c r="AG230" s="201">
        <f t="shared" si="78"/>
        <v>0</v>
      </c>
      <c r="AH230" s="201">
        <f t="shared" si="84"/>
        <v>0</v>
      </c>
    </row>
    <row r="231" spans="3:34" x14ac:dyDescent="0.3">
      <c r="C231" s="179">
        <f t="shared" si="70"/>
        <v>214</v>
      </c>
      <c r="D231" s="180">
        <f t="shared" si="79"/>
        <v>30.4</v>
      </c>
      <c r="E231" s="165">
        <f>IF(C231="","",Simulador!$F$62)</f>
        <v>0.11</v>
      </c>
      <c r="F231" s="167"/>
      <c r="G231" s="167">
        <f t="shared" si="80"/>
        <v>0</v>
      </c>
      <c r="H231" s="166"/>
      <c r="I231" s="167">
        <f t="shared" si="67"/>
        <v>0</v>
      </c>
      <c r="J231" s="167">
        <f t="shared" si="68"/>
        <v>0</v>
      </c>
      <c r="K231" s="172">
        <f t="shared" si="71"/>
        <v>0</v>
      </c>
      <c r="L231" s="167">
        <f t="shared" si="65"/>
        <v>0</v>
      </c>
      <c r="M231" s="167">
        <f t="shared" si="81"/>
        <v>0</v>
      </c>
      <c r="N231" s="167">
        <f>IF(C231="","",IF(G231=0,0,IF(Simulador!$F$11='Tabla Parámetros'!$W$1,'Tabla Parámetros'!$W$28,IF(Simulador!$F$11='Tabla Parámetros'!$Y$1,'Tabla Parámetros'!$Y$12))))</f>
        <v>0</v>
      </c>
      <c r="O231" s="167"/>
      <c r="P231" s="167">
        <f>Simulador!O605</f>
        <v>0</v>
      </c>
      <c r="Q231" s="167">
        <f t="shared" si="82"/>
        <v>0</v>
      </c>
      <c r="R231" s="167">
        <f t="shared" si="72"/>
        <v>0</v>
      </c>
      <c r="U231" s="6"/>
      <c r="V231" s="6"/>
      <c r="W231" s="6"/>
      <c r="X231" s="256">
        <f t="shared" si="66"/>
        <v>0</v>
      </c>
      <c r="Z231" s="201">
        <f t="shared" si="69"/>
        <v>0</v>
      </c>
      <c r="AA231" s="201">
        <f t="shared" si="73"/>
        <v>0</v>
      </c>
      <c r="AB231" s="202">
        <f t="shared" si="74"/>
        <v>0</v>
      </c>
      <c r="AC231" s="201">
        <f t="shared" si="75"/>
        <v>10421.884210717653</v>
      </c>
      <c r="AD231" s="201">
        <f t="shared" si="76"/>
        <v>0</v>
      </c>
      <c r="AE231" s="201">
        <f t="shared" si="83"/>
        <v>10421.884210717653</v>
      </c>
      <c r="AF231" s="201">
        <f t="shared" si="77"/>
        <v>0</v>
      </c>
      <c r="AG231" s="201">
        <f t="shared" si="78"/>
        <v>0</v>
      </c>
      <c r="AH231" s="201">
        <f t="shared" si="84"/>
        <v>0</v>
      </c>
    </row>
    <row r="232" spans="3:34" x14ac:dyDescent="0.3">
      <c r="C232" s="179">
        <f t="shared" si="70"/>
        <v>215</v>
      </c>
      <c r="D232" s="180">
        <f t="shared" si="79"/>
        <v>30.4</v>
      </c>
      <c r="E232" s="165">
        <f>IF(C232="","",Simulador!$F$62)</f>
        <v>0.11</v>
      </c>
      <c r="F232" s="167"/>
      <c r="G232" s="167">
        <f t="shared" si="80"/>
        <v>0</v>
      </c>
      <c r="H232" s="166"/>
      <c r="I232" s="167">
        <f t="shared" si="67"/>
        <v>0</v>
      </c>
      <c r="J232" s="167">
        <f t="shared" si="68"/>
        <v>0</v>
      </c>
      <c r="K232" s="172">
        <f t="shared" si="71"/>
        <v>0</v>
      </c>
      <c r="L232" s="167">
        <f t="shared" si="65"/>
        <v>0</v>
      </c>
      <c r="M232" s="167">
        <f t="shared" si="81"/>
        <v>0</v>
      </c>
      <c r="N232" s="167">
        <f>IF(C232="","",IF(G232=0,0,IF(Simulador!$F$11='Tabla Parámetros'!$W$1,'Tabla Parámetros'!$W$28,IF(Simulador!$F$11='Tabla Parámetros'!$Y$1,'Tabla Parámetros'!$Y$12))))</f>
        <v>0</v>
      </c>
      <c r="O232" s="167"/>
      <c r="P232" s="167">
        <f>Simulador!O606</f>
        <v>0</v>
      </c>
      <c r="Q232" s="167">
        <f t="shared" si="82"/>
        <v>0</v>
      </c>
      <c r="R232" s="167">
        <f t="shared" si="72"/>
        <v>0</v>
      </c>
      <c r="U232" s="6"/>
      <c r="V232" s="6"/>
      <c r="W232" s="6"/>
      <c r="X232" s="256">
        <f t="shared" si="66"/>
        <v>0</v>
      </c>
      <c r="Z232" s="201">
        <f t="shared" si="69"/>
        <v>0</v>
      </c>
      <c r="AA232" s="201">
        <f t="shared" si="73"/>
        <v>0</v>
      </c>
      <c r="AB232" s="202">
        <f t="shared" si="74"/>
        <v>0</v>
      </c>
      <c r="AC232" s="201">
        <f t="shared" si="75"/>
        <v>10421.884210717653</v>
      </c>
      <c r="AD232" s="201">
        <f t="shared" si="76"/>
        <v>0</v>
      </c>
      <c r="AE232" s="201">
        <f t="shared" si="83"/>
        <v>10421.884210717653</v>
      </c>
      <c r="AF232" s="201">
        <f t="shared" si="77"/>
        <v>0</v>
      </c>
      <c r="AG232" s="201">
        <f t="shared" si="78"/>
        <v>0</v>
      </c>
      <c r="AH232" s="201">
        <f t="shared" si="84"/>
        <v>0</v>
      </c>
    </row>
    <row r="233" spans="3:34" x14ac:dyDescent="0.3">
      <c r="C233" s="179">
        <f t="shared" si="70"/>
        <v>216</v>
      </c>
      <c r="D233" s="180">
        <f t="shared" si="79"/>
        <v>30.4</v>
      </c>
      <c r="E233" s="165">
        <f>IF(C233="","",Simulador!$F$62)</f>
        <v>0.11</v>
      </c>
      <c r="F233" s="167"/>
      <c r="G233" s="167">
        <f t="shared" si="80"/>
        <v>0</v>
      </c>
      <c r="H233" s="166"/>
      <c r="I233" s="167">
        <f t="shared" si="67"/>
        <v>0</v>
      </c>
      <c r="J233" s="167">
        <f t="shared" si="68"/>
        <v>0</v>
      </c>
      <c r="K233" s="172">
        <f t="shared" si="71"/>
        <v>0</v>
      </c>
      <c r="L233" s="167">
        <f t="shared" si="65"/>
        <v>0</v>
      </c>
      <c r="M233" s="167">
        <f t="shared" si="81"/>
        <v>0</v>
      </c>
      <c r="N233" s="167">
        <f>IF(C233="","",IF(G233=0,0,IF(Simulador!$F$11='Tabla Parámetros'!$W$1,'Tabla Parámetros'!$W$28,IF(Simulador!$F$11='Tabla Parámetros'!$Y$1,'Tabla Parámetros'!$Y$12))))</f>
        <v>0</v>
      </c>
      <c r="O233" s="167"/>
      <c r="P233" s="167">
        <f>Simulador!O607</f>
        <v>0</v>
      </c>
      <c r="Q233" s="167">
        <f t="shared" si="82"/>
        <v>0</v>
      </c>
      <c r="R233" s="167">
        <f t="shared" si="72"/>
        <v>0</v>
      </c>
      <c r="U233" s="6"/>
      <c r="V233" s="6"/>
      <c r="W233" s="6"/>
      <c r="X233" s="256">
        <f t="shared" si="66"/>
        <v>0</v>
      </c>
      <c r="Z233" s="201">
        <f t="shared" si="69"/>
        <v>0</v>
      </c>
      <c r="AA233" s="201">
        <f t="shared" si="73"/>
        <v>0</v>
      </c>
      <c r="AB233" s="202">
        <f t="shared" si="74"/>
        <v>0</v>
      </c>
      <c r="AC233" s="201">
        <f t="shared" si="75"/>
        <v>10421.884210717653</v>
      </c>
      <c r="AD233" s="201">
        <f t="shared" si="76"/>
        <v>0</v>
      </c>
      <c r="AE233" s="201">
        <f t="shared" si="83"/>
        <v>10421.884210717653</v>
      </c>
      <c r="AF233" s="201">
        <f t="shared" si="77"/>
        <v>0</v>
      </c>
      <c r="AG233" s="201">
        <f t="shared" si="78"/>
        <v>0</v>
      </c>
      <c r="AH233" s="201">
        <f t="shared" si="84"/>
        <v>0</v>
      </c>
    </row>
    <row r="234" spans="3:34" x14ac:dyDescent="0.3">
      <c r="C234" s="181">
        <f t="shared" si="70"/>
        <v>217</v>
      </c>
      <c r="D234" s="180">
        <f t="shared" si="79"/>
        <v>30.4</v>
      </c>
      <c r="E234" s="165">
        <f>IF(C234="","",Simulador!$F$62)</f>
        <v>0.11</v>
      </c>
      <c r="F234" s="167"/>
      <c r="G234" s="167">
        <f t="shared" si="80"/>
        <v>0</v>
      </c>
      <c r="H234" s="166"/>
      <c r="I234" s="167">
        <f t="shared" si="67"/>
        <v>0</v>
      </c>
      <c r="J234" s="167">
        <f t="shared" si="68"/>
        <v>0</v>
      </c>
      <c r="K234" s="172">
        <f t="shared" si="71"/>
        <v>0</v>
      </c>
      <c r="L234" s="167">
        <f t="shared" si="65"/>
        <v>0</v>
      </c>
      <c r="M234" s="167">
        <f t="shared" si="81"/>
        <v>0</v>
      </c>
      <c r="N234" s="167">
        <f>IF(C234="","",IF(G234=0,0,IF(Simulador!$F$11='Tabla Parámetros'!$W$1,'Tabla Parámetros'!$W$28,IF(Simulador!$F$11='Tabla Parámetros'!$Y$1,'Tabla Parámetros'!$Y$12))))</f>
        <v>0</v>
      </c>
      <c r="O234" s="167"/>
      <c r="P234" s="167">
        <f>Simulador!O608</f>
        <v>0</v>
      </c>
      <c r="Q234" s="167">
        <f t="shared" si="82"/>
        <v>0</v>
      </c>
      <c r="R234" s="167">
        <f t="shared" si="72"/>
        <v>0</v>
      </c>
      <c r="U234" s="6"/>
      <c r="V234" s="6"/>
      <c r="W234" s="6"/>
      <c r="X234" s="256">
        <f t="shared" si="66"/>
        <v>0</v>
      </c>
      <c r="Z234" s="201">
        <f t="shared" si="69"/>
        <v>0</v>
      </c>
      <c r="AA234" s="201">
        <f t="shared" si="73"/>
        <v>0</v>
      </c>
      <c r="AB234" s="202">
        <f t="shared" si="74"/>
        <v>0</v>
      </c>
      <c r="AC234" s="201">
        <f t="shared" si="75"/>
        <v>10421.884210717653</v>
      </c>
      <c r="AD234" s="201">
        <f t="shared" si="76"/>
        <v>0</v>
      </c>
      <c r="AE234" s="201">
        <f t="shared" si="83"/>
        <v>10421.884210717653</v>
      </c>
      <c r="AF234" s="201">
        <f t="shared" si="77"/>
        <v>0</v>
      </c>
      <c r="AG234" s="201">
        <f t="shared" si="78"/>
        <v>0</v>
      </c>
      <c r="AH234" s="201">
        <f t="shared" si="84"/>
        <v>0</v>
      </c>
    </row>
    <row r="235" spans="3:34" x14ac:dyDescent="0.3">
      <c r="C235" s="179">
        <f t="shared" si="70"/>
        <v>218</v>
      </c>
      <c r="D235" s="180">
        <f t="shared" si="79"/>
        <v>30.4</v>
      </c>
      <c r="E235" s="165">
        <f>IF(C235="","",Simulador!$F$62)</f>
        <v>0.11</v>
      </c>
      <c r="F235" s="167"/>
      <c r="G235" s="167">
        <f t="shared" si="80"/>
        <v>0</v>
      </c>
      <c r="H235" s="166"/>
      <c r="I235" s="167">
        <f t="shared" si="67"/>
        <v>0</v>
      </c>
      <c r="J235" s="167">
        <f t="shared" si="68"/>
        <v>0</v>
      </c>
      <c r="K235" s="172">
        <f t="shared" si="71"/>
        <v>0</v>
      </c>
      <c r="L235" s="167">
        <f t="shared" si="65"/>
        <v>0</v>
      </c>
      <c r="M235" s="167">
        <f t="shared" si="81"/>
        <v>0</v>
      </c>
      <c r="N235" s="167">
        <f>IF(C235="","",IF(G235=0,0,IF(Simulador!$F$11='Tabla Parámetros'!$W$1,'Tabla Parámetros'!$W$28,IF(Simulador!$F$11='Tabla Parámetros'!$Y$1,'Tabla Parámetros'!$Y$12))))</f>
        <v>0</v>
      </c>
      <c r="O235" s="167"/>
      <c r="P235" s="167">
        <f>Simulador!O609</f>
        <v>0</v>
      </c>
      <c r="Q235" s="167">
        <f t="shared" si="82"/>
        <v>0</v>
      </c>
      <c r="R235" s="167">
        <f t="shared" si="72"/>
        <v>0</v>
      </c>
      <c r="U235" s="6"/>
      <c r="V235" s="6"/>
      <c r="W235" s="6"/>
      <c r="X235" s="256">
        <f t="shared" si="66"/>
        <v>0</v>
      </c>
      <c r="Z235" s="201">
        <f t="shared" si="69"/>
        <v>0</v>
      </c>
      <c r="AA235" s="201">
        <f t="shared" si="73"/>
        <v>0</v>
      </c>
      <c r="AB235" s="202">
        <f t="shared" si="74"/>
        <v>0</v>
      </c>
      <c r="AC235" s="201">
        <f t="shared" si="75"/>
        <v>10421.884210717653</v>
      </c>
      <c r="AD235" s="201">
        <f t="shared" si="76"/>
        <v>0</v>
      </c>
      <c r="AE235" s="201">
        <f t="shared" si="83"/>
        <v>10421.884210717653</v>
      </c>
      <c r="AF235" s="201">
        <f t="shared" si="77"/>
        <v>0</v>
      </c>
      <c r="AG235" s="201">
        <f t="shared" si="78"/>
        <v>0</v>
      </c>
      <c r="AH235" s="201">
        <f t="shared" si="84"/>
        <v>0</v>
      </c>
    </row>
    <row r="236" spans="3:34" x14ac:dyDescent="0.3">
      <c r="C236" s="179">
        <f t="shared" si="70"/>
        <v>219</v>
      </c>
      <c r="D236" s="180">
        <f t="shared" si="79"/>
        <v>30.4</v>
      </c>
      <c r="E236" s="165">
        <f>IF(C236="","",Simulador!$F$62)</f>
        <v>0.11</v>
      </c>
      <c r="F236" s="167"/>
      <c r="G236" s="167">
        <f t="shared" si="80"/>
        <v>0</v>
      </c>
      <c r="H236" s="166"/>
      <c r="I236" s="167">
        <f t="shared" si="67"/>
        <v>0</v>
      </c>
      <c r="J236" s="167">
        <f t="shared" si="68"/>
        <v>0</v>
      </c>
      <c r="K236" s="172">
        <f t="shared" si="71"/>
        <v>0</v>
      </c>
      <c r="L236" s="167">
        <f t="shared" si="65"/>
        <v>0</v>
      </c>
      <c r="M236" s="167">
        <f t="shared" si="81"/>
        <v>0</v>
      </c>
      <c r="N236" s="167">
        <f>IF(C236="","",IF(G236=0,0,IF(Simulador!$F$11='Tabla Parámetros'!$W$1,'Tabla Parámetros'!$W$28,IF(Simulador!$F$11='Tabla Parámetros'!$Y$1,'Tabla Parámetros'!$Y$12))))</f>
        <v>0</v>
      </c>
      <c r="O236" s="167"/>
      <c r="P236" s="167">
        <f>Simulador!O610</f>
        <v>0</v>
      </c>
      <c r="Q236" s="167">
        <f t="shared" si="82"/>
        <v>0</v>
      </c>
      <c r="R236" s="167">
        <f t="shared" si="72"/>
        <v>0</v>
      </c>
      <c r="U236" s="6"/>
      <c r="V236" s="6"/>
      <c r="W236" s="6"/>
      <c r="X236" s="256">
        <f t="shared" si="66"/>
        <v>0</v>
      </c>
      <c r="Z236" s="201">
        <f t="shared" si="69"/>
        <v>0</v>
      </c>
      <c r="AA236" s="201">
        <f t="shared" si="73"/>
        <v>0</v>
      </c>
      <c r="AB236" s="202">
        <f t="shared" si="74"/>
        <v>0</v>
      </c>
      <c r="AC236" s="201">
        <f t="shared" si="75"/>
        <v>10421.884210717653</v>
      </c>
      <c r="AD236" s="201">
        <f t="shared" si="76"/>
        <v>0</v>
      </c>
      <c r="AE236" s="201">
        <f t="shared" si="83"/>
        <v>10421.884210717653</v>
      </c>
      <c r="AF236" s="201">
        <f t="shared" si="77"/>
        <v>0</v>
      </c>
      <c r="AG236" s="201">
        <f t="shared" si="78"/>
        <v>0</v>
      </c>
      <c r="AH236" s="201">
        <f t="shared" si="84"/>
        <v>0</v>
      </c>
    </row>
    <row r="237" spans="3:34" x14ac:dyDescent="0.3">
      <c r="C237" s="179">
        <f t="shared" si="70"/>
        <v>220</v>
      </c>
      <c r="D237" s="180">
        <f t="shared" si="79"/>
        <v>30.4</v>
      </c>
      <c r="E237" s="165">
        <f>IF(C237="","",Simulador!$F$62)</f>
        <v>0.11</v>
      </c>
      <c r="F237" s="167"/>
      <c r="G237" s="167">
        <f t="shared" si="80"/>
        <v>0</v>
      </c>
      <c r="H237" s="166"/>
      <c r="I237" s="167">
        <f t="shared" si="67"/>
        <v>0</v>
      </c>
      <c r="J237" s="167">
        <f t="shared" si="68"/>
        <v>0</v>
      </c>
      <c r="K237" s="172">
        <f t="shared" si="71"/>
        <v>0</v>
      </c>
      <c r="L237" s="167">
        <f t="shared" si="65"/>
        <v>0</v>
      </c>
      <c r="M237" s="167">
        <f t="shared" si="81"/>
        <v>0</v>
      </c>
      <c r="N237" s="167">
        <f>IF(C237="","",IF(G237=0,0,IF(Simulador!$F$11='Tabla Parámetros'!$W$1,'Tabla Parámetros'!$W$28,IF(Simulador!$F$11='Tabla Parámetros'!$Y$1,'Tabla Parámetros'!$Y$12))))</f>
        <v>0</v>
      </c>
      <c r="O237" s="167"/>
      <c r="P237" s="167">
        <f>Simulador!O611</f>
        <v>0</v>
      </c>
      <c r="Q237" s="167">
        <f t="shared" si="82"/>
        <v>0</v>
      </c>
      <c r="R237" s="167">
        <f t="shared" si="72"/>
        <v>0</v>
      </c>
      <c r="U237" s="6"/>
      <c r="V237" s="6"/>
      <c r="W237" s="6"/>
      <c r="X237" s="256">
        <f t="shared" si="66"/>
        <v>0</v>
      </c>
      <c r="Z237" s="201">
        <f t="shared" si="69"/>
        <v>0</v>
      </c>
      <c r="AA237" s="201">
        <f t="shared" si="73"/>
        <v>0</v>
      </c>
      <c r="AB237" s="202">
        <f t="shared" si="74"/>
        <v>0</v>
      </c>
      <c r="AC237" s="201">
        <f t="shared" si="75"/>
        <v>10421.884210717653</v>
      </c>
      <c r="AD237" s="201">
        <f t="shared" si="76"/>
        <v>0</v>
      </c>
      <c r="AE237" s="201">
        <f t="shared" si="83"/>
        <v>10421.884210717653</v>
      </c>
      <c r="AF237" s="201">
        <f t="shared" si="77"/>
        <v>0</v>
      </c>
      <c r="AG237" s="201">
        <f t="shared" si="78"/>
        <v>0</v>
      </c>
      <c r="AH237" s="201">
        <f t="shared" si="84"/>
        <v>0</v>
      </c>
    </row>
    <row r="238" spans="3:34" x14ac:dyDescent="0.3">
      <c r="C238" s="181">
        <f t="shared" si="70"/>
        <v>221</v>
      </c>
      <c r="D238" s="180">
        <f t="shared" si="79"/>
        <v>30.4</v>
      </c>
      <c r="E238" s="165">
        <f>IF(C238="","",Simulador!$F$62)</f>
        <v>0.11</v>
      </c>
      <c r="F238" s="167"/>
      <c r="G238" s="167">
        <f t="shared" si="80"/>
        <v>0</v>
      </c>
      <c r="H238" s="166"/>
      <c r="I238" s="167">
        <f t="shared" si="67"/>
        <v>0</v>
      </c>
      <c r="J238" s="167">
        <f t="shared" si="68"/>
        <v>0</v>
      </c>
      <c r="K238" s="172">
        <f t="shared" si="71"/>
        <v>0</v>
      </c>
      <c r="L238" s="167">
        <f t="shared" si="65"/>
        <v>0</v>
      </c>
      <c r="M238" s="167">
        <f t="shared" si="81"/>
        <v>0</v>
      </c>
      <c r="N238" s="167">
        <f>IF(C238="","",IF(G238=0,0,IF(Simulador!$F$11='Tabla Parámetros'!$W$1,'Tabla Parámetros'!$W$28,IF(Simulador!$F$11='Tabla Parámetros'!$Y$1,'Tabla Parámetros'!$Y$12))))</f>
        <v>0</v>
      </c>
      <c r="O238" s="167"/>
      <c r="P238" s="167">
        <f>Simulador!O612</f>
        <v>0</v>
      </c>
      <c r="Q238" s="167">
        <f t="shared" si="82"/>
        <v>0</v>
      </c>
      <c r="R238" s="167">
        <f t="shared" si="72"/>
        <v>0</v>
      </c>
      <c r="U238" s="6"/>
      <c r="V238" s="6"/>
      <c r="W238" s="6"/>
      <c r="X238" s="256">
        <f t="shared" si="66"/>
        <v>0</v>
      </c>
      <c r="Z238" s="201">
        <f t="shared" si="69"/>
        <v>0</v>
      </c>
      <c r="AA238" s="201">
        <f t="shared" si="73"/>
        <v>0</v>
      </c>
      <c r="AB238" s="202">
        <f t="shared" si="74"/>
        <v>0</v>
      </c>
      <c r="AC238" s="201">
        <f t="shared" si="75"/>
        <v>10421.884210717653</v>
      </c>
      <c r="AD238" s="201">
        <f t="shared" si="76"/>
        <v>0</v>
      </c>
      <c r="AE238" s="201">
        <f t="shared" si="83"/>
        <v>10421.884210717653</v>
      </c>
      <c r="AF238" s="201">
        <f t="shared" si="77"/>
        <v>0</v>
      </c>
      <c r="AG238" s="201">
        <f t="shared" si="78"/>
        <v>0</v>
      </c>
      <c r="AH238" s="201">
        <f t="shared" si="84"/>
        <v>0</v>
      </c>
    </row>
    <row r="239" spans="3:34" x14ac:dyDescent="0.3">
      <c r="C239" s="179">
        <f t="shared" si="70"/>
        <v>222</v>
      </c>
      <c r="D239" s="180">
        <f t="shared" si="79"/>
        <v>30.4</v>
      </c>
      <c r="E239" s="165">
        <f>IF(C239="","",Simulador!$F$62)</f>
        <v>0.11</v>
      </c>
      <c r="F239" s="167"/>
      <c r="G239" s="167">
        <f t="shared" si="80"/>
        <v>0</v>
      </c>
      <c r="H239" s="166"/>
      <c r="I239" s="167">
        <f t="shared" si="67"/>
        <v>0</v>
      </c>
      <c r="J239" s="167">
        <f t="shared" si="68"/>
        <v>0</v>
      </c>
      <c r="K239" s="172">
        <f t="shared" si="71"/>
        <v>0</v>
      </c>
      <c r="L239" s="167">
        <f t="shared" si="65"/>
        <v>0</v>
      </c>
      <c r="M239" s="167">
        <f t="shared" si="81"/>
        <v>0</v>
      </c>
      <c r="N239" s="167">
        <f>IF(C239="","",IF(G239=0,0,IF(Simulador!$F$11='Tabla Parámetros'!$W$1,'Tabla Parámetros'!$W$28,IF(Simulador!$F$11='Tabla Parámetros'!$Y$1,'Tabla Parámetros'!$Y$12))))</f>
        <v>0</v>
      </c>
      <c r="O239" s="167"/>
      <c r="P239" s="167">
        <f>Simulador!O613</f>
        <v>0</v>
      </c>
      <c r="Q239" s="167">
        <f t="shared" si="82"/>
        <v>0</v>
      </c>
      <c r="R239" s="167">
        <f t="shared" si="72"/>
        <v>0</v>
      </c>
      <c r="U239" s="6"/>
      <c r="V239" s="6"/>
      <c r="W239" s="6"/>
      <c r="X239" s="256">
        <f t="shared" si="66"/>
        <v>0</v>
      </c>
      <c r="Z239" s="201">
        <f t="shared" si="69"/>
        <v>0</v>
      </c>
      <c r="AA239" s="201">
        <f t="shared" si="73"/>
        <v>0</v>
      </c>
      <c r="AB239" s="202">
        <f t="shared" si="74"/>
        <v>0</v>
      </c>
      <c r="AC239" s="201">
        <f t="shared" si="75"/>
        <v>10421.884210717653</v>
      </c>
      <c r="AD239" s="201">
        <f t="shared" si="76"/>
        <v>0</v>
      </c>
      <c r="AE239" s="201">
        <f t="shared" si="83"/>
        <v>10421.884210717653</v>
      </c>
      <c r="AF239" s="201">
        <f t="shared" si="77"/>
        <v>0</v>
      </c>
      <c r="AG239" s="201">
        <f t="shared" si="78"/>
        <v>0</v>
      </c>
      <c r="AH239" s="201">
        <f t="shared" si="84"/>
        <v>0</v>
      </c>
    </row>
    <row r="240" spans="3:34" x14ac:dyDescent="0.3">
      <c r="C240" s="179">
        <f t="shared" si="70"/>
        <v>223</v>
      </c>
      <c r="D240" s="180">
        <f t="shared" si="79"/>
        <v>30.4</v>
      </c>
      <c r="E240" s="165">
        <f>IF(C240="","",Simulador!$F$62)</f>
        <v>0.11</v>
      </c>
      <c r="F240" s="167"/>
      <c r="G240" s="167">
        <f t="shared" si="80"/>
        <v>0</v>
      </c>
      <c r="H240" s="166"/>
      <c r="I240" s="167">
        <f t="shared" si="67"/>
        <v>0</v>
      </c>
      <c r="J240" s="167">
        <f t="shared" si="68"/>
        <v>0</v>
      </c>
      <c r="K240" s="172">
        <f t="shared" si="71"/>
        <v>0</v>
      </c>
      <c r="L240" s="167">
        <f t="shared" si="65"/>
        <v>0</v>
      </c>
      <c r="M240" s="167">
        <f t="shared" si="81"/>
        <v>0</v>
      </c>
      <c r="N240" s="167">
        <f>IF(C240="","",IF(G240=0,0,IF(Simulador!$F$11='Tabla Parámetros'!$W$1,'Tabla Parámetros'!$W$28,IF(Simulador!$F$11='Tabla Parámetros'!$Y$1,'Tabla Parámetros'!$Y$12))))</f>
        <v>0</v>
      </c>
      <c r="O240" s="167"/>
      <c r="P240" s="167">
        <f>Simulador!O614</f>
        <v>0</v>
      </c>
      <c r="Q240" s="167">
        <f t="shared" si="82"/>
        <v>0</v>
      </c>
      <c r="R240" s="167">
        <f t="shared" si="72"/>
        <v>0</v>
      </c>
      <c r="U240" s="6"/>
      <c r="V240" s="6"/>
      <c r="W240" s="6"/>
      <c r="X240" s="256">
        <f t="shared" si="66"/>
        <v>0</v>
      </c>
      <c r="Z240" s="201">
        <f t="shared" si="69"/>
        <v>0</v>
      </c>
      <c r="AA240" s="201">
        <f t="shared" si="73"/>
        <v>0</v>
      </c>
      <c r="AB240" s="202">
        <f t="shared" si="74"/>
        <v>0</v>
      </c>
      <c r="AC240" s="201">
        <f t="shared" si="75"/>
        <v>10421.884210717653</v>
      </c>
      <c r="AD240" s="201">
        <f t="shared" si="76"/>
        <v>0</v>
      </c>
      <c r="AE240" s="201">
        <f t="shared" si="83"/>
        <v>10421.884210717653</v>
      </c>
      <c r="AF240" s="201">
        <f t="shared" si="77"/>
        <v>0</v>
      </c>
      <c r="AG240" s="201">
        <f t="shared" si="78"/>
        <v>0</v>
      </c>
      <c r="AH240" s="201">
        <f t="shared" si="84"/>
        <v>0</v>
      </c>
    </row>
    <row r="241" spans="3:34" x14ac:dyDescent="0.3">
      <c r="C241" s="179">
        <f t="shared" si="70"/>
        <v>224</v>
      </c>
      <c r="D241" s="180">
        <f t="shared" si="79"/>
        <v>30.4</v>
      </c>
      <c r="E241" s="165">
        <f>IF(C241="","",Simulador!$F$62)</f>
        <v>0.11</v>
      </c>
      <c r="F241" s="167"/>
      <c r="G241" s="167">
        <f t="shared" si="80"/>
        <v>0</v>
      </c>
      <c r="H241" s="166"/>
      <c r="I241" s="167">
        <f t="shared" si="67"/>
        <v>0</v>
      </c>
      <c r="J241" s="167">
        <f t="shared" si="68"/>
        <v>0</v>
      </c>
      <c r="K241" s="172">
        <f t="shared" si="71"/>
        <v>0</v>
      </c>
      <c r="L241" s="167">
        <f t="shared" si="65"/>
        <v>0</v>
      </c>
      <c r="M241" s="167">
        <f t="shared" si="81"/>
        <v>0</v>
      </c>
      <c r="N241" s="167">
        <f>IF(C241="","",IF(G241=0,0,IF(Simulador!$F$11='Tabla Parámetros'!$W$1,'Tabla Parámetros'!$W$28,IF(Simulador!$F$11='Tabla Parámetros'!$Y$1,'Tabla Parámetros'!$Y$12))))</f>
        <v>0</v>
      </c>
      <c r="O241" s="167"/>
      <c r="P241" s="167">
        <f>Simulador!O615</f>
        <v>0</v>
      </c>
      <c r="Q241" s="167">
        <f t="shared" si="82"/>
        <v>0</v>
      </c>
      <c r="R241" s="167">
        <f t="shared" si="72"/>
        <v>0</v>
      </c>
      <c r="U241" s="6"/>
      <c r="V241" s="6"/>
      <c r="W241" s="6"/>
      <c r="X241" s="256">
        <f t="shared" si="66"/>
        <v>0</v>
      </c>
      <c r="Z241" s="201">
        <f t="shared" si="69"/>
        <v>0</v>
      </c>
      <c r="AA241" s="201">
        <f t="shared" si="73"/>
        <v>0</v>
      </c>
      <c r="AB241" s="202">
        <f t="shared" si="74"/>
        <v>0</v>
      </c>
      <c r="AC241" s="201">
        <f t="shared" si="75"/>
        <v>10421.884210717653</v>
      </c>
      <c r="AD241" s="201">
        <f t="shared" si="76"/>
        <v>0</v>
      </c>
      <c r="AE241" s="201">
        <f t="shared" si="83"/>
        <v>10421.884210717653</v>
      </c>
      <c r="AF241" s="201">
        <f t="shared" si="77"/>
        <v>0</v>
      </c>
      <c r="AG241" s="201">
        <f t="shared" si="78"/>
        <v>0</v>
      </c>
      <c r="AH241" s="201">
        <f t="shared" si="84"/>
        <v>0</v>
      </c>
    </row>
    <row r="242" spans="3:34" x14ac:dyDescent="0.3">
      <c r="C242" s="181">
        <f t="shared" si="70"/>
        <v>225</v>
      </c>
      <c r="D242" s="180">
        <f t="shared" si="79"/>
        <v>30.4</v>
      </c>
      <c r="E242" s="165">
        <f>IF(C242="","",Simulador!$F$62)</f>
        <v>0.11</v>
      </c>
      <c r="F242" s="167"/>
      <c r="G242" s="167">
        <f t="shared" si="80"/>
        <v>0</v>
      </c>
      <c r="H242" s="166"/>
      <c r="I242" s="167">
        <f t="shared" si="67"/>
        <v>0</v>
      </c>
      <c r="J242" s="167">
        <f t="shared" si="68"/>
        <v>0</v>
      </c>
      <c r="K242" s="172">
        <f t="shared" si="71"/>
        <v>0</v>
      </c>
      <c r="L242" s="167">
        <f t="shared" si="65"/>
        <v>0</v>
      </c>
      <c r="M242" s="167">
        <f t="shared" si="81"/>
        <v>0</v>
      </c>
      <c r="N242" s="167">
        <f>IF(C242="","",IF(G242=0,0,IF(Simulador!$F$11='Tabla Parámetros'!$W$1,'Tabla Parámetros'!$W$28,IF(Simulador!$F$11='Tabla Parámetros'!$Y$1,'Tabla Parámetros'!$Y$12))))</f>
        <v>0</v>
      </c>
      <c r="O242" s="167"/>
      <c r="P242" s="167">
        <f>Simulador!O616</f>
        <v>0</v>
      </c>
      <c r="Q242" s="167">
        <f t="shared" si="82"/>
        <v>0</v>
      </c>
      <c r="R242" s="167">
        <f t="shared" si="72"/>
        <v>0</v>
      </c>
      <c r="U242" s="6"/>
      <c r="V242" s="6"/>
      <c r="W242" s="6"/>
      <c r="X242" s="256">
        <f t="shared" si="66"/>
        <v>0</v>
      </c>
      <c r="Z242" s="201">
        <f t="shared" si="69"/>
        <v>0</v>
      </c>
      <c r="AA242" s="201">
        <f t="shared" si="73"/>
        <v>0</v>
      </c>
      <c r="AB242" s="202">
        <f t="shared" si="74"/>
        <v>0</v>
      </c>
      <c r="AC242" s="201">
        <f t="shared" si="75"/>
        <v>10421.884210717653</v>
      </c>
      <c r="AD242" s="201">
        <f t="shared" si="76"/>
        <v>0</v>
      </c>
      <c r="AE242" s="201">
        <f t="shared" si="83"/>
        <v>10421.884210717653</v>
      </c>
      <c r="AF242" s="201">
        <f t="shared" si="77"/>
        <v>0</v>
      </c>
      <c r="AG242" s="201">
        <f t="shared" si="78"/>
        <v>0</v>
      </c>
      <c r="AH242" s="201">
        <f t="shared" si="84"/>
        <v>0</v>
      </c>
    </row>
    <row r="243" spans="3:34" x14ac:dyDescent="0.3">
      <c r="C243" s="179">
        <f t="shared" si="70"/>
        <v>226</v>
      </c>
      <c r="D243" s="180">
        <f t="shared" si="79"/>
        <v>30.4</v>
      </c>
      <c r="E243" s="165">
        <f>IF(C243="","",Simulador!$F$62)</f>
        <v>0.11</v>
      </c>
      <c r="F243" s="167"/>
      <c r="G243" s="167">
        <f t="shared" si="80"/>
        <v>0</v>
      </c>
      <c r="H243" s="166"/>
      <c r="I243" s="167">
        <f t="shared" si="67"/>
        <v>0</v>
      </c>
      <c r="J243" s="167">
        <f t="shared" si="68"/>
        <v>0</v>
      </c>
      <c r="K243" s="172">
        <f t="shared" si="71"/>
        <v>0</v>
      </c>
      <c r="L243" s="167">
        <f t="shared" si="65"/>
        <v>0</v>
      </c>
      <c r="M243" s="167">
        <f t="shared" si="81"/>
        <v>0</v>
      </c>
      <c r="N243" s="167">
        <f>IF(C243="","",IF(G243=0,0,IF(Simulador!$F$11='Tabla Parámetros'!$W$1,'Tabla Parámetros'!$W$28,IF(Simulador!$F$11='Tabla Parámetros'!$Y$1,'Tabla Parámetros'!$Y$12))))</f>
        <v>0</v>
      </c>
      <c r="O243" s="167"/>
      <c r="P243" s="167">
        <f>Simulador!O617</f>
        <v>0</v>
      </c>
      <c r="Q243" s="167">
        <f t="shared" si="82"/>
        <v>0</v>
      </c>
      <c r="R243" s="167">
        <f t="shared" si="72"/>
        <v>0</v>
      </c>
      <c r="X243" s="256">
        <f t="shared" si="66"/>
        <v>0</v>
      </c>
      <c r="Z243" s="201">
        <f t="shared" si="69"/>
        <v>0</v>
      </c>
      <c r="AA243" s="201">
        <f t="shared" si="73"/>
        <v>0</v>
      </c>
      <c r="AB243" s="202">
        <f t="shared" si="74"/>
        <v>0</v>
      </c>
      <c r="AC243" s="201">
        <f t="shared" si="75"/>
        <v>10421.884210717653</v>
      </c>
      <c r="AD243" s="201">
        <f t="shared" si="76"/>
        <v>0</v>
      </c>
      <c r="AE243" s="201">
        <f t="shared" si="83"/>
        <v>10421.884210717653</v>
      </c>
      <c r="AF243" s="201">
        <f t="shared" si="77"/>
        <v>0</v>
      </c>
      <c r="AG243" s="201">
        <f t="shared" si="78"/>
        <v>0</v>
      </c>
      <c r="AH243" s="201">
        <f t="shared" si="84"/>
        <v>0</v>
      </c>
    </row>
    <row r="244" spans="3:34" x14ac:dyDescent="0.3">
      <c r="C244" s="179">
        <f t="shared" si="70"/>
        <v>227</v>
      </c>
      <c r="D244" s="180">
        <f t="shared" si="79"/>
        <v>30.4</v>
      </c>
      <c r="E244" s="165">
        <f>IF(C244="","",Simulador!$F$62)</f>
        <v>0.11</v>
      </c>
      <c r="F244" s="167"/>
      <c r="G244" s="167">
        <f t="shared" si="80"/>
        <v>0</v>
      </c>
      <c r="H244" s="166"/>
      <c r="I244" s="167">
        <f t="shared" si="67"/>
        <v>0</v>
      </c>
      <c r="J244" s="167">
        <f t="shared" si="68"/>
        <v>0</v>
      </c>
      <c r="K244" s="172">
        <f t="shared" si="71"/>
        <v>0</v>
      </c>
      <c r="L244" s="167">
        <f t="shared" si="65"/>
        <v>0</v>
      </c>
      <c r="M244" s="167">
        <f t="shared" si="81"/>
        <v>0</v>
      </c>
      <c r="N244" s="167">
        <f>IF(C244="","",IF(G244=0,0,IF(Simulador!$F$11='Tabla Parámetros'!$W$1,'Tabla Parámetros'!$W$28,IF(Simulador!$F$11='Tabla Parámetros'!$Y$1,'Tabla Parámetros'!$Y$12))))</f>
        <v>0</v>
      </c>
      <c r="O244" s="167"/>
      <c r="P244" s="167">
        <f>Simulador!O618</f>
        <v>0</v>
      </c>
      <c r="Q244" s="167">
        <f t="shared" si="82"/>
        <v>0</v>
      </c>
      <c r="R244" s="167">
        <f t="shared" si="72"/>
        <v>0</v>
      </c>
      <c r="X244" s="256">
        <f t="shared" si="66"/>
        <v>0</v>
      </c>
      <c r="Z244" s="201">
        <f t="shared" si="69"/>
        <v>0</v>
      </c>
      <c r="AA244" s="201">
        <f t="shared" si="73"/>
        <v>0</v>
      </c>
      <c r="AB244" s="202">
        <f t="shared" si="74"/>
        <v>0</v>
      </c>
      <c r="AC244" s="201">
        <f t="shared" si="75"/>
        <v>10421.884210717653</v>
      </c>
      <c r="AD244" s="201">
        <f t="shared" si="76"/>
        <v>0</v>
      </c>
      <c r="AE244" s="201">
        <f t="shared" si="83"/>
        <v>10421.884210717653</v>
      </c>
      <c r="AF244" s="201">
        <f t="shared" si="77"/>
        <v>0</v>
      </c>
      <c r="AG244" s="201">
        <f t="shared" si="78"/>
        <v>0</v>
      </c>
      <c r="AH244" s="201">
        <f t="shared" si="84"/>
        <v>0</v>
      </c>
    </row>
    <row r="245" spans="3:34" x14ac:dyDescent="0.3">
      <c r="C245" s="179">
        <f t="shared" si="70"/>
        <v>228</v>
      </c>
      <c r="D245" s="180">
        <f t="shared" si="79"/>
        <v>30.4</v>
      </c>
      <c r="E245" s="165">
        <f>IF(C245="","",Simulador!$F$62)</f>
        <v>0.11</v>
      </c>
      <c r="F245" s="167"/>
      <c r="G245" s="167">
        <f t="shared" si="80"/>
        <v>0</v>
      </c>
      <c r="H245" s="166"/>
      <c r="I245" s="167">
        <f t="shared" si="67"/>
        <v>0</v>
      </c>
      <c r="J245" s="167">
        <f t="shared" si="68"/>
        <v>0</v>
      </c>
      <c r="K245" s="172">
        <f t="shared" si="71"/>
        <v>0</v>
      </c>
      <c r="L245" s="167">
        <f t="shared" si="65"/>
        <v>0</v>
      </c>
      <c r="M245" s="167">
        <f t="shared" si="81"/>
        <v>0</v>
      </c>
      <c r="N245" s="167">
        <f>IF(C245="","",IF(G245=0,0,IF(Simulador!$F$11='Tabla Parámetros'!$W$1,'Tabla Parámetros'!$W$28,IF(Simulador!$F$11='Tabla Parámetros'!$Y$1,'Tabla Parámetros'!$Y$12))))</f>
        <v>0</v>
      </c>
      <c r="O245" s="167"/>
      <c r="P245" s="167">
        <f>Simulador!O619</f>
        <v>0</v>
      </c>
      <c r="Q245" s="167">
        <f t="shared" si="82"/>
        <v>0</v>
      </c>
      <c r="R245" s="167">
        <f t="shared" si="72"/>
        <v>0</v>
      </c>
      <c r="X245" s="256">
        <f t="shared" si="66"/>
        <v>0</v>
      </c>
      <c r="Z245" s="201">
        <f t="shared" si="69"/>
        <v>0</v>
      </c>
      <c r="AA245" s="201">
        <f t="shared" si="73"/>
        <v>0</v>
      </c>
      <c r="AB245" s="202">
        <f t="shared" si="74"/>
        <v>0</v>
      </c>
      <c r="AC245" s="201">
        <f t="shared" si="75"/>
        <v>10421.884210717653</v>
      </c>
      <c r="AD245" s="201">
        <f t="shared" si="76"/>
        <v>0</v>
      </c>
      <c r="AE245" s="201">
        <f t="shared" si="83"/>
        <v>10421.884210717653</v>
      </c>
      <c r="AF245" s="201">
        <f t="shared" si="77"/>
        <v>0</v>
      </c>
      <c r="AG245" s="201">
        <f t="shared" si="78"/>
        <v>0</v>
      </c>
      <c r="AH245" s="201">
        <f t="shared" si="84"/>
        <v>0</v>
      </c>
    </row>
    <row r="246" spans="3:34" x14ac:dyDescent="0.3">
      <c r="C246" s="181">
        <f t="shared" si="70"/>
        <v>229</v>
      </c>
      <c r="D246" s="180">
        <f t="shared" si="79"/>
        <v>30.4</v>
      </c>
      <c r="E246" s="165">
        <f>IF(C246="","",Simulador!$F$62)</f>
        <v>0.11</v>
      </c>
      <c r="F246" s="167"/>
      <c r="G246" s="167">
        <f t="shared" si="80"/>
        <v>0</v>
      </c>
      <c r="H246" s="166"/>
      <c r="I246" s="167">
        <f t="shared" si="67"/>
        <v>0</v>
      </c>
      <c r="J246" s="167">
        <f t="shared" si="68"/>
        <v>0</v>
      </c>
      <c r="K246" s="172">
        <f t="shared" si="71"/>
        <v>0</v>
      </c>
      <c r="L246" s="167">
        <f t="shared" si="65"/>
        <v>0</v>
      </c>
      <c r="M246" s="167">
        <f t="shared" si="81"/>
        <v>0</v>
      </c>
      <c r="N246" s="167">
        <f>IF(C246="","",IF(G246=0,0,IF(Simulador!$F$11='Tabla Parámetros'!$W$1,'Tabla Parámetros'!$W$28,IF(Simulador!$F$11='Tabla Parámetros'!$Y$1,'Tabla Parámetros'!$Y$12))))</f>
        <v>0</v>
      </c>
      <c r="O246" s="167"/>
      <c r="P246" s="167">
        <f>Simulador!O620</f>
        <v>0</v>
      </c>
      <c r="Q246" s="167">
        <f t="shared" si="82"/>
        <v>0</v>
      </c>
      <c r="R246" s="167">
        <f t="shared" si="72"/>
        <v>0</v>
      </c>
      <c r="X246" s="256">
        <f t="shared" si="66"/>
        <v>0</v>
      </c>
      <c r="Z246" s="201">
        <f t="shared" si="69"/>
        <v>0</v>
      </c>
      <c r="AA246" s="201">
        <f t="shared" si="73"/>
        <v>0</v>
      </c>
      <c r="AB246" s="202">
        <f t="shared" si="74"/>
        <v>0</v>
      </c>
      <c r="AC246" s="201">
        <f t="shared" si="75"/>
        <v>10421.884210717653</v>
      </c>
      <c r="AD246" s="201">
        <f t="shared" si="76"/>
        <v>0</v>
      </c>
      <c r="AE246" s="201">
        <f t="shared" si="83"/>
        <v>10421.884210717653</v>
      </c>
      <c r="AF246" s="201">
        <f t="shared" si="77"/>
        <v>0</v>
      </c>
      <c r="AG246" s="201">
        <f t="shared" si="78"/>
        <v>0</v>
      </c>
      <c r="AH246" s="201">
        <f t="shared" si="84"/>
        <v>0</v>
      </c>
    </row>
    <row r="247" spans="3:34" x14ac:dyDescent="0.3">
      <c r="C247" s="179">
        <f t="shared" si="70"/>
        <v>230</v>
      </c>
      <c r="D247" s="180">
        <f t="shared" si="79"/>
        <v>30.4</v>
      </c>
      <c r="E247" s="165">
        <f>IF(C247="","",Simulador!$F$62)</f>
        <v>0.11</v>
      </c>
      <c r="F247" s="167"/>
      <c r="G247" s="167">
        <f t="shared" si="80"/>
        <v>0</v>
      </c>
      <c r="H247" s="166"/>
      <c r="I247" s="167">
        <f t="shared" si="67"/>
        <v>0</v>
      </c>
      <c r="J247" s="167">
        <f t="shared" si="68"/>
        <v>0</v>
      </c>
      <c r="K247" s="172">
        <f t="shared" si="71"/>
        <v>0</v>
      </c>
      <c r="L247" s="167">
        <f t="shared" si="65"/>
        <v>0</v>
      </c>
      <c r="M247" s="167">
        <f t="shared" si="81"/>
        <v>0</v>
      </c>
      <c r="N247" s="167">
        <f>IF(C247="","",IF(G247=0,0,IF(Simulador!$F$11='Tabla Parámetros'!$W$1,'Tabla Parámetros'!$W$28,IF(Simulador!$F$11='Tabla Parámetros'!$Y$1,'Tabla Parámetros'!$Y$12))))</f>
        <v>0</v>
      </c>
      <c r="O247" s="167"/>
      <c r="P247" s="167">
        <f>Simulador!O621</f>
        <v>0</v>
      </c>
      <c r="Q247" s="167">
        <f t="shared" si="82"/>
        <v>0</v>
      </c>
      <c r="R247" s="167">
        <f t="shared" si="72"/>
        <v>0</v>
      </c>
      <c r="X247" s="256">
        <f t="shared" si="66"/>
        <v>0</v>
      </c>
      <c r="Z247" s="201">
        <f t="shared" si="69"/>
        <v>0</v>
      </c>
      <c r="AA247" s="201">
        <f t="shared" si="73"/>
        <v>0</v>
      </c>
      <c r="AB247" s="202">
        <f t="shared" si="74"/>
        <v>0</v>
      </c>
      <c r="AC247" s="201">
        <f t="shared" si="75"/>
        <v>10421.884210717653</v>
      </c>
      <c r="AD247" s="201">
        <f t="shared" si="76"/>
        <v>0</v>
      </c>
      <c r="AE247" s="201">
        <f t="shared" si="83"/>
        <v>10421.884210717653</v>
      </c>
      <c r="AF247" s="201">
        <f t="shared" si="77"/>
        <v>0</v>
      </c>
      <c r="AG247" s="201">
        <f t="shared" si="78"/>
        <v>0</v>
      </c>
      <c r="AH247" s="201">
        <f t="shared" si="84"/>
        <v>0</v>
      </c>
    </row>
    <row r="248" spans="3:34" x14ac:dyDescent="0.3">
      <c r="C248" s="179">
        <f t="shared" si="70"/>
        <v>231</v>
      </c>
      <c r="D248" s="180">
        <f t="shared" si="79"/>
        <v>30.4</v>
      </c>
      <c r="E248" s="165">
        <f>IF(C248="","",Simulador!$F$62)</f>
        <v>0.11</v>
      </c>
      <c r="F248" s="167"/>
      <c r="G248" s="167">
        <f t="shared" si="80"/>
        <v>0</v>
      </c>
      <c r="H248" s="166"/>
      <c r="I248" s="167">
        <f t="shared" si="67"/>
        <v>0</v>
      </c>
      <c r="J248" s="167">
        <f t="shared" si="68"/>
        <v>0</v>
      </c>
      <c r="K248" s="172">
        <f t="shared" si="71"/>
        <v>0</v>
      </c>
      <c r="L248" s="167">
        <f t="shared" si="65"/>
        <v>0</v>
      </c>
      <c r="M248" s="167">
        <f t="shared" si="81"/>
        <v>0</v>
      </c>
      <c r="N248" s="167">
        <f>IF(C248="","",IF(G248=0,0,IF(Simulador!$F$11='Tabla Parámetros'!$W$1,'Tabla Parámetros'!$W$28,IF(Simulador!$F$11='Tabla Parámetros'!$Y$1,'Tabla Parámetros'!$Y$12))))</f>
        <v>0</v>
      </c>
      <c r="O248" s="167"/>
      <c r="P248" s="167">
        <f>Simulador!O622</f>
        <v>0</v>
      </c>
      <c r="Q248" s="167">
        <f t="shared" si="82"/>
        <v>0</v>
      </c>
      <c r="R248" s="167">
        <f t="shared" si="72"/>
        <v>0</v>
      </c>
      <c r="X248" s="256">
        <f t="shared" si="66"/>
        <v>0</v>
      </c>
      <c r="Z248" s="201">
        <f t="shared" si="69"/>
        <v>0</v>
      </c>
      <c r="AA248" s="201">
        <f t="shared" si="73"/>
        <v>0</v>
      </c>
      <c r="AB248" s="202">
        <f t="shared" si="74"/>
        <v>0</v>
      </c>
      <c r="AC248" s="201">
        <f t="shared" si="75"/>
        <v>10421.884210717653</v>
      </c>
      <c r="AD248" s="201">
        <f t="shared" si="76"/>
        <v>0</v>
      </c>
      <c r="AE248" s="201">
        <f t="shared" si="83"/>
        <v>10421.884210717653</v>
      </c>
      <c r="AF248" s="201">
        <f t="shared" si="77"/>
        <v>0</v>
      </c>
      <c r="AG248" s="201">
        <f t="shared" si="78"/>
        <v>0</v>
      </c>
      <c r="AH248" s="201">
        <f t="shared" si="84"/>
        <v>0</v>
      </c>
    </row>
    <row r="249" spans="3:34" x14ac:dyDescent="0.3">
      <c r="C249" s="179">
        <f t="shared" si="70"/>
        <v>232</v>
      </c>
      <c r="D249" s="180">
        <f t="shared" si="79"/>
        <v>30.4</v>
      </c>
      <c r="E249" s="165">
        <f>IF(C249="","",Simulador!$F$62)</f>
        <v>0.11</v>
      </c>
      <c r="F249" s="167"/>
      <c r="G249" s="167">
        <f t="shared" si="80"/>
        <v>0</v>
      </c>
      <c r="H249" s="166"/>
      <c r="I249" s="167">
        <f t="shared" si="67"/>
        <v>0</v>
      </c>
      <c r="J249" s="167">
        <f t="shared" si="68"/>
        <v>0</v>
      </c>
      <c r="K249" s="172">
        <f t="shared" si="71"/>
        <v>0</v>
      </c>
      <c r="L249" s="167">
        <f t="shared" si="65"/>
        <v>0</v>
      </c>
      <c r="M249" s="167">
        <f t="shared" si="81"/>
        <v>0</v>
      </c>
      <c r="N249" s="167">
        <f>IF(C249="","",IF(G249=0,0,IF(Simulador!$F$11='Tabla Parámetros'!$W$1,'Tabla Parámetros'!$W$28,IF(Simulador!$F$11='Tabla Parámetros'!$Y$1,'Tabla Parámetros'!$Y$12))))</f>
        <v>0</v>
      </c>
      <c r="O249" s="167"/>
      <c r="P249" s="167">
        <f>Simulador!O623</f>
        <v>0</v>
      </c>
      <c r="Q249" s="167">
        <f t="shared" si="82"/>
        <v>0</v>
      </c>
      <c r="R249" s="167">
        <f t="shared" si="72"/>
        <v>0</v>
      </c>
      <c r="X249" s="256">
        <f t="shared" si="66"/>
        <v>0</v>
      </c>
      <c r="Z249" s="201">
        <f t="shared" si="69"/>
        <v>0</v>
      </c>
      <c r="AA249" s="201">
        <f t="shared" si="73"/>
        <v>0</v>
      </c>
      <c r="AB249" s="202">
        <f t="shared" si="74"/>
        <v>0</v>
      </c>
      <c r="AC249" s="201">
        <f t="shared" si="75"/>
        <v>10421.884210717653</v>
      </c>
      <c r="AD249" s="201">
        <f t="shared" si="76"/>
        <v>0</v>
      </c>
      <c r="AE249" s="201">
        <f t="shared" si="83"/>
        <v>10421.884210717653</v>
      </c>
      <c r="AF249" s="201">
        <f t="shared" si="77"/>
        <v>0</v>
      </c>
      <c r="AG249" s="201">
        <f t="shared" si="78"/>
        <v>0</v>
      </c>
      <c r="AH249" s="201">
        <f t="shared" si="84"/>
        <v>0</v>
      </c>
    </row>
    <row r="250" spans="3:34" x14ac:dyDescent="0.3">
      <c r="C250" s="181">
        <f t="shared" si="70"/>
        <v>233</v>
      </c>
      <c r="D250" s="180">
        <f t="shared" si="79"/>
        <v>30.4</v>
      </c>
      <c r="E250" s="165">
        <f>IF(C250="","",Simulador!$F$62)</f>
        <v>0.11</v>
      </c>
      <c r="F250" s="167"/>
      <c r="G250" s="167">
        <f t="shared" si="80"/>
        <v>0</v>
      </c>
      <c r="H250" s="166"/>
      <c r="I250" s="167">
        <f t="shared" si="67"/>
        <v>0</v>
      </c>
      <c r="J250" s="167">
        <f t="shared" si="68"/>
        <v>0</v>
      </c>
      <c r="K250" s="172">
        <f t="shared" si="71"/>
        <v>0</v>
      </c>
      <c r="L250" s="167">
        <f t="shared" si="65"/>
        <v>0</v>
      </c>
      <c r="M250" s="167">
        <f t="shared" si="81"/>
        <v>0</v>
      </c>
      <c r="N250" s="167">
        <f>IF(C250="","",IF(G250=0,0,IF(Simulador!$F$11='Tabla Parámetros'!$W$1,'Tabla Parámetros'!$W$28,IF(Simulador!$F$11='Tabla Parámetros'!$Y$1,'Tabla Parámetros'!$Y$12))))</f>
        <v>0</v>
      </c>
      <c r="O250" s="167"/>
      <c r="P250" s="167">
        <f>Simulador!O624</f>
        <v>0</v>
      </c>
      <c r="Q250" s="167">
        <f t="shared" si="82"/>
        <v>0</v>
      </c>
      <c r="R250" s="167">
        <f t="shared" si="72"/>
        <v>0</v>
      </c>
      <c r="X250" s="256">
        <f t="shared" si="66"/>
        <v>0</v>
      </c>
      <c r="Z250" s="201">
        <f t="shared" si="69"/>
        <v>0</v>
      </c>
      <c r="AA250" s="201">
        <f t="shared" si="73"/>
        <v>0</v>
      </c>
      <c r="AB250" s="202">
        <f t="shared" si="74"/>
        <v>0</v>
      </c>
      <c r="AC250" s="201">
        <f t="shared" si="75"/>
        <v>10421.884210717653</v>
      </c>
      <c r="AD250" s="201">
        <f t="shared" si="76"/>
        <v>0</v>
      </c>
      <c r="AE250" s="201">
        <f t="shared" si="83"/>
        <v>10421.884210717653</v>
      </c>
      <c r="AF250" s="201">
        <f t="shared" si="77"/>
        <v>0</v>
      </c>
      <c r="AG250" s="201">
        <f t="shared" si="78"/>
        <v>0</v>
      </c>
      <c r="AH250" s="201">
        <f t="shared" si="84"/>
        <v>0</v>
      </c>
    </row>
    <row r="251" spans="3:34" x14ac:dyDescent="0.3">
      <c r="C251" s="179">
        <f t="shared" si="70"/>
        <v>234</v>
      </c>
      <c r="D251" s="180">
        <f t="shared" si="79"/>
        <v>30.4</v>
      </c>
      <c r="E251" s="165">
        <f>IF(C251="","",Simulador!$F$62)</f>
        <v>0.11</v>
      </c>
      <c r="F251" s="167"/>
      <c r="G251" s="167">
        <f t="shared" si="80"/>
        <v>0</v>
      </c>
      <c r="H251" s="166"/>
      <c r="I251" s="167">
        <f t="shared" si="67"/>
        <v>0</v>
      </c>
      <c r="J251" s="167">
        <f t="shared" si="68"/>
        <v>0</v>
      </c>
      <c r="K251" s="172">
        <f t="shared" si="71"/>
        <v>0</v>
      </c>
      <c r="L251" s="167">
        <f t="shared" si="65"/>
        <v>0</v>
      </c>
      <c r="M251" s="167">
        <f t="shared" si="81"/>
        <v>0</v>
      </c>
      <c r="N251" s="167">
        <f>IF(C251="","",IF(G251=0,0,IF(Simulador!$F$11='Tabla Parámetros'!$W$1,'Tabla Parámetros'!$W$28,IF(Simulador!$F$11='Tabla Parámetros'!$Y$1,'Tabla Parámetros'!$Y$12))))</f>
        <v>0</v>
      </c>
      <c r="O251" s="167"/>
      <c r="P251" s="167">
        <f>Simulador!O625</f>
        <v>0</v>
      </c>
      <c r="Q251" s="167">
        <f t="shared" si="82"/>
        <v>0</v>
      </c>
      <c r="R251" s="167">
        <f t="shared" si="72"/>
        <v>0</v>
      </c>
      <c r="X251" s="256">
        <f t="shared" si="66"/>
        <v>0</v>
      </c>
      <c r="Z251" s="201">
        <f t="shared" si="69"/>
        <v>0</v>
      </c>
      <c r="AA251" s="201">
        <f t="shared" si="73"/>
        <v>0</v>
      </c>
      <c r="AB251" s="202">
        <f t="shared" si="74"/>
        <v>0</v>
      </c>
      <c r="AC251" s="201">
        <f t="shared" si="75"/>
        <v>10421.884210717653</v>
      </c>
      <c r="AD251" s="201">
        <f t="shared" si="76"/>
        <v>0</v>
      </c>
      <c r="AE251" s="201">
        <f t="shared" si="83"/>
        <v>10421.884210717653</v>
      </c>
      <c r="AF251" s="201">
        <f t="shared" si="77"/>
        <v>0</v>
      </c>
      <c r="AG251" s="201">
        <f t="shared" si="78"/>
        <v>0</v>
      </c>
      <c r="AH251" s="201">
        <f t="shared" si="84"/>
        <v>0</v>
      </c>
    </row>
    <row r="252" spans="3:34" x14ac:dyDescent="0.3">
      <c r="C252" s="179">
        <f t="shared" si="70"/>
        <v>235</v>
      </c>
      <c r="D252" s="180">
        <f t="shared" si="79"/>
        <v>30.4</v>
      </c>
      <c r="E252" s="165">
        <f>IF(C252="","",Simulador!$F$62)</f>
        <v>0.11</v>
      </c>
      <c r="F252" s="167"/>
      <c r="G252" s="167">
        <f t="shared" si="80"/>
        <v>0</v>
      </c>
      <c r="H252" s="166"/>
      <c r="I252" s="167">
        <f t="shared" si="67"/>
        <v>0</v>
      </c>
      <c r="J252" s="167">
        <f t="shared" si="68"/>
        <v>0</v>
      </c>
      <c r="K252" s="172">
        <f t="shared" si="71"/>
        <v>0</v>
      </c>
      <c r="L252" s="167">
        <f t="shared" si="65"/>
        <v>0</v>
      </c>
      <c r="M252" s="167">
        <f t="shared" si="81"/>
        <v>0</v>
      </c>
      <c r="N252" s="167">
        <f>IF(C252="","",IF(G252=0,0,IF(Simulador!$F$11='Tabla Parámetros'!$W$1,'Tabla Parámetros'!$W$28,IF(Simulador!$F$11='Tabla Parámetros'!$Y$1,'Tabla Parámetros'!$Y$12))))</f>
        <v>0</v>
      </c>
      <c r="O252" s="167"/>
      <c r="P252" s="167">
        <f>Simulador!O626</f>
        <v>0</v>
      </c>
      <c r="Q252" s="167">
        <f t="shared" si="82"/>
        <v>0</v>
      </c>
      <c r="R252" s="167">
        <f t="shared" si="72"/>
        <v>0</v>
      </c>
      <c r="X252" s="256">
        <f t="shared" si="66"/>
        <v>0</v>
      </c>
      <c r="Z252" s="201">
        <f t="shared" si="69"/>
        <v>0</v>
      </c>
      <c r="AA252" s="201">
        <f t="shared" si="73"/>
        <v>0</v>
      </c>
      <c r="AB252" s="202">
        <f t="shared" si="74"/>
        <v>0</v>
      </c>
      <c r="AC252" s="201">
        <f t="shared" si="75"/>
        <v>10421.884210717653</v>
      </c>
      <c r="AD252" s="201">
        <f t="shared" si="76"/>
        <v>0</v>
      </c>
      <c r="AE252" s="201">
        <f t="shared" si="83"/>
        <v>10421.884210717653</v>
      </c>
      <c r="AF252" s="201">
        <f t="shared" si="77"/>
        <v>0</v>
      </c>
      <c r="AG252" s="201">
        <f t="shared" si="78"/>
        <v>0</v>
      </c>
      <c r="AH252" s="201">
        <f t="shared" si="84"/>
        <v>0</v>
      </c>
    </row>
    <row r="253" spans="3:34" x14ac:dyDescent="0.3">
      <c r="C253" s="179">
        <f t="shared" si="70"/>
        <v>236</v>
      </c>
      <c r="D253" s="180">
        <f t="shared" si="79"/>
        <v>30.4</v>
      </c>
      <c r="E253" s="165">
        <f>IF(C253="","",Simulador!$F$62)</f>
        <v>0.11</v>
      </c>
      <c r="F253" s="167"/>
      <c r="G253" s="167">
        <f t="shared" si="80"/>
        <v>0</v>
      </c>
      <c r="H253" s="166"/>
      <c r="I253" s="167">
        <f t="shared" si="67"/>
        <v>0</v>
      </c>
      <c r="J253" s="167">
        <f t="shared" si="68"/>
        <v>0</v>
      </c>
      <c r="K253" s="172">
        <f t="shared" si="71"/>
        <v>0</v>
      </c>
      <c r="L253" s="167">
        <f t="shared" si="65"/>
        <v>0</v>
      </c>
      <c r="M253" s="167">
        <f t="shared" si="81"/>
        <v>0</v>
      </c>
      <c r="N253" s="167">
        <f>IF(C253="","",IF(G253=0,0,IF(Simulador!$F$11='Tabla Parámetros'!$W$1,'Tabla Parámetros'!$W$28,IF(Simulador!$F$11='Tabla Parámetros'!$Y$1,'Tabla Parámetros'!$Y$12))))</f>
        <v>0</v>
      </c>
      <c r="O253" s="167"/>
      <c r="P253" s="167">
        <f>Simulador!O627</f>
        <v>0</v>
      </c>
      <c r="Q253" s="167">
        <f t="shared" si="82"/>
        <v>0</v>
      </c>
      <c r="R253" s="167">
        <f t="shared" si="72"/>
        <v>0</v>
      </c>
      <c r="X253" s="256">
        <f t="shared" si="66"/>
        <v>0</v>
      </c>
      <c r="Z253" s="201">
        <f t="shared" si="69"/>
        <v>0</v>
      </c>
      <c r="AA253" s="201">
        <f t="shared" si="73"/>
        <v>0</v>
      </c>
      <c r="AB253" s="202">
        <f t="shared" si="74"/>
        <v>0</v>
      </c>
      <c r="AC253" s="201">
        <f t="shared" si="75"/>
        <v>10421.884210717653</v>
      </c>
      <c r="AD253" s="201">
        <f t="shared" si="76"/>
        <v>0</v>
      </c>
      <c r="AE253" s="201">
        <f t="shared" si="83"/>
        <v>10421.884210717653</v>
      </c>
      <c r="AF253" s="201">
        <f t="shared" si="77"/>
        <v>0</v>
      </c>
      <c r="AG253" s="201">
        <f t="shared" si="78"/>
        <v>0</v>
      </c>
      <c r="AH253" s="201">
        <f t="shared" si="84"/>
        <v>0</v>
      </c>
    </row>
    <row r="254" spans="3:34" x14ac:dyDescent="0.3">
      <c r="C254" s="181">
        <f t="shared" si="70"/>
        <v>237</v>
      </c>
      <c r="D254" s="180">
        <f t="shared" si="79"/>
        <v>30.4</v>
      </c>
      <c r="E254" s="165">
        <f>IF(C254="","",Simulador!$F$62)</f>
        <v>0.11</v>
      </c>
      <c r="F254" s="167"/>
      <c r="G254" s="167">
        <f t="shared" si="80"/>
        <v>0</v>
      </c>
      <c r="H254" s="166"/>
      <c r="I254" s="167">
        <f t="shared" si="67"/>
        <v>0</v>
      </c>
      <c r="J254" s="167">
        <f t="shared" si="68"/>
        <v>0</v>
      </c>
      <c r="K254" s="172">
        <f t="shared" si="71"/>
        <v>0</v>
      </c>
      <c r="L254" s="167">
        <f t="shared" si="65"/>
        <v>0</v>
      </c>
      <c r="M254" s="167">
        <f t="shared" si="81"/>
        <v>0</v>
      </c>
      <c r="N254" s="167">
        <f>IF(C254="","",IF(G254=0,0,IF(Simulador!$F$11='Tabla Parámetros'!$W$1,'Tabla Parámetros'!$W$28,IF(Simulador!$F$11='Tabla Parámetros'!$Y$1,'Tabla Parámetros'!$Y$12))))</f>
        <v>0</v>
      </c>
      <c r="O254" s="167"/>
      <c r="P254" s="167">
        <f>Simulador!O628</f>
        <v>0</v>
      </c>
      <c r="Q254" s="167">
        <f t="shared" si="82"/>
        <v>0</v>
      </c>
      <c r="R254" s="167">
        <f t="shared" si="72"/>
        <v>0</v>
      </c>
      <c r="X254" s="256">
        <f t="shared" si="66"/>
        <v>0</v>
      </c>
      <c r="Z254" s="201">
        <f t="shared" si="69"/>
        <v>0</v>
      </c>
      <c r="AA254" s="201">
        <f t="shared" si="73"/>
        <v>0</v>
      </c>
      <c r="AB254" s="202">
        <f t="shared" si="74"/>
        <v>0</v>
      </c>
      <c r="AC254" s="201">
        <f t="shared" si="75"/>
        <v>10421.884210717653</v>
      </c>
      <c r="AD254" s="201">
        <f t="shared" si="76"/>
        <v>0</v>
      </c>
      <c r="AE254" s="201">
        <f t="shared" si="83"/>
        <v>10421.884210717653</v>
      </c>
      <c r="AF254" s="201">
        <f t="shared" si="77"/>
        <v>0</v>
      </c>
      <c r="AG254" s="201">
        <f t="shared" si="78"/>
        <v>0</v>
      </c>
      <c r="AH254" s="201">
        <f t="shared" si="84"/>
        <v>0</v>
      </c>
    </row>
    <row r="255" spans="3:34" x14ac:dyDescent="0.3">
      <c r="C255" s="179">
        <f t="shared" si="70"/>
        <v>238</v>
      </c>
      <c r="D255" s="180">
        <f t="shared" si="79"/>
        <v>30.4</v>
      </c>
      <c r="E255" s="165">
        <f>IF(C255="","",Simulador!$F$62)</f>
        <v>0.11</v>
      </c>
      <c r="F255" s="167"/>
      <c r="G255" s="167">
        <f t="shared" si="80"/>
        <v>0</v>
      </c>
      <c r="H255" s="166"/>
      <c r="I255" s="167">
        <f t="shared" si="67"/>
        <v>0</v>
      </c>
      <c r="J255" s="167">
        <f t="shared" si="68"/>
        <v>0</v>
      </c>
      <c r="K255" s="172">
        <f t="shared" si="71"/>
        <v>0</v>
      </c>
      <c r="L255" s="167">
        <f t="shared" si="65"/>
        <v>0</v>
      </c>
      <c r="M255" s="167">
        <f t="shared" si="81"/>
        <v>0</v>
      </c>
      <c r="N255" s="167">
        <f>IF(C255="","",IF(G255=0,0,IF(Simulador!$F$11='Tabla Parámetros'!$W$1,'Tabla Parámetros'!$W$28,IF(Simulador!$F$11='Tabla Parámetros'!$Y$1,'Tabla Parámetros'!$Y$12))))</f>
        <v>0</v>
      </c>
      <c r="O255" s="167"/>
      <c r="P255" s="167">
        <f>Simulador!O629</f>
        <v>0</v>
      </c>
      <c r="Q255" s="167">
        <f t="shared" si="82"/>
        <v>0</v>
      </c>
      <c r="R255" s="167">
        <f t="shared" si="72"/>
        <v>0</v>
      </c>
      <c r="X255" s="256">
        <f t="shared" si="66"/>
        <v>0</v>
      </c>
      <c r="Z255" s="201">
        <f t="shared" si="69"/>
        <v>0</v>
      </c>
      <c r="AA255" s="201">
        <f t="shared" si="73"/>
        <v>0</v>
      </c>
      <c r="AB255" s="202">
        <f t="shared" si="74"/>
        <v>0</v>
      </c>
      <c r="AC255" s="201">
        <f t="shared" si="75"/>
        <v>10421.884210717653</v>
      </c>
      <c r="AD255" s="201">
        <f t="shared" si="76"/>
        <v>0</v>
      </c>
      <c r="AE255" s="201">
        <f t="shared" si="83"/>
        <v>10421.884210717653</v>
      </c>
      <c r="AF255" s="201">
        <f t="shared" si="77"/>
        <v>0</v>
      </c>
      <c r="AG255" s="201">
        <f t="shared" si="78"/>
        <v>0</v>
      </c>
      <c r="AH255" s="201">
        <f t="shared" si="84"/>
        <v>0</v>
      </c>
    </row>
    <row r="256" spans="3:34" x14ac:dyDescent="0.3">
      <c r="C256" s="179">
        <f t="shared" si="70"/>
        <v>239</v>
      </c>
      <c r="D256" s="180">
        <f t="shared" si="79"/>
        <v>30.4</v>
      </c>
      <c r="E256" s="165">
        <f>IF(C256="","",Simulador!$F$62)</f>
        <v>0.11</v>
      </c>
      <c r="F256" s="167"/>
      <c r="G256" s="167">
        <f t="shared" si="80"/>
        <v>0</v>
      </c>
      <c r="H256" s="166"/>
      <c r="I256" s="167">
        <f t="shared" si="67"/>
        <v>0</v>
      </c>
      <c r="J256" s="167">
        <f t="shared" si="68"/>
        <v>0</v>
      </c>
      <c r="K256" s="172">
        <f t="shared" si="71"/>
        <v>0</v>
      </c>
      <c r="L256" s="167">
        <f t="shared" si="65"/>
        <v>0</v>
      </c>
      <c r="M256" s="167">
        <f t="shared" si="81"/>
        <v>0</v>
      </c>
      <c r="N256" s="167">
        <f>IF(C256="","",IF(G256=0,0,IF(Simulador!$F$11='Tabla Parámetros'!$W$1,'Tabla Parámetros'!$W$28,IF(Simulador!$F$11='Tabla Parámetros'!$Y$1,'Tabla Parámetros'!$Y$12))))</f>
        <v>0</v>
      </c>
      <c r="O256" s="167"/>
      <c r="P256" s="167">
        <f>Simulador!O630</f>
        <v>0</v>
      </c>
      <c r="Q256" s="167">
        <f t="shared" si="82"/>
        <v>0</v>
      </c>
      <c r="R256" s="167">
        <f t="shared" si="72"/>
        <v>0</v>
      </c>
      <c r="X256" s="29"/>
      <c r="Z256" s="201">
        <f t="shared" si="69"/>
        <v>0</v>
      </c>
      <c r="AA256" s="201">
        <f t="shared" si="73"/>
        <v>0</v>
      </c>
      <c r="AB256" s="202">
        <f t="shared" si="74"/>
        <v>0</v>
      </c>
      <c r="AC256" s="201">
        <f t="shared" si="75"/>
        <v>10421.884210717653</v>
      </c>
      <c r="AD256" s="201">
        <f t="shared" si="76"/>
        <v>0</v>
      </c>
      <c r="AE256" s="201">
        <f t="shared" si="83"/>
        <v>10421.884210717653</v>
      </c>
      <c r="AF256" s="201">
        <f t="shared" si="77"/>
        <v>0</v>
      </c>
      <c r="AG256" s="201">
        <f t="shared" si="78"/>
        <v>0</v>
      </c>
      <c r="AH256" s="201">
        <f t="shared" si="84"/>
        <v>0</v>
      </c>
    </row>
    <row r="257" spans="3:34" x14ac:dyDescent="0.3">
      <c r="C257" s="179">
        <f t="shared" si="70"/>
        <v>240</v>
      </c>
      <c r="D257" s="180">
        <f t="shared" si="79"/>
        <v>30.4</v>
      </c>
      <c r="E257" s="165">
        <f>IF(C257="","",Simulador!$F$62)</f>
        <v>0.11</v>
      </c>
      <c r="F257" s="167"/>
      <c r="G257" s="167">
        <f t="shared" si="80"/>
        <v>0</v>
      </c>
      <c r="H257" s="166"/>
      <c r="I257" s="167">
        <f t="shared" si="67"/>
        <v>0</v>
      </c>
      <c r="J257" s="167">
        <f t="shared" si="68"/>
        <v>0</v>
      </c>
      <c r="K257" s="172">
        <f t="shared" si="71"/>
        <v>0</v>
      </c>
      <c r="L257" s="167">
        <f t="shared" si="65"/>
        <v>0</v>
      </c>
      <c r="M257" s="167">
        <f t="shared" si="81"/>
        <v>0</v>
      </c>
      <c r="N257" s="167">
        <f>IF(C257="","",IF(G257=0,0,IF(Simulador!$F$11='Tabla Parámetros'!$W$1,'Tabla Parámetros'!$W$28,IF(Simulador!$F$11='Tabla Parámetros'!$Y$1,'Tabla Parámetros'!$Y$12))))</f>
        <v>0</v>
      </c>
      <c r="O257" s="167"/>
      <c r="P257" s="167">
        <f>Simulador!O631</f>
        <v>0</v>
      </c>
      <c r="Q257" s="167">
        <f t="shared" si="82"/>
        <v>0</v>
      </c>
      <c r="R257" s="167">
        <f t="shared" si="72"/>
        <v>0</v>
      </c>
      <c r="X257" s="29"/>
      <c r="Z257" s="201">
        <f t="shared" si="69"/>
        <v>0</v>
      </c>
      <c r="AA257" s="201">
        <f t="shared" si="73"/>
        <v>0</v>
      </c>
      <c r="AB257" s="202">
        <f t="shared" si="74"/>
        <v>0</v>
      </c>
      <c r="AC257" s="201">
        <f t="shared" si="75"/>
        <v>10421.884210717653</v>
      </c>
      <c r="AD257" s="201">
        <f t="shared" si="76"/>
        <v>0</v>
      </c>
      <c r="AE257" s="201">
        <f t="shared" si="83"/>
        <v>10421.884210717653</v>
      </c>
      <c r="AF257" s="201">
        <f t="shared" si="77"/>
        <v>0</v>
      </c>
      <c r="AG257" s="201">
        <f t="shared" si="78"/>
        <v>0</v>
      </c>
      <c r="AH257" s="201">
        <f t="shared" si="84"/>
        <v>0</v>
      </c>
    </row>
    <row r="258" spans="3:34" ht="12.5" thickBot="1" x14ac:dyDescent="0.35">
      <c r="C258" s="186"/>
      <c r="D258" s="186"/>
      <c r="E258" s="186"/>
      <c r="F258" s="186"/>
      <c r="G258" s="186"/>
      <c r="H258" s="186"/>
      <c r="I258" s="186"/>
      <c r="J258" s="186"/>
      <c r="K258" s="186"/>
      <c r="L258" s="186"/>
      <c r="M258" s="186"/>
      <c r="N258" s="186"/>
      <c r="O258" s="186"/>
      <c r="P258" s="186"/>
      <c r="Q258" s="186"/>
      <c r="R258" s="186"/>
    </row>
    <row r="259" spans="3:34" ht="13" thickTop="1" thickBot="1" x14ac:dyDescent="0.35">
      <c r="C259" s="187"/>
      <c r="D259" s="187"/>
      <c r="E259" s="187"/>
      <c r="F259" s="187"/>
      <c r="G259" s="187"/>
      <c r="H259" s="187"/>
      <c r="I259" s="188">
        <f>SUM(I18:I257)</f>
        <v>0</v>
      </c>
      <c r="J259" s="188">
        <f>SUM(J18:J257)</f>
        <v>0</v>
      </c>
      <c r="K259" s="188">
        <f>SUM(K18:K257)</f>
        <v>0</v>
      </c>
      <c r="L259" s="188">
        <f t="shared" ref="L259:Q259" si="85">SUM(L18:L257)</f>
        <v>0</v>
      </c>
      <c r="M259" s="188">
        <f t="shared" si="85"/>
        <v>0</v>
      </c>
      <c r="N259" s="188">
        <f t="shared" si="85"/>
        <v>0</v>
      </c>
      <c r="O259" s="188">
        <f t="shared" si="85"/>
        <v>0</v>
      </c>
      <c r="P259" s="188">
        <f t="shared" si="85"/>
        <v>0</v>
      </c>
      <c r="Q259" s="188">
        <f t="shared" si="85"/>
        <v>0</v>
      </c>
      <c r="R259" s="188"/>
    </row>
    <row r="260" spans="3:34" ht="12.5" thickTop="1" x14ac:dyDescent="0.3"/>
  </sheetData>
  <mergeCells count="3">
    <mergeCell ref="Z16:AB16"/>
    <mergeCell ref="AC16:AE16"/>
    <mergeCell ref="AF16:AH16"/>
  </mergeCells>
  <conditionalFormatting sqref="C4:R4">
    <cfRule type="containsBlanks" dxfId="12" priority="3">
      <formula>LEN(TRIM(C4))=0</formula>
    </cfRule>
  </conditionalFormatting>
  <conditionalFormatting sqref="Q5:Q11">
    <cfRule type="cellIs" dxfId="11" priority="2" operator="lessThan">
      <formula>0</formula>
    </cfRule>
  </conditionalFormatting>
  <conditionalFormatting sqref="Q12:Q17">
    <cfRule type="cellIs" dxfId="10" priority="1" operator="lessThan">
      <formula>0</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4"/>
  <dimension ref="B1:W266"/>
  <sheetViews>
    <sheetView showGridLines="0" topLeftCell="A7" workbookViewId="0">
      <selection activeCell="K10" sqref="K10"/>
    </sheetView>
  </sheetViews>
  <sheetFormatPr baseColWidth="10" defaultColWidth="11.453125" defaultRowHeight="12" x14ac:dyDescent="0.3"/>
  <cols>
    <col min="1" max="1" width="3.7265625" style="82" customWidth="1"/>
    <col min="2" max="2" width="6.1796875" style="82" customWidth="1"/>
    <col min="3" max="3" width="4.7265625" style="82" bestFit="1" customWidth="1"/>
    <col min="4" max="4" width="11.54296875" style="82" bestFit="1" customWidth="1"/>
    <col min="5" max="5" width="11.26953125" style="82" bestFit="1" customWidth="1"/>
    <col min="6" max="6" width="12" style="82" bestFit="1" customWidth="1"/>
    <col min="7" max="7" width="9.7265625" style="82" bestFit="1" customWidth="1"/>
    <col min="8" max="8" width="12" style="82" bestFit="1" customWidth="1"/>
    <col min="9" max="9" width="11.7265625" style="82" customWidth="1"/>
    <col min="10" max="13" width="11.54296875" style="82" bestFit="1" customWidth="1"/>
    <col min="14" max="15" width="11.453125" style="82"/>
    <col min="16" max="16" width="11.54296875" style="82" bestFit="1" customWidth="1"/>
    <col min="17" max="17" width="12.54296875" style="82" bestFit="1" customWidth="1"/>
    <col min="18" max="20" width="11.453125" style="82"/>
    <col min="21" max="21" width="11.7265625" style="82" bestFit="1" customWidth="1"/>
    <col min="22" max="16384" width="11.453125" style="82"/>
  </cols>
  <sheetData>
    <row r="1" spans="2:23" x14ac:dyDescent="0.3">
      <c r="D1" s="82" t="s">
        <v>23</v>
      </c>
      <c r="E1" s="190">
        <f>Simulador!F62</f>
        <v>0.11</v>
      </c>
      <c r="G1" s="101" t="s">
        <v>204</v>
      </c>
      <c r="H1" s="101" t="str">
        <f>Simulador!N9</f>
        <v>Básico</v>
      </c>
      <c r="I1" s="101" t="s">
        <v>207</v>
      </c>
      <c r="J1" s="101" t="s">
        <v>208</v>
      </c>
      <c r="K1" s="82" t="s">
        <v>442</v>
      </c>
      <c r="L1" s="260">
        <f>IF(Simulador!$K$13="No",Simulador!$N$13,IF(Simulador!$K$13="Si",Simulador!$O$13,))</f>
        <v>2448600</v>
      </c>
      <c r="T1" s="6"/>
      <c r="U1" s="6"/>
      <c r="V1" s="6"/>
      <c r="W1" s="35" t="s">
        <v>140</v>
      </c>
    </row>
    <row r="2" spans="2:23" x14ac:dyDescent="0.3">
      <c r="D2" s="82" t="s">
        <v>194</v>
      </c>
      <c r="E2" s="82">
        <f>Simulador!F19</f>
        <v>240</v>
      </c>
      <c r="G2" s="101" t="s">
        <v>197</v>
      </c>
      <c r="H2" s="96">
        <f>IF($M$2='Tabla Parámetros'!$N$10,Simulador!$H$48+Simulador!$L$46,IF($M$2='Tabla Parámetros'!$N$11,Simulador!$H$48,))</f>
        <v>1000000</v>
      </c>
      <c r="I2" s="101">
        <f>IF(H1='Tabla Parámetros'!N4,'Tabla Parámetros'!R5,IF(Simulador!N9='Tabla Parámetros'!N3,'Tabla Parámetros'!R10))</f>
        <v>0</v>
      </c>
      <c r="J2" s="101">
        <f>IF(Simulador!N9='Tabla Parámetros'!N4,'Tabla Parámetros'!S5,IF(Simulador!N9='Tabla Parámetros'!N3,'Tabla Parámetros'!T10))</f>
        <v>0</v>
      </c>
      <c r="M2" s="353" t="str">
        <f>Simulador!$N$17</f>
        <v>NO</v>
      </c>
      <c r="T2" s="32" t="s">
        <v>135</v>
      </c>
      <c r="U2" s="34">
        <f>H2</f>
        <v>1000000</v>
      </c>
      <c r="V2" s="6"/>
      <c r="W2" s="195">
        <f>-U2+'CAT Flujo Cero'!Flujo_Cero_Parcial</f>
        <v>-1000000</v>
      </c>
    </row>
    <row r="3" spans="2:23" ht="12.5" thickBot="1" x14ac:dyDescent="0.35">
      <c r="K3" s="260">
        <f>$H$2*$I$2</f>
        <v>0</v>
      </c>
      <c r="L3" s="260">
        <f>$L$1*$J$2</f>
        <v>0</v>
      </c>
      <c r="T3" s="32" t="s">
        <v>136</v>
      </c>
      <c r="U3" s="14">
        <f>E1</f>
        <v>0.11</v>
      </c>
      <c r="V3" s="6"/>
      <c r="W3" s="29">
        <f>P5</f>
        <v>0</v>
      </c>
    </row>
    <row r="4" spans="2:23" ht="16.5" customHeight="1" thickBot="1" x14ac:dyDescent="0.35">
      <c r="B4" s="168" t="s">
        <v>16</v>
      </c>
      <c r="C4" s="169" t="s">
        <v>29</v>
      </c>
      <c r="D4" s="169" t="s">
        <v>23</v>
      </c>
      <c r="E4" s="169" t="s">
        <v>0</v>
      </c>
      <c r="F4" s="169" t="s">
        <v>325</v>
      </c>
      <c r="G4" s="169" t="s">
        <v>324</v>
      </c>
      <c r="H4" s="169" t="s">
        <v>31</v>
      </c>
      <c r="I4" s="169" t="s">
        <v>37</v>
      </c>
      <c r="J4" s="169" t="s">
        <v>202</v>
      </c>
      <c r="K4" s="169" t="s">
        <v>20</v>
      </c>
      <c r="L4" s="169" t="s">
        <v>32</v>
      </c>
      <c r="M4" s="169" t="s">
        <v>33</v>
      </c>
      <c r="N4" s="169" t="s">
        <v>6</v>
      </c>
      <c r="O4" s="169" t="s">
        <v>34</v>
      </c>
      <c r="P4" s="169" t="s">
        <v>35</v>
      </c>
      <c r="Q4" s="170" t="s">
        <v>36</v>
      </c>
      <c r="T4" s="32" t="s">
        <v>137</v>
      </c>
      <c r="U4" s="14" t="e">
        <f>IRR(W3:W261,0)</f>
        <v>#DIV/0!</v>
      </c>
      <c r="V4" s="6"/>
      <c r="W4" s="29">
        <f t="shared" ref="W4:W67" si="0">P6</f>
        <v>299</v>
      </c>
    </row>
    <row r="5" spans="2:23" x14ac:dyDescent="0.3">
      <c r="B5" s="179">
        <v>0</v>
      </c>
      <c r="C5" s="180"/>
      <c r="D5" s="165"/>
      <c r="E5" s="167">
        <f>Simulador!E373</f>
        <v>0</v>
      </c>
      <c r="F5" s="167">
        <f>IF(Simulador!$N$17='Tabla Parámetros'!$N$10,Simulador!$L$46,IF(Simulador!$N$17='Tabla Parámetros'!$N$11,0,))</f>
        <v>0</v>
      </c>
      <c r="G5" s="167">
        <f>E5*'Tabla Parámetros'!$U$10</f>
        <v>0</v>
      </c>
      <c r="H5" s="167">
        <v>0</v>
      </c>
      <c r="I5" s="167">
        <v>0</v>
      </c>
      <c r="J5" s="167">
        <v>0</v>
      </c>
      <c r="K5" s="167">
        <v>0</v>
      </c>
      <c r="L5" s="167">
        <v>0</v>
      </c>
      <c r="M5" s="167">
        <v>0</v>
      </c>
      <c r="N5" s="172"/>
      <c r="O5" s="172"/>
      <c r="P5" s="167">
        <f>-E5+G5+J5+K5+(L5/1.16)+M5</f>
        <v>0</v>
      </c>
      <c r="Q5" s="178"/>
      <c r="T5" s="32" t="s">
        <v>138</v>
      </c>
      <c r="U5" s="36" t="e">
        <f>U4*12</f>
        <v>#DIV/0!</v>
      </c>
      <c r="V5" s="6"/>
      <c r="W5" s="29">
        <f t="shared" si="0"/>
        <v>299</v>
      </c>
    </row>
    <row r="6" spans="2:23" x14ac:dyDescent="0.3">
      <c r="B6" s="181">
        <v>1</v>
      </c>
      <c r="C6" s="182">
        <v>30.4</v>
      </c>
      <c r="D6" s="191">
        <f>$E$1</f>
        <v>0.11</v>
      </c>
      <c r="E6" s="177">
        <f>Simulador!E374</f>
        <v>0</v>
      </c>
      <c r="F6" s="177">
        <f>E5+F5</f>
        <v>0</v>
      </c>
      <c r="G6" s="177">
        <f>E6*'Tabla Parámetros'!$U$10</f>
        <v>0</v>
      </c>
      <c r="H6" s="167">
        <v>0</v>
      </c>
      <c r="I6" s="167">
        <f>(($E$1/360)*30.4)*F6</f>
        <v>0</v>
      </c>
      <c r="J6" s="167">
        <v>0</v>
      </c>
      <c r="K6" s="167">
        <f>F6*$I$2</f>
        <v>0</v>
      </c>
      <c r="L6" s="167">
        <f>$L$1*$J$2</f>
        <v>0</v>
      </c>
      <c r="M6" s="167">
        <f>IF(Simulador!$F$11='Tabla Parámetros'!$W$1,'Tabla Parámetros'!$W$28,IF(Simulador!$F$11='Tabla Parámetros'!$Y$1,'Tabla Parámetros'!$Y$12))</f>
        <v>299</v>
      </c>
      <c r="N6" s="172"/>
      <c r="O6" s="172"/>
      <c r="P6" s="167">
        <f>SUM(G6:O6)-E6</f>
        <v>299</v>
      </c>
      <c r="Q6" s="167"/>
      <c r="T6" s="33" t="s">
        <v>139</v>
      </c>
      <c r="U6" s="36" t="e">
        <f>EFFECT(U5,12)</f>
        <v>#DIV/0!</v>
      </c>
      <c r="V6" s="6"/>
      <c r="W6" s="29">
        <f t="shared" si="0"/>
        <v>299</v>
      </c>
    </row>
    <row r="7" spans="2:23" x14ac:dyDescent="0.3">
      <c r="B7" s="179">
        <v>2</v>
      </c>
      <c r="C7" s="180">
        <v>30.4</v>
      </c>
      <c r="D7" s="192">
        <f t="shared" ref="D7:D23" si="1">$E$1</f>
        <v>0.11</v>
      </c>
      <c r="E7" s="167">
        <f>Simulador!E375</f>
        <v>0</v>
      </c>
      <c r="F7" s="167">
        <f>E6+F6</f>
        <v>0</v>
      </c>
      <c r="G7" s="167">
        <f>E7*'Tabla Parámetros'!$U$10</f>
        <v>0</v>
      </c>
      <c r="H7" s="167">
        <v>0</v>
      </c>
      <c r="I7" s="167">
        <f t="shared" ref="I7:I17" si="2">(($E$1/360)*30.4)*F7</f>
        <v>0</v>
      </c>
      <c r="J7" s="167">
        <v>0</v>
      </c>
      <c r="K7" s="167">
        <f t="shared" ref="K7:K70" si="3">F7*$I$2</f>
        <v>0</v>
      </c>
      <c r="L7" s="167">
        <f t="shared" ref="L7:L23" si="4">$L$1*$J$2</f>
        <v>0</v>
      </c>
      <c r="M7" s="167">
        <f>IF(Simulador!$F$11='Tabla Parámetros'!$W$1,'Tabla Parámetros'!$W$28,IF(Simulador!$F$11='Tabla Parámetros'!$Y$1,'Tabla Parámetros'!$Y$12))</f>
        <v>299</v>
      </c>
      <c r="N7" s="172"/>
      <c r="O7" s="172"/>
      <c r="P7" s="167">
        <f t="shared" ref="P7:P17" si="5">SUM(G7:O7)-E7</f>
        <v>299</v>
      </c>
      <c r="Q7" s="167"/>
      <c r="T7" s="37"/>
      <c r="U7" s="38"/>
      <c r="V7" s="6"/>
      <c r="W7" s="29">
        <f t="shared" si="0"/>
        <v>299</v>
      </c>
    </row>
    <row r="8" spans="2:23" x14ac:dyDescent="0.3">
      <c r="B8" s="179">
        <v>3</v>
      </c>
      <c r="C8" s="180">
        <v>30.4</v>
      </c>
      <c r="D8" s="192">
        <f t="shared" si="1"/>
        <v>0.11</v>
      </c>
      <c r="E8" s="167">
        <f>Simulador!E376</f>
        <v>0</v>
      </c>
      <c r="F8" s="167">
        <f>E7+F7</f>
        <v>0</v>
      </c>
      <c r="G8" s="167">
        <f>E8*'Tabla Parámetros'!$U$10</f>
        <v>0</v>
      </c>
      <c r="H8" s="167">
        <v>0</v>
      </c>
      <c r="I8" s="167">
        <f t="shared" si="2"/>
        <v>0</v>
      </c>
      <c r="J8" s="167">
        <v>0</v>
      </c>
      <c r="K8" s="167">
        <f t="shared" si="3"/>
        <v>0</v>
      </c>
      <c r="L8" s="167">
        <f t="shared" si="4"/>
        <v>0</v>
      </c>
      <c r="M8" s="167">
        <f>IF(Simulador!$F$11='Tabla Parámetros'!$W$1,'Tabla Parámetros'!$W$28,IF(Simulador!$F$11='Tabla Parámetros'!$Y$1,'Tabla Parámetros'!$Y$12))</f>
        <v>299</v>
      </c>
      <c r="N8" s="172"/>
      <c r="O8" s="172"/>
      <c r="P8" s="167">
        <f t="shared" si="5"/>
        <v>299</v>
      </c>
      <c r="Q8" s="167"/>
      <c r="T8" s="6"/>
      <c r="U8" s="6"/>
      <c r="V8" s="6"/>
      <c r="W8" s="29">
        <f t="shared" si="0"/>
        <v>299</v>
      </c>
    </row>
    <row r="9" spans="2:23" x14ac:dyDescent="0.3">
      <c r="B9" s="179">
        <v>4</v>
      </c>
      <c r="C9" s="180">
        <v>30.4</v>
      </c>
      <c r="D9" s="192">
        <f t="shared" si="1"/>
        <v>0.11</v>
      </c>
      <c r="E9" s="167">
        <f>Simulador!E377</f>
        <v>0</v>
      </c>
      <c r="F9" s="167">
        <f>E8+F8</f>
        <v>0</v>
      </c>
      <c r="G9" s="167">
        <f>E9*'Tabla Parámetros'!$U$10</f>
        <v>0</v>
      </c>
      <c r="H9" s="167">
        <v>0</v>
      </c>
      <c r="I9" s="167">
        <f t="shared" si="2"/>
        <v>0</v>
      </c>
      <c r="J9" s="167">
        <v>0</v>
      </c>
      <c r="K9" s="167">
        <f t="shared" si="3"/>
        <v>0</v>
      </c>
      <c r="L9" s="167">
        <f t="shared" si="4"/>
        <v>0</v>
      </c>
      <c r="M9" s="167">
        <f>IF(Simulador!$F$11='Tabla Parámetros'!$W$1,'Tabla Parámetros'!$W$28,IF(Simulador!$F$11='Tabla Parámetros'!$Y$1,'Tabla Parámetros'!$Y$12))</f>
        <v>299</v>
      </c>
      <c r="N9" s="172"/>
      <c r="O9" s="172"/>
      <c r="P9" s="167">
        <f t="shared" si="5"/>
        <v>299</v>
      </c>
      <c r="Q9" s="167"/>
      <c r="T9" s="6"/>
      <c r="U9" s="6"/>
      <c r="V9" s="6"/>
      <c r="W9" s="29">
        <f t="shared" si="0"/>
        <v>299</v>
      </c>
    </row>
    <row r="10" spans="2:23" x14ac:dyDescent="0.3">
      <c r="B10" s="181">
        <v>5</v>
      </c>
      <c r="C10" s="180">
        <v>30.4</v>
      </c>
      <c r="D10" s="192">
        <f t="shared" si="1"/>
        <v>0.11</v>
      </c>
      <c r="E10" s="167">
        <f>Simulador!E378</f>
        <v>0</v>
      </c>
      <c r="F10" s="167">
        <f t="shared" ref="F10:F23" si="6">E9+F9</f>
        <v>0</v>
      </c>
      <c r="G10" s="167">
        <f>E10*'Tabla Parámetros'!$U$10</f>
        <v>0</v>
      </c>
      <c r="H10" s="167">
        <v>0</v>
      </c>
      <c r="I10" s="167">
        <f t="shared" si="2"/>
        <v>0</v>
      </c>
      <c r="J10" s="167">
        <v>0</v>
      </c>
      <c r="K10" s="167">
        <f t="shared" si="3"/>
        <v>0</v>
      </c>
      <c r="L10" s="167">
        <f t="shared" si="4"/>
        <v>0</v>
      </c>
      <c r="M10" s="167">
        <f>IF(Simulador!$F$11='Tabla Parámetros'!$W$1,'Tabla Parámetros'!$W$28,IF(Simulador!$F$11='Tabla Parámetros'!$Y$1,'Tabla Parámetros'!$Y$12))</f>
        <v>299</v>
      </c>
      <c r="N10" s="172"/>
      <c r="O10" s="172"/>
      <c r="P10" s="167">
        <f t="shared" si="5"/>
        <v>299</v>
      </c>
      <c r="Q10" s="167"/>
      <c r="T10" s="6"/>
      <c r="U10" s="6"/>
      <c r="V10" s="6"/>
      <c r="W10" s="29">
        <f t="shared" si="0"/>
        <v>299</v>
      </c>
    </row>
    <row r="11" spans="2:23" x14ac:dyDescent="0.3">
      <c r="B11" s="179">
        <v>6</v>
      </c>
      <c r="C11" s="180">
        <v>30.4</v>
      </c>
      <c r="D11" s="193">
        <f t="shared" si="1"/>
        <v>0.11</v>
      </c>
      <c r="E11" s="167">
        <f>Simulador!E379</f>
        <v>0</v>
      </c>
      <c r="F11" s="167">
        <f t="shared" si="6"/>
        <v>0</v>
      </c>
      <c r="G11" s="167">
        <f>E11*'Tabla Parámetros'!$U$10</f>
        <v>0</v>
      </c>
      <c r="H11" s="167">
        <v>0</v>
      </c>
      <c r="I11" s="167">
        <f t="shared" si="2"/>
        <v>0</v>
      </c>
      <c r="J11" s="167">
        <v>0</v>
      </c>
      <c r="K11" s="167">
        <f t="shared" si="3"/>
        <v>0</v>
      </c>
      <c r="L11" s="167">
        <f t="shared" si="4"/>
        <v>0</v>
      </c>
      <c r="M11" s="167">
        <f>IF(Simulador!$F$11='Tabla Parámetros'!$W$1,'Tabla Parámetros'!$W$28,IF(Simulador!$F$11='Tabla Parámetros'!$Y$1,'Tabla Parámetros'!$Y$12))</f>
        <v>299</v>
      </c>
      <c r="N11" s="172"/>
      <c r="O11" s="172"/>
      <c r="P11" s="167">
        <f t="shared" si="5"/>
        <v>299</v>
      </c>
      <c r="Q11" s="167"/>
      <c r="T11" s="6"/>
      <c r="U11" s="6"/>
      <c r="V11" s="6"/>
      <c r="W11" s="29">
        <f t="shared" si="0"/>
        <v>299</v>
      </c>
    </row>
    <row r="12" spans="2:23" x14ac:dyDescent="0.3">
      <c r="B12" s="179">
        <v>7</v>
      </c>
      <c r="C12" s="180">
        <v>30.4</v>
      </c>
      <c r="D12" s="193">
        <f t="shared" si="1"/>
        <v>0.11</v>
      </c>
      <c r="E12" s="167">
        <f>Simulador!E380</f>
        <v>0</v>
      </c>
      <c r="F12" s="167">
        <f t="shared" si="6"/>
        <v>0</v>
      </c>
      <c r="G12" s="167">
        <f>E12*'Tabla Parámetros'!$U$10</f>
        <v>0</v>
      </c>
      <c r="H12" s="167">
        <v>0</v>
      </c>
      <c r="I12" s="167">
        <f t="shared" si="2"/>
        <v>0</v>
      </c>
      <c r="J12" s="167">
        <v>0</v>
      </c>
      <c r="K12" s="167">
        <f t="shared" si="3"/>
        <v>0</v>
      </c>
      <c r="L12" s="167">
        <f t="shared" si="4"/>
        <v>0</v>
      </c>
      <c r="M12" s="167">
        <f>IF(Simulador!$F$11='Tabla Parámetros'!$W$1,'Tabla Parámetros'!$W$28,IF(Simulador!$F$11='Tabla Parámetros'!$Y$1,'Tabla Parámetros'!$Y$12))</f>
        <v>299</v>
      </c>
      <c r="N12" s="172"/>
      <c r="O12" s="172"/>
      <c r="P12" s="167">
        <f t="shared" si="5"/>
        <v>299</v>
      </c>
      <c r="Q12" s="167"/>
      <c r="T12" s="6"/>
      <c r="U12" s="6"/>
      <c r="V12" s="6"/>
      <c r="W12" s="29">
        <f t="shared" si="0"/>
        <v>299</v>
      </c>
    </row>
    <row r="13" spans="2:23" x14ac:dyDescent="0.3">
      <c r="B13" s="179">
        <v>8</v>
      </c>
      <c r="C13" s="180">
        <v>30.4</v>
      </c>
      <c r="D13" s="193">
        <f t="shared" si="1"/>
        <v>0.11</v>
      </c>
      <c r="E13" s="167">
        <f>Simulador!E381</f>
        <v>0</v>
      </c>
      <c r="F13" s="167">
        <f t="shared" si="6"/>
        <v>0</v>
      </c>
      <c r="G13" s="167">
        <f>E13*'Tabla Parámetros'!$U$10</f>
        <v>0</v>
      </c>
      <c r="H13" s="167">
        <v>0</v>
      </c>
      <c r="I13" s="167">
        <f t="shared" si="2"/>
        <v>0</v>
      </c>
      <c r="J13" s="167">
        <v>0</v>
      </c>
      <c r="K13" s="167">
        <f t="shared" si="3"/>
        <v>0</v>
      </c>
      <c r="L13" s="167">
        <f t="shared" si="4"/>
        <v>0</v>
      </c>
      <c r="M13" s="167">
        <f>IF(Simulador!$F$11='Tabla Parámetros'!$W$1,'Tabla Parámetros'!$W$28,IF(Simulador!$F$11='Tabla Parámetros'!$Y$1,'Tabla Parámetros'!$Y$12))</f>
        <v>299</v>
      </c>
      <c r="N13" s="172"/>
      <c r="O13" s="172"/>
      <c r="P13" s="167">
        <f t="shared" si="5"/>
        <v>299</v>
      </c>
      <c r="Q13" s="167"/>
      <c r="T13" s="6"/>
      <c r="U13" s="6"/>
      <c r="V13" s="6"/>
      <c r="W13" s="29">
        <f t="shared" si="0"/>
        <v>299</v>
      </c>
    </row>
    <row r="14" spans="2:23" x14ac:dyDescent="0.3">
      <c r="B14" s="181">
        <v>9</v>
      </c>
      <c r="C14" s="180">
        <v>30.4</v>
      </c>
      <c r="D14" s="193">
        <f t="shared" si="1"/>
        <v>0.11</v>
      </c>
      <c r="E14" s="167">
        <f>Simulador!E382</f>
        <v>0</v>
      </c>
      <c r="F14" s="167">
        <f t="shared" si="6"/>
        <v>0</v>
      </c>
      <c r="G14" s="167">
        <f>E14*'Tabla Parámetros'!$U$10</f>
        <v>0</v>
      </c>
      <c r="H14" s="167">
        <v>0</v>
      </c>
      <c r="I14" s="167">
        <f t="shared" si="2"/>
        <v>0</v>
      </c>
      <c r="J14" s="167">
        <v>0</v>
      </c>
      <c r="K14" s="167">
        <f t="shared" si="3"/>
        <v>0</v>
      </c>
      <c r="L14" s="167">
        <f t="shared" si="4"/>
        <v>0</v>
      </c>
      <c r="M14" s="167">
        <f>IF(Simulador!$F$11='Tabla Parámetros'!$W$1,'Tabla Parámetros'!$W$28,IF(Simulador!$F$11='Tabla Parámetros'!$Y$1,'Tabla Parámetros'!$Y$12))</f>
        <v>299</v>
      </c>
      <c r="N14" s="172"/>
      <c r="O14" s="172"/>
      <c r="P14" s="167">
        <f t="shared" si="5"/>
        <v>299</v>
      </c>
      <c r="Q14" s="167"/>
      <c r="T14" s="6"/>
      <c r="U14" s="6"/>
      <c r="V14" s="6"/>
      <c r="W14" s="29">
        <f t="shared" si="0"/>
        <v>299</v>
      </c>
    </row>
    <row r="15" spans="2:23" x14ac:dyDescent="0.3">
      <c r="B15" s="179">
        <v>10</v>
      </c>
      <c r="C15" s="180">
        <v>30.4</v>
      </c>
      <c r="D15" s="193">
        <f t="shared" si="1"/>
        <v>0.11</v>
      </c>
      <c r="E15" s="167">
        <f>Simulador!E383</f>
        <v>0</v>
      </c>
      <c r="F15" s="167">
        <f t="shared" si="6"/>
        <v>0</v>
      </c>
      <c r="G15" s="167">
        <f>E15*'Tabla Parámetros'!$U$10</f>
        <v>0</v>
      </c>
      <c r="H15" s="167">
        <v>0</v>
      </c>
      <c r="I15" s="167">
        <f t="shared" si="2"/>
        <v>0</v>
      </c>
      <c r="J15" s="167">
        <v>0</v>
      </c>
      <c r="K15" s="167">
        <f t="shared" si="3"/>
        <v>0</v>
      </c>
      <c r="L15" s="167">
        <f t="shared" si="4"/>
        <v>0</v>
      </c>
      <c r="M15" s="167">
        <f>IF(Simulador!$F$11='Tabla Parámetros'!$W$1,'Tabla Parámetros'!$W$28,IF(Simulador!$F$11='Tabla Parámetros'!$Y$1,'Tabla Parámetros'!$Y$12))</f>
        <v>299</v>
      </c>
      <c r="N15" s="172"/>
      <c r="O15" s="172"/>
      <c r="P15" s="167">
        <f t="shared" si="5"/>
        <v>299</v>
      </c>
      <c r="Q15" s="167"/>
      <c r="T15" s="6"/>
      <c r="U15" s="6"/>
      <c r="V15" s="6"/>
      <c r="W15" s="29">
        <f t="shared" si="0"/>
        <v>299</v>
      </c>
    </row>
    <row r="16" spans="2:23" x14ac:dyDescent="0.3">
      <c r="B16" s="179">
        <v>11</v>
      </c>
      <c r="C16" s="180">
        <v>30.4</v>
      </c>
      <c r="D16" s="193">
        <f t="shared" si="1"/>
        <v>0.11</v>
      </c>
      <c r="E16" s="167">
        <f>Simulador!E384</f>
        <v>0</v>
      </c>
      <c r="F16" s="167">
        <f t="shared" si="6"/>
        <v>0</v>
      </c>
      <c r="G16" s="167">
        <f>E16*'Tabla Parámetros'!$U$10</f>
        <v>0</v>
      </c>
      <c r="H16" s="167">
        <v>0</v>
      </c>
      <c r="I16" s="167">
        <f t="shared" si="2"/>
        <v>0</v>
      </c>
      <c r="J16" s="167">
        <v>0</v>
      </c>
      <c r="K16" s="167">
        <f t="shared" si="3"/>
        <v>0</v>
      </c>
      <c r="L16" s="167">
        <f t="shared" si="4"/>
        <v>0</v>
      </c>
      <c r="M16" s="167">
        <f>IF(Simulador!$F$11='Tabla Parámetros'!$W$1,'Tabla Parámetros'!$W$28,IF(Simulador!$F$11='Tabla Parámetros'!$Y$1,'Tabla Parámetros'!$Y$12))</f>
        <v>299</v>
      </c>
      <c r="N16" s="172"/>
      <c r="O16" s="172"/>
      <c r="P16" s="167">
        <f t="shared" si="5"/>
        <v>299</v>
      </c>
      <c r="Q16" s="167"/>
      <c r="T16" s="6"/>
      <c r="U16" s="6"/>
      <c r="V16" s="6"/>
      <c r="W16" s="29">
        <f t="shared" si="0"/>
        <v>299</v>
      </c>
    </row>
    <row r="17" spans="2:23" x14ac:dyDescent="0.3">
      <c r="B17" s="179">
        <v>12</v>
      </c>
      <c r="C17" s="180">
        <v>30.4</v>
      </c>
      <c r="D17" s="193">
        <f t="shared" si="1"/>
        <v>0.11</v>
      </c>
      <c r="E17" s="167">
        <f>Simulador!E385</f>
        <v>0</v>
      </c>
      <c r="F17" s="167">
        <f t="shared" si="6"/>
        <v>0</v>
      </c>
      <c r="G17" s="167">
        <f>E17*'Tabla Parámetros'!$U$10</f>
        <v>0</v>
      </c>
      <c r="H17" s="167">
        <v>0</v>
      </c>
      <c r="I17" s="167">
        <f t="shared" si="2"/>
        <v>0</v>
      </c>
      <c r="J17" s="167">
        <v>0</v>
      </c>
      <c r="K17" s="167">
        <f t="shared" si="3"/>
        <v>0</v>
      </c>
      <c r="L17" s="167">
        <f t="shared" si="4"/>
        <v>0</v>
      </c>
      <c r="M17" s="167">
        <f>IF(Simulador!$F$11='Tabla Parámetros'!$W$1,'Tabla Parámetros'!$W$28,IF(Simulador!$F$11='Tabla Parámetros'!$Y$1,'Tabla Parámetros'!$Y$12))</f>
        <v>299</v>
      </c>
      <c r="N17" s="172"/>
      <c r="O17" s="172"/>
      <c r="P17" s="167">
        <f t="shared" si="5"/>
        <v>299</v>
      </c>
      <c r="Q17" s="167"/>
      <c r="T17" s="6"/>
      <c r="U17" s="6"/>
      <c r="V17" s="6"/>
      <c r="W17" s="29">
        <f t="shared" si="0"/>
        <v>299</v>
      </c>
    </row>
    <row r="18" spans="2:23" x14ac:dyDescent="0.3">
      <c r="B18" s="179">
        <v>13</v>
      </c>
      <c r="C18" s="180">
        <v>30.4</v>
      </c>
      <c r="D18" s="193">
        <f t="shared" si="1"/>
        <v>0.11</v>
      </c>
      <c r="E18" s="167">
        <f>Simulador!E386</f>
        <v>0</v>
      </c>
      <c r="F18" s="167">
        <f t="shared" si="6"/>
        <v>0</v>
      </c>
      <c r="G18" s="167">
        <f>E18*'Tabla Parámetros'!$U$10</f>
        <v>0</v>
      </c>
      <c r="H18" s="167">
        <v>0</v>
      </c>
      <c r="I18" s="167">
        <f t="shared" ref="I18:I23" si="7">(($E$1/360)*30.4)*F18</f>
        <v>0</v>
      </c>
      <c r="J18" s="167">
        <v>0</v>
      </c>
      <c r="K18" s="167">
        <f t="shared" si="3"/>
        <v>0</v>
      </c>
      <c r="L18" s="167">
        <f t="shared" si="4"/>
        <v>0</v>
      </c>
      <c r="M18" s="167">
        <f>IF(Simulador!$F$11='Tabla Parámetros'!$W$1,'Tabla Parámetros'!$W$28,IF(Simulador!$F$11='Tabla Parámetros'!$Y$1,'Tabla Parámetros'!$Y$12))</f>
        <v>299</v>
      </c>
      <c r="N18" s="172"/>
      <c r="O18" s="172"/>
      <c r="P18" s="167">
        <f t="shared" ref="P18:P23" si="8">SUM(G18:O18)-E18</f>
        <v>299</v>
      </c>
      <c r="Q18" s="167"/>
      <c r="T18" s="6"/>
      <c r="U18" s="6"/>
      <c r="V18" s="6"/>
      <c r="W18" s="29">
        <f t="shared" si="0"/>
        <v>299</v>
      </c>
    </row>
    <row r="19" spans="2:23" x14ac:dyDescent="0.3">
      <c r="B19" s="181">
        <v>14</v>
      </c>
      <c r="C19" s="180">
        <v>30.4</v>
      </c>
      <c r="D19" s="193">
        <f t="shared" si="1"/>
        <v>0.11</v>
      </c>
      <c r="E19" s="167">
        <f>Simulador!E387</f>
        <v>0</v>
      </c>
      <c r="F19" s="167">
        <f t="shared" si="6"/>
        <v>0</v>
      </c>
      <c r="G19" s="167">
        <f>E19*'Tabla Parámetros'!$U$10</f>
        <v>0</v>
      </c>
      <c r="H19" s="167">
        <v>0</v>
      </c>
      <c r="I19" s="167">
        <f t="shared" si="7"/>
        <v>0</v>
      </c>
      <c r="J19" s="167">
        <v>0</v>
      </c>
      <c r="K19" s="167">
        <f t="shared" si="3"/>
        <v>0</v>
      </c>
      <c r="L19" s="167">
        <f t="shared" si="4"/>
        <v>0</v>
      </c>
      <c r="M19" s="167">
        <f>IF(Simulador!$F$11='Tabla Parámetros'!$W$1,'Tabla Parámetros'!$W$28,IF(Simulador!$F$11='Tabla Parámetros'!$Y$1,'Tabla Parámetros'!$Y$12))</f>
        <v>299</v>
      </c>
      <c r="N19" s="172"/>
      <c r="O19" s="172"/>
      <c r="P19" s="167">
        <f t="shared" si="8"/>
        <v>299</v>
      </c>
      <c r="Q19" s="167"/>
      <c r="T19" s="6"/>
      <c r="U19" s="6"/>
      <c r="V19" s="6"/>
      <c r="W19" s="29">
        <f t="shared" si="0"/>
        <v>299</v>
      </c>
    </row>
    <row r="20" spans="2:23" x14ac:dyDescent="0.3">
      <c r="B20" s="179">
        <v>15</v>
      </c>
      <c r="C20" s="180">
        <v>30.4</v>
      </c>
      <c r="D20" s="193">
        <f t="shared" si="1"/>
        <v>0.11</v>
      </c>
      <c r="E20" s="167">
        <f>Simulador!E388</f>
        <v>0</v>
      </c>
      <c r="F20" s="167">
        <f t="shared" si="6"/>
        <v>0</v>
      </c>
      <c r="G20" s="167">
        <f>E20*'Tabla Parámetros'!$U$10</f>
        <v>0</v>
      </c>
      <c r="H20" s="167">
        <v>0</v>
      </c>
      <c r="I20" s="167">
        <f t="shared" si="7"/>
        <v>0</v>
      </c>
      <c r="J20" s="167">
        <v>0</v>
      </c>
      <c r="K20" s="167">
        <f t="shared" si="3"/>
        <v>0</v>
      </c>
      <c r="L20" s="167">
        <f t="shared" si="4"/>
        <v>0</v>
      </c>
      <c r="M20" s="167">
        <f>IF(Simulador!$F$11='Tabla Parámetros'!$W$1,'Tabla Parámetros'!$W$28,IF(Simulador!$F$11='Tabla Parámetros'!$Y$1,'Tabla Parámetros'!$Y$12))</f>
        <v>299</v>
      </c>
      <c r="N20" s="172"/>
      <c r="O20" s="172"/>
      <c r="P20" s="167">
        <f t="shared" si="8"/>
        <v>299</v>
      </c>
      <c r="Q20" s="167"/>
      <c r="T20" s="6"/>
      <c r="U20" s="6"/>
      <c r="V20" s="6"/>
      <c r="W20" s="29">
        <f t="shared" si="0"/>
        <v>299</v>
      </c>
    </row>
    <row r="21" spans="2:23" x14ac:dyDescent="0.3">
      <c r="B21" s="179">
        <v>16</v>
      </c>
      <c r="C21" s="180">
        <v>30.4</v>
      </c>
      <c r="D21" s="193">
        <f t="shared" si="1"/>
        <v>0.11</v>
      </c>
      <c r="E21" s="167">
        <f>Simulador!E389</f>
        <v>0</v>
      </c>
      <c r="F21" s="167">
        <f t="shared" si="6"/>
        <v>0</v>
      </c>
      <c r="G21" s="167">
        <f>E21*'Tabla Parámetros'!$U$10</f>
        <v>0</v>
      </c>
      <c r="H21" s="167">
        <v>0</v>
      </c>
      <c r="I21" s="167">
        <f t="shared" si="7"/>
        <v>0</v>
      </c>
      <c r="J21" s="167">
        <v>0</v>
      </c>
      <c r="K21" s="167">
        <f t="shared" si="3"/>
        <v>0</v>
      </c>
      <c r="L21" s="167">
        <f t="shared" si="4"/>
        <v>0</v>
      </c>
      <c r="M21" s="167">
        <f>IF(Simulador!$F$11='Tabla Parámetros'!$W$1,'Tabla Parámetros'!$W$28,IF(Simulador!$F$11='Tabla Parámetros'!$Y$1,'Tabla Parámetros'!$Y$12))</f>
        <v>299</v>
      </c>
      <c r="N21" s="172"/>
      <c r="O21" s="172"/>
      <c r="P21" s="167">
        <f t="shared" si="8"/>
        <v>299</v>
      </c>
      <c r="Q21" s="167"/>
      <c r="T21" s="6"/>
      <c r="U21" s="6"/>
      <c r="V21" s="6"/>
      <c r="W21" s="29">
        <f t="shared" si="0"/>
        <v>299</v>
      </c>
    </row>
    <row r="22" spans="2:23" x14ac:dyDescent="0.3">
      <c r="B22" s="179">
        <v>17</v>
      </c>
      <c r="C22" s="180">
        <v>30.4</v>
      </c>
      <c r="D22" s="193">
        <f t="shared" si="1"/>
        <v>0.11</v>
      </c>
      <c r="E22" s="167">
        <f>Simulador!E390</f>
        <v>0</v>
      </c>
      <c r="F22" s="167">
        <f t="shared" si="6"/>
        <v>0</v>
      </c>
      <c r="G22" s="167">
        <f>E22*'Tabla Parámetros'!$U$10</f>
        <v>0</v>
      </c>
      <c r="H22" s="167">
        <v>0</v>
      </c>
      <c r="I22" s="167">
        <f t="shared" si="7"/>
        <v>0</v>
      </c>
      <c r="J22" s="167">
        <v>0</v>
      </c>
      <c r="K22" s="167">
        <f t="shared" si="3"/>
        <v>0</v>
      </c>
      <c r="L22" s="167">
        <f t="shared" si="4"/>
        <v>0</v>
      </c>
      <c r="M22" s="167">
        <f>IF(Simulador!$F$11='Tabla Parámetros'!$W$1,'Tabla Parámetros'!$W$28,IF(Simulador!$F$11='Tabla Parámetros'!$Y$1,'Tabla Parámetros'!$Y$12))</f>
        <v>299</v>
      </c>
      <c r="N22" s="172"/>
      <c r="O22" s="172"/>
      <c r="P22" s="167">
        <f t="shared" si="8"/>
        <v>299</v>
      </c>
      <c r="Q22" s="167"/>
      <c r="T22" s="6"/>
      <c r="U22" s="6"/>
      <c r="V22" s="6"/>
      <c r="W22" s="29">
        <f t="shared" si="0"/>
        <v>0</v>
      </c>
    </row>
    <row r="23" spans="2:23" x14ac:dyDescent="0.3">
      <c r="B23" s="179">
        <v>18</v>
      </c>
      <c r="C23" s="180">
        <v>30.4</v>
      </c>
      <c r="D23" s="193">
        <f t="shared" si="1"/>
        <v>0.11</v>
      </c>
      <c r="E23" s="167">
        <f>Simulador!E391</f>
        <v>0</v>
      </c>
      <c r="F23" s="167">
        <f t="shared" si="6"/>
        <v>0</v>
      </c>
      <c r="G23" s="167">
        <f>E23*'Tabla Parámetros'!$U$10</f>
        <v>0</v>
      </c>
      <c r="H23" s="167">
        <v>0</v>
      </c>
      <c r="I23" s="167">
        <f t="shared" si="7"/>
        <v>0</v>
      </c>
      <c r="J23" s="167">
        <v>0</v>
      </c>
      <c r="K23" s="167">
        <f t="shared" si="3"/>
        <v>0</v>
      </c>
      <c r="L23" s="167">
        <f t="shared" si="4"/>
        <v>0</v>
      </c>
      <c r="M23" s="167">
        <f>IF(Simulador!$F$11='Tabla Parámetros'!$W$1,'Tabla Parámetros'!$W$28,IF(Simulador!$F$11='Tabla Parámetros'!$Y$1,'Tabla Parámetros'!$Y$12))</f>
        <v>299</v>
      </c>
      <c r="N23" s="172"/>
      <c r="O23" s="172"/>
      <c r="P23" s="167">
        <f t="shared" si="8"/>
        <v>299</v>
      </c>
      <c r="Q23" s="167"/>
      <c r="T23" s="6"/>
      <c r="U23" s="6"/>
      <c r="V23" s="6"/>
      <c r="W23" s="29">
        <f t="shared" si="0"/>
        <v>0</v>
      </c>
    </row>
    <row r="24" spans="2:23" x14ac:dyDescent="0.3">
      <c r="B24" s="183">
        <v>1</v>
      </c>
      <c r="C24" s="184">
        <v>30.4</v>
      </c>
      <c r="D24" s="194">
        <f>IF(B24="","",$E$1)</f>
        <v>0.11</v>
      </c>
      <c r="E24" s="174"/>
      <c r="F24" s="174">
        <f>IF(($E$23+$F$23)&gt;$H$2,"ERROR",$E$23+F23)</f>
        <v>0</v>
      </c>
      <c r="G24" s="172"/>
      <c r="H24" s="172">
        <f>IF(OR($B24="",$B24&lt;=1),0,IF($B24=$E$2,$F24,IF(($J24-$I24)&gt;$F24,$F24,$J24-$I24)))</f>
        <v>0</v>
      </c>
      <c r="I24" s="172">
        <f t="shared" ref="I24" si="9">IF(B24="",0,((D24/360)*30.4)*F24)</f>
        <v>0</v>
      </c>
      <c r="J24" s="172">
        <f>IF(C24="","",IF(F24=0,0,IF(C24&gt;'Tabla Parámetros'!$J$23,I24,IF($E$2='Tabla Parámetros'!$J$19,($H$2/1000*'Tabla Parámetros'!$K$19)/30.4*C24,IF($E$2='Tabla Parámetros'!$J$20,($H$2/1000*'Tabla Parámetros'!$K$20)/30.4*C24)))))+N24+O24</f>
        <v>0</v>
      </c>
      <c r="K24" s="172">
        <f t="shared" si="3"/>
        <v>0</v>
      </c>
      <c r="L24" s="172">
        <f>IF(B23="","",IF(F24=0,0,$L$1*$J$2))</f>
        <v>0</v>
      </c>
      <c r="M24" s="172">
        <f>IF(B23="","",IF(F24=0,0,IF(Simulador!$F$11='Tabla Parámetros'!$W$1,'Tabla Parámetros'!$W$28,IF(Simulador!$F$11='Tabla Parámetros'!$Y$1,'Tabla Parámetros'!$Y$12))))</f>
        <v>0</v>
      </c>
      <c r="N24" s="172">
        <f>IF(F24=0,0,IF(F24="","",IF(Simulador!$N$7='Tabla Parámetros'!$C$31,AportPat!L4,0)))</f>
        <v>0</v>
      </c>
      <c r="O24" s="172">
        <f>Simulador!O392</f>
        <v>0</v>
      </c>
      <c r="P24" s="172">
        <f t="shared" ref="P24:P87" si="10">IF(B24="","",H24+I24+K24+L24+M24)</f>
        <v>0</v>
      </c>
      <c r="Q24" s="189">
        <f>F24-H24</f>
        <v>0</v>
      </c>
      <c r="T24" s="6"/>
      <c r="U24" s="6"/>
      <c r="V24" s="6"/>
      <c r="W24" s="29">
        <f t="shared" si="0"/>
        <v>0</v>
      </c>
    </row>
    <row r="25" spans="2:23" x14ac:dyDescent="0.3">
      <c r="B25" s="181">
        <f t="shared" ref="B25:B88" si="11">IF(B24=$E$2,"",IF(B24="","",B24+1))</f>
        <v>2</v>
      </c>
      <c r="C25" s="180">
        <f>IF(B24="","",30.4)</f>
        <v>30.4</v>
      </c>
      <c r="D25" s="192">
        <f>IF(B25="","",$E$1)</f>
        <v>0.11</v>
      </c>
      <c r="E25" s="167"/>
      <c r="F25" s="167">
        <f>IF(B25="","",F24-H24)</f>
        <v>0</v>
      </c>
      <c r="G25" s="166"/>
      <c r="H25" s="167">
        <f>IF($B25="","",IF($B25=$E$2,$F25,IF(($J25-$I25)&gt;$F25,$F25,$J25-$I25)))</f>
        <v>0</v>
      </c>
      <c r="I25" s="167">
        <f t="shared" ref="I25:I88" si="12">IF(B25="","",((D25/360)*30.4)*F25)</f>
        <v>0</v>
      </c>
      <c r="J25" s="167">
        <f>IF(C25="","",IF(F25=0,0,IF(C25&lt;='Tabla Parámetros'!$J$23,I25,IF($E$2='Tabla Parámetros'!$J$19,($H$2/1000*'Tabla Parámetros'!$K$19)/30.4*C25,IF($E$2='Tabla Parámetros'!$J$20,($H$2/1000*'Tabla Parámetros'!$K$20)/30.4*C25)))))+N25+O25</f>
        <v>0</v>
      </c>
      <c r="K25" s="167">
        <f t="shared" si="3"/>
        <v>0</v>
      </c>
      <c r="L25" s="167">
        <f>IF(B25="","",IF(F25=0,0,$L$1*$J$2))</f>
        <v>0</v>
      </c>
      <c r="M25" s="167">
        <f>IF(B25="","",IF(F25=0,0,IF(Simulador!$F$11='Tabla Parámetros'!$W$1,'Tabla Parámetros'!$W$28,IF(Simulador!$F$11='Tabla Parámetros'!$Y$1,'Tabla Parámetros'!$Y$12))))</f>
        <v>0</v>
      </c>
      <c r="N25" s="167">
        <f>IF(F25=0,0,IF(F25="","",IF(Simulador!$N$7='Tabla Parámetros'!$C$31,AportPat!L5,0)))</f>
        <v>0</v>
      </c>
      <c r="O25" s="167">
        <f>Simulador!O393</f>
        <v>0</v>
      </c>
      <c r="P25" s="167">
        <f t="shared" si="10"/>
        <v>0</v>
      </c>
      <c r="Q25" s="178">
        <f>F25-H25</f>
        <v>0</v>
      </c>
      <c r="T25" s="6"/>
      <c r="U25" s="6"/>
      <c r="V25" s="6"/>
      <c r="W25" s="29">
        <f t="shared" si="0"/>
        <v>0</v>
      </c>
    </row>
    <row r="26" spans="2:23" x14ac:dyDescent="0.3">
      <c r="B26" s="181">
        <f t="shared" si="11"/>
        <v>3</v>
      </c>
      <c r="C26" s="180">
        <f>IF(B25="","",30.4)</f>
        <v>30.4</v>
      </c>
      <c r="D26" s="193">
        <f t="shared" ref="D26:D60" si="13">IF(B26="","",$E$1)</f>
        <v>0.11</v>
      </c>
      <c r="E26" s="167"/>
      <c r="F26" s="167">
        <f t="shared" ref="F26:F89" si="14">IF(B26="","",F25-H25)</f>
        <v>0</v>
      </c>
      <c r="G26" s="166"/>
      <c r="H26" s="167">
        <f t="shared" ref="H26:H89" si="15">IF($B26="","",IF($B26=$E$2,$F26,IF(($J26-$I26)&gt;$F26,$F26,$J26-$I26)))</f>
        <v>0</v>
      </c>
      <c r="I26" s="167">
        <f t="shared" si="12"/>
        <v>0</v>
      </c>
      <c r="J26" s="167">
        <f>IF(C26="","",IF(F26=0,0,IF(C26&lt;='Tabla Parámetros'!$J$23,I26,IF($E$2='Tabla Parámetros'!$J$19,($H$2/1000*'Tabla Parámetros'!$K$19)/30.4*C26,IF($E$2='Tabla Parámetros'!$J$20,($H$2/1000*'Tabla Parámetros'!$K$20)/30.4*C26)))))+N26+O26</f>
        <v>0</v>
      </c>
      <c r="K26" s="167">
        <f t="shared" si="3"/>
        <v>0</v>
      </c>
      <c r="L26" s="167">
        <f t="shared" ref="L26:L89" si="16">IF(B26="","",IF(F26=0,0,$L$1*$J$2))</f>
        <v>0</v>
      </c>
      <c r="M26" s="167">
        <f>IF(B26="","",IF(F26=0,0,IF(Simulador!$F$11='Tabla Parámetros'!$W$1,'Tabla Parámetros'!$W$28,IF(Simulador!$F$11='Tabla Parámetros'!$Y$1,'Tabla Parámetros'!$Y$12))))</f>
        <v>0</v>
      </c>
      <c r="N26" s="167">
        <f>IF(F26=0,0,IF(F26="","",IF(Simulador!$N$7='Tabla Parámetros'!$C$31,AportPat!L6,0)))</f>
        <v>0</v>
      </c>
      <c r="O26" s="167">
        <f>Simulador!O394</f>
        <v>0</v>
      </c>
      <c r="P26" s="167">
        <f t="shared" si="10"/>
        <v>0</v>
      </c>
      <c r="Q26" s="167">
        <f>IF(B26="","",F26-H26)</f>
        <v>0</v>
      </c>
      <c r="T26" s="6"/>
      <c r="U26" s="6"/>
      <c r="V26" s="6"/>
      <c r="W26" s="29">
        <f t="shared" si="0"/>
        <v>0</v>
      </c>
    </row>
    <row r="27" spans="2:23" x14ac:dyDescent="0.3">
      <c r="B27" s="181">
        <f t="shared" si="11"/>
        <v>4</v>
      </c>
      <c r="C27" s="180">
        <f t="shared" ref="C27:C90" si="17">IF(B26="","",30.4)</f>
        <v>30.4</v>
      </c>
      <c r="D27" s="193">
        <f t="shared" si="13"/>
        <v>0.11</v>
      </c>
      <c r="E27" s="167"/>
      <c r="F27" s="167">
        <f t="shared" si="14"/>
        <v>0</v>
      </c>
      <c r="G27" s="166"/>
      <c r="H27" s="167">
        <f t="shared" si="15"/>
        <v>0</v>
      </c>
      <c r="I27" s="167">
        <f t="shared" si="12"/>
        <v>0</v>
      </c>
      <c r="J27" s="167">
        <f>IF(C27="","",IF(F27=0,0,IF(C27&lt;='Tabla Parámetros'!$J$23,I27,IF($E$2='Tabla Parámetros'!$J$19,($H$2/1000*'Tabla Parámetros'!$K$19)/30.4*C27,IF($E$2='Tabla Parámetros'!$J$20,($H$2/1000*'Tabla Parámetros'!$K$20)/30.4*C27)))))+N27+O27</f>
        <v>0</v>
      </c>
      <c r="K27" s="167">
        <f t="shared" si="3"/>
        <v>0</v>
      </c>
      <c r="L27" s="167">
        <f t="shared" si="16"/>
        <v>0</v>
      </c>
      <c r="M27" s="167">
        <f>IF(B27="","",IF(F27=0,0,IF(Simulador!$F$11='Tabla Parámetros'!$W$1,'Tabla Parámetros'!$W$28,IF(Simulador!$F$11='Tabla Parámetros'!$Y$1,'Tabla Parámetros'!$Y$12))))</f>
        <v>0</v>
      </c>
      <c r="N27" s="167">
        <f>IF(F27=0,0,IF(F27="","",IF(Simulador!$N$7='Tabla Parámetros'!$C$31,AportPat!L7,0)))</f>
        <v>0</v>
      </c>
      <c r="O27" s="167">
        <f>Simulador!O395</f>
        <v>0</v>
      </c>
      <c r="P27" s="167">
        <f t="shared" si="10"/>
        <v>0</v>
      </c>
      <c r="Q27" s="167">
        <f t="shared" ref="Q27:Q90" si="18">IF(B27="","",F27-H27)</f>
        <v>0</v>
      </c>
      <c r="T27" s="6"/>
      <c r="U27" s="6"/>
      <c r="V27" s="6"/>
      <c r="W27" s="29">
        <f t="shared" si="0"/>
        <v>0</v>
      </c>
    </row>
    <row r="28" spans="2:23" x14ac:dyDescent="0.3">
      <c r="B28" s="181">
        <f t="shared" si="11"/>
        <v>5</v>
      </c>
      <c r="C28" s="180">
        <f t="shared" si="17"/>
        <v>30.4</v>
      </c>
      <c r="D28" s="193">
        <f t="shared" si="13"/>
        <v>0.11</v>
      </c>
      <c r="E28" s="167"/>
      <c r="F28" s="167">
        <f t="shared" si="14"/>
        <v>0</v>
      </c>
      <c r="G28" s="166"/>
      <c r="H28" s="167">
        <f t="shared" si="15"/>
        <v>0</v>
      </c>
      <c r="I28" s="167">
        <f t="shared" si="12"/>
        <v>0</v>
      </c>
      <c r="J28" s="167">
        <f>IF(C28="","",IF(F28=0,0,IF(C28&lt;='Tabla Parámetros'!$J$23,I28,IF($E$2='Tabla Parámetros'!$J$19,($H$2/1000*'Tabla Parámetros'!$K$19)/30.4*C28,IF($E$2='Tabla Parámetros'!$J$20,($H$2/1000*'Tabla Parámetros'!$K$20)/30.4*C28)))))+N28+O28</f>
        <v>0</v>
      </c>
      <c r="K28" s="167">
        <f t="shared" si="3"/>
        <v>0</v>
      </c>
      <c r="L28" s="167">
        <f t="shared" si="16"/>
        <v>0</v>
      </c>
      <c r="M28" s="167">
        <f>IF(B28="","",IF(F28=0,0,IF(Simulador!$F$11='Tabla Parámetros'!$W$1,'Tabla Parámetros'!$W$28,IF(Simulador!$F$11='Tabla Parámetros'!$Y$1,'Tabla Parámetros'!$Y$12))))</f>
        <v>0</v>
      </c>
      <c r="N28" s="167">
        <f>IF(F28=0,0,IF(F28="","",IF(Simulador!$N$7='Tabla Parámetros'!$C$31,AportPat!L8,0)))</f>
        <v>0</v>
      </c>
      <c r="O28" s="167">
        <f>Simulador!O396</f>
        <v>0</v>
      </c>
      <c r="P28" s="167">
        <f t="shared" si="10"/>
        <v>0</v>
      </c>
      <c r="Q28" s="167">
        <f t="shared" si="18"/>
        <v>0</v>
      </c>
      <c r="T28" s="6"/>
      <c r="U28" s="6"/>
      <c r="V28" s="6"/>
      <c r="W28" s="29">
        <f t="shared" si="0"/>
        <v>0</v>
      </c>
    </row>
    <row r="29" spans="2:23" x14ac:dyDescent="0.3">
      <c r="B29" s="181">
        <f t="shared" si="11"/>
        <v>6</v>
      </c>
      <c r="C29" s="180">
        <f t="shared" si="17"/>
        <v>30.4</v>
      </c>
      <c r="D29" s="193">
        <f t="shared" si="13"/>
        <v>0.11</v>
      </c>
      <c r="E29" s="167"/>
      <c r="F29" s="167">
        <f t="shared" si="14"/>
        <v>0</v>
      </c>
      <c r="G29" s="166"/>
      <c r="H29" s="167">
        <f t="shared" si="15"/>
        <v>0</v>
      </c>
      <c r="I29" s="167">
        <f t="shared" si="12"/>
        <v>0</v>
      </c>
      <c r="J29" s="167">
        <f>IF(C29="","",IF(F29=0,0,IF(C29&lt;='Tabla Parámetros'!$J$23,I29,IF($E$2='Tabla Parámetros'!$J$19,($H$2/1000*'Tabla Parámetros'!$K$19)/30.4*C29,IF($E$2='Tabla Parámetros'!$J$20,($H$2/1000*'Tabla Parámetros'!$K$20)/30.4*C29)))))+N29+O29</f>
        <v>0</v>
      </c>
      <c r="K29" s="167">
        <f t="shared" si="3"/>
        <v>0</v>
      </c>
      <c r="L29" s="167">
        <f t="shared" si="16"/>
        <v>0</v>
      </c>
      <c r="M29" s="167">
        <f>IF(B29="","",IF(F29=0,0,IF(Simulador!$F$11='Tabla Parámetros'!$W$1,'Tabla Parámetros'!$W$28,IF(Simulador!$F$11='Tabla Parámetros'!$Y$1,'Tabla Parámetros'!$Y$12))))</f>
        <v>0</v>
      </c>
      <c r="N29" s="167">
        <f>IF(F29=0,0,IF(F29="","",IF(Simulador!$N$7='Tabla Parámetros'!$C$31,AportPat!L9,0)))</f>
        <v>0</v>
      </c>
      <c r="O29" s="167">
        <f>Simulador!O397</f>
        <v>0</v>
      </c>
      <c r="P29" s="167">
        <f t="shared" si="10"/>
        <v>0</v>
      </c>
      <c r="Q29" s="167">
        <f t="shared" si="18"/>
        <v>0</v>
      </c>
      <c r="T29" s="6"/>
      <c r="U29" s="6"/>
      <c r="V29" s="6"/>
      <c r="W29" s="29">
        <f t="shared" si="0"/>
        <v>0</v>
      </c>
    </row>
    <row r="30" spans="2:23" x14ac:dyDescent="0.3">
      <c r="B30" s="181">
        <f t="shared" si="11"/>
        <v>7</v>
      </c>
      <c r="C30" s="180">
        <f t="shared" si="17"/>
        <v>30.4</v>
      </c>
      <c r="D30" s="193">
        <f t="shared" si="13"/>
        <v>0.11</v>
      </c>
      <c r="E30" s="167"/>
      <c r="F30" s="167">
        <f t="shared" si="14"/>
        <v>0</v>
      </c>
      <c r="G30" s="166"/>
      <c r="H30" s="167">
        <f t="shared" si="15"/>
        <v>0</v>
      </c>
      <c r="I30" s="167">
        <f t="shared" si="12"/>
        <v>0</v>
      </c>
      <c r="J30" s="167">
        <f>IF(C30="","",IF(F30=0,0,IF(C30&lt;='Tabla Parámetros'!$J$23,I30,IF($E$2='Tabla Parámetros'!$J$19,($H$2/1000*'Tabla Parámetros'!$K$19)/30.4*C30,IF($E$2='Tabla Parámetros'!$J$20,($H$2/1000*'Tabla Parámetros'!$K$20)/30.4*C30)))))+N30+O30</f>
        <v>0</v>
      </c>
      <c r="K30" s="167">
        <f t="shared" si="3"/>
        <v>0</v>
      </c>
      <c r="L30" s="167">
        <f t="shared" si="16"/>
        <v>0</v>
      </c>
      <c r="M30" s="167">
        <f>IF(B30="","",IF(F30=0,0,IF(Simulador!$F$11='Tabla Parámetros'!$W$1,'Tabla Parámetros'!$W$28,IF(Simulador!$F$11='Tabla Parámetros'!$Y$1,'Tabla Parámetros'!$Y$12))))</f>
        <v>0</v>
      </c>
      <c r="N30" s="167">
        <f>IF(F30=0,0,IF(F30="","",IF(Simulador!$N$7='Tabla Parámetros'!$C$31,AportPat!L10,0)))</f>
        <v>0</v>
      </c>
      <c r="O30" s="167">
        <f>Simulador!O398</f>
        <v>0</v>
      </c>
      <c r="P30" s="167">
        <f t="shared" si="10"/>
        <v>0</v>
      </c>
      <c r="Q30" s="167">
        <f t="shared" si="18"/>
        <v>0</v>
      </c>
      <c r="T30" s="6"/>
      <c r="U30" s="6"/>
      <c r="V30" s="6"/>
      <c r="W30" s="29">
        <f t="shared" si="0"/>
        <v>0</v>
      </c>
    </row>
    <row r="31" spans="2:23" x14ac:dyDescent="0.3">
      <c r="B31" s="181">
        <f t="shared" si="11"/>
        <v>8</v>
      </c>
      <c r="C31" s="180">
        <f t="shared" si="17"/>
        <v>30.4</v>
      </c>
      <c r="D31" s="193">
        <f t="shared" si="13"/>
        <v>0.11</v>
      </c>
      <c r="E31" s="167"/>
      <c r="F31" s="167">
        <f t="shared" si="14"/>
        <v>0</v>
      </c>
      <c r="G31" s="166"/>
      <c r="H31" s="167">
        <f t="shared" si="15"/>
        <v>0</v>
      </c>
      <c r="I31" s="167">
        <f t="shared" si="12"/>
        <v>0</v>
      </c>
      <c r="J31" s="167">
        <f>IF(C31="","",IF(F31=0,0,IF(C31&lt;='Tabla Parámetros'!$J$23,I31,IF($E$2='Tabla Parámetros'!$J$19,($H$2/1000*'Tabla Parámetros'!$K$19)/30.4*C31,IF($E$2='Tabla Parámetros'!$J$20,($H$2/1000*'Tabla Parámetros'!$K$20)/30.4*C31)))))+N31+O31</f>
        <v>0</v>
      </c>
      <c r="K31" s="167">
        <f t="shared" si="3"/>
        <v>0</v>
      </c>
      <c r="L31" s="167">
        <f t="shared" si="16"/>
        <v>0</v>
      </c>
      <c r="M31" s="167">
        <f>IF(B31="","",IF(F31=0,0,IF(Simulador!$F$11='Tabla Parámetros'!$W$1,'Tabla Parámetros'!$W$28,IF(Simulador!$F$11='Tabla Parámetros'!$Y$1,'Tabla Parámetros'!$Y$12))))</f>
        <v>0</v>
      </c>
      <c r="N31" s="167">
        <f>IF(F31=0,0,IF(F31="","",IF(Simulador!$N$7='Tabla Parámetros'!$C$31,AportPat!L11,0)))</f>
        <v>0</v>
      </c>
      <c r="O31" s="167">
        <f>Simulador!O399</f>
        <v>0</v>
      </c>
      <c r="P31" s="167">
        <f t="shared" si="10"/>
        <v>0</v>
      </c>
      <c r="Q31" s="167">
        <f t="shared" si="18"/>
        <v>0</v>
      </c>
      <c r="T31" s="6"/>
      <c r="U31" s="6"/>
      <c r="V31" s="6"/>
      <c r="W31" s="29">
        <f t="shared" si="0"/>
        <v>0</v>
      </c>
    </row>
    <row r="32" spans="2:23" x14ac:dyDescent="0.3">
      <c r="B32" s="181">
        <f t="shared" si="11"/>
        <v>9</v>
      </c>
      <c r="C32" s="180">
        <f t="shared" si="17"/>
        <v>30.4</v>
      </c>
      <c r="D32" s="193">
        <f t="shared" si="13"/>
        <v>0.11</v>
      </c>
      <c r="E32" s="167"/>
      <c r="F32" s="167">
        <f t="shared" si="14"/>
        <v>0</v>
      </c>
      <c r="G32" s="166"/>
      <c r="H32" s="167">
        <f t="shared" si="15"/>
        <v>0</v>
      </c>
      <c r="I32" s="167">
        <f t="shared" si="12"/>
        <v>0</v>
      </c>
      <c r="J32" s="167">
        <f>IF(C32="","",IF(F32=0,0,IF(C32&lt;='Tabla Parámetros'!$J$23,I32,IF($E$2='Tabla Parámetros'!$J$19,($H$2/1000*'Tabla Parámetros'!$K$19)/30.4*C32,IF($E$2='Tabla Parámetros'!$J$20,($H$2/1000*'Tabla Parámetros'!$K$20)/30.4*C32)))))+N32+O32</f>
        <v>0</v>
      </c>
      <c r="K32" s="167">
        <f t="shared" si="3"/>
        <v>0</v>
      </c>
      <c r="L32" s="167">
        <f t="shared" si="16"/>
        <v>0</v>
      </c>
      <c r="M32" s="167">
        <f>IF(B32="","",IF(F32=0,0,IF(Simulador!$F$11='Tabla Parámetros'!$W$1,'Tabla Parámetros'!$W$28,IF(Simulador!$F$11='Tabla Parámetros'!$Y$1,'Tabla Parámetros'!$Y$12))))</f>
        <v>0</v>
      </c>
      <c r="N32" s="167">
        <f>IF(F32=0,0,IF(F32="","",IF(Simulador!$N$7='Tabla Parámetros'!$C$31,AportPat!L12,0)))</f>
        <v>0</v>
      </c>
      <c r="O32" s="167">
        <f>Simulador!O400</f>
        <v>0</v>
      </c>
      <c r="P32" s="167">
        <f t="shared" si="10"/>
        <v>0</v>
      </c>
      <c r="Q32" s="167">
        <f t="shared" si="18"/>
        <v>0</v>
      </c>
      <c r="T32" s="6"/>
      <c r="U32" s="6"/>
      <c r="V32" s="6"/>
      <c r="W32" s="29">
        <f t="shared" si="0"/>
        <v>0</v>
      </c>
    </row>
    <row r="33" spans="2:23" x14ac:dyDescent="0.3">
      <c r="B33" s="181">
        <f t="shared" si="11"/>
        <v>10</v>
      </c>
      <c r="C33" s="180">
        <f t="shared" si="17"/>
        <v>30.4</v>
      </c>
      <c r="D33" s="193">
        <f t="shared" si="13"/>
        <v>0.11</v>
      </c>
      <c r="E33" s="167"/>
      <c r="F33" s="167">
        <f t="shared" si="14"/>
        <v>0</v>
      </c>
      <c r="G33" s="166"/>
      <c r="H33" s="167">
        <f t="shared" si="15"/>
        <v>0</v>
      </c>
      <c r="I33" s="167">
        <f t="shared" si="12"/>
        <v>0</v>
      </c>
      <c r="J33" s="167">
        <f>IF(C33="","",IF(F33=0,0,IF(C33&lt;='Tabla Parámetros'!$J$23,I33,IF($E$2='Tabla Parámetros'!$J$19,($H$2/1000*'Tabla Parámetros'!$K$19)/30.4*C33,IF($E$2='Tabla Parámetros'!$J$20,($H$2/1000*'Tabla Parámetros'!$K$20)/30.4*C33)))))+N33+O33</f>
        <v>0</v>
      </c>
      <c r="K33" s="167">
        <f t="shared" si="3"/>
        <v>0</v>
      </c>
      <c r="L33" s="167">
        <f t="shared" si="16"/>
        <v>0</v>
      </c>
      <c r="M33" s="167">
        <f>IF(B33="","",IF(F33=0,0,IF(Simulador!$F$11='Tabla Parámetros'!$W$1,'Tabla Parámetros'!$W$28,IF(Simulador!$F$11='Tabla Parámetros'!$Y$1,'Tabla Parámetros'!$Y$12))))</f>
        <v>0</v>
      </c>
      <c r="N33" s="167">
        <f>IF(F33=0,0,IF(F33="","",IF(Simulador!$N$7='Tabla Parámetros'!$C$31,AportPat!L13,0)))</f>
        <v>0</v>
      </c>
      <c r="O33" s="167">
        <f>Simulador!O401</f>
        <v>0</v>
      </c>
      <c r="P33" s="167">
        <f t="shared" si="10"/>
        <v>0</v>
      </c>
      <c r="Q33" s="167">
        <f t="shared" si="18"/>
        <v>0</v>
      </c>
      <c r="T33" s="6"/>
      <c r="U33" s="6"/>
      <c r="V33" s="6"/>
      <c r="W33" s="29">
        <f t="shared" si="0"/>
        <v>0</v>
      </c>
    </row>
    <row r="34" spans="2:23" x14ac:dyDescent="0.3">
      <c r="B34" s="181">
        <f t="shared" si="11"/>
        <v>11</v>
      </c>
      <c r="C34" s="180">
        <f t="shared" si="17"/>
        <v>30.4</v>
      </c>
      <c r="D34" s="193">
        <f t="shared" si="13"/>
        <v>0.11</v>
      </c>
      <c r="E34" s="167"/>
      <c r="F34" s="167">
        <f t="shared" si="14"/>
        <v>0</v>
      </c>
      <c r="G34" s="166"/>
      <c r="H34" s="167">
        <f t="shared" si="15"/>
        <v>0</v>
      </c>
      <c r="I34" s="167">
        <f t="shared" si="12"/>
        <v>0</v>
      </c>
      <c r="J34" s="167">
        <f>IF(C34="","",IF(F34=0,0,IF(C34&lt;='Tabla Parámetros'!$J$23,I34,IF($E$2='Tabla Parámetros'!$J$19,($H$2/1000*'Tabla Parámetros'!$K$19)/30.4*C34,IF($E$2='Tabla Parámetros'!$J$20,($H$2/1000*'Tabla Parámetros'!$K$20)/30.4*C34)))))+N34+O34</f>
        <v>0</v>
      </c>
      <c r="K34" s="167">
        <f t="shared" si="3"/>
        <v>0</v>
      </c>
      <c r="L34" s="167">
        <f t="shared" si="16"/>
        <v>0</v>
      </c>
      <c r="M34" s="167">
        <f>IF(B34="","",IF(F34=0,0,IF(Simulador!$F$11='Tabla Parámetros'!$W$1,'Tabla Parámetros'!$W$28,IF(Simulador!$F$11='Tabla Parámetros'!$Y$1,'Tabla Parámetros'!$Y$12))))</f>
        <v>0</v>
      </c>
      <c r="N34" s="167">
        <f>IF(F34=0,0,IF(F34="","",IF(Simulador!$N$7='Tabla Parámetros'!$C$31,AportPat!L14,0)))</f>
        <v>0</v>
      </c>
      <c r="O34" s="167">
        <f>Simulador!O402</f>
        <v>0</v>
      </c>
      <c r="P34" s="167">
        <f t="shared" si="10"/>
        <v>0</v>
      </c>
      <c r="Q34" s="167">
        <f t="shared" si="18"/>
        <v>0</v>
      </c>
      <c r="T34" s="6"/>
      <c r="U34" s="6"/>
      <c r="V34" s="6"/>
      <c r="W34" s="29">
        <f t="shared" si="0"/>
        <v>0</v>
      </c>
    </row>
    <row r="35" spans="2:23" x14ac:dyDescent="0.3">
      <c r="B35" s="181">
        <f t="shared" si="11"/>
        <v>12</v>
      </c>
      <c r="C35" s="180">
        <f t="shared" si="17"/>
        <v>30.4</v>
      </c>
      <c r="D35" s="193">
        <f t="shared" si="13"/>
        <v>0.11</v>
      </c>
      <c r="E35" s="167"/>
      <c r="F35" s="167">
        <f t="shared" si="14"/>
        <v>0</v>
      </c>
      <c r="G35" s="166"/>
      <c r="H35" s="167">
        <f t="shared" si="15"/>
        <v>0</v>
      </c>
      <c r="I35" s="167">
        <f t="shared" si="12"/>
        <v>0</v>
      </c>
      <c r="J35" s="167">
        <f>IF(C35="","",IF(F35=0,0,IF(C35&lt;='Tabla Parámetros'!$J$23,I35,IF($E$2='Tabla Parámetros'!$J$19,($H$2/1000*'Tabla Parámetros'!$K$19)/30.4*C35,IF($E$2='Tabla Parámetros'!$J$20,($H$2/1000*'Tabla Parámetros'!$K$20)/30.4*C35)))))+N35+O35</f>
        <v>0</v>
      </c>
      <c r="K35" s="167">
        <f t="shared" si="3"/>
        <v>0</v>
      </c>
      <c r="L35" s="167">
        <f t="shared" si="16"/>
        <v>0</v>
      </c>
      <c r="M35" s="167">
        <f>IF(B35="","",IF(F35=0,0,IF(Simulador!$F$11='Tabla Parámetros'!$W$1,'Tabla Parámetros'!$W$28,IF(Simulador!$F$11='Tabla Parámetros'!$Y$1,'Tabla Parámetros'!$Y$12))))</f>
        <v>0</v>
      </c>
      <c r="N35" s="167">
        <f>IF(F35=0,0,IF(F35="","",IF(Simulador!$N$7='Tabla Parámetros'!$C$31,AportPat!L15,0)))</f>
        <v>0</v>
      </c>
      <c r="O35" s="167">
        <f>Simulador!O403</f>
        <v>0</v>
      </c>
      <c r="P35" s="167">
        <f t="shared" si="10"/>
        <v>0</v>
      </c>
      <c r="Q35" s="167">
        <f t="shared" si="18"/>
        <v>0</v>
      </c>
      <c r="T35" s="6"/>
      <c r="U35" s="6"/>
      <c r="V35" s="6"/>
      <c r="W35" s="29">
        <f t="shared" si="0"/>
        <v>0</v>
      </c>
    </row>
    <row r="36" spans="2:23" x14ac:dyDescent="0.3">
      <c r="B36" s="181">
        <f t="shared" si="11"/>
        <v>13</v>
      </c>
      <c r="C36" s="180">
        <f t="shared" si="17"/>
        <v>30.4</v>
      </c>
      <c r="D36" s="193">
        <f t="shared" si="13"/>
        <v>0.11</v>
      </c>
      <c r="E36" s="167"/>
      <c r="F36" s="167">
        <f t="shared" si="14"/>
        <v>0</v>
      </c>
      <c r="G36" s="166"/>
      <c r="H36" s="167">
        <f t="shared" si="15"/>
        <v>0</v>
      </c>
      <c r="I36" s="167">
        <f t="shared" si="12"/>
        <v>0</v>
      </c>
      <c r="J36" s="167">
        <f>IF(C36="","",IF(F36=0,0,IF(C36&lt;='Tabla Parámetros'!$J$23,I36,IF($E$2='Tabla Parámetros'!$J$19,($H$2/1000*'Tabla Parámetros'!$K$19)/30.4*C36,IF($E$2='Tabla Parámetros'!$J$20,($H$2/1000*'Tabla Parámetros'!$K$20)/30.4*C36)))))+N36+O36</f>
        <v>0</v>
      </c>
      <c r="K36" s="167">
        <f t="shared" si="3"/>
        <v>0</v>
      </c>
      <c r="L36" s="167">
        <f t="shared" si="16"/>
        <v>0</v>
      </c>
      <c r="M36" s="167">
        <f>IF(B36="","",IF(F36=0,0,IF(Simulador!$F$11='Tabla Parámetros'!$W$1,'Tabla Parámetros'!$W$28,IF(Simulador!$F$11='Tabla Parámetros'!$Y$1,'Tabla Parámetros'!$Y$12))))</f>
        <v>0</v>
      </c>
      <c r="N36" s="167">
        <f>IF(F36=0,0,IF(F36="","",IF(Simulador!$N$7='Tabla Parámetros'!$C$31,AportPat!L16,0)))</f>
        <v>0</v>
      </c>
      <c r="O36" s="167">
        <f>Simulador!O404</f>
        <v>0</v>
      </c>
      <c r="P36" s="167">
        <f t="shared" si="10"/>
        <v>0</v>
      </c>
      <c r="Q36" s="167">
        <f t="shared" si="18"/>
        <v>0</v>
      </c>
      <c r="T36" s="6"/>
      <c r="U36" s="6"/>
      <c r="V36" s="6"/>
      <c r="W36" s="29">
        <f t="shared" si="0"/>
        <v>0</v>
      </c>
    </row>
    <row r="37" spans="2:23" x14ac:dyDescent="0.3">
      <c r="B37" s="181">
        <f t="shared" si="11"/>
        <v>14</v>
      </c>
      <c r="C37" s="180">
        <f t="shared" si="17"/>
        <v>30.4</v>
      </c>
      <c r="D37" s="193">
        <f t="shared" si="13"/>
        <v>0.11</v>
      </c>
      <c r="E37" s="167"/>
      <c r="F37" s="167">
        <f t="shared" si="14"/>
        <v>0</v>
      </c>
      <c r="G37" s="166"/>
      <c r="H37" s="167">
        <f t="shared" si="15"/>
        <v>0</v>
      </c>
      <c r="I37" s="167">
        <f t="shared" si="12"/>
        <v>0</v>
      </c>
      <c r="J37" s="167">
        <f>IF(C37="","",IF(F37=0,0,IF(C37&lt;='Tabla Parámetros'!$J$23,I37,IF($E$2='Tabla Parámetros'!$J$19,(($H$2/1000*'Tabla Parámetros'!$K$19)/30.4*C37)*1.0212,IF($E$2='Tabla Parámetros'!$J$20,($H$2/1000*'Tabla Parámetros'!$K$20)/30.4*C37)*1.0201))))+N37+O37</f>
        <v>0</v>
      </c>
      <c r="K37" s="167">
        <f t="shared" si="3"/>
        <v>0</v>
      </c>
      <c r="L37" s="167">
        <f t="shared" si="16"/>
        <v>0</v>
      </c>
      <c r="M37" s="167">
        <f>IF(B37="","",IF(F37=0,0,IF(Simulador!$F$11='Tabla Parámetros'!$W$1,'Tabla Parámetros'!$W$28,IF(Simulador!$F$11='Tabla Parámetros'!$Y$1,'Tabla Parámetros'!$Y$12))))</f>
        <v>0</v>
      </c>
      <c r="N37" s="167">
        <f>IF(F37=0,0,IF(F37="","",IF(Simulador!$N$7='Tabla Parámetros'!$C$31,AportPat!L17,0)))</f>
        <v>0</v>
      </c>
      <c r="O37" s="167">
        <f>Simulador!O405</f>
        <v>0</v>
      </c>
      <c r="P37" s="167">
        <f t="shared" si="10"/>
        <v>0</v>
      </c>
      <c r="Q37" s="167">
        <f t="shared" si="18"/>
        <v>0</v>
      </c>
      <c r="T37" s="6"/>
      <c r="U37" s="6"/>
      <c r="V37" s="6"/>
      <c r="W37" s="29">
        <f t="shared" si="0"/>
        <v>0</v>
      </c>
    </row>
    <row r="38" spans="2:23" x14ac:dyDescent="0.3">
      <c r="B38" s="181">
        <f t="shared" si="11"/>
        <v>15</v>
      </c>
      <c r="C38" s="180">
        <f t="shared" si="17"/>
        <v>30.4</v>
      </c>
      <c r="D38" s="193">
        <f t="shared" si="13"/>
        <v>0.11</v>
      </c>
      <c r="E38" s="167"/>
      <c r="F38" s="167">
        <f t="shared" si="14"/>
        <v>0</v>
      </c>
      <c r="G38" s="166"/>
      <c r="H38" s="167">
        <f t="shared" si="15"/>
        <v>0</v>
      </c>
      <c r="I38" s="167">
        <f t="shared" si="12"/>
        <v>0</v>
      </c>
      <c r="J38" s="167">
        <f>IF(C38="","",IF(F38=0,0,IF(C38&lt;='Tabla Parámetros'!$J$23,I38,IF($E$2='Tabla Parámetros'!$J$19,(($H$2/1000*'Tabla Parámetros'!$K$19)/30.4*C38)*1.0212,IF($E$2='Tabla Parámetros'!$J$20,($H$2/1000*'Tabla Parámetros'!$K$20)/30.4*C38)*1.0201))))+N38+O38</f>
        <v>0</v>
      </c>
      <c r="K38" s="167">
        <f t="shared" si="3"/>
        <v>0</v>
      </c>
      <c r="L38" s="167">
        <f t="shared" si="16"/>
        <v>0</v>
      </c>
      <c r="M38" s="167">
        <f>IF(B38="","",IF(F38=0,0,IF(Simulador!$F$11='Tabla Parámetros'!$W$1,'Tabla Parámetros'!$W$28,IF(Simulador!$F$11='Tabla Parámetros'!$Y$1,'Tabla Parámetros'!$Y$12))))</f>
        <v>0</v>
      </c>
      <c r="N38" s="167">
        <f>IF(F38=0,0,IF(F38="","",IF(Simulador!$N$7='Tabla Parámetros'!$C$31,AportPat!L18,0)))</f>
        <v>0</v>
      </c>
      <c r="O38" s="167">
        <f>Simulador!O406</f>
        <v>0</v>
      </c>
      <c r="P38" s="167">
        <f t="shared" si="10"/>
        <v>0</v>
      </c>
      <c r="Q38" s="167">
        <f t="shared" si="18"/>
        <v>0</v>
      </c>
      <c r="T38" s="6"/>
      <c r="U38" s="6"/>
      <c r="V38" s="6"/>
      <c r="W38" s="29">
        <f t="shared" si="0"/>
        <v>0</v>
      </c>
    </row>
    <row r="39" spans="2:23" x14ac:dyDescent="0.3">
      <c r="B39" s="181">
        <f t="shared" si="11"/>
        <v>16</v>
      </c>
      <c r="C39" s="180">
        <f t="shared" si="17"/>
        <v>30.4</v>
      </c>
      <c r="D39" s="193">
        <f t="shared" si="13"/>
        <v>0.11</v>
      </c>
      <c r="E39" s="167"/>
      <c r="F39" s="167">
        <f t="shared" si="14"/>
        <v>0</v>
      </c>
      <c r="G39" s="166"/>
      <c r="H39" s="167">
        <f t="shared" si="15"/>
        <v>0</v>
      </c>
      <c r="I39" s="167">
        <f t="shared" si="12"/>
        <v>0</v>
      </c>
      <c r="J39" s="167">
        <f>IF(C39="","",IF(F39=0,0,IF(C39&lt;='Tabla Parámetros'!$J$23,I39,IF($E$2='Tabla Parámetros'!$J$19,(($H$2/1000*'Tabla Parámetros'!$K$19)/30.4*C39)*1.0212,IF($E$2='Tabla Parámetros'!$J$20,($H$2/1000*'Tabla Parámetros'!$K$20)/30.4*C39)*1.0201))))+N39+O39</f>
        <v>0</v>
      </c>
      <c r="K39" s="167">
        <f t="shared" si="3"/>
        <v>0</v>
      </c>
      <c r="L39" s="167">
        <f t="shared" si="16"/>
        <v>0</v>
      </c>
      <c r="M39" s="167">
        <f>IF(B39="","",IF(F39=0,0,IF(Simulador!$F$11='Tabla Parámetros'!$W$1,'Tabla Parámetros'!$W$28,IF(Simulador!$F$11='Tabla Parámetros'!$Y$1,'Tabla Parámetros'!$Y$12))))</f>
        <v>0</v>
      </c>
      <c r="N39" s="167">
        <f>IF(F39=0,0,IF(F39="","",IF(Simulador!$N$7='Tabla Parámetros'!$C$31,AportPat!L19,0)))</f>
        <v>0</v>
      </c>
      <c r="O39" s="167">
        <f>Simulador!O407</f>
        <v>0</v>
      </c>
      <c r="P39" s="167">
        <f t="shared" si="10"/>
        <v>0</v>
      </c>
      <c r="Q39" s="167">
        <f t="shared" si="18"/>
        <v>0</v>
      </c>
      <c r="T39" s="6"/>
      <c r="U39" s="6"/>
      <c r="V39" s="6"/>
      <c r="W39" s="29">
        <f t="shared" si="0"/>
        <v>0</v>
      </c>
    </row>
    <row r="40" spans="2:23" x14ac:dyDescent="0.3">
      <c r="B40" s="181">
        <f t="shared" si="11"/>
        <v>17</v>
      </c>
      <c r="C40" s="180">
        <f t="shared" si="17"/>
        <v>30.4</v>
      </c>
      <c r="D40" s="193">
        <f t="shared" si="13"/>
        <v>0.11</v>
      </c>
      <c r="E40" s="167"/>
      <c r="F40" s="167">
        <f t="shared" si="14"/>
        <v>0</v>
      </c>
      <c r="G40" s="166"/>
      <c r="H40" s="167">
        <f t="shared" si="15"/>
        <v>0</v>
      </c>
      <c r="I40" s="167">
        <f t="shared" si="12"/>
        <v>0</v>
      </c>
      <c r="J40" s="167">
        <f>IF(C40="","",IF(F40=0,0,IF(C40&lt;='Tabla Parámetros'!$J$23,I40,IF($E$2='Tabla Parámetros'!$J$19,(($H$2/1000*'Tabla Parámetros'!$K$19)/30.4*C40)*1.0212,IF($E$2='Tabla Parámetros'!$J$20,($H$2/1000*'Tabla Parámetros'!$K$20)/30.4*C40)*1.0201))))+N40+O40</f>
        <v>0</v>
      </c>
      <c r="K40" s="167">
        <f t="shared" si="3"/>
        <v>0</v>
      </c>
      <c r="L40" s="167">
        <f t="shared" si="16"/>
        <v>0</v>
      </c>
      <c r="M40" s="167">
        <f>IF(B40="","",IF(F40=0,0,IF(Simulador!$F$11='Tabla Parámetros'!$W$1,'Tabla Parámetros'!$W$28,IF(Simulador!$F$11='Tabla Parámetros'!$Y$1,'Tabla Parámetros'!$Y$12))))</f>
        <v>0</v>
      </c>
      <c r="N40" s="167">
        <f>IF(F40=0,0,IF(F40="","",IF(Simulador!$N$7='Tabla Parámetros'!$C$31,AportPat!L20,0)))</f>
        <v>0</v>
      </c>
      <c r="O40" s="167">
        <f>Simulador!O408</f>
        <v>0</v>
      </c>
      <c r="P40" s="167">
        <f t="shared" si="10"/>
        <v>0</v>
      </c>
      <c r="Q40" s="167">
        <f t="shared" si="18"/>
        <v>0</v>
      </c>
      <c r="T40" s="6"/>
      <c r="U40" s="6"/>
      <c r="V40" s="6"/>
      <c r="W40" s="29">
        <f t="shared" si="0"/>
        <v>0</v>
      </c>
    </row>
    <row r="41" spans="2:23" x14ac:dyDescent="0.3">
      <c r="B41" s="181">
        <f t="shared" si="11"/>
        <v>18</v>
      </c>
      <c r="C41" s="180">
        <f t="shared" si="17"/>
        <v>30.4</v>
      </c>
      <c r="D41" s="193">
        <f t="shared" si="13"/>
        <v>0.11</v>
      </c>
      <c r="E41" s="167"/>
      <c r="F41" s="167">
        <f t="shared" si="14"/>
        <v>0</v>
      </c>
      <c r="G41" s="166"/>
      <c r="H41" s="167">
        <f t="shared" si="15"/>
        <v>0</v>
      </c>
      <c r="I41" s="167">
        <f t="shared" si="12"/>
        <v>0</v>
      </c>
      <c r="J41" s="167">
        <f>IF(C41="","",IF(F41=0,0,IF(C41&lt;='Tabla Parámetros'!$J$23,I41,IF($E$2='Tabla Parámetros'!$J$19,(($H$2/1000*'Tabla Parámetros'!$K$19)/30.4*C41)*1.0212,IF($E$2='Tabla Parámetros'!$J$20,($H$2/1000*'Tabla Parámetros'!$K$20)/30.4*C41)*1.0201))))+N41+O41</f>
        <v>0</v>
      </c>
      <c r="K41" s="167">
        <f t="shared" si="3"/>
        <v>0</v>
      </c>
      <c r="L41" s="167">
        <f t="shared" si="16"/>
        <v>0</v>
      </c>
      <c r="M41" s="167">
        <f>IF(B41="","",IF(F41=0,0,IF(Simulador!$F$11='Tabla Parámetros'!$W$1,'Tabla Parámetros'!$W$28,IF(Simulador!$F$11='Tabla Parámetros'!$Y$1,'Tabla Parámetros'!$Y$12))))</f>
        <v>0</v>
      </c>
      <c r="N41" s="167">
        <f>IF(F41=0,0,IF(F41="","",IF(Simulador!$N$7='Tabla Parámetros'!$C$31,AportPat!L21,0)))</f>
        <v>0</v>
      </c>
      <c r="O41" s="167">
        <f>Simulador!O409</f>
        <v>0</v>
      </c>
      <c r="P41" s="167">
        <f t="shared" si="10"/>
        <v>0</v>
      </c>
      <c r="Q41" s="167">
        <f t="shared" si="18"/>
        <v>0</v>
      </c>
      <c r="T41" s="6"/>
      <c r="U41" s="6"/>
      <c r="V41" s="6"/>
      <c r="W41" s="29">
        <f t="shared" si="0"/>
        <v>0</v>
      </c>
    </row>
    <row r="42" spans="2:23" x14ac:dyDescent="0.3">
      <c r="B42" s="181">
        <f t="shared" si="11"/>
        <v>19</v>
      </c>
      <c r="C42" s="180">
        <f t="shared" si="17"/>
        <v>30.4</v>
      </c>
      <c r="D42" s="193">
        <f t="shared" si="13"/>
        <v>0.11</v>
      </c>
      <c r="E42" s="167"/>
      <c r="F42" s="167">
        <f t="shared" si="14"/>
        <v>0</v>
      </c>
      <c r="G42" s="166"/>
      <c r="H42" s="167">
        <f t="shared" si="15"/>
        <v>0</v>
      </c>
      <c r="I42" s="167">
        <f t="shared" si="12"/>
        <v>0</v>
      </c>
      <c r="J42" s="167">
        <f>IF(C42="","",IF(F42=0,0,IF(C42&lt;='Tabla Parámetros'!$J$23,I42,IF($E$2='Tabla Parámetros'!$J$19,(($H$2/1000*'Tabla Parámetros'!$K$19)/30.4*C42)*1.0212,IF($E$2='Tabla Parámetros'!$J$20,($H$2/1000*'Tabla Parámetros'!$K$20)/30.4*C42)*1.0201))))+N42+O42</f>
        <v>0</v>
      </c>
      <c r="K42" s="167">
        <f t="shared" si="3"/>
        <v>0</v>
      </c>
      <c r="L42" s="167">
        <f t="shared" si="16"/>
        <v>0</v>
      </c>
      <c r="M42" s="167">
        <f>IF(B42="","",IF(F42=0,0,IF(Simulador!$F$11='Tabla Parámetros'!$W$1,'Tabla Parámetros'!$W$28,IF(Simulador!$F$11='Tabla Parámetros'!$Y$1,'Tabla Parámetros'!$Y$12))))</f>
        <v>0</v>
      </c>
      <c r="N42" s="167">
        <f>IF(F42=0,0,IF(F42="","",IF(Simulador!$N$7='Tabla Parámetros'!$C$31,AportPat!L22,0)))</f>
        <v>0</v>
      </c>
      <c r="O42" s="167">
        <f>Simulador!O410</f>
        <v>0</v>
      </c>
      <c r="P42" s="167">
        <f t="shared" si="10"/>
        <v>0</v>
      </c>
      <c r="Q42" s="167">
        <f t="shared" si="18"/>
        <v>0</v>
      </c>
      <c r="T42" s="6"/>
      <c r="U42" s="6"/>
      <c r="V42" s="6"/>
      <c r="W42" s="29">
        <f t="shared" si="0"/>
        <v>0</v>
      </c>
    </row>
    <row r="43" spans="2:23" x14ac:dyDescent="0.3">
      <c r="B43" s="181">
        <f t="shared" si="11"/>
        <v>20</v>
      </c>
      <c r="C43" s="180">
        <f t="shared" si="17"/>
        <v>30.4</v>
      </c>
      <c r="D43" s="193">
        <f t="shared" si="13"/>
        <v>0.11</v>
      </c>
      <c r="E43" s="167"/>
      <c r="F43" s="167">
        <f t="shared" si="14"/>
        <v>0</v>
      </c>
      <c r="G43" s="166"/>
      <c r="H43" s="167">
        <f t="shared" si="15"/>
        <v>0</v>
      </c>
      <c r="I43" s="167">
        <f t="shared" si="12"/>
        <v>0</v>
      </c>
      <c r="J43" s="167">
        <f>IF(C43="","",IF(F43=0,0,IF(C43&lt;='Tabla Parámetros'!$J$23,I43,IF($E$2='Tabla Parámetros'!$J$19,(($H$2/1000*'Tabla Parámetros'!$K$19)/30.4*C43)*1.0212,IF($E$2='Tabla Parámetros'!$J$20,($H$2/1000*'Tabla Parámetros'!$K$20)/30.4*C43)*1.0201))))+N43+O43</f>
        <v>0</v>
      </c>
      <c r="K43" s="167">
        <f t="shared" si="3"/>
        <v>0</v>
      </c>
      <c r="L43" s="167">
        <f t="shared" si="16"/>
        <v>0</v>
      </c>
      <c r="M43" s="167">
        <f>IF(B43="","",IF(F43=0,0,IF(Simulador!$F$11='Tabla Parámetros'!$W$1,'Tabla Parámetros'!$W$28,IF(Simulador!$F$11='Tabla Parámetros'!$Y$1,'Tabla Parámetros'!$Y$12))))</f>
        <v>0</v>
      </c>
      <c r="N43" s="167">
        <f>IF(F43=0,0,IF(F43="","",IF(Simulador!$N$7='Tabla Parámetros'!$C$31,AportPat!L23,0)))</f>
        <v>0</v>
      </c>
      <c r="O43" s="167">
        <f>Simulador!O411</f>
        <v>0</v>
      </c>
      <c r="P43" s="167">
        <f t="shared" si="10"/>
        <v>0</v>
      </c>
      <c r="Q43" s="167">
        <f t="shared" si="18"/>
        <v>0</v>
      </c>
      <c r="T43" s="6"/>
      <c r="U43" s="6"/>
      <c r="V43" s="6"/>
      <c r="W43" s="29">
        <f t="shared" si="0"/>
        <v>0</v>
      </c>
    </row>
    <row r="44" spans="2:23" x14ac:dyDescent="0.3">
      <c r="B44" s="181">
        <f t="shared" si="11"/>
        <v>21</v>
      </c>
      <c r="C44" s="180">
        <f t="shared" si="17"/>
        <v>30.4</v>
      </c>
      <c r="D44" s="193">
        <f t="shared" si="13"/>
        <v>0.11</v>
      </c>
      <c r="E44" s="167"/>
      <c r="F44" s="167">
        <f t="shared" si="14"/>
        <v>0</v>
      </c>
      <c r="G44" s="166"/>
      <c r="H44" s="167">
        <f t="shared" si="15"/>
        <v>0</v>
      </c>
      <c r="I44" s="167">
        <f t="shared" si="12"/>
        <v>0</v>
      </c>
      <c r="J44" s="167">
        <f>IF(C44="","",IF(F44=0,0,IF(C44&lt;='Tabla Parámetros'!$J$23,I44,IF($E$2='Tabla Parámetros'!$J$19,(($H$2/1000*'Tabla Parámetros'!$K$19)/30.4*C44)*1.0212,IF($E$2='Tabla Parámetros'!$J$20,($H$2/1000*'Tabla Parámetros'!$K$20)/30.4*C44)*1.0201))))+N44+O44</f>
        <v>0</v>
      </c>
      <c r="K44" s="167">
        <f t="shared" si="3"/>
        <v>0</v>
      </c>
      <c r="L44" s="167">
        <f t="shared" si="16"/>
        <v>0</v>
      </c>
      <c r="M44" s="167">
        <f>IF(B44="","",IF(F44=0,0,IF(Simulador!$F$11='Tabla Parámetros'!$W$1,'Tabla Parámetros'!$W$28,IF(Simulador!$F$11='Tabla Parámetros'!$Y$1,'Tabla Parámetros'!$Y$12))))</f>
        <v>0</v>
      </c>
      <c r="N44" s="167">
        <f>IF(F44=0,0,IF(F44="","",IF(Simulador!$N$7='Tabla Parámetros'!$C$31,AportPat!L24,0)))</f>
        <v>0</v>
      </c>
      <c r="O44" s="167">
        <f>Simulador!O412</f>
        <v>0</v>
      </c>
      <c r="P44" s="167">
        <f t="shared" si="10"/>
        <v>0</v>
      </c>
      <c r="Q44" s="167">
        <f t="shared" si="18"/>
        <v>0</v>
      </c>
      <c r="T44" s="6"/>
      <c r="U44" s="6"/>
      <c r="V44" s="6"/>
      <c r="W44" s="29">
        <f t="shared" si="0"/>
        <v>0</v>
      </c>
    </row>
    <row r="45" spans="2:23" x14ac:dyDescent="0.3">
      <c r="B45" s="181">
        <f t="shared" si="11"/>
        <v>22</v>
      </c>
      <c r="C45" s="180">
        <f t="shared" si="17"/>
        <v>30.4</v>
      </c>
      <c r="D45" s="193">
        <f t="shared" si="13"/>
        <v>0.11</v>
      </c>
      <c r="E45" s="167"/>
      <c r="F45" s="167">
        <f t="shared" si="14"/>
        <v>0</v>
      </c>
      <c r="G45" s="166"/>
      <c r="H45" s="167">
        <f t="shared" si="15"/>
        <v>0</v>
      </c>
      <c r="I45" s="167">
        <f t="shared" si="12"/>
        <v>0</v>
      </c>
      <c r="J45" s="167">
        <f>IF(C45="","",IF(F45=0,0,IF(C45&lt;='Tabla Parámetros'!$J$23,I45,IF($E$2='Tabla Parámetros'!$J$19,(($H$2/1000*'Tabla Parámetros'!$K$19)/30.4*C45)*1.0212,IF($E$2='Tabla Parámetros'!$J$20,($H$2/1000*'Tabla Parámetros'!$K$20)/30.4*C45)*1.0201))))+N45+O45</f>
        <v>0</v>
      </c>
      <c r="K45" s="167">
        <f t="shared" si="3"/>
        <v>0</v>
      </c>
      <c r="L45" s="167">
        <f t="shared" si="16"/>
        <v>0</v>
      </c>
      <c r="M45" s="167">
        <f>IF(B45="","",IF(F45=0,0,IF(Simulador!$F$11='Tabla Parámetros'!$W$1,'Tabla Parámetros'!$W$28,IF(Simulador!$F$11='Tabla Parámetros'!$Y$1,'Tabla Parámetros'!$Y$12))))</f>
        <v>0</v>
      </c>
      <c r="N45" s="167">
        <f>IF(F45=0,0,IF(F45="","",IF(Simulador!$N$7='Tabla Parámetros'!$C$31,AportPat!L25,0)))</f>
        <v>0</v>
      </c>
      <c r="O45" s="167">
        <f>Simulador!O413</f>
        <v>0</v>
      </c>
      <c r="P45" s="167">
        <f t="shared" si="10"/>
        <v>0</v>
      </c>
      <c r="Q45" s="167">
        <f t="shared" si="18"/>
        <v>0</v>
      </c>
      <c r="T45" s="6"/>
      <c r="U45" s="6"/>
      <c r="V45" s="6"/>
      <c r="W45" s="29">
        <f t="shared" si="0"/>
        <v>0</v>
      </c>
    </row>
    <row r="46" spans="2:23" x14ac:dyDescent="0.3">
      <c r="B46" s="181">
        <f t="shared" si="11"/>
        <v>23</v>
      </c>
      <c r="C46" s="180">
        <f t="shared" si="17"/>
        <v>30.4</v>
      </c>
      <c r="D46" s="193">
        <f t="shared" si="13"/>
        <v>0.11</v>
      </c>
      <c r="E46" s="167"/>
      <c r="F46" s="167">
        <f t="shared" si="14"/>
        <v>0</v>
      </c>
      <c r="G46" s="166"/>
      <c r="H46" s="167">
        <f t="shared" si="15"/>
        <v>0</v>
      </c>
      <c r="I46" s="167">
        <f t="shared" si="12"/>
        <v>0</v>
      </c>
      <c r="J46" s="167">
        <f>IF(C46="","",IF(F46=0,0,IF(C46&lt;='Tabla Parámetros'!$J$23,I46,IF($E$2='Tabla Parámetros'!$J$19,(($H$2/1000*'Tabla Parámetros'!$K$19)/30.4*C46)*1.0212,IF($E$2='Tabla Parámetros'!$J$20,($H$2/1000*'Tabla Parámetros'!$K$20)/30.4*C46)*1.0201))))+N46+O46</f>
        <v>0</v>
      </c>
      <c r="K46" s="167">
        <f t="shared" si="3"/>
        <v>0</v>
      </c>
      <c r="L46" s="167">
        <f t="shared" si="16"/>
        <v>0</v>
      </c>
      <c r="M46" s="167">
        <f>IF(B46="","",IF(F46=0,0,IF(Simulador!$F$11='Tabla Parámetros'!$W$1,'Tabla Parámetros'!$W$28,IF(Simulador!$F$11='Tabla Parámetros'!$Y$1,'Tabla Parámetros'!$Y$12))))</f>
        <v>0</v>
      </c>
      <c r="N46" s="167">
        <f>IF(F46=0,0,IF(F46="","",IF(Simulador!$N$7='Tabla Parámetros'!$C$31,AportPat!L26,0)))</f>
        <v>0</v>
      </c>
      <c r="O46" s="167">
        <f>Simulador!O414</f>
        <v>0</v>
      </c>
      <c r="P46" s="167">
        <f t="shared" si="10"/>
        <v>0</v>
      </c>
      <c r="Q46" s="167">
        <f t="shared" si="18"/>
        <v>0</v>
      </c>
      <c r="T46" s="6"/>
      <c r="U46" s="6"/>
      <c r="V46" s="6"/>
      <c r="W46" s="29">
        <f t="shared" si="0"/>
        <v>0</v>
      </c>
    </row>
    <row r="47" spans="2:23" x14ac:dyDescent="0.3">
      <c r="B47" s="181">
        <f t="shared" si="11"/>
        <v>24</v>
      </c>
      <c r="C47" s="180">
        <f t="shared" si="17"/>
        <v>30.4</v>
      </c>
      <c r="D47" s="193">
        <f t="shared" si="13"/>
        <v>0.11</v>
      </c>
      <c r="E47" s="167"/>
      <c r="F47" s="167">
        <f t="shared" si="14"/>
        <v>0</v>
      </c>
      <c r="G47" s="166"/>
      <c r="H47" s="167">
        <f t="shared" si="15"/>
        <v>0</v>
      </c>
      <c r="I47" s="167">
        <f t="shared" si="12"/>
        <v>0</v>
      </c>
      <c r="J47" s="167">
        <f>IF(C47="","",IF(F47=0,0,IF(C47&lt;='Tabla Parámetros'!$J$23,I47,IF($E$2='Tabla Parámetros'!$J$19,(($H$2/1000*'Tabla Parámetros'!$K$19)/30.4*C47)*1.0212,IF($E$2='Tabla Parámetros'!$J$20,($H$2/1000*'Tabla Parámetros'!$K$20)/30.4*C47)*1.0201))))+N47+O47</f>
        <v>0</v>
      </c>
      <c r="K47" s="167">
        <f t="shared" si="3"/>
        <v>0</v>
      </c>
      <c r="L47" s="167">
        <f t="shared" si="16"/>
        <v>0</v>
      </c>
      <c r="M47" s="167">
        <f>IF(B47="","",IF(F47=0,0,IF(Simulador!$F$11='Tabla Parámetros'!$W$1,'Tabla Parámetros'!$W$28,IF(Simulador!$F$11='Tabla Parámetros'!$Y$1,'Tabla Parámetros'!$Y$12))))</f>
        <v>0</v>
      </c>
      <c r="N47" s="167">
        <f>IF(F47=0,0,IF(F47="","",IF(Simulador!$N$7='Tabla Parámetros'!$C$31,AportPat!L27,0)))</f>
        <v>0</v>
      </c>
      <c r="O47" s="167">
        <f>Simulador!O415</f>
        <v>0</v>
      </c>
      <c r="P47" s="167">
        <f t="shared" si="10"/>
        <v>0</v>
      </c>
      <c r="Q47" s="167">
        <f t="shared" si="18"/>
        <v>0</v>
      </c>
      <c r="T47" s="6"/>
      <c r="U47" s="6"/>
      <c r="V47" s="6"/>
      <c r="W47" s="29">
        <f t="shared" si="0"/>
        <v>0</v>
      </c>
    </row>
    <row r="48" spans="2:23" x14ac:dyDescent="0.3">
      <c r="B48" s="181">
        <f t="shared" si="11"/>
        <v>25</v>
      </c>
      <c r="C48" s="180">
        <f t="shared" si="17"/>
        <v>30.4</v>
      </c>
      <c r="D48" s="193">
        <f t="shared" si="13"/>
        <v>0.11</v>
      </c>
      <c r="E48" s="167"/>
      <c r="F48" s="167">
        <f t="shared" si="14"/>
        <v>0</v>
      </c>
      <c r="G48" s="166"/>
      <c r="H48" s="167">
        <f t="shared" si="15"/>
        <v>0</v>
      </c>
      <c r="I48" s="167">
        <f t="shared" si="12"/>
        <v>0</v>
      </c>
      <c r="J48" s="167">
        <f>IF(C48="","",IF(F48=0,0,IF(C48&lt;='Tabla Parámetros'!$J$23,I48,IF($E$2='Tabla Parámetros'!$J$19,(($H$2/1000*'Tabla Parámetros'!$K$19)/30.4*C48)*1.0212,IF($E$2='Tabla Parámetros'!$J$20,($H$2/1000*'Tabla Parámetros'!$K$20)/30.4*C48)*1.0201))))+N48+O48</f>
        <v>0</v>
      </c>
      <c r="K48" s="167">
        <f t="shared" si="3"/>
        <v>0</v>
      </c>
      <c r="L48" s="167">
        <f t="shared" si="16"/>
        <v>0</v>
      </c>
      <c r="M48" s="167">
        <f>IF(B48="","",IF(F48=0,0,IF(Simulador!$F$11='Tabla Parámetros'!$W$1,'Tabla Parámetros'!$W$28,IF(Simulador!$F$11='Tabla Parámetros'!$Y$1,'Tabla Parámetros'!$Y$12))))</f>
        <v>0</v>
      </c>
      <c r="N48" s="167">
        <f>IF(F48=0,0,IF(F48="","",IF(Simulador!$N$7='Tabla Parámetros'!$C$31,AportPat!L28,0)))</f>
        <v>0</v>
      </c>
      <c r="O48" s="167">
        <f>Simulador!O416</f>
        <v>0</v>
      </c>
      <c r="P48" s="167">
        <f t="shared" si="10"/>
        <v>0</v>
      </c>
      <c r="Q48" s="167">
        <f t="shared" si="18"/>
        <v>0</v>
      </c>
      <c r="T48" s="6"/>
      <c r="U48" s="6"/>
      <c r="V48" s="6"/>
      <c r="W48" s="29">
        <f t="shared" si="0"/>
        <v>0</v>
      </c>
    </row>
    <row r="49" spans="2:23" x14ac:dyDescent="0.3">
      <c r="B49" s="181">
        <f t="shared" si="11"/>
        <v>26</v>
      </c>
      <c r="C49" s="180">
        <f t="shared" si="17"/>
        <v>30.4</v>
      </c>
      <c r="D49" s="193">
        <f t="shared" si="13"/>
        <v>0.11</v>
      </c>
      <c r="E49" s="167"/>
      <c r="F49" s="167">
        <f t="shared" si="14"/>
        <v>0</v>
      </c>
      <c r="G49" s="166"/>
      <c r="H49" s="167">
        <f t="shared" si="15"/>
        <v>0</v>
      </c>
      <c r="I49" s="167">
        <f t="shared" si="12"/>
        <v>0</v>
      </c>
      <c r="J49" s="167">
        <f>IF(C49="","",IF(F49=0,0,IF(C49&lt;='Tabla Parámetros'!$J$23,I49,IF($E$2='Tabla Parámetros'!$J$19,((($H$2/1000*'Tabla Parámetros'!$K$19)/30.4*C49*1.0212)*1.0212),IF($E$2='Tabla Parámetros'!$J$20,($H$2/1000*'Tabla Parámetros'!$K$20)/30.4*C49)*1.0201)*1.0201)))+N49+O49</f>
        <v>0</v>
      </c>
      <c r="K49" s="167">
        <f t="shared" si="3"/>
        <v>0</v>
      </c>
      <c r="L49" s="167">
        <f t="shared" si="16"/>
        <v>0</v>
      </c>
      <c r="M49" s="167">
        <f>IF(B49="","",IF(F49=0,0,IF(Simulador!$F$11='Tabla Parámetros'!$W$1,'Tabla Parámetros'!$W$28,IF(Simulador!$F$11='Tabla Parámetros'!$Y$1,'Tabla Parámetros'!$Y$12))))</f>
        <v>0</v>
      </c>
      <c r="N49" s="167">
        <f>IF(F49=0,0,IF(F49="","",IF(Simulador!$N$7='Tabla Parámetros'!$C$31,AportPat!L29,0)))</f>
        <v>0</v>
      </c>
      <c r="O49" s="167">
        <f>Simulador!O417</f>
        <v>0</v>
      </c>
      <c r="P49" s="167">
        <f t="shared" si="10"/>
        <v>0</v>
      </c>
      <c r="Q49" s="167">
        <f t="shared" si="18"/>
        <v>0</v>
      </c>
      <c r="T49" s="6"/>
      <c r="U49" s="6"/>
      <c r="V49" s="6"/>
      <c r="W49" s="29">
        <f t="shared" si="0"/>
        <v>0</v>
      </c>
    </row>
    <row r="50" spans="2:23" x14ac:dyDescent="0.3">
      <c r="B50" s="181">
        <f t="shared" si="11"/>
        <v>27</v>
      </c>
      <c r="C50" s="180">
        <f t="shared" si="17"/>
        <v>30.4</v>
      </c>
      <c r="D50" s="193">
        <f t="shared" si="13"/>
        <v>0.11</v>
      </c>
      <c r="E50" s="167"/>
      <c r="F50" s="167">
        <f t="shared" si="14"/>
        <v>0</v>
      </c>
      <c r="G50" s="166"/>
      <c r="H50" s="167">
        <f t="shared" si="15"/>
        <v>0</v>
      </c>
      <c r="I50" s="167">
        <f t="shared" si="12"/>
        <v>0</v>
      </c>
      <c r="J50" s="167">
        <f>IF(C50="","",IF(F50=0,0,IF(C50&lt;='Tabla Parámetros'!$J$23,I50,IF($E$2='Tabla Parámetros'!$J$19,((($H$2/1000*'Tabla Parámetros'!$K$19)/30.4*C50*1.0212)*1.0212),IF($E$2='Tabla Parámetros'!$J$20,($H$2/1000*'Tabla Parámetros'!$K$20)/30.4*C50)*1.0201)*1.0201)))+N50+O50</f>
        <v>0</v>
      </c>
      <c r="K50" s="167">
        <f t="shared" si="3"/>
        <v>0</v>
      </c>
      <c r="L50" s="167">
        <f t="shared" si="16"/>
        <v>0</v>
      </c>
      <c r="M50" s="167">
        <f>IF(B50="","",IF(F50=0,0,IF(Simulador!$F$11='Tabla Parámetros'!$W$1,'Tabla Parámetros'!$W$28,IF(Simulador!$F$11='Tabla Parámetros'!$Y$1,'Tabla Parámetros'!$Y$12))))</f>
        <v>0</v>
      </c>
      <c r="N50" s="167">
        <f>IF(F50=0,0,IF(F50="","",IF(Simulador!$N$7='Tabla Parámetros'!$C$31,AportPat!L30,0)))</f>
        <v>0</v>
      </c>
      <c r="O50" s="167">
        <f>Simulador!O418</f>
        <v>0</v>
      </c>
      <c r="P50" s="167">
        <f t="shared" si="10"/>
        <v>0</v>
      </c>
      <c r="Q50" s="167">
        <f t="shared" si="18"/>
        <v>0</v>
      </c>
      <c r="T50" s="6"/>
      <c r="U50" s="6"/>
      <c r="V50" s="6"/>
      <c r="W50" s="29">
        <f t="shared" si="0"/>
        <v>0</v>
      </c>
    </row>
    <row r="51" spans="2:23" x14ac:dyDescent="0.3">
      <c r="B51" s="181">
        <f t="shared" si="11"/>
        <v>28</v>
      </c>
      <c r="C51" s="180">
        <f t="shared" si="17"/>
        <v>30.4</v>
      </c>
      <c r="D51" s="193">
        <f t="shared" si="13"/>
        <v>0.11</v>
      </c>
      <c r="E51" s="167"/>
      <c r="F51" s="167">
        <f t="shared" si="14"/>
        <v>0</v>
      </c>
      <c r="G51" s="166"/>
      <c r="H51" s="167">
        <f t="shared" si="15"/>
        <v>0</v>
      </c>
      <c r="I51" s="167">
        <f t="shared" si="12"/>
        <v>0</v>
      </c>
      <c r="J51" s="167">
        <f>IF(C51="","",IF(F51=0,0,IF(C51&lt;='Tabla Parámetros'!$J$23,I51,IF($E$2='Tabla Parámetros'!$J$19,((($H$2/1000*'Tabla Parámetros'!$K$19)/30.4*C51*1.0212)*1.0212),IF($E$2='Tabla Parámetros'!$J$20,($H$2/1000*'Tabla Parámetros'!$K$20)/30.4*C51)*1.0201)*1.0201)))+N51+O51</f>
        <v>0</v>
      </c>
      <c r="K51" s="167">
        <f t="shared" si="3"/>
        <v>0</v>
      </c>
      <c r="L51" s="167">
        <f t="shared" si="16"/>
        <v>0</v>
      </c>
      <c r="M51" s="167">
        <f>IF(B51="","",IF(F51=0,0,IF(Simulador!$F$11='Tabla Parámetros'!$W$1,'Tabla Parámetros'!$W$28,IF(Simulador!$F$11='Tabla Parámetros'!$Y$1,'Tabla Parámetros'!$Y$12))))</f>
        <v>0</v>
      </c>
      <c r="N51" s="167">
        <f>IF(F51=0,0,IF(F51="","",IF(Simulador!$N$7='Tabla Parámetros'!$C$31,AportPat!L31,0)))</f>
        <v>0</v>
      </c>
      <c r="O51" s="167">
        <f>Simulador!O419</f>
        <v>0</v>
      </c>
      <c r="P51" s="167">
        <f t="shared" si="10"/>
        <v>0</v>
      </c>
      <c r="Q51" s="167">
        <f t="shared" si="18"/>
        <v>0</v>
      </c>
      <c r="T51" s="6"/>
      <c r="U51" s="6"/>
      <c r="V51" s="6"/>
      <c r="W51" s="29">
        <f t="shared" si="0"/>
        <v>0</v>
      </c>
    </row>
    <row r="52" spans="2:23" x14ac:dyDescent="0.3">
      <c r="B52" s="181">
        <f t="shared" si="11"/>
        <v>29</v>
      </c>
      <c r="C52" s="180">
        <f t="shared" si="17"/>
        <v>30.4</v>
      </c>
      <c r="D52" s="193">
        <f t="shared" si="13"/>
        <v>0.11</v>
      </c>
      <c r="E52" s="167"/>
      <c r="F52" s="167">
        <f t="shared" si="14"/>
        <v>0</v>
      </c>
      <c r="G52" s="166"/>
      <c r="H52" s="167">
        <f t="shared" si="15"/>
        <v>0</v>
      </c>
      <c r="I52" s="167">
        <f t="shared" si="12"/>
        <v>0</v>
      </c>
      <c r="J52" s="167">
        <f>IF(C52="","",IF(F52=0,0,IF(C52&lt;='Tabla Parámetros'!$J$23,I52,IF($E$2='Tabla Parámetros'!$J$19,((($H$2/1000*'Tabla Parámetros'!$K$19)/30.4*C52*1.0212)*1.0212),IF($E$2='Tabla Parámetros'!$J$20,($H$2/1000*'Tabla Parámetros'!$K$20)/30.4*C52)*1.0201)*1.0201)))+N52+O52</f>
        <v>0</v>
      </c>
      <c r="K52" s="167">
        <f t="shared" si="3"/>
        <v>0</v>
      </c>
      <c r="L52" s="167">
        <f t="shared" si="16"/>
        <v>0</v>
      </c>
      <c r="M52" s="167">
        <f>IF(B52="","",IF(F52=0,0,IF(Simulador!$F$11='Tabla Parámetros'!$W$1,'Tabla Parámetros'!$W$28,IF(Simulador!$F$11='Tabla Parámetros'!$Y$1,'Tabla Parámetros'!$Y$12))))</f>
        <v>0</v>
      </c>
      <c r="N52" s="167">
        <f>IF(F52=0,0,IF(F52="","",IF(Simulador!$N$7='Tabla Parámetros'!$C$31,AportPat!L32,0)))</f>
        <v>0</v>
      </c>
      <c r="O52" s="167">
        <f>Simulador!O420</f>
        <v>0</v>
      </c>
      <c r="P52" s="167">
        <f t="shared" si="10"/>
        <v>0</v>
      </c>
      <c r="Q52" s="167">
        <f t="shared" si="18"/>
        <v>0</v>
      </c>
      <c r="T52" s="6"/>
      <c r="U52" s="6"/>
      <c r="V52" s="6"/>
      <c r="W52" s="29">
        <f t="shared" si="0"/>
        <v>0</v>
      </c>
    </row>
    <row r="53" spans="2:23" x14ac:dyDescent="0.3">
      <c r="B53" s="181">
        <f t="shared" si="11"/>
        <v>30</v>
      </c>
      <c r="C53" s="180">
        <f t="shared" si="17"/>
        <v>30.4</v>
      </c>
      <c r="D53" s="193">
        <f t="shared" si="13"/>
        <v>0.11</v>
      </c>
      <c r="E53" s="167"/>
      <c r="F53" s="167">
        <f t="shared" si="14"/>
        <v>0</v>
      </c>
      <c r="G53" s="166"/>
      <c r="H53" s="167">
        <f t="shared" si="15"/>
        <v>0</v>
      </c>
      <c r="I53" s="167">
        <f t="shared" si="12"/>
        <v>0</v>
      </c>
      <c r="J53" s="167">
        <f>IF(C53="","",IF(F53=0,0,IF(C53&lt;='Tabla Parámetros'!$J$23,I53,IF($E$2='Tabla Parámetros'!$J$19,((($H$2/1000*'Tabla Parámetros'!$K$19)/30.4*C53*1.0212)*1.0212),IF($E$2='Tabla Parámetros'!$J$20,($H$2/1000*'Tabla Parámetros'!$K$20)/30.4*C53)*1.0201)*1.0201)))+N53+O53</f>
        <v>0</v>
      </c>
      <c r="K53" s="167">
        <f t="shared" si="3"/>
        <v>0</v>
      </c>
      <c r="L53" s="167">
        <f t="shared" si="16"/>
        <v>0</v>
      </c>
      <c r="M53" s="167">
        <f>IF(B53="","",IF(F53=0,0,IF(Simulador!$F$11='Tabla Parámetros'!$W$1,'Tabla Parámetros'!$W$28,IF(Simulador!$F$11='Tabla Parámetros'!$Y$1,'Tabla Parámetros'!$Y$12))))</f>
        <v>0</v>
      </c>
      <c r="N53" s="167">
        <f>IF(F53=0,0,IF(F53="","",IF(Simulador!$N$7='Tabla Parámetros'!$C$31,AportPat!L33,0)))</f>
        <v>0</v>
      </c>
      <c r="O53" s="167">
        <f>Simulador!O421</f>
        <v>0</v>
      </c>
      <c r="P53" s="167">
        <f t="shared" si="10"/>
        <v>0</v>
      </c>
      <c r="Q53" s="167">
        <f t="shared" si="18"/>
        <v>0</v>
      </c>
      <c r="T53" s="6"/>
      <c r="U53" s="6"/>
      <c r="V53" s="6"/>
      <c r="W53" s="29">
        <f t="shared" si="0"/>
        <v>0</v>
      </c>
    </row>
    <row r="54" spans="2:23" x14ac:dyDescent="0.3">
      <c r="B54" s="181">
        <f t="shared" si="11"/>
        <v>31</v>
      </c>
      <c r="C54" s="180">
        <f t="shared" si="17"/>
        <v>30.4</v>
      </c>
      <c r="D54" s="193">
        <f t="shared" si="13"/>
        <v>0.11</v>
      </c>
      <c r="E54" s="167"/>
      <c r="F54" s="167">
        <f t="shared" si="14"/>
        <v>0</v>
      </c>
      <c r="G54" s="166"/>
      <c r="H54" s="167">
        <f t="shared" si="15"/>
        <v>0</v>
      </c>
      <c r="I54" s="167">
        <f t="shared" si="12"/>
        <v>0</v>
      </c>
      <c r="J54" s="167">
        <f>IF(C54="","",IF(F54=0,0,IF(C54&lt;='Tabla Parámetros'!$J$23,I54,IF($E$2='Tabla Parámetros'!$J$19,((($H$2/1000*'Tabla Parámetros'!$K$19)/30.4*C54*1.0212)*1.0212),IF($E$2='Tabla Parámetros'!$J$20,($H$2/1000*'Tabla Parámetros'!$K$20)/30.4*C54)*1.0201)*1.0201)))+N54+O54</f>
        <v>0</v>
      </c>
      <c r="K54" s="167">
        <f t="shared" si="3"/>
        <v>0</v>
      </c>
      <c r="L54" s="167">
        <f t="shared" si="16"/>
        <v>0</v>
      </c>
      <c r="M54" s="167">
        <f>IF(B54="","",IF(F54=0,0,IF(Simulador!$F$11='Tabla Parámetros'!$W$1,'Tabla Parámetros'!$W$28,IF(Simulador!$F$11='Tabla Parámetros'!$Y$1,'Tabla Parámetros'!$Y$12))))</f>
        <v>0</v>
      </c>
      <c r="N54" s="167">
        <f>IF(F54=0,0,IF(F54="","",IF(Simulador!$N$7='Tabla Parámetros'!$C$31,AportPat!L34,0)))</f>
        <v>0</v>
      </c>
      <c r="O54" s="167">
        <f>Simulador!O422</f>
        <v>0</v>
      </c>
      <c r="P54" s="167">
        <f t="shared" si="10"/>
        <v>0</v>
      </c>
      <c r="Q54" s="167">
        <f t="shared" si="18"/>
        <v>0</v>
      </c>
      <c r="T54" s="6"/>
      <c r="U54" s="6"/>
      <c r="V54" s="6"/>
      <c r="W54" s="29">
        <f t="shared" si="0"/>
        <v>0</v>
      </c>
    </row>
    <row r="55" spans="2:23" x14ac:dyDescent="0.3">
      <c r="B55" s="181">
        <f t="shared" si="11"/>
        <v>32</v>
      </c>
      <c r="C55" s="180">
        <f t="shared" si="17"/>
        <v>30.4</v>
      </c>
      <c r="D55" s="193">
        <f t="shared" si="13"/>
        <v>0.11</v>
      </c>
      <c r="E55" s="167"/>
      <c r="F55" s="167">
        <f t="shared" si="14"/>
        <v>0</v>
      </c>
      <c r="G55" s="166"/>
      <c r="H55" s="167">
        <f t="shared" si="15"/>
        <v>0</v>
      </c>
      <c r="I55" s="167">
        <f t="shared" si="12"/>
        <v>0</v>
      </c>
      <c r="J55" s="167">
        <f>IF(C55="","",IF(F55=0,0,IF(C55&lt;='Tabla Parámetros'!$J$23,I55,IF($E$2='Tabla Parámetros'!$J$19,((($H$2/1000*'Tabla Parámetros'!$K$19)/30.4*C55*1.0212)*1.0212),IF($E$2='Tabla Parámetros'!$J$20,($H$2/1000*'Tabla Parámetros'!$K$20)/30.4*C55)*1.0201)*1.0201)))+N55+O55</f>
        <v>0</v>
      </c>
      <c r="K55" s="167">
        <f t="shared" si="3"/>
        <v>0</v>
      </c>
      <c r="L55" s="167">
        <f t="shared" si="16"/>
        <v>0</v>
      </c>
      <c r="M55" s="167">
        <f>IF(B55="","",IF(F55=0,0,IF(Simulador!$F$11='Tabla Parámetros'!$W$1,'Tabla Parámetros'!$W$28,IF(Simulador!$F$11='Tabla Parámetros'!$Y$1,'Tabla Parámetros'!$Y$12))))</f>
        <v>0</v>
      </c>
      <c r="N55" s="167">
        <f>IF(F55=0,0,IF(F55="","",IF(Simulador!$N$7='Tabla Parámetros'!$C$31,AportPat!L35,0)))</f>
        <v>0</v>
      </c>
      <c r="O55" s="167">
        <f>Simulador!O423</f>
        <v>0</v>
      </c>
      <c r="P55" s="167">
        <f t="shared" si="10"/>
        <v>0</v>
      </c>
      <c r="Q55" s="167">
        <f t="shared" si="18"/>
        <v>0</v>
      </c>
      <c r="T55" s="6"/>
      <c r="U55" s="6"/>
      <c r="V55" s="6"/>
      <c r="W55" s="29">
        <f t="shared" si="0"/>
        <v>0</v>
      </c>
    </row>
    <row r="56" spans="2:23" x14ac:dyDescent="0.3">
      <c r="B56" s="181">
        <f t="shared" si="11"/>
        <v>33</v>
      </c>
      <c r="C56" s="180">
        <f t="shared" si="17"/>
        <v>30.4</v>
      </c>
      <c r="D56" s="193">
        <f t="shared" si="13"/>
        <v>0.11</v>
      </c>
      <c r="E56" s="167"/>
      <c r="F56" s="167">
        <f t="shared" si="14"/>
        <v>0</v>
      </c>
      <c r="G56" s="166"/>
      <c r="H56" s="167">
        <f t="shared" si="15"/>
        <v>0</v>
      </c>
      <c r="I56" s="167">
        <f t="shared" si="12"/>
        <v>0</v>
      </c>
      <c r="J56" s="167">
        <f>IF(C56="","",IF(F56=0,0,IF(C56&lt;='Tabla Parámetros'!$J$23,I56,IF($E$2='Tabla Parámetros'!$J$19,((($H$2/1000*'Tabla Parámetros'!$K$19)/30.4*C56*1.0212)*1.0212),IF($E$2='Tabla Parámetros'!$J$20,($H$2/1000*'Tabla Parámetros'!$K$20)/30.4*C56)*1.0201)*1.0201)))+N56+O56</f>
        <v>0</v>
      </c>
      <c r="K56" s="167">
        <f t="shared" si="3"/>
        <v>0</v>
      </c>
      <c r="L56" s="167">
        <f t="shared" si="16"/>
        <v>0</v>
      </c>
      <c r="M56" s="167">
        <f>IF(B56="","",IF(F56=0,0,IF(Simulador!$F$11='Tabla Parámetros'!$W$1,'Tabla Parámetros'!$W$28,IF(Simulador!$F$11='Tabla Parámetros'!$Y$1,'Tabla Parámetros'!$Y$12))))</f>
        <v>0</v>
      </c>
      <c r="N56" s="167">
        <f>IF(F56=0,0,IF(F56="","",IF(Simulador!$N$7='Tabla Parámetros'!$C$31,AportPat!L36,0)))</f>
        <v>0</v>
      </c>
      <c r="O56" s="167">
        <f>Simulador!O424</f>
        <v>0</v>
      </c>
      <c r="P56" s="167">
        <f t="shared" si="10"/>
        <v>0</v>
      </c>
      <c r="Q56" s="167">
        <f t="shared" si="18"/>
        <v>0</v>
      </c>
      <c r="T56" s="6"/>
      <c r="U56" s="6"/>
      <c r="V56" s="6"/>
      <c r="W56" s="29">
        <f t="shared" si="0"/>
        <v>0</v>
      </c>
    </row>
    <row r="57" spans="2:23" x14ac:dyDescent="0.3">
      <c r="B57" s="181">
        <f t="shared" si="11"/>
        <v>34</v>
      </c>
      <c r="C57" s="180">
        <f t="shared" si="17"/>
        <v>30.4</v>
      </c>
      <c r="D57" s="193">
        <f t="shared" si="13"/>
        <v>0.11</v>
      </c>
      <c r="E57" s="167"/>
      <c r="F57" s="167">
        <f t="shared" si="14"/>
        <v>0</v>
      </c>
      <c r="G57" s="166"/>
      <c r="H57" s="167">
        <f t="shared" si="15"/>
        <v>0</v>
      </c>
      <c r="I57" s="167">
        <f t="shared" si="12"/>
        <v>0</v>
      </c>
      <c r="J57" s="167">
        <f>IF(C57="","",IF(F57=0,0,IF(C57&lt;='Tabla Parámetros'!$J$23,I57,IF($E$2='Tabla Parámetros'!$J$19,((($H$2/1000*'Tabla Parámetros'!$K$19)/30.4*C57*1.0212)*1.0212),IF($E$2='Tabla Parámetros'!$J$20,($H$2/1000*'Tabla Parámetros'!$K$20)/30.4*C57)*1.0201)*1.0201)))+N57+O57</f>
        <v>0</v>
      </c>
      <c r="K57" s="167">
        <f t="shared" si="3"/>
        <v>0</v>
      </c>
      <c r="L57" s="167">
        <f t="shared" si="16"/>
        <v>0</v>
      </c>
      <c r="M57" s="167">
        <f>IF(B57="","",IF(F57=0,0,IF(Simulador!$F$11='Tabla Parámetros'!$W$1,'Tabla Parámetros'!$W$28,IF(Simulador!$F$11='Tabla Parámetros'!$Y$1,'Tabla Parámetros'!$Y$12))))</f>
        <v>0</v>
      </c>
      <c r="N57" s="167">
        <f>IF(F57=0,0,IF(F57="","",IF(Simulador!$N$7='Tabla Parámetros'!$C$31,AportPat!L37,0)))</f>
        <v>0</v>
      </c>
      <c r="O57" s="167">
        <f>Simulador!O425</f>
        <v>0</v>
      </c>
      <c r="P57" s="167">
        <f t="shared" si="10"/>
        <v>0</v>
      </c>
      <c r="Q57" s="167">
        <f t="shared" si="18"/>
        <v>0</v>
      </c>
      <c r="T57" s="6"/>
      <c r="U57" s="6"/>
      <c r="V57" s="6"/>
      <c r="W57" s="29">
        <f t="shared" si="0"/>
        <v>0</v>
      </c>
    </row>
    <row r="58" spans="2:23" x14ac:dyDescent="0.3">
      <c r="B58" s="181">
        <f t="shared" si="11"/>
        <v>35</v>
      </c>
      <c r="C58" s="180">
        <f t="shared" si="17"/>
        <v>30.4</v>
      </c>
      <c r="D58" s="193">
        <f t="shared" si="13"/>
        <v>0.11</v>
      </c>
      <c r="E58" s="167"/>
      <c r="F58" s="167">
        <f t="shared" si="14"/>
        <v>0</v>
      </c>
      <c r="G58" s="166"/>
      <c r="H58" s="167">
        <f t="shared" si="15"/>
        <v>0</v>
      </c>
      <c r="I58" s="167">
        <f t="shared" si="12"/>
        <v>0</v>
      </c>
      <c r="J58" s="167">
        <f>IF(C58="","",IF(F58=0,0,IF(C58&lt;='Tabla Parámetros'!$J$23,I58,IF($E$2='Tabla Parámetros'!$J$19,((($H$2/1000*'Tabla Parámetros'!$K$19)/30.4*C58*1.0212)*1.0212),IF($E$2='Tabla Parámetros'!$J$20,($H$2/1000*'Tabla Parámetros'!$K$20)/30.4*C58)*1.0201)*1.0201)))+N58+O58</f>
        <v>0</v>
      </c>
      <c r="K58" s="167">
        <f t="shared" si="3"/>
        <v>0</v>
      </c>
      <c r="L58" s="167">
        <f t="shared" si="16"/>
        <v>0</v>
      </c>
      <c r="M58" s="167">
        <f>IF(B58="","",IF(F58=0,0,IF(Simulador!$F$11='Tabla Parámetros'!$W$1,'Tabla Parámetros'!$W$28,IF(Simulador!$F$11='Tabla Parámetros'!$Y$1,'Tabla Parámetros'!$Y$12))))</f>
        <v>0</v>
      </c>
      <c r="N58" s="167">
        <f>IF(F58=0,0,IF(F58="","",IF(Simulador!$N$7='Tabla Parámetros'!$C$31,AportPat!L38,0)))</f>
        <v>0</v>
      </c>
      <c r="O58" s="167">
        <f>Simulador!O426</f>
        <v>0</v>
      </c>
      <c r="P58" s="167">
        <f t="shared" si="10"/>
        <v>0</v>
      </c>
      <c r="Q58" s="167">
        <f t="shared" si="18"/>
        <v>0</v>
      </c>
      <c r="T58" s="6"/>
      <c r="U58" s="6"/>
      <c r="V58" s="6"/>
      <c r="W58" s="29">
        <f t="shared" si="0"/>
        <v>0</v>
      </c>
    </row>
    <row r="59" spans="2:23" x14ac:dyDescent="0.3">
      <c r="B59" s="181">
        <f t="shared" si="11"/>
        <v>36</v>
      </c>
      <c r="C59" s="180">
        <f t="shared" si="17"/>
        <v>30.4</v>
      </c>
      <c r="D59" s="193">
        <f t="shared" si="13"/>
        <v>0.11</v>
      </c>
      <c r="E59" s="167"/>
      <c r="F59" s="167">
        <f t="shared" si="14"/>
        <v>0</v>
      </c>
      <c r="G59" s="166"/>
      <c r="H59" s="167">
        <f t="shared" si="15"/>
        <v>0</v>
      </c>
      <c r="I59" s="167">
        <f t="shared" si="12"/>
        <v>0</v>
      </c>
      <c r="J59" s="167">
        <f>IF(C59="","",IF(F59=0,0,IF(C59&lt;='Tabla Parámetros'!$J$23,I59,IF($E$2='Tabla Parámetros'!$J$19,((($H$2/1000*'Tabla Parámetros'!$K$19)/30.4*C59*1.0212)*1.0212),IF($E$2='Tabla Parámetros'!$J$20,($H$2/1000*'Tabla Parámetros'!$K$20)/30.4*C59)*1.0201)*1.0201)))+N59+O59</f>
        <v>0</v>
      </c>
      <c r="K59" s="167">
        <f t="shared" si="3"/>
        <v>0</v>
      </c>
      <c r="L59" s="167">
        <f t="shared" si="16"/>
        <v>0</v>
      </c>
      <c r="M59" s="167">
        <f>IF(B59="","",IF(F59=0,0,IF(Simulador!$F$11='Tabla Parámetros'!$W$1,'Tabla Parámetros'!$W$28,IF(Simulador!$F$11='Tabla Parámetros'!$Y$1,'Tabla Parámetros'!$Y$12))))</f>
        <v>0</v>
      </c>
      <c r="N59" s="167">
        <f>IF(F59=0,0,IF(F59="","",IF(Simulador!$N$7='Tabla Parámetros'!$C$31,AportPat!L39,0)))</f>
        <v>0</v>
      </c>
      <c r="O59" s="167">
        <f>Simulador!O427</f>
        <v>0</v>
      </c>
      <c r="P59" s="167">
        <f t="shared" si="10"/>
        <v>0</v>
      </c>
      <c r="Q59" s="167">
        <f t="shared" si="18"/>
        <v>0</v>
      </c>
      <c r="T59" s="6"/>
      <c r="U59" s="6"/>
      <c r="V59" s="6"/>
      <c r="W59" s="29">
        <f t="shared" si="0"/>
        <v>0</v>
      </c>
    </row>
    <row r="60" spans="2:23" x14ac:dyDescent="0.3">
      <c r="B60" s="181">
        <f t="shared" si="11"/>
        <v>37</v>
      </c>
      <c r="C60" s="180">
        <f t="shared" si="17"/>
        <v>30.4</v>
      </c>
      <c r="D60" s="193">
        <f t="shared" si="13"/>
        <v>0.11</v>
      </c>
      <c r="E60" s="167"/>
      <c r="F60" s="167">
        <f t="shared" si="14"/>
        <v>0</v>
      </c>
      <c r="G60" s="166"/>
      <c r="H60" s="167">
        <f t="shared" si="15"/>
        <v>0</v>
      </c>
      <c r="I60" s="167">
        <f t="shared" si="12"/>
        <v>0</v>
      </c>
      <c r="J60" s="167">
        <f>IF(C60="","",IF(F60=0,0,IF(C60&lt;='Tabla Parámetros'!$J$23,I60,IF($E$2='Tabla Parámetros'!$J$19,((($H$2/1000*'Tabla Parámetros'!$K$19)/30.4*C60*1.0212)*1.0212),IF($E$2='Tabla Parámetros'!$J$20,($H$2/1000*'Tabla Parámetros'!$K$20)/30.4*C60)*1.0201)*1.0201)))+N60+O60</f>
        <v>0</v>
      </c>
      <c r="K60" s="167">
        <f t="shared" si="3"/>
        <v>0</v>
      </c>
      <c r="L60" s="167">
        <f t="shared" si="16"/>
        <v>0</v>
      </c>
      <c r="M60" s="167">
        <f>IF(B60="","",IF(F60=0,0,IF(Simulador!$F$11='Tabla Parámetros'!$W$1,'Tabla Parámetros'!$W$28,IF(Simulador!$F$11='Tabla Parámetros'!$Y$1,'Tabla Parámetros'!$Y$12))))</f>
        <v>0</v>
      </c>
      <c r="N60" s="167">
        <f>IF(F60=0,0,IF(F60="","",IF(Simulador!$N$7='Tabla Parámetros'!$C$31,AportPat!L40,0)))</f>
        <v>0</v>
      </c>
      <c r="O60" s="167">
        <f>Simulador!O428</f>
        <v>0</v>
      </c>
      <c r="P60" s="167">
        <f t="shared" si="10"/>
        <v>0</v>
      </c>
      <c r="Q60" s="167">
        <f t="shared" si="18"/>
        <v>0</v>
      </c>
      <c r="T60" s="6"/>
      <c r="U60" s="6"/>
      <c r="V60" s="6"/>
      <c r="W60" s="29">
        <f t="shared" si="0"/>
        <v>0</v>
      </c>
    </row>
    <row r="61" spans="2:23" x14ac:dyDescent="0.3">
      <c r="B61" s="181">
        <f t="shared" si="11"/>
        <v>38</v>
      </c>
      <c r="C61" s="180">
        <f t="shared" si="17"/>
        <v>30.4</v>
      </c>
      <c r="D61" s="193">
        <f>IF(B61="","",'Tabla Parámetros'!$G$4)</f>
        <v>0.11550000000000001</v>
      </c>
      <c r="E61" s="167"/>
      <c r="F61" s="167">
        <f t="shared" si="14"/>
        <v>0</v>
      </c>
      <c r="G61" s="166"/>
      <c r="H61" s="167">
        <f t="shared" si="15"/>
        <v>0</v>
      </c>
      <c r="I61" s="167">
        <f t="shared" si="12"/>
        <v>0</v>
      </c>
      <c r="J61" s="167">
        <f>IF(C61="","",IF(F61=0,0,IF(C61&lt;='Tabla Parámetros'!$J$23,I61,IF($E$2='Tabla Parámetros'!$J$19,((($H$2/1000*'Tabla Parámetros'!$K$19)/30.4*C61)*1.0212^3),IF($E$2='Tabla Parámetros'!$J$20,($H$2/1000*'Tabla Parámetros'!$K$20)/30.4*C61)*1.0201^3)))+N61+O61)</f>
        <v>0</v>
      </c>
      <c r="K61" s="167">
        <f t="shared" si="3"/>
        <v>0</v>
      </c>
      <c r="L61" s="167">
        <f t="shared" si="16"/>
        <v>0</v>
      </c>
      <c r="M61" s="167">
        <f>IF(B61="","",IF(F61=0,0,IF(Simulador!$F$11='Tabla Parámetros'!$W$1,'Tabla Parámetros'!$W$28,IF(Simulador!$F$11='Tabla Parámetros'!$Y$1,'Tabla Parámetros'!$Y$12))))</f>
        <v>0</v>
      </c>
      <c r="N61" s="167">
        <f>IF(F61=0,0,IF(F61="","",IF(Simulador!$N$7='Tabla Parámetros'!$C$31,AportPat!L41,0)))</f>
        <v>0</v>
      </c>
      <c r="O61" s="167">
        <f>Simulador!O429</f>
        <v>0</v>
      </c>
      <c r="P61" s="167">
        <f t="shared" si="10"/>
        <v>0</v>
      </c>
      <c r="Q61" s="167">
        <f t="shared" si="18"/>
        <v>0</v>
      </c>
      <c r="T61" s="6"/>
      <c r="U61" s="6"/>
      <c r="V61" s="6"/>
      <c r="W61" s="29">
        <f t="shared" si="0"/>
        <v>0</v>
      </c>
    </row>
    <row r="62" spans="2:23" x14ac:dyDescent="0.3">
      <c r="B62" s="181">
        <f t="shared" si="11"/>
        <v>39</v>
      </c>
      <c r="C62" s="180">
        <f t="shared" si="17"/>
        <v>30.4</v>
      </c>
      <c r="D62" s="193">
        <f>IF(B62="","",'Tabla Parámetros'!$G$4)</f>
        <v>0.11550000000000001</v>
      </c>
      <c r="E62" s="167"/>
      <c r="F62" s="167">
        <f t="shared" si="14"/>
        <v>0</v>
      </c>
      <c r="G62" s="166"/>
      <c r="H62" s="167">
        <f t="shared" si="15"/>
        <v>0</v>
      </c>
      <c r="I62" s="167">
        <f t="shared" si="12"/>
        <v>0</v>
      </c>
      <c r="J62" s="167">
        <f>IF(C62="","",IF(F62=0,0,IF(C62&lt;='Tabla Parámetros'!$J$23,I62,IF($E$2='Tabla Parámetros'!$J$19,((($H$2/1000*'Tabla Parámetros'!$K$19)/30.4*C62)*1.0212^3),IF($E$2='Tabla Parámetros'!$J$20,($H$2/1000*'Tabla Parámetros'!$K$20)/30.4*C62)*1.0201^3)))+N62+O62)</f>
        <v>0</v>
      </c>
      <c r="K62" s="167">
        <f t="shared" si="3"/>
        <v>0</v>
      </c>
      <c r="L62" s="167">
        <f t="shared" si="16"/>
        <v>0</v>
      </c>
      <c r="M62" s="167">
        <f>IF(B62="","",IF(F62=0,0,IF(Simulador!$F$11='Tabla Parámetros'!$W$1,'Tabla Parámetros'!$W$28,IF(Simulador!$F$11='Tabla Parámetros'!$Y$1,'Tabla Parámetros'!$Y$12))))</f>
        <v>0</v>
      </c>
      <c r="N62" s="167">
        <f>IF(F62=0,0,IF(F62="","",IF(Simulador!$N$7='Tabla Parámetros'!$C$31,AportPat!L42,0)))</f>
        <v>0</v>
      </c>
      <c r="O62" s="167">
        <f>Simulador!O430</f>
        <v>0</v>
      </c>
      <c r="P62" s="167">
        <f t="shared" si="10"/>
        <v>0</v>
      </c>
      <c r="Q62" s="167">
        <f t="shared" si="18"/>
        <v>0</v>
      </c>
      <c r="T62" s="6"/>
      <c r="U62" s="6"/>
      <c r="V62" s="6"/>
      <c r="W62" s="29">
        <f t="shared" si="0"/>
        <v>0</v>
      </c>
    </row>
    <row r="63" spans="2:23" x14ac:dyDescent="0.3">
      <c r="B63" s="181">
        <f t="shared" si="11"/>
        <v>40</v>
      </c>
      <c r="C63" s="180">
        <f t="shared" si="17"/>
        <v>30.4</v>
      </c>
      <c r="D63" s="193">
        <f>IF(B63="","",'Tabla Parámetros'!$G$4)</f>
        <v>0.11550000000000001</v>
      </c>
      <c r="E63" s="167"/>
      <c r="F63" s="167">
        <f t="shared" si="14"/>
        <v>0</v>
      </c>
      <c r="G63" s="166"/>
      <c r="H63" s="167">
        <f t="shared" si="15"/>
        <v>0</v>
      </c>
      <c r="I63" s="167">
        <f t="shared" si="12"/>
        <v>0</v>
      </c>
      <c r="J63" s="167">
        <f>IF(C63="","",IF(F63=0,0,IF(C63&lt;='Tabla Parámetros'!$J$23,I63,IF($E$2='Tabla Parámetros'!$J$19,((($H$2/1000*'Tabla Parámetros'!$K$19)/30.4*C63)*1.0212^3),IF($E$2='Tabla Parámetros'!$J$20,($H$2/1000*'Tabla Parámetros'!$K$20)/30.4*C63)*1.0201^3)))+N63+O63)</f>
        <v>0</v>
      </c>
      <c r="K63" s="167">
        <f t="shared" si="3"/>
        <v>0</v>
      </c>
      <c r="L63" s="167">
        <f t="shared" si="16"/>
        <v>0</v>
      </c>
      <c r="M63" s="167">
        <f>IF(B63="","",IF(F63=0,0,IF(Simulador!$F$11='Tabla Parámetros'!$W$1,'Tabla Parámetros'!$W$28,IF(Simulador!$F$11='Tabla Parámetros'!$Y$1,'Tabla Parámetros'!$Y$12))))</f>
        <v>0</v>
      </c>
      <c r="N63" s="167">
        <f>IF(F63=0,0,IF(F63="","",IF(Simulador!$N$7='Tabla Parámetros'!$C$31,AportPat!L43,0)))</f>
        <v>0</v>
      </c>
      <c r="O63" s="167">
        <f>Simulador!O431</f>
        <v>0</v>
      </c>
      <c r="P63" s="167">
        <f t="shared" si="10"/>
        <v>0</v>
      </c>
      <c r="Q63" s="167">
        <f t="shared" si="18"/>
        <v>0</v>
      </c>
      <c r="T63" s="6"/>
      <c r="U63" s="6"/>
      <c r="V63" s="6"/>
      <c r="W63" s="29">
        <f t="shared" si="0"/>
        <v>0</v>
      </c>
    </row>
    <row r="64" spans="2:23" x14ac:dyDescent="0.3">
      <c r="B64" s="181">
        <f t="shared" si="11"/>
        <v>41</v>
      </c>
      <c r="C64" s="180">
        <f t="shared" si="17"/>
        <v>30.4</v>
      </c>
      <c r="D64" s="193">
        <f>IF(B64="","",'Tabla Parámetros'!$G$4)</f>
        <v>0.11550000000000001</v>
      </c>
      <c r="E64" s="167"/>
      <c r="F64" s="167">
        <f t="shared" si="14"/>
        <v>0</v>
      </c>
      <c r="G64" s="166"/>
      <c r="H64" s="167">
        <f t="shared" si="15"/>
        <v>0</v>
      </c>
      <c r="I64" s="167">
        <f t="shared" si="12"/>
        <v>0</v>
      </c>
      <c r="J64" s="167">
        <f>IF(C64="","",IF(F64=0,0,IF(C64&lt;='Tabla Parámetros'!$J$23,I64,IF($E$2='Tabla Parámetros'!$J$19,((($H$2/1000*'Tabla Parámetros'!$K$19)/30.4*C64)*1.0212^3),IF($E$2='Tabla Parámetros'!$J$20,($H$2/1000*'Tabla Parámetros'!$K$20)/30.4*C64)*1.0201^3)))+N64+O64)</f>
        <v>0</v>
      </c>
      <c r="K64" s="167">
        <f t="shared" si="3"/>
        <v>0</v>
      </c>
      <c r="L64" s="167">
        <f t="shared" si="16"/>
        <v>0</v>
      </c>
      <c r="M64" s="167">
        <f>IF(B64="","",IF(F64=0,0,IF(Simulador!$F$11='Tabla Parámetros'!$W$1,'Tabla Parámetros'!$W$28,IF(Simulador!$F$11='Tabla Parámetros'!$Y$1,'Tabla Parámetros'!$Y$12))))</f>
        <v>0</v>
      </c>
      <c r="N64" s="167">
        <f>IF(F64=0,0,IF(F64="","",IF(Simulador!$N$7='Tabla Parámetros'!$C$31,AportPat!L44,0)))</f>
        <v>0</v>
      </c>
      <c r="O64" s="167">
        <f>Simulador!O432</f>
        <v>0</v>
      </c>
      <c r="P64" s="167">
        <f t="shared" si="10"/>
        <v>0</v>
      </c>
      <c r="Q64" s="167">
        <f t="shared" si="18"/>
        <v>0</v>
      </c>
      <c r="T64" s="6"/>
      <c r="U64" s="6"/>
      <c r="V64" s="6"/>
      <c r="W64" s="29">
        <f t="shared" si="0"/>
        <v>0</v>
      </c>
    </row>
    <row r="65" spans="2:23" x14ac:dyDescent="0.3">
      <c r="B65" s="181">
        <f t="shared" si="11"/>
        <v>42</v>
      </c>
      <c r="C65" s="180">
        <f t="shared" si="17"/>
        <v>30.4</v>
      </c>
      <c r="D65" s="193">
        <f>IF(B65="","",'Tabla Parámetros'!$G$4)</f>
        <v>0.11550000000000001</v>
      </c>
      <c r="E65" s="167"/>
      <c r="F65" s="167">
        <f t="shared" si="14"/>
        <v>0</v>
      </c>
      <c r="G65" s="166"/>
      <c r="H65" s="167">
        <f t="shared" si="15"/>
        <v>0</v>
      </c>
      <c r="I65" s="167">
        <f t="shared" si="12"/>
        <v>0</v>
      </c>
      <c r="J65" s="167">
        <f>IF(C65="","",IF(F65=0,0,IF(C65&lt;='Tabla Parámetros'!$J$23,I65,IF($E$2='Tabla Parámetros'!$J$19,((($H$2/1000*'Tabla Parámetros'!$K$19)/30.4*C65)*1.0212^3),IF($E$2='Tabla Parámetros'!$J$20,($H$2/1000*'Tabla Parámetros'!$K$20)/30.4*C65)*1.0201^3)))+N65+O65)</f>
        <v>0</v>
      </c>
      <c r="K65" s="167">
        <f t="shared" si="3"/>
        <v>0</v>
      </c>
      <c r="L65" s="167">
        <f t="shared" si="16"/>
        <v>0</v>
      </c>
      <c r="M65" s="167">
        <f>IF(B65="","",IF(F65=0,0,IF(Simulador!$F$11='Tabla Parámetros'!$W$1,'Tabla Parámetros'!$W$28,IF(Simulador!$F$11='Tabla Parámetros'!$Y$1,'Tabla Parámetros'!$Y$12))))</f>
        <v>0</v>
      </c>
      <c r="N65" s="167">
        <f>IF(F65=0,0,IF(F65="","",IF(Simulador!$N$7='Tabla Parámetros'!$C$31,AportPat!L45,0)))</f>
        <v>0</v>
      </c>
      <c r="O65" s="167">
        <f>Simulador!O433</f>
        <v>0</v>
      </c>
      <c r="P65" s="167">
        <f t="shared" si="10"/>
        <v>0</v>
      </c>
      <c r="Q65" s="167">
        <f t="shared" si="18"/>
        <v>0</v>
      </c>
      <c r="T65" s="6"/>
      <c r="U65" s="6"/>
      <c r="V65" s="6"/>
      <c r="W65" s="29">
        <f t="shared" si="0"/>
        <v>0</v>
      </c>
    </row>
    <row r="66" spans="2:23" x14ac:dyDescent="0.3">
      <c r="B66" s="181">
        <f t="shared" si="11"/>
        <v>43</v>
      </c>
      <c r="C66" s="180">
        <f t="shared" si="17"/>
        <v>30.4</v>
      </c>
      <c r="D66" s="193">
        <f>IF(B66="","",'Tabla Parámetros'!$G$4)</f>
        <v>0.11550000000000001</v>
      </c>
      <c r="E66" s="167"/>
      <c r="F66" s="167">
        <f t="shared" si="14"/>
        <v>0</v>
      </c>
      <c r="G66" s="166"/>
      <c r="H66" s="167">
        <f t="shared" si="15"/>
        <v>0</v>
      </c>
      <c r="I66" s="167">
        <f t="shared" si="12"/>
        <v>0</v>
      </c>
      <c r="J66" s="167">
        <f>IF(C66="","",IF(F66=0,0,IF(C66&lt;='Tabla Parámetros'!$J$23,I66,IF($E$2='Tabla Parámetros'!$J$19,((($H$2/1000*'Tabla Parámetros'!$K$19)/30.4*C66)*1.0212^3),IF($E$2='Tabla Parámetros'!$J$20,($H$2/1000*'Tabla Parámetros'!$K$20)/30.4*C66)*1.0201^3)))+N66+O66)</f>
        <v>0</v>
      </c>
      <c r="K66" s="167">
        <f t="shared" si="3"/>
        <v>0</v>
      </c>
      <c r="L66" s="167">
        <f t="shared" si="16"/>
        <v>0</v>
      </c>
      <c r="M66" s="167">
        <f>IF(B66="","",IF(F66=0,0,IF(Simulador!$F$11='Tabla Parámetros'!$W$1,'Tabla Parámetros'!$W$28,IF(Simulador!$F$11='Tabla Parámetros'!$Y$1,'Tabla Parámetros'!$Y$12))))</f>
        <v>0</v>
      </c>
      <c r="N66" s="167">
        <f>IF(F66=0,0,IF(F66="","",IF(Simulador!$N$7='Tabla Parámetros'!$C$31,AportPat!L46,0)))</f>
        <v>0</v>
      </c>
      <c r="O66" s="167">
        <f>Simulador!O434</f>
        <v>0</v>
      </c>
      <c r="P66" s="167">
        <f t="shared" si="10"/>
        <v>0</v>
      </c>
      <c r="Q66" s="167">
        <f t="shared" si="18"/>
        <v>0</v>
      </c>
      <c r="T66" s="6"/>
      <c r="U66" s="6"/>
      <c r="V66" s="6"/>
      <c r="W66" s="29">
        <f t="shared" si="0"/>
        <v>0</v>
      </c>
    </row>
    <row r="67" spans="2:23" x14ac:dyDescent="0.3">
      <c r="B67" s="181">
        <f t="shared" si="11"/>
        <v>44</v>
      </c>
      <c r="C67" s="180">
        <f t="shared" si="17"/>
        <v>30.4</v>
      </c>
      <c r="D67" s="193">
        <f>IF(B67="","",'Tabla Parámetros'!$G$4)</f>
        <v>0.11550000000000001</v>
      </c>
      <c r="E67" s="167"/>
      <c r="F67" s="167">
        <f t="shared" si="14"/>
        <v>0</v>
      </c>
      <c r="G67" s="166"/>
      <c r="H67" s="167">
        <f t="shared" si="15"/>
        <v>0</v>
      </c>
      <c r="I67" s="167">
        <f t="shared" si="12"/>
        <v>0</v>
      </c>
      <c r="J67" s="167">
        <f>IF(C67="","",IF(F67=0,0,IF(C67&lt;='Tabla Parámetros'!$J$23,I67,IF($E$2='Tabla Parámetros'!$J$19,((($H$2/1000*'Tabla Parámetros'!$K$19)/30.4*C67)*1.0212^3),IF($E$2='Tabla Parámetros'!$J$20,($H$2/1000*'Tabla Parámetros'!$K$20)/30.4*C67)*1.0201^3)))+N67+O67)</f>
        <v>0</v>
      </c>
      <c r="K67" s="167">
        <f t="shared" si="3"/>
        <v>0</v>
      </c>
      <c r="L67" s="167">
        <f t="shared" si="16"/>
        <v>0</v>
      </c>
      <c r="M67" s="167">
        <f>IF(B67="","",IF(F67=0,0,IF(Simulador!$F$11='Tabla Parámetros'!$W$1,'Tabla Parámetros'!$W$28,IF(Simulador!$F$11='Tabla Parámetros'!$Y$1,'Tabla Parámetros'!$Y$12))))</f>
        <v>0</v>
      </c>
      <c r="N67" s="167">
        <f>IF(F67=0,0,IF(F67="","",IF(Simulador!$N$7='Tabla Parámetros'!$C$31,AportPat!L47,0)))</f>
        <v>0</v>
      </c>
      <c r="O67" s="167">
        <f>Simulador!O435</f>
        <v>0</v>
      </c>
      <c r="P67" s="167">
        <f t="shared" si="10"/>
        <v>0</v>
      </c>
      <c r="Q67" s="167">
        <f t="shared" si="18"/>
        <v>0</v>
      </c>
      <c r="T67" s="6"/>
      <c r="U67" s="6"/>
      <c r="V67" s="6"/>
      <c r="W67" s="29">
        <f t="shared" si="0"/>
        <v>0</v>
      </c>
    </row>
    <row r="68" spans="2:23" x14ac:dyDescent="0.3">
      <c r="B68" s="181">
        <f t="shared" si="11"/>
        <v>45</v>
      </c>
      <c r="C68" s="180">
        <f t="shared" si="17"/>
        <v>30.4</v>
      </c>
      <c r="D68" s="193">
        <f>IF(B68="","",'Tabla Parámetros'!$G$4)</f>
        <v>0.11550000000000001</v>
      </c>
      <c r="E68" s="167"/>
      <c r="F68" s="167">
        <f t="shared" si="14"/>
        <v>0</v>
      </c>
      <c r="G68" s="166"/>
      <c r="H68" s="167">
        <f t="shared" si="15"/>
        <v>0</v>
      </c>
      <c r="I68" s="167">
        <f t="shared" si="12"/>
        <v>0</v>
      </c>
      <c r="J68" s="167">
        <f>IF(C68="","",IF(F68=0,0,IF(C68&lt;='Tabla Parámetros'!$J$23,I68,IF($E$2='Tabla Parámetros'!$J$19,((($H$2/1000*'Tabla Parámetros'!$K$19)/30.4*C68)*1.0212^3),IF($E$2='Tabla Parámetros'!$J$20,($H$2/1000*'Tabla Parámetros'!$K$20)/30.4*C68)*1.0201^3)))+N68+O68)</f>
        <v>0</v>
      </c>
      <c r="K68" s="167">
        <f t="shared" si="3"/>
        <v>0</v>
      </c>
      <c r="L68" s="167">
        <f t="shared" si="16"/>
        <v>0</v>
      </c>
      <c r="M68" s="167">
        <f>IF(B68="","",IF(F68=0,0,IF(Simulador!$F$11='Tabla Parámetros'!$W$1,'Tabla Parámetros'!$W$28,IF(Simulador!$F$11='Tabla Parámetros'!$Y$1,'Tabla Parámetros'!$Y$12))))</f>
        <v>0</v>
      </c>
      <c r="N68" s="167">
        <f>IF(F68=0,0,IF(F68="","",IF(Simulador!$N$7='Tabla Parámetros'!$C$31,AportPat!L48,0)))</f>
        <v>0</v>
      </c>
      <c r="O68" s="167">
        <f>Simulador!O436</f>
        <v>0</v>
      </c>
      <c r="P68" s="167">
        <f t="shared" si="10"/>
        <v>0</v>
      </c>
      <c r="Q68" s="167">
        <f t="shared" si="18"/>
        <v>0</v>
      </c>
      <c r="T68" s="6"/>
      <c r="U68" s="6"/>
      <c r="V68" s="6"/>
      <c r="W68" s="29">
        <f t="shared" ref="W68:W131" si="19">P70</f>
        <v>0</v>
      </c>
    </row>
    <row r="69" spans="2:23" x14ac:dyDescent="0.3">
      <c r="B69" s="181">
        <f t="shared" si="11"/>
        <v>46</v>
      </c>
      <c r="C69" s="180">
        <f t="shared" si="17"/>
        <v>30.4</v>
      </c>
      <c r="D69" s="193">
        <f>IF(B69="","",'Tabla Parámetros'!$G$4)</f>
        <v>0.11550000000000001</v>
      </c>
      <c r="E69" s="167"/>
      <c r="F69" s="167">
        <f t="shared" si="14"/>
        <v>0</v>
      </c>
      <c r="G69" s="166"/>
      <c r="H69" s="167">
        <f t="shared" si="15"/>
        <v>0</v>
      </c>
      <c r="I69" s="167">
        <f t="shared" si="12"/>
        <v>0</v>
      </c>
      <c r="J69" s="167">
        <f>IF(C69="","",IF(F69=0,0,IF(C69&lt;='Tabla Parámetros'!$J$23,I69,IF($E$2='Tabla Parámetros'!$J$19,((($H$2/1000*'Tabla Parámetros'!$K$19)/30.4*C69)*1.0212^3),IF($E$2='Tabla Parámetros'!$J$20,($H$2/1000*'Tabla Parámetros'!$K$20)/30.4*C69)*1.0201^3)))+N69+O69)</f>
        <v>0</v>
      </c>
      <c r="K69" s="167">
        <f t="shared" si="3"/>
        <v>0</v>
      </c>
      <c r="L69" s="167">
        <f t="shared" si="16"/>
        <v>0</v>
      </c>
      <c r="M69" s="167">
        <f>IF(B69="","",IF(F69=0,0,IF(Simulador!$F$11='Tabla Parámetros'!$W$1,'Tabla Parámetros'!$W$28,IF(Simulador!$F$11='Tabla Parámetros'!$Y$1,'Tabla Parámetros'!$Y$12))))</f>
        <v>0</v>
      </c>
      <c r="N69" s="167">
        <f>IF(F69=0,0,IF(F69="","",IF(Simulador!$N$7='Tabla Parámetros'!$C$31,AportPat!L49,0)))</f>
        <v>0</v>
      </c>
      <c r="O69" s="167">
        <f>Simulador!O437</f>
        <v>0</v>
      </c>
      <c r="P69" s="167">
        <f t="shared" si="10"/>
        <v>0</v>
      </c>
      <c r="Q69" s="167">
        <f t="shared" si="18"/>
        <v>0</v>
      </c>
      <c r="T69" s="6"/>
      <c r="U69" s="6"/>
      <c r="V69" s="6"/>
      <c r="W69" s="29">
        <f t="shared" si="19"/>
        <v>0</v>
      </c>
    </row>
    <row r="70" spans="2:23" x14ac:dyDescent="0.3">
      <c r="B70" s="181">
        <f t="shared" si="11"/>
        <v>47</v>
      </c>
      <c r="C70" s="180">
        <f t="shared" si="17"/>
        <v>30.4</v>
      </c>
      <c r="D70" s="193">
        <f>IF(B70="","",'Tabla Parámetros'!$G$4)</f>
        <v>0.11550000000000001</v>
      </c>
      <c r="E70" s="167"/>
      <c r="F70" s="167">
        <f t="shared" si="14"/>
        <v>0</v>
      </c>
      <c r="G70" s="166"/>
      <c r="H70" s="167">
        <f t="shared" si="15"/>
        <v>0</v>
      </c>
      <c r="I70" s="167">
        <f t="shared" si="12"/>
        <v>0</v>
      </c>
      <c r="J70" s="167">
        <f>IF(C70="","",IF(F70=0,0,IF(C70&lt;='Tabla Parámetros'!$J$23,I70,IF($E$2='Tabla Parámetros'!$J$19,((($H$2/1000*'Tabla Parámetros'!$K$19)/30.4*C70)*1.0212^3),IF($E$2='Tabla Parámetros'!$J$20,($H$2/1000*'Tabla Parámetros'!$K$20)/30.4*C70)*1.0201^3)))+N70+O70)</f>
        <v>0</v>
      </c>
      <c r="K70" s="167">
        <f t="shared" si="3"/>
        <v>0</v>
      </c>
      <c r="L70" s="167">
        <f t="shared" si="16"/>
        <v>0</v>
      </c>
      <c r="M70" s="167">
        <f>IF(B70="","",IF(F70=0,0,IF(Simulador!$F$11='Tabla Parámetros'!$W$1,'Tabla Parámetros'!$W$28,IF(Simulador!$F$11='Tabla Parámetros'!$Y$1,'Tabla Parámetros'!$Y$12))))</f>
        <v>0</v>
      </c>
      <c r="N70" s="167">
        <f>IF(F70=0,0,IF(F70="","",IF(Simulador!$N$7='Tabla Parámetros'!$C$31,AportPat!L50,0)))</f>
        <v>0</v>
      </c>
      <c r="O70" s="167">
        <f>Simulador!O438</f>
        <v>0</v>
      </c>
      <c r="P70" s="167">
        <f t="shared" si="10"/>
        <v>0</v>
      </c>
      <c r="Q70" s="167">
        <f t="shared" si="18"/>
        <v>0</v>
      </c>
      <c r="T70" s="6"/>
      <c r="U70" s="6"/>
      <c r="V70" s="6"/>
      <c r="W70" s="29">
        <f t="shared" si="19"/>
        <v>0</v>
      </c>
    </row>
    <row r="71" spans="2:23" x14ac:dyDescent="0.3">
      <c r="B71" s="181">
        <f t="shared" si="11"/>
        <v>48</v>
      </c>
      <c r="C71" s="180">
        <f t="shared" si="17"/>
        <v>30.4</v>
      </c>
      <c r="D71" s="193">
        <f>IF(B71="","",'Tabla Parámetros'!$G$4)</f>
        <v>0.11550000000000001</v>
      </c>
      <c r="E71" s="167"/>
      <c r="F71" s="167">
        <f t="shared" si="14"/>
        <v>0</v>
      </c>
      <c r="G71" s="166"/>
      <c r="H71" s="167">
        <f t="shared" si="15"/>
        <v>0</v>
      </c>
      <c r="I71" s="167">
        <f t="shared" si="12"/>
        <v>0</v>
      </c>
      <c r="J71" s="167">
        <f>IF(C71="","",IF(F71=0,0,IF(C71&lt;='Tabla Parámetros'!$J$23,I71,IF($E$2='Tabla Parámetros'!$J$19,((($H$2/1000*'Tabla Parámetros'!$K$19)/30.4*C71)*1.0212^3),IF($E$2='Tabla Parámetros'!$J$20,($H$2/1000*'Tabla Parámetros'!$K$20)/30.4*C71)*1.0201^3)))+N71+O71)</f>
        <v>0</v>
      </c>
      <c r="K71" s="167">
        <f t="shared" ref="K71:K134" si="20">F71*$I$2</f>
        <v>0</v>
      </c>
      <c r="L71" s="167">
        <f t="shared" si="16"/>
        <v>0</v>
      </c>
      <c r="M71" s="167">
        <f>IF(B71="","",IF(F71=0,0,IF(Simulador!$F$11='Tabla Parámetros'!$W$1,'Tabla Parámetros'!$W$28,IF(Simulador!$F$11='Tabla Parámetros'!$Y$1,'Tabla Parámetros'!$Y$12))))</f>
        <v>0</v>
      </c>
      <c r="N71" s="167">
        <f>IF(F71=0,0,IF(F71="","",IF(Simulador!$N$7='Tabla Parámetros'!$C$31,AportPat!L51,0)))</f>
        <v>0</v>
      </c>
      <c r="O71" s="167">
        <f>Simulador!O439</f>
        <v>0</v>
      </c>
      <c r="P71" s="167">
        <f t="shared" si="10"/>
        <v>0</v>
      </c>
      <c r="Q71" s="167">
        <f t="shared" si="18"/>
        <v>0</v>
      </c>
      <c r="T71" s="6"/>
      <c r="U71" s="6"/>
      <c r="V71" s="6"/>
      <c r="W71" s="29">
        <f t="shared" si="19"/>
        <v>0</v>
      </c>
    </row>
    <row r="72" spans="2:23" x14ac:dyDescent="0.3">
      <c r="B72" s="181">
        <f t="shared" si="11"/>
        <v>49</v>
      </c>
      <c r="C72" s="180">
        <f t="shared" si="17"/>
        <v>30.4</v>
      </c>
      <c r="D72" s="193">
        <f>IF(B72="","",'Tabla Parámetros'!$G$4)</f>
        <v>0.11550000000000001</v>
      </c>
      <c r="E72" s="167"/>
      <c r="F72" s="167">
        <f t="shared" si="14"/>
        <v>0</v>
      </c>
      <c r="G72" s="166"/>
      <c r="H72" s="167">
        <f t="shared" si="15"/>
        <v>0</v>
      </c>
      <c r="I72" s="167">
        <f t="shared" si="12"/>
        <v>0</v>
      </c>
      <c r="J72" s="167">
        <f>IF(C72="","",IF(F72=0,0,IF(C72&lt;='Tabla Parámetros'!$J$23,I72,IF($E$2='Tabla Parámetros'!$J$19,((($H$2/1000*'Tabla Parámetros'!$K$19)/30.4*C72)*1.0212^3),IF($E$2='Tabla Parámetros'!$J$20,($H$2/1000*'Tabla Parámetros'!$K$20)/30.4*C72)*1.0201^3)))+N72+O72)</f>
        <v>0</v>
      </c>
      <c r="K72" s="167">
        <f t="shared" si="20"/>
        <v>0</v>
      </c>
      <c r="L72" s="167">
        <f t="shared" si="16"/>
        <v>0</v>
      </c>
      <c r="M72" s="167">
        <f>IF(B72="","",IF(F72=0,0,IF(Simulador!$F$11='Tabla Parámetros'!$W$1,'Tabla Parámetros'!$W$28,IF(Simulador!$F$11='Tabla Parámetros'!$Y$1,'Tabla Parámetros'!$Y$12))))</f>
        <v>0</v>
      </c>
      <c r="N72" s="167">
        <f>IF(F72=0,0,IF(F72="","",IF(Simulador!$N$7='Tabla Parámetros'!$C$31,AportPat!L52,0)))</f>
        <v>0</v>
      </c>
      <c r="O72" s="167">
        <f>Simulador!O440</f>
        <v>0</v>
      </c>
      <c r="P72" s="167">
        <f t="shared" si="10"/>
        <v>0</v>
      </c>
      <c r="Q72" s="167">
        <f t="shared" si="18"/>
        <v>0</v>
      </c>
      <c r="T72" s="6"/>
      <c r="U72" s="6"/>
      <c r="V72" s="6"/>
      <c r="W72" s="29">
        <f t="shared" si="19"/>
        <v>0</v>
      </c>
    </row>
    <row r="73" spans="2:23" x14ac:dyDescent="0.3">
      <c r="B73" s="181">
        <f t="shared" si="11"/>
        <v>50</v>
      </c>
      <c r="C73" s="180">
        <f t="shared" si="17"/>
        <v>30.4</v>
      </c>
      <c r="D73" s="193">
        <f>IF(B73="","",'Tabla Parámetros'!$G$4)</f>
        <v>0.11550000000000001</v>
      </c>
      <c r="E73" s="167"/>
      <c r="F73" s="167">
        <f t="shared" si="14"/>
        <v>0</v>
      </c>
      <c r="G73" s="166"/>
      <c r="H73" s="167">
        <f t="shared" si="15"/>
        <v>0</v>
      </c>
      <c r="I73" s="167">
        <f t="shared" si="12"/>
        <v>0</v>
      </c>
      <c r="J73" s="167">
        <f>IF(C73="","",IF(F73=0,0,IF(C73&lt;='Tabla Parámetros'!$J$23,I73,IF($E$2='Tabla Parámetros'!$J$19,((($H$2/1000*'Tabla Parámetros'!$K$19)/30.4*C73)*1.0212^4),IF($E$2='Tabla Parámetros'!$J$20,($H$2/1000*'Tabla Parámetros'!$K$20)/30.4*C73)*1.0201^4)))+N73+O73)</f>
        <v>0</v>
      </c>
      <c r="K73" s="167">
        <f t="shared" si="20"/>
        <v>0</v>
      </c>
      <c r="L73" s="167">
        <f t="shared" si="16"/>
        <v>0</v>
      </c>
      <c r="M73" s="167">
        <f>IF(B73="","",IF(F73=0,0,IF(Simulador!$F$11='Tabla Parámetros'!$W$1,'Tabla Parámetros'!$W$28,IF(Simulador!$F$11='Tabla Parámetros'!$Y$1,'Tabla Parámetros'!$Y$12))))</f>
        <v>0</v>
      </c>
      <c r="N73" s="167">
        <f>IF(F73=0,0,IF(F73="","",IF(Simulador!$N$7='Tabla Parámetros'!$C$31,AportPat!L53,0)))</f>
        <v>0</v>
      </c>
      <c r="O73" s="167">
        <f>Simulador!O441</f>
        <v>0</v>
      </c>
      <c r="P73" s="167">
        <f t="shared" si="10"/>
        <v>0</v>
      </c>
      <c r="Q73" s="167">
        <f t="shared" si="18"/>
        <v>0</v>
      </c>
      <c r="T73" s="6"/>
      <c r="U73" s="6"/>
      <c r="V73" s="6"/>
      <c r="W73" s="29">
        <f t="shared" si="19"/>
        <v>0</v>
      </c>
    </row>
    <row r="74" spans="2:23" x14ac:dyDescent="0.3">
      <c r="B74" s="181">
        <f t="shared" si="11"/>
        <v>51</v>
      </c>
      <c r="C74" s="180">
        <f t="shared" si="17"/>
        <v>30.4</v>
      </c>
      <c r="D74" s="193">
        <f>IF(B74="","",'Tabla Parámetros'!$G$4)</f>
        <v>0.11550000000000001</v>
      </c>
      <c r="E74" s="167"/>
      <c r="F74" s="167">
        <f t="shared" si="14"/>
        <v>0</v>
      </c>
      <c r="G74" s="166"/>
      <c r="H74" s="167">
        <f t="shared" si="15"/>
        <v>0</v>
      </c>
      <c r="I74" s="167">
        <f t="shared" si="12"/>
        <v>0</v>
      </c>
      <c r="J74" s="167">
        <f>IF(C74="","",IF(F74=0,0,IF(C74&lt;='Tabla Parámetros'!$J$23,I74,IF($E$2='Tabla Parámetros'!$J$19,((($H$2/1000*'Tabla Parámetros'!$K$19)/30.4*C74)*1.0212^4),IF($E$2='Tabla Parámetros'!$J$20,($H$2/1000*'Tabla Parámetros'!$K$20)/30.4*C74)*1.0201^4)))+N74+O74)</f>
        <v>0</v>
      </c>
      <c r="K74" s="167">
        <f t="shared" si="20"/>
        <v>0</v>
      </c>
      <c r="L74" s="167">
        <f t="shared" si="16"/>
        <v>0</v>
      </c>
      <c r="M74" s="167">
        <f>IF(B74="","",IF(F74=0,0,IF(Simulador!$F$11='Tabla Parámetros'!$W$1,'Tabla Parámetros'!$W$28,IF(Simulador!$F$11='Tabla Parámetros'!$Y$1,'Tabla Parámetros'!$Y$12))))</f>
        <v>0</v>
      </c>
      <c r="N74" s="167">
        <f>IF(F74=0,0,IF(F74="","",IF(Simulador!$N$7='Tabla Parámetros'!$C$31,AportPat!L54,0)))</f>
        <v>0</v>
      </c>
      <c r="O74" s="167">
        <f>Simulador!O442</f>
        <v>0</v>
      </c>
      <c r="P74" s="167">
        <f t="shared" si="10"/>
        <v>0</v>
      </c>
      <c r="Q74" s="167">
        <f t="shared" si="18"/>
        <v>0</v>
      </c>
      <c r="T74" s="6"/>
      <c r="U74" s="6"/>
      <c r="V74" s="6"/>
      <c r="W74" s="29">
        <f t="shared" si="19"/>
        <v>0</v>
      </c>
    </row>
    <row r="75" spans="2:23" x14ac:dyDescent="0.3">
      <c r="B75" s="181">
        <f t="shared" si="11"/>
        <v>52</v>
      </c>
      <c r="C75" s="180">
        <f t="shared" si="17"/>
        <v>30.4</v>
      </c>
      <c r="D75" s="193">
        <f>IF(B75="","",'Tabla Parámetros'!$G$4)</f>
        <v>0.11550000000000001</v>
      </c>
      <c r="E75" s="167"/>
      <c r="F75" s="167">
        <f t="shared" si="14"/>
        <v>0</v>
      </c>
      <c r="G75" s="166"/>
      <c r="H75" s="167">
        <f t="shared" si="15"/>
        <v>0</v>
      </c>
      <c r="I75" s="167">
        <f t="shared" si="12"/>
        <v>0</v>
      </c>
      <c r="J75" s="167">
        <f>IF(C75="","",IF(F75=0,0,IF(C75&lt;='Tabla Parámetros'!$J$23,I75,IF($E$2='Tabla Parámetros'!$J$19,((($H$2/1000*'Tabla Parámetros'!$K$19)/30.4*C75)*1.0212^4),IF($E$2='Tabla Parámetros'!$J$20,($H$2/1000*'Tabla Parámetros'!$K$20)/30.4*C75)*1.0201^4)))+N75+O75)</f>
        <v>0</v>
      </c>
      <c r="K75" s="167">
        <f t="shared" si="20"/>
        <v>0</v>
      </c>
      <c r="L75" s="167">
        <f t="shared" si="16"/>
        <v>0</v>
      </c>
      <c r="M75" s="167">
        <f>IF(B75="","",IF(F75=0,0,IF(Simulador!$F$11='Tabla Parámetros'!$W$1,'Tabla Parámetros'!$W$28,IF(Simulador!$F$11='Tabla Parámetros'!$Y$1,'Tabla Parámetros'!$Y$12))))</f>
        <v>0</v>
      </c>
      <c r="N75" s="167">
        <f>IF(F75=0,0,IF(F75="","",IF(Simulador!$N$7='Tabla Parámetros'!$C$31,AportPat!L55,0)))</f>
        <v>0</v>
      </c>
      <c r="O75" s="167">
        <f>Simulador!O443</f>
        <v>0</v>
      </c>
      <c r="P75" s="167">
        <f t="shared" si="10"/>
        <v>0</v>
      </c>
      <c r="Q75" s="167">
        <f t="shared" si="18"/>
        <v>0</v>
      </c>
      <c r="T75" s="6"/>
      <c r="U75" s="6"/>
      <c r="V75" s="6"/>
      <c r="W75" s="29">
        <f t="shared" si="19"/>
        <v>0</v>
      </c>
    </row>
    <row r="76" spans="2:23" x14ac:dyDescent="0.3">
      <c r="B76" s="181">
        <f t="shared" si="11"/>
        <v>53</v>
      </c>
      <c r="C76" s="180">
        <f t="shared" si="17"/>
        <v>30.4</v>
      </c>
      <c r="D76" s="193">
        <f>IF(B76="","",'Tabla Parámetros'!$G$4)</f>
        <v>0.11550000000000001</v>
      </c>
      <c r="E76" s="167"/>
      <c r="F76" s="167">
        <f t="shared" si="14"/>
        <v>0</v>
      </c>
      <c r="G76" s="166"/>
      <c r="H76" s="167">
        <f t="shared" si="15"/>
        <v>0</v>
      </c>
      <c r="I76" s="167">
        <f t="shared" si="12"/>
        <v>0</v>
      </c>
      <c r="J76" s="167">
        <f>IF(C76="","",IF(F76=0,0,IF(C76&lt;='Tabla Parámetros'!$J$23,I76,IF($E$2='Tabla Parámetros'!$J$19,((($H$2/1000*'Tabla Parámetros'!$K$19)/30.4*C76)*1.0212^4),IF($E$2='Tabla Parámetros'!$J$20,($H$2/1000*'Tabla Parámetros'!$K$20)/30.4*C76)*1.0201^4)))+N76+O76)</f>
        <v>0</v>
      </c>
      <c r="K76" s="167">
        <f t="shared" si="20"/>
        <v>0</v>
      </c>
      <c r="L76" s="167">
        <f t="shared" si="16"/>
        <v>0</v>
      </c>
      <c r="M76" s="167">
        <f>IF(B76="","",IF(F76=0,0,IF(Simulador!$F$11='Tabla Parámetros'!$W$1,'Tabla Parámetros'!$W$28,IF(Simulador!$F$11='Tabla Parámetros'!$Y$1,'Tabla Parámetros'!$Y$12))))</f>
        <v>0</v>
      </c>
      <c r="N76" s="167">
        <f>IF(F76=0,0,IF(F76="","",IF(Simulador!$N$7='Tabla Parámetros'!$C$31,AportPat!L56,0)))</f>
        <v>0</v>
      </c>
      <c r="O76" s="167">
        <f>Simulador!O444</f>
        <v>0</v>
      </c>
      <c r="P76" s="167">
        <f t="shared" si="10"/>
        <v>0</v>
      </c>
      <c r="Q76" s="167">
        <f t="shared" si="18"/>
        <v>0</v>
      </c>
      <c r="T76" s="6"/>
      <c r="U76" s="6"/>
      <c r="V76" s="6"/>
      <c r="W76" s="29">
        <f t="shared" si="19"/>
        <v>0</v>
      </c>
    </row>
    <row r="77" spans="2:23" x14ac:dyDescent="0.3">
      <c r="B77" s="181">
        <f t="shared" si="11"/>
        <v>54</v>
      </c>
      <c r="C77" s="180">
        <f t="shared" si="17"/>
        <v>30.4</v>
      </c>
      <c r="D77" s="193">
        <f>IF(B77="","",'Tabla Parámetros'!$G$4)</f>
        <v>0.11550000000000001</v>
      </c>
      <c r="E77" s="167"/>
      <c r="F77" s="167">
        <f t="shared" si="14"/>
        <v>0</v>
      </c>
      <c r="G77" s="166"/>
      <c r="H77" s="167">
        <f t="shared" si="15"/>
        <v>0</v>
      </c>
      <c r="I77" s="167">
        <f t="shared" si="12"/>
        <v>0</v>
      </c>
      <c r="J77" s="167">
        <f>IF(C77="","",IF(F77=0,0,IF(C77&lt;='Tabla Parámetros'!$J$23,I77,IF($E$2='Tabla Parámetros'!$J$19,((($H$2/1000*'Tabla Parámetros'!$K$19)/30.4*C77)*1.0212^4),IF($E$2='Tabla Parámetros'!$J$20,($H$2/1000*'Tabla Parámetros'!$K$20)/30.4*C77)*1.0201^4)))+N77+O77)</f>
        <v>0</v>
      </c>
      <c r="K77" s="167">
        <f t="shared" si="20"/>
        <v>0</v>
      </c>
      <c r="L77" s="167">
        <f t="shared" si="16"/>
        <v>0</v>
      </c>
      <c r="M77" s="167">
        <f>IF(B77="","",IF(F77=0,0,IF(Simulador!$F$11='Tabla Parámetros'!$W$1,'Tabla Parámetros'!$W$28,IF(Simulador!$F$11='Tabla Parámetros'!$Y$1,'Tabla Parámetros'!$Y$12))))</f>
        <v>0</v>
      </c>
      <c r="N77" s="167">
        <f>IF(F77=0,0,IF(F77="","",IF(Simulador!$N$7='Tabla Parámetros'!$C$31,AportPat!L57,0)))</f>
        <v>0</v>
      </c>
      <c r="O77" s="167">
        <f>Simulador!O445</f>
        <v>0</v>
      </c>
      <c r="P77" s="167">
        <f t="shared" si="10"/>
        <v>0</v>
      </c>
      <c r="Q77" s="167">
        <f t="shared" si="18"/>
        <v>0</v>
      </c>
      <c r="T77" s="6"/>
      <c r="U77" s="6"/>
      <c r="V77" s="6"/>
      <c r="W77" s="29">
        <f t="shared" si="19"/>
        <v>0</v>
      </c>
    </row>
    <row r="78" spans="2:23" x14ac:dyDescent="0.3">
      <c r="B78" s="181">
        <f t="shared" si="11"/>
        <v>55</v>
      </c>
      <c r="C78" s="180">
        <f t="shared" si="17"/>
        <v>30.4</v>
      </c>
      <c r="D78" s="193">
        <f>IF(B78="","",'Tabla Parámetros'!$G$4)</f>
        <v>0.11550000000000001</v>
      </c>
      <c r="E78" s="167"/>
      <c r="F78" s="167">
        <f t="shared" si="14"/>
        <v>0</v>
      </c>
      <c r="G78" s="166"/>
      <c r="H78" s="167">
        <f t="shared" si="15"/>
        <v>0</v>
      </c>
      <c r="I78" s="167">
        <f t="shared" si="12"/>
        <v>0</v>
      </c>
      <c r="J78" s="167">
        <f>IF(C78="","",IF(F78=0,0,IF(C78&lt;='Tabla Parámetros'!$J$23,I78,IF($E$2='Tabla Parámetros'!$J$19,((($H$2/1000*'Tabla Parámetros'!$K$19)/30.4*C78)*1.0212^4),IF($E$2='Tabla Parámetros'!$J$20,($H$2/1000*'Tabla Parámetros'!$K$20)/30.4*C78)*1.0201^4)))+N78+O78)</f>
        <v>0</v>
      </c>
      <c r="K78" s="167">
        <f t="shared" si="20"/>
        <v>0</v>
      </c>
      <c r="L78" s="167">
        <f t="shared" si="16"/>
        <v>0</v>
      </c>
      <c r="M78" s="167">
        <f>IF(B78="","",IF(F78=0,0,IF(Simulador!$F$11='Tabla Parámetros'!$W$1,'Tabla Parámetros'!$W$28,IF(Simulador!$F$11='Tabla Parámetros'!$Y$1,'Tabla Parámetros'!$Y$12))))</f>
        <v>0</v>
      </c>
      <c r="N78" s="167">
        <f>IF(F78=0,0,IF(F78="","",IF(Simulador!$N$7='Tabla Parámetros'!$C$31,AportPat!L58,0)))</f>
        <v>0</v>
      </c>
      <c r="O78" s="167">
        <f>Simulador!O446</f>
        <v>0</v>
      </c>
      <c r="P78" s="167">
        <f t="shared" si="10"/>
        <v>0</v>
      </c>
      <c r="Q78" s="167">
        <f t="shared" si="18"/>
        <v>0</v>
      </c>
      <c r="T78" s="6"/>
      <c r="U78" s="6"/>
      <c r="V78" s="6"/>
      <c r="W78" s="29">
        <f t="shared" si="19"/>
        <v>0</v>
      </c>
    </row>
    <row r="79" spans="2:23" x14ac:dyDescent="0.3">
      <c r="B79" s="181">
        <f t="shared" si="11"/>
        <v>56</v>
      </c>
      <c r="C79" s="180">
        <f t="shared" si="17"/>
        <v>30.4</v>
      </c>
      <c r="D79" s="193">
        <f>IF(B79="","",'Tabla Parámetros'!$G$4)</f>
        <v>0.11550000000000001</v>
      </c>
      <c r="E79" s="167"/>
      <c r="F79" s="167">
        <f t="shared" si="14"/>
        <v>0</v>
      </c>
      <c r="G79" s="166"/>
      <c r="H79" s="167">
        <f t="shared" si="15"/>
        <v>0</v>
      </c>
      <c r="I79" s="167">
        <f t="shared" si="12"/>
        <v>0</v>
      </c>
      <c r="J79" s="167">
        <f>IF(C79="","",IF(F79=0,0,IF(C79&lt;='Tabla Parámetros'!$J$23,I79,IF($E$2='Tabla Parámetros'!$J$19,((($H$2/1000*'Tabla Parámetros'!$K$19)/30.4*C79)*1.0212^4),IF($E$2='Tabla Parámetros'!$J$20,($H$2/1000*'Tabla Parámetros'!$K$20)/30.4*C79)*1.0201^4)))+N79+O79)</f>
        <v>0</v>
      </c>
      <c r="K79" s="167">
        <f t="shared" si="20"/>
        <v>0</v>
      </c>
      <c r="L79" s="167">
        <f t="shared" si="16"/>
        <v>0</v>
      </c>
      <c r="M79" s="167">
        <f>IF(B79="","",IF(F79=0,0,IF(Simulador!$F$11='Tabla Parámetros'!$W$1,'Tabla Parámetros'!$W$28,IF(Simulador!$F$11='Tabla Parámetros'!$Y$1,'Tabla Parámetros'!$Y$12))))</f>
        <v>0</v>
      </c>
      <c r="N79" s="167">
        <f>IF(F79=0,0,IF(F79="","",IF(Simulador!$N$7='Tabla Parámetros'!$C$31,AportPat!L59,0)))</f>
        <v>0</v>
      </c>
      <c r="O79" s="167">
        <f>Simulador!O447</f>
        <v>0</v>
      </c>
      <c r="P79" s="167">
        <f t="shared" si="10"/>
        <v>0</v>
      </c>
      <c r="Q79" s="167">
        <f t="shared" si="18"/>
        <v>0</v>
      </c>
      <c r="T79" s="6"/>
      <c r="U79" s="6"/>
      <c r="V79" s="6"/>
      <c r="W79" s="29">
        <f t="shared" si="19"/>
        <v>0</v>
      </c>
    </row>
    <row r="80" spans="2:23" x14ac:dyDescent="0.3">
      <c r="B80" s="181">
        <f t="shared" si="11"/>
        <v>57</v>
      </c>
      <c r="C80" s="180">
        <f t="shared" si="17"/>
        <v>30.4</v>
      </c>
      <c r="D80" s="193">
        <f>IF(B80="","",'Tabla Parámetros'!$G$4)</f>
        <v>0.11550000000000001</v>
      </c>
      <c r="E80" s="167"/>
      <c r="F80" s="167">
        <f t="shared" si="14"/>
        <v>0</v>
      </c>
      <c r="G80" s="166"/>
      <c r="H80" s="167">
        <f t="shared" si="15"/>
        <v>0</v>
      </c>
      <c r="I80" s="167">
        <f t="shared" si="12"/>
        <v>0</v>
      </c>
      <c r="J80" s="167">
        <f>IF(C80="","",IF(F80=0,0,IF(C80&lt;='Tabla Parámetros'!$J$23,I80,IF($E$2='Tabla Parámetros'!$J$19,((($H$2/1000*'Tabla Parámetros'!$K$19)/30.4*C80)*1.0212^4),IF($E$2='Tabla Parámetros'!$J$20,($H$2/1000*'Tabla Parámetros'!$K$20)/30.4*C80)*1.0201^4)))+N80+O80)</f>
        <v>0</v>
      </c>
      <c r="K80" s="167">
        <f t="shared" si="20"/>
        <v>0</v>
      </c>
      <c r="L80" s="167">
        <f t="shared" si="16"/>
        <v>0</v>
      </c>
      <c r="M80" s="167">
        <f>IF(B80="","",IF(F80=0,0,IF(Simulador!$F$11='Tabla Parámetros'!$W$1,'Tabla Parámetros'!$W$28,IF(Simulador!$F$11='Tabla Parámetros'!$Y$1,'Tabla Parámetros'!$Y$12))))</f>
        <v>0</v>
      </c>
      <c r="N80" s="167">
        <f>IF(F80=0,0,IF(F80="","",IF(Simulador!$N$7='Tabla Parámetros'!$C$31,AportPat!L60,0)))</f>
        <v>0</v>
      </c>
      <c r="O80" s="167">
        <f>Simulador!O448</f>
        <v>0</v>
      </c>
      <c r="P80" s="167">
        <f t="shared" si="10"/>
        <v>0</v>
      </c>
      <c r="Q80" s="167">
        <f t="shared" si="18"/>
        <v>0</v>
      </c>
      <c r="T80" s="6"/>
      <c r="U80" s="6"/>
      <c r="V80" s="6"/>
      <c r="W80" s="29">
        <f t="shared" si="19"/>
        <v>0</v>
      </c>
    </row>
    <row r="81" spans="2:23" x14ac:dyDescent="0.3">
      <c r="B81" s="181">
        <f t="shared" si="11"/>
        <v>58</v>
      </c>
      <c r="C81" s="180">
        <f t="shared" si="17"/>
        <v>30.4</v>
      </c>
      <c r="D81" s="193">
        <f>IF(B81="","",'Tabla Parámetros'!$G$4)</f>
        <v>0.11550000000000001</v>
      </c>
      <c r="E81" s="167"/>
      <c r="F81" s="167">
        <f t="shared" si="14"/>
        <v>0</v>
      </c>
      <c r="G81" s="166"/>
      <c r="H81" s="167">
        <f t="shared" si="15"/>
        <v>0</v>
      </c>
      <c r="I81" s="167">
        <f t="shared" si="12"/>
        <v>0</v>
      </c>
      <c r="J81" s="167">
        <f>IF(C81="","",IF(F81=0,0,IF(C81&lt;='Tabla Parámetros'!$J$23,I81,IF($E$2='Tabla Parámetros'!$J$19,((($H$2/1000*'Tabla Parámetros'!$K$19)/30.4*C81)*1.0212^4),IF($E$2='Tabla Parámetros'!$J$20,($H$2/1000*'Tabla Parámetros'!$K$20)/30.4*C81)*1.0201^4)))+N81+O81)</f>
        <v>0</v>
      </c>
      <c r="K81" s="167">
        <f t="shared" si="20"/>
        <v>0</v>
      </c>
      <c r="L81" s="167">
        <f t="shared" si="16"/>
        <v>0</v>
      </c>
      <c r="M81" s="167">
        <f>IF(B81="","",IF(F81=0,0,IF(Simulador!$F$11='Tabla Parámetros'!$W$1,'Tabla Parámetros'!$W$28,IF(Simulador!$F$11='Tabla Parámetros'!$Y$1,'Tabla Parámetros'!$Y$12))))</f>
        <v>0</v>
      </c>
      <c r="N81" s="167">
        <f>IF(F81=0,0,IF(F81="","",IF(Simulador!$N$7='Tabla Parámetros'!$C$31,AportPat!L61,0)))</f>
        <v>0</v>
      </c>
      <c r="O81" s="167">
        <f>Simulador!O449</f>
        <v>0</v>
      </c>
      <c r="P81" s="167">
        <f t="shared" si="10"/>
        <v>0</v>
      </c>
      <c r="Q81" s="167">
        <f t="shared" si="18"/>
        <v>0</v>
      </c>
      <c r="T81" s="6"/>
      <c r="U81" s="6"/>
      <c r="V81" s="6"/>
      <c r="W81" s="29">
        <f t="shared" si="19"/>
        <v>0</v>
      </c>
    </row>
    <row r="82" spans="2:23" x14ac:dyDescent="0.3">
      <c r="B82" s="181">
        <f t="shared" si="11"/>
        <v>59</v>
      </c>
      <c r="C82" s="180">
        <f t="shared" si="17"/>
        <v>30.4</v>
      </c>
      <c r="D82" s="193">
        <f>IF(B82="","",'Tabla Parámetros'!$G$4)</f>
        <v>0.11550000000000001</v>
      </c>
      <c r="E82" s="167"/>
      <c r="F82" s="167">
        <f t="shared" si="14"/>
        <v>0</v>
      </c>
      <c r="G82" s="166"/>
      <c r="H82" s="167">
        <f t="shared" si="15"/>
        <v>0</v>
      </c>
      <c r="I82" s="167">
        <f t="shared" si="12"/>
        <v>0</v>
      </c>
      <c r="J82" s="167">
        <f>IF(C82="","",IF(F82=0,0,IF(C82&lt;='Tabla Parámetros'!$J$23,I82,IF($E$2='Tabla Parámetros'!$J$19,((($H$2/1000*'Tabla Parámetros'!$K$19)/30.4*C82)*1.0212^4),IF($E$2='Tabla Parámetros'!$J$20,($H$2/1000*'Tabla Parámetros'!$K$20)/30.4*C82)*1.0201^4)))+N82+O82)</f>
        <v>0</v>
      </c>
      <c r="K82" s="167">
        <f t="shared" si="20"/>
        <v>0</v>
      </c>
      <c r="L82" s="167">
        <f t="shared" si="16"/>
        <v>0</v>
      </c>
      <c r="M82" s="167">
        <f>IF(B82="","",IF(F82=0,0,IF(Simulador!$F$11='Tabla Parámetros'!$W$1,'Tabla Parámetros'!$W$28,IF(Simulador!$F$11='Tabla Parámetros'!$Y$1,'Tabla Parámetros'!$Y$12))))</f>
        <v>0</v>
      </c>
      <c r="N82" s="167">
        <f>IF(F82=0,0,IF(F82="","",IF(Simulador!$N$7='Tabla Parámetros'!$C$31,AportPat!L62,0)))</f>
        <v>0</v>
      </c>
      <c r="O82" s="167">
        <f>Simulador!O450</f>
        <v>0</v>
      </c>
      <c r="P82" s="167">
        <f t="shared" si="10"/>
        <v>0</v>
      </c>
      <c r="Q82" s="167">
        <f t="shared" si="18"/>
        <v>0</v>
      </c>
      <c r="T82" s="6"/>
      <c r="U82" s="6"/>
      <c r="V82" s="6"/>
      <c r="W82" s="29">
        <f t="shared" si="19"/>
        <v>0</v>
      </c>
    </row>
    <row r="83" spans="2:23" x14ac:dyDescent="0.3">
      <c r="B83" s="181">
        <f t="shared" si="11"/>
        <v>60</v>
      </c>
      <c r="C83" s="180">
        <f t="shared" si="17"/>
        <v>30.4</v>
      </c>
      <c r="D83" s="193">
        <f>IF(B83="","",'Tabla Parámetros'!$G$4)</f>
        <v>0.11550000000000001</v>
      </c>
      <c r="E83" s="167"/>
      <c r="F83" s="167">
        <f t="shared" si="14"/>
        <v>0</v>
      </c>
      <c r="G83" s="166"/>
      <c r="H83" s="167">
        <f t="shared" si="15"/>
        <v>0</v>
      </c>
      <c r="I83" s="167">
        <f t="shared" si="12"/>
        <v>0</v>
      </c>
      <c r="J83" s="167">
        <f>IF(C83="","",IF(F83=0,0,IF(C83&lt;='Tabla Parámetros'!$J$23,I83,IF($E$2='Tabla Parámetros'!$J$19,((($H$2/1000*'Tabla Parámetros'!$K$19)/30.4*C83)*1.0212^4),IF($E$2='Tabla Parámetros'!$J$20,($H$2/1000*'Tabla Parámetros'!$K$20)/30.4*C83)*1.0201^4)))+N83+O83)</f>
        <v>0</v>
      </c>
      <c r="K83" s="167">
        <f t="shared" si="20"/>
        <v>0</v>
      </c>
      <c r="L83" s="167">
        <f t="shared" si="16"/>
        <v>0</v>
      </c>
      <c r="M83" s="167">
        <f>IF(B83="","",IF(F83=0,0,IF(Simulador!$F$11='Tabla Parámetros'!$W$1,'Tabla Parámetros'!$W$28,IF(Simulador!$F$11='Tabla Parámetros'!$Y$1,'Tabla Parámetros'!$Y$12))))</f>
        <v>0</v>
      </c>
      <c r="N83" s="167">
        <f>IF(F83=0,0,IF(F83="","",IF(Simulador!$N$7='Tabla Parámetros'!$C$31,AportPat!L63,0)))</f>
        <v>0</v>
      </c>
      <c r="O83" s="167">
        <f>Simulador!O451</f>
        <v>0</v>
      </c>
      <c r="P83" s="167">
        <f t="shared" si="10"/>
        <v>0</v>
      </c>
      <c r="Q83" s="167">
        <f t="shared" si="18"/>
        <v>0</v>
      </c>
      <c r="T83" s="6"/>
      <c r="U83" s="6"/>
      <c r="V83" s="6"/>
      <c r="W83" s="29">
        <f t="shared" si="19"/>
        <v>0</v>
      </c>
    </row>
    <row r="84" spans="2:23" x14ac:dyDescent="0.3">
      <c r="B84" s="181">
        <f t="shared" si="11"/>
        <v>61</v>
      </c>
      <c r="C84" s="180">
        <f t="shared" si="17"/>
        <v>30.4</v>
      </c>
      <c r="D84" s="193">
        <f>IF(B84="","",'Tabla Parámetros'!$G$4)</f>
        <v>0.11550000000000001</v>
      </c>
      <c r="E84" s="167"/>
      <c r="F84" s="167">
        <f t="shared" si="14"/>
        <v>0</v>
      </c>
      <c r="G84" s="166"/>
      <c r="H84" s="167">
        <f t="shared" si="15"/>
        <v>0</v>
      </c>
      <c r="I84" s="167">
        <f t="shared" si="12"/>
        <v>0</v>
      </c>
      <c r="J84" s="167">
        <f>IF(C84="","",IF(F84=0,0,IF(C84&lt;='Tabla Parámetros'!$J$23,I84,IF($E$2='Tabla Parámetros'!$J$19,((($H$2/1000*'Tabla Parámetros'!$K$19)/30.4*C84)*1.0212^4),IF($E$2='Tabla Parámetros'!$J$20,($H$2/1000*'Tabla Parámetros'!$K$20)/30.4*C84)*1.0201^4)))+N84+O84)</f>
        <v>0</v>
      </c>
      <c r="K84" s="167">
        <f t="shared" si="20"/>
        <v>0</v>
      </c>
      <c r="L84" s="167">
        <f t="shared" si="16"/>
        <v>0</v>
      </c>
      <c r="M84" s="167">
        <f>IF(B84="","",IF(F84=0,0,IF(Simulador!$F$11='Tabla Parámetros'!$W$1,'Tabla Parámetros'!$W$28,IF(Simulador!$F$11='Tabla Parámetros'!$Y$1,'Tabla Parámetros'!$Y$12))))</f>
        <v>0</v>
      </c>
      <c r="N84" s="167">
        <f>IF(F84=0,0,IF(F84="","",IF(Simulador!$N$7='Tabla Parámetros'!$C$31,AportPat!L64,0)))</f>
        <v>0</v>
      </c>
      <c r="O84" s="167">
        <f>Simulador!O452</f>
        <v>0</v>
      </c>
      <c r="P84" s="167">
        <f t="shared" si="10"/>
        <v>0</v>
      </c>
      <c r="Q84" s="167">
        <f t="shared" si="18"/>
        <v>0</v>
      </c>
      <c r="T84" s="6"/>
      <c r="U84" s="6"/>
      <c r="V84" s="6"/>
      <c r="W84" s="29">
        <f t="shared" si="19"/>
        <v>0</v>
      </c>
    </row>
    <row r="85" spans="2:23" x14ac:dyDescent="0.3">
      <c r="B85" s="181">
        <f t="shared" si="11"/>
        <v>62</v>
      </c>
      <c r="C85" s="180">
        <f t="shared" si="17"/>
        <v>30.4</v>
      </c>
      <c r="D85" s="193">
        <f>IF(B85="","",'Tabla Parámetros'!$G$4)</f>
        <v>0.11550000000000001</v>
      </c>
      <c r="E85" s="167"/>
      <c r="F85" s="167">
        <f t="shared" si="14"/>
        <v>0</v>
      </c>
      <c r="G85" s="166"/>
      <c r="H85" s="167">
        <f t="shared" si="15"/>
        <v>0</v>
      </c>
      <c r="I85" s="167">
        <f t="shared" si="12"/>
        <v>0</v>
      </c>
      <c r="J85" s="167">
        <f>IF(C85="","",IF(F85=0,0,IF(C85&lt;='Tabla Parámetros'!$J$23,I85,IF($E$2='Tabla Parámetros'!$J$19,((($H$2/1000*'Tabla Parámetros'!$K$19)/30.4*C85)*1.0212^5),IF($E$2='Tabla Parámetros'!$J$20,($H$2/1000*'Tabla Parámetros'!$K$20)/30.4*C85)*1.0201^5)))+N85+O85)</f>
        <v>0</v>
      </c>
      <c r="K85" s="167">
        <f t="shared" si="20"/>
        <v>0</v>
      </c>
      <c r="L85" s="167">
        <f t="shared" si="16"/>
        <v>0</v>
      </c>
      <c r="M85" s="167">
        <f>IF(B85="","",IF(F85=0,0,IF(Simulador!$F$11='Tabla Parámetros'!$W$1,'Tabla Parámetros'!$W$28,IF(Simulador!$F$11='Tabla Parámetros'!$Y$1,'Tabla Parámetros'!$Y$12))))</f>
        <v>0</v>
      </c>
      <c r="N85" s="167">
        <f>IF(F85=0,0,IF(F85="","",IF(Simulador!$N$7='Tabla Parámetros'!$C$31,AportPat!L65,0)))</f>
        <v>0</v>
      </c>
      <c r="O85" s="167">
        <f>Simulador!O453</f>
        <v>0</v>
      </c>
      <c r="P85" s="167">
        <f t="shared" si="10"/>
        <v>0</v>
      </c>
      <c r="Q85" s="167">
        <f t="shared" si="18"/>
        <v>0</v>
      </c>
      <c r="T85" s="6"/>
      <c r="U85" s="6"/>
      <c r="V85" s="6"/>
      <c r="W85" s="29">
        <f t="shared" si="19"/>
        <v>0</v>
      </c>
    </row>
    <row r="86" spans="2:23" x14ac:dyDescent="0.3">
      <c r="B86" s="181">
        <f t="shared" si="11"/>
        <v>63</v>
      </c>
      <c r="C86" s="180">
        <f t="shared" si="17"/>
        <v>30.4</v>
      </c>
      <c r="D86" s="193">
        <f>IF(B86="","",'Tabla Parámetros'!$G$4)</f>
        <v>0.11550000000000001</v>
      </c>
      <c r="E86" s="167"/>
      <c r="F86" s="167">
        <f t="shared" si="14"/>
        <v>0</v>
      </c>
      <c r="G86" s="166"/>
      <c r="H86" s="167">
        <f t="shared" si="15"/>
        <v>0</v>
      </c>
      <c r="I86" s="167">
        <f t="shared" si="12"/>
        <v>0</v>
      </c>
      <c r="J86" s="167">
        <f>IF(C86="","",IF(F86=0,0,IF(C86&lt;='Tabla Parámetros'!$J$23,I86,IF($E$2='Tabla Parámetros'!$J$19,((($H$2/1000*'Tabla Parámetros'!$K$19)/30.4*C86)*1.0212^5),IF($E$2='Tabla Parámetros'!$J$20,($H$2/1000*'Tabla Parámetros'!$K$20)/30.4*C86)*1.0201^5)))+N86+O86)</f>
        <v>0</v>
      </c>
      <c r="K86" s="167">
        <f t="shared" si="20"/>
        <v>0</v>
      </c>
      <c r="L86" s="167">
        <f t="shared" si="16"/>
        <v>0</v>
      </c>
      <c r="M86" s="167">
        <f>IF(B86="","",IF(F86=0,0,IF(Simulador!$F$11='Tabla Parámetros'!$W$1,'Tabla Parámetros'!$W$28,IF(Simulador!$F$11='Tabla Parámetros'!$Y$1,'Tabla Parámetros'!$Y$12))))</f>
        <v>0</v>
      </c>
      <c r="N86" s="167">
        <f>IF(F86=0,0,IF(F86="","",IF(Simulador!$N$7='Tabla Parámetros'!$C$31,AportPat!L66,0)))</f>
        <v>0</v>
      </c>
      <c r="O86" s="167">
        <f>Simulador!O454</f>
        <v>0</v>
      </c>
      <c r="P86" s="167">
        <f t="shared" si="10"/>
        <v>0</v>
      </c>
      <c r="Q86" s="167">
        <f t="shared" si="18"/>
        <v>0</v>
      </c>
      <c r="T86" s="6"/>
      <c r="U86" s="6"/>
      <c r="V86" s="6"/>
      <c r="W86" s="29">
        <f t="shared" si="19"/>
        <v>0</v>
      </c>
    </row>
    <row r="87" spans="2:23" x14ac:dyDescent="0.3">
      <c r="B87" s="181">
        <f t="shared" si="11"/>
        <v>64</v>
      </c>
      <c r="C87" s="180">
        <f t="shared" si="17"/>
        <v>30.4</v>
      </c>
      <c r="D87" s="193">
        <f>IF(B87="","",'Tabla Parámetros'!$G$4)</f>
        <v>0.11550000000000001</v>
      </c>
      <c r="E87" s="167"/>
      <c r="F87" s="167">
        <f t="shared" si="14"/>
        <v>0</v>
      </c>
      <c r="G87" s="166"/>
      <c r="H87" s="167">
        <f t="shared" si="15"/>
        <v>0</v>
      </c>
      <c r="I87" s="167">
        <f t="shared" si="12"/>
        <v>0</v>
      </c>
      <c r="J87" s="167">
        <f>IF(C87="","",IF(F87=0,0,IF(C87&lt;='Tabla Parámetros'!$J$23,I87,IF($E$2='Tabla Parámetros'!$J$19,((($H$2/1000*'Tabla Parámetros'!$K$19)/30.4*C87)*1.0212^5),IF($E$2='Tabla Parámetros'!$J$20,($H$2/1000*'Tabla Parámetros'!$K$20)/30.4*C87)*1.0201^5)))+N87+O87)</f>
        <v>0</v>
      </c>
      <c r="K87" s="167">
        <f t="shared" si="20"/>
        <v>0</v>
      </c>
      <c r="L87" s="167">
        <f t="shared" si="16"/>
        <v>0</v>
      </c>
      <c r="M87" s="167">
        <f>IF(B87="","",IF(F87=0,0,IF(Simulador!$F$11='Tabla Parámetros'!$W$1,'Tabla Parámetros'!$W$28,IF(Simulador!$F$11='Tabla Parámetros'!$Y$1,'Tabla Parámetros'!$Y$12))))</f>
        <v>0</v>
      </c>
      <c r="N87" s="167">
        <f>IF(F87=0,0,IF(F87="","",IF(Simulador!$N$7='Tabla Parámetros'!$C$31,AportPat!L67,0)))</f>
        <v>0</v>
      </c>
      <c r="O87" s="167">
        <f>Simulador!O455</f>
        <v>0</v>
      </c>
      <c r="P87" s="167">
        <f t="shared" si="10"/>
        <v>0</v>
      </c>
      <c r="Q87" s="167">
        <f t="shared" si="18"/>
        <v>0</v>
      </c>
      <c r="T87" s="6"/>
      <c r="U87" s="6"/>
      <c r="V87" s="6"/>
      <c r="W87" s="29">
        <f t="shared" si="19"/>
        <v>0</v>
      </c>
    </row>
    <row r="88" spans="2:23" x14ac:dyDescent="0.3">
      <c r="B88" s="181">
        <f t="shared" si="11"/>
        <v>65</v>
      </c>
      <c r="C88" s="180">
        <f t="shared" si="17"/>
        <v>30.4</v>
      </c>
      <c r="D88" s="193">
        <f>IF(B88="","",'Tabla Parámetros'!$G$4)</f>
        <v>0.11550000000000001</v>
      </c>
      <c r="E88" s="167"/>
      <c r="F88" s="167">
        <f t="shared" si="14"/>
        <v>0</v>
      </c>
      <c r="G88" s="166"/>
      <c r="H88" s="167">
        <f t="shared" si="15"/>
        <v>0</v>
      </c>
      <c r="I88" s="167">
        <f t="shared" si="12"/>
        <v>0</v>
      </c>
      <c r="J88" s="167">
        <f>IF(C88="","",IF(F88=0,0,IF(C88&lt;='Tabla Parámetros'!$J$23,I88,IF($E$2='Tabla Parámetros'!$J$19,((($H$2/1000*'Tabla Parámetros'!$K$19)/30.4*C88)*1.0212^5),IF($E$2='Tabla Parámetros'!$J$20,($H$2/1000*'Tabla Parámetros'!$K$20)/30.4*C88)*1.0201^5)))+N88+O88)</f>
        <v>0</v>
      </c>
      <c r="K88" s="167">
        <f t="shared" si="20"/>
        <v>0</v>
      </c>
      <c r="L88" s="167">
        <f t="shared" si="16"/>
        <v>0</v>
      </c>
      <c r="M88" s="167">
        <f>IF(B88="","",IF(F88=0,0,IF(Simulador!$F$11='Tabla Parámetros'!$W$1,'Tabla Parámetros'!$W$28,IF(Simulador!$F$11='Tabla Parámetros'!$Y$1,'Tabla Parámetros'!$Y$12))))</f>
        <v>0</v>
      </c>
      <c r="N88" s="167">
        <f>IF(F88=0,0,IF(F88="","",IF(Simulador!$N$7='Tabla Parámetros'!$C$31,AportPat!L68,0)))</f>
        <v>0</v>
      </c>
      <c r="O88" s="167">
        <f>Simulador!O456</f>
        <v>0</v>
      </c>
      <c r="P88" s="167">
        <f t="shared" ref="P88:P151" si="21">IF(B88="","",H88+I88+K88+L88+M88)</f>
        <v>0</v>
      </c>
      <c r="Q88" s="167">
        <f t="shared" si="18"/>
        <v>0</v>
      </c>
      <c r="T88" s="6"/>
      <c r="U88" s="6"/>
      <c r="V88" s="6"/>
      <c r="W88" s="29">
        <f t="shared" si="19"/>
        <v>0</v>
      </c>
    </row>
    <row r="89" spans="2:23" x14ac:dyDescent="0.3">
      <c r="B89" s="181">
        <f t="shared" ref="B89:B152" si="22">IF(B88=$E$2,"",IF(B88="","",B88+1))</f>
        <v>66</v>
      </c>
      <c r="C89" s="180">
        <f t="shared" si="17"/>
        <v>30.4</v>
      </c>
      <c r="D89" s="193">
        <f>IF(B89="","",'Tabla Parámetros'!$G$4)</f>
        <v>0.11550000000000001</v>
      </c>
      <c r="E89" s="167"/>
      <c r="F89" s="167">
        <f t="shared" si="14"/>
        <v>0</v>
      </c>
      <c r="G89" s="166"/>
      <c r="H89" s="167">
        <f t="shared" si="15"/>
        <v>0</v>
      </c>
      <c r="I89" s="167">
        <f t="shared" ref="I89:I152" si="23">IF(B89="","",((D89/360)*30.4)*F89)</f>
        <v>0</v>
      </c>
      <c r="J89" s="167">
        <f>IF(C89="","",IF(F89=0,0,IF(C89&lt;='Tabla Parámetros'!$J$23,I89,IF($E$2='Tabla Parámetros'!$J$19,((($H$2/1000*'Tabla Parámetros'!$K$19)/30.4*C89)*1.0212^5),IF($E$2='Tabla Parámetros'!$J$20,($H$2/1000*'Tabla Parámetros'!$K$20)/30.4*C89)*1.0201^5)))+N89+O89)</f>
        <v>0</v>
      </c>
      <c r="K89" s="167">
        <f t="shared" si="20"/>
        <v>0</v>
      </c>
      <c r="L89" s="167">
        <f t="shared" si="16"/>
        <v>0</v>
      </c>
      <c r="M89" s="167">
        <f>IF(B89="","",IF(F89=0,0,IF(Simulador!$F$11='Tabla Parámetros'!$W$1,'Tabla Parámetros'!$W$28,IF(Simulador!$F$11='Tabla Parámetros'!$Y$1,'Tabla Parámetros'!$Y$12))))</f>
        <v>0</v>
      </c>
      <c r="N89" s="167">
        <f>IF(F89=0,0,IF(F89="","",IF(Simulador!$N$7='Tabla Parámetros'!$C$31,AportPat!L69,0)))</f>
        <v>0</v>
      </c>
      <c r="O89" s="167">
        <f>Simulador!O457</f>
        <v>0</v>
      </c>
      <c r="P89" s="167">
        <f t="shared" si="21"/>
        <v>0</v>
      </c>
      <c r="Q89" s="167">
        <f t="shared" si="18"/>
        <v>0</v>
      </c>
      <c r="T89" s="6"/>
      <c r="U89" s="6"/>
      <c r="V89" s="6"/>
      <c r="W89" s="29">
        <f t="shared" si="19"/>
        <v>0</v>
      </c>
    </row>
    <row r="90" spans="2:23" x14ac:dyDescent="0.3">
      <c r="B90" s="181">
        <f t="shared" si="22"/>
        <v>67</v>
      </c>
      <c r="C90" s="180">
        <f t="shared" si="17"/>
        <v>30.4</v>
      </c>
      <c r="D90" s="193">
        <f>IF(B90="","",'Tabla Parámetros'!$G$4)</f>
        <v>0.11550000000000001</v>
      </c>
      <c r="E90" s="167"/>
      <c r="F90" s="167">
        <f t="shared" ref="F90:F153" si="24">IF(B90="","",F89-H89)</f>
        <v>0</v>
      </c>
      <c r="G90" s="166"/>
      <c r="H90" s="167">
        <f t="shared" ref="H90:H153" si="25">IF($B90="","",IF($B90=$E$2,$F90,IF(($J90-$I90)&gt;$F90,$F90,$J90-$I90)))</f>
        <v>0</v>
      </c>
      <c r="I90" s="167">
        <f t="shared" si="23"/>
        <v>0</v>
      </c>
      <c r="J90" s="167">
        <f>IF(C90="","",IF(F90=0,0,IF(C90&lt;='Tabla Parámetros'!$J$23,I90,IF($E$2='Tabla Parámetros'!$J$19,((($H$2/1000*'Tabla Parámetros'!$K$19)/30.4*C90)*1.0212^5),IF($E$2='Tabla Parámetros'!$J$20,($H$2/1000*'Tabla Parámetros'!$K$20)/30.4*C90)*1.0201^5)))+N90+O90)</f>
        <v>0</v>
      </c>
      <c r="K90" s="167">
        <f t="shared" si="20"/>
        <v>0</v>
      </c>
      <c r="L90" s="167">
        <f t="shared" ref="L90:L153" si="26">IF(B90="","",IF(F90=0,0,$L$1*$J$2))</f>
        <v>0</v>
      </c>
      <c r="M90" s="167">
        <f>IF(B90="","",IF(F90=0,0,IF(Simulador!$F$11='Tabla Parámetros'!$W$1,'Tabla Parámetros'!$W$28,IF(Simulador!$F$11='Tabla Parámetros'!$Y$1,'Tabla Parámetros'!$Y$12))))</f>
        <v>0</v>
      </c>
      <c r="N90" s="167">
        <f>IF(F90=0,0,IF(F90="","",IF(Simulador!$N$7='Tabla Parámetros'!$C$31,AportPat!L70,0)))</f>
        <v>0</v>
      </c>
      <c r="O90" s="167">
        <f>Simulador!O458</f>
        <v>0</v>
      </c>
      <c r="P90" s="167">
        <f t="shared" si="21"/>
        <v>0</v>
      </c>
      <c r="Q90" s="167">
        <f t="shared" si="18"/>
        <v>0</v>
      </c>
      <c r="T90" s="6"/>
      <c r="U90" s="6"/>
      <c r="V90" s="6"/>
      <c r="W90" s="29">
        <f t="shared" si="19"/>
        <v>0</v>
      </c>
    </row>
    <row r="91" spans="2:23" x14ac:dyDescent="0.3">
      <c r="B91" s="181">
        <f t="shared" si="22"/>
        <v>68</v>
      </c>
      <c r="C91" s="180">
        <f t="shared" ref="C91:C154" si="27">IF(B90="","",30.4)</f>
        <v>30.4</v>
      </c>
      <c r="D91" s="193">
        <f>IF(B91="","",'Tabla Parámetros'!$G$4)</f>
        <v>0.11550000000000001</v>
      </c>
      <c r="E91" s="167"/>
      <c r="F91" s="167">
        <f t="shared" si="24"/>
        <v>0</v>
      </c>
      <c r="G91" s="166"/>
      <c r="H91" s="167">
        <f t="shared" si="25"/>
        <v>0</v>
      </c>
      <c r="I91" s="167">
        <f t="shared" si="23"/>
        <v>0</v>
      </c>
      <c r="J91" s="167">
        <f>IF(C91="","",IF(F91=0,0,IF(C91&lt;='Tabla Parámetros'!$J$23,I91,IF($E$2='Tabla Parámetros'!$J$19,((($H$2/1000*'Tabla Parámetros'!$K$19)/30.4*C91)*1.0212^5),IF($E$2='Tabla Parámetros'!$J$20,($H$2/1000*'Tabla Parámetros'!$K$20)/30.4*C91)*1.0201^5)))+N91+O91)</f>
        <v>0</v>
      </c>
      <c r="K91" s="167">
        <f t="shared" si="20"/>
        <v>0</v>
      </c>
      <c r="L91" s="167">
        <f t="shared" si="26"/>
        <v>0</v>
      </c>
      <c r="M91" s="167">
        <f>IF(B91="","",IF(F91=0,0,IF(Simulador!$F$11='Tabla Parámetros'!$W$1,'Tabla Parámetros'!$W$28,IF(Simulador!$F$11='Tabla Parámetros'!$Y$1,'Tabla Parámetros'!$Y$12))))</f>
        <v>0</v>
      </c>
      <c r="N91" s="167">
        <f>IF(F91=0,0,IF(F91="","",IF(Simulador!$N$7='Tabla Parámetros'!$C$31,AportPat!L71,0)))</f>
        <v>0</v>
      </c>
      <c r="O91" s="167">
        <f>Simulador!O459</f>
        <v>0</v>
      </c>
      <c r="P91" s="167">
        <f t="shared" si="21"/>
        <v>0</v>
      </c>
      <c r="Q91" s="167">
        <f t="shared" ref="Q91:Q154" si="28">IF(B91="","",F91-H91)</f>
        <v>0</v>
      </c>
      <c r="T91" s="6"/>
      <c r="U91" s="6"/>
      <c r="V91" s="6"/>
      <c r="W91" s="29">
        <f t="shared" si="19"/>
        <v>0</v>
      </c>
    </row>
    <row r="92" spans="2:23" x14ac:dyDescent="0.3">
      <c r="B92" s="181">
        <f t="shared" si="22"/>
        <v>69</v>
      </c>
      <c r="C92" s="180">
        <f t="shared" si="27"/>
        <v>30.4</v>
      </c>
      <c r="D92" s="193">
        <f>IF(B92="","",'Tabla Parámetros'!$G$4)</f>
        <v>0.11550000000000001</v>
      </c>
      <c r="E92" s="167"/>
      <c r="F92" s="167">
        <f t="shared" si="24"/>
        <v>0</v>
      </c>
      <c r="G92" s="166"/>
      <c r="H92" s="167">
        <f t="shared" si="25"/>
        <v>0</v>
      </c>
      <c r="I92" s="167">
        <f t="shared" si="23"/>
        <v>0</v>
      </c>
      <c r="J92" s="167">
        <f>IF(C92="","",IF(F92=0,0,IF(C92&lt;='Tabla Parámetros'!$J$23,I92,IF($E$2='Tabla Parámetros'!$J$19,((($H$2/1000*'Tabla Parámetros'!$K$19)/30.4*C92)*1.0212^5),IF($E$2='Tabla Parámetros'!$J$20,($H$2/1000*'Tabla Parámetros'!$K$20)/30.4*C92)*1.0201^5)))+N92+O92)</f>
        <v>0</v>
      </c>
      <c r="K92" s="167">
        <f t="shared" si="20"/>
        <v>0</v>
      </c>
      <c r="L92" s="167">
        <f t="shared" si="26"/>
        <v>0</v>
      </c>
      <c r="M92" s="167">
        <f>IF(B92="","",IF(F92=0,0,IF(Simulador!$F$11='Tabla Parámetros'!$W$1,'Tabla Parámetros'!$W$28,IF(Simulador!$F$11='Tabla Parámetros'!$Y$1,'Tabla Parámetros'!$Y$12))))</f>
        <v>0</v>
      </c>
      <c r="N92" s="167">
        <f>IF(F92=0,0,IF(F92="","",IF(Simulador!$N$7='Tabla Parámetros'!$C$31,AportPat!L72,0)))</f>
        <v>0</v>
      </c>
      <c r="O92" s="167">
        <f>Simulador!O460</f>
        <v>0</v>
      </c>
      <c r="P92" s="167">
        <f t="shared" si="21"/>
        <v>0</v>
      </c>
      <c r="Q92" s="167">
        <f t="shared" si="28"/>
        <v>0</v>
      </c>
      <c r="T92" s="6"/>
      <c r="U92" s="6"/>
      <c r="V92" s="6"/>
      <c r="W92" s="29">
        <f t="shared" si="19"/>
        <v>0</v>
      </c>
    </row>
    <row r="93" spans="2:23" x14ac:dyDescent="0.3">
      <c r="B93" s="181">
        <f t="shared" si="22"/>
        <v>70</v>
      </c>
      <c r="C93" s="180">
        <f t="shared" si="27"/>
        <v>30.4</v>
      </c>
      <c r="D93" s="193">
        <f>IF(B93="","",'Tabla Parámetros'!$G$4)</f>
        <v>0.11550000000000001</v>
      </c>
      <c r="E93" s="167"/>
      <c r="F93" s="167">
        <f t="shared" si="24"/>
        <v>0</v>
      </c>
      <c r="G93" s="166"/>
      <c r="H93" s="167">
        <f t="shared" si="25"/>
        <v>0</v>
      </c>
      <c r="I93" s="167">
        <f t="shared" si="23"/>
        <v>0</v>
      </c>
      <c r="J93" s="167">
        <f>IF(C93="","",IF(F93=0,0,IF(C93&lt;='Tabla Parámetros'!$J$23,I93,IF($E$2='Tabla Parámetros'!$J$19,((($H$2/1000*'Tabla Parámetros'!$K$19)/30.4*C93)*1.0212^5),IF($E$2='Tabla Parámetros'!$J$20,($H$2/1000*'Tabla Parámetros'!$K$20)/30.4*C93)*1.0201^5)))+N93+O93)</f>
        <v>0</v>
      </c>
      <c r="K93" s="167">
        <f t="shared" si="20"/>
        <v>0</v>
      </c>
      <c r="L93" s="167">
        <f t="shared" si="26"/>
        <v>0</v>
      </c>
      <c r="M93" s="167">
        <f>IF(B93="","",IF(F93=0,0,IF(Simulador!$F$11='Tabla Parámetros'!$W$1,'Tabla Parámetros'!$W$28,IF(Simulador!$F$11='Tabla Parámetros'!$Y$1,'Tabla Parámetros'!$Y$12))))</f>
        <v>0</v>
      </c>
      <c r="N93" s="167">
        <f>IF(F93=0,0,IF(F93="","",IF(Simulador!$N$7='Tabla Parámetros'!$C$31,AportPat!L73,0)))</f>
        <v>0</v>
      </c>
      <c r="O93" s="167">
        <f>Simulador!O461</f>
        <v>0</v>
      </c>
      <c r="P93" s="167">
        <f t="shared" si="21"/>
        <v>0</v>
      </c>
      <c r="Q93" s="167">
        <f t="shared" si="28"/>
        <v>0</v>
      </c>
      <c r="T93" s="6"/>
      <c r="U93" s="6"/>
      <c r="V93" s="6"/>
      <c r="W93" s="29">
        <f t="shared" si="19"/>
        <v>0</v>
      </c>
    </row>
    <row r="94" spans="2:23" x14ac:dyDescent="0.3">
      <c r="B94" s="181">
        <f t="shared" si="22"/>
        <v>71</v>
      </c>
      <c r="C94" s="180">
        <f t="shared" si="27"/>
        <v>30.4</v>
      </c>
      <c r="D94" s="193">
        <f>IF(B94="","",'Tabla Parámetros'!$G$4)</f>
        <v>0.11550000000000001</v>
      </c>
      <c r="E94" s="167"/>
      <c r="F94" s="167">
        <f t="shared" si="24"/>
        <v>0</v>
      </c>
      <c r="G94" s="166"/>
      <c r="H94" s="167">
        <f t="shared" si="25"/>
        <v>0</v>
      </c>
      <c r="I94" s="167">
        <f t="shared" si="23"/>
        <v>0</v>
      </c>
      <c r="J94" s="167">
        <f>IF(C94="","",IF(F94=0,0,IF(C94&lt;='Tabla Parámetros'!$J$23,I94,IF($E$2='Tabla Parámetros'!$J$19,((($H$2/1000*'Tabla Parámetros'!$K$19)/30.4*C94)*1.0212^5),IF($E$2='Tabla Parámetros'!$J$20,($H$2/1000*'Tabla Parámetros'!$K$20)/30.4*C94)*1.0201^5)))+N94+O94)</f>
        <v>0</v>
      </c>
      <c r="K94" s="167">
        <f t="shared" si="20"/>
        <v>0</v>
      </c>
      <c r="L94" s="167">
        <f t="shared" si="26"/>
        <v>0</v>
      </c>
      <c r="M94" s="167">
        <f>IF(B94="","",IF(F94=0,0,IF(Simulador!$F$11='Tabla Parámetros'!$W$1,'Tabla Parámetros'!$W$28,IF(Simulador!$F$11='Tabla Parámetros'!$Y$1,'Tabla Parámetros'!$Y$12))))</f>
        <v>0</v>
      </c>
      <c r="N94" s="167">
        <f>IF(F94=0,0,IF(F94="","",IF(Simulador!$N$7='Tabla Parámetros'!$C$31,AportPat!L74,0)))</f>
        <v>0</v>
      </c>
      <c r="O94" s="167">
        <f>Simulador!O462</f>
        <v>0</v>
      </c>
      <c r="P94" s="167">
        <f t="shared" si="21"/>
        <v>0</v>
      </c>
      <c r="Q94" s="167">
        <f t="shared" si="28"/>
        <v>0</v>
      </c>
      <c r="T94" s="6"/>
      <c r="U94" s="6"/>
      <c r="V94" s="6"/>
      <c r="W94" s="29">
        <f t="shared" si="19"/>
        <v>0</v>
      </c>
    </row>
    <row r="95" spans="2:23" x14ac:dyDescent="0.3">
      <c r="B95" s="181">
        <f t="shared" si="22"/>
        <v>72</v>
      </c>
      <c r="C95" s="180">
        <f t="shared" si="27"/>
        <v>30.4</v>
      </c>
      <c r="D95" s="193">
        <f>IF(B95="","",'Tabla Parámetros'!$G$4)</f>
        <v>0.11550000000000001</v>
      </c>
      <c r="E95" s="167"/>
      <c r="F95" s="167">
        <f t="shared" si="24"/>
        <v>0</v>
      </c>
      <c r="G95" s="166"/>
      <c r="H95" s="167">
        <f t="shared" si="25"/>
        <v>0</v>
      </c>
      <c r="I95" s="167">
        <f t="shared" si="23"/>
        <v>0</v>
      </c>
      <c r="J95" s="167">
        <f>IF(C95="","",IF(F95=0,0,IF(C95&lt;='Tabla Parámetros'!$J$23,I95,IF($E$2='Tabla Parámetros'!$J$19,((($H$2/1000*'Tabla Parámetros'!$K$19)/30.4*C95)*1.0212^5),IF($E$2='Tabla Parámetros'!$J$20,($H$2/1000*'Tabla Parámetros'!$K$20)/30.4*C95)*1.0201^5)))+N95+O95)</f>
        <v>0</v>
      </c>
      <c r="K95" s="167">
        <f t="shared" si="20"/>
        <v>0</v>
      </c>
      <c r="L95" s="167">
        <f t="shared" si="26"/>
        <v>0</v>
      </c>
      <c r="M95" s="167">
        <f>IF(B95="","",IF(F95=0,0,IF(Simulador!$F$11='Tabla Parámetros'!$W$1,'Tabla Parámetros'!$W$28,IF(Simulador!$F$11='Tabla Parámetros'!$Y$1,'Tabla Parámetros'!$Y$12))))</f>
        <v>0</v>
      </c>
      <c r="N95" s="167">
        <f>IF(F95=0,0,IF(F95="","",IF(Simulador!$N$7='Tabla Parámetros'!$C$31,AportPat!L75,0)))</f>
        <v>0</v>
      </c>
      <c r="O95" s="167">
        <f>Simulador!O463</f>
        <v>0</v>
      </c>
      <c r="P95" s="167">
        <f t="shared" si="21"/>
        <v>0</v>
      </c>
      <c r="Q95" s="167">
        <f t="shared" si="28"/>
        <v>0</v>
      </c>
      <c r="T95" s="6"/>
      <c r="U95" s="6"/>
      <c r="V95" s="6"/>
      <c r="W95" s="29">
        <f t="shared" si="19"/>
        <v>0</v>
      </c>
    </row>
    <row r="96" spans="2:23" x14ac:dyDescent="0.3">
      <c r="B96" s="181">
        <f t="shared" si="22"/>
        <v>73</v>
      </c>
      <c r="C96" s="180">
        <f t="shared" si="27"/>
        <v>30.4</v>
      </c>
      <c r="D96" s="193">
        <f>IF(B96="","",'Tabla Parámetros'!$G$4)</f>
        <v>0.11550000000000001</v>
      </c>
      <c r="E96" s="167"/>
      <c r="F96" s="167">
        <f t="shared" si="24"/>
        <v>0</v>
      </c>
      <c r="G96" s="166"/>
      <c r="H96" s="167">
        <f t="shared" si="25"/>
        <v>0</v>
      </c>
      <c r="I96" s="167">
        <f t="shared" si="23"/>
        <v>0</v>
      </c>
      <c r="J96" s="167">
        <f>IF(C96="","",IF(F96=0,0,IF(C96&lt;='Tabla Parámetros'!$J$23,I96,IF($E$2='Tabla Parámetros'!$J$19,((($H$2/1000*'Tabla Parámetros'!$K$19)/30.4*C96)*1.0212^5),IF($E$2='Tabla Parámetros'!$J$20,($H$2/1000*'Tabla Parámetros'!$K$20)/30.4*C96)*1.0201^5)))+N96+O96)</f>
        <v>0</v>
      </c>
      <c r="K96" s="167">
        <f t="shared" si="20"/>
        <v>0</v>
      </c>
      <c r="L96" s="167">
        <f t="shared" si="26"/>
        <v>0</v>
      </c>
      <c r="M96" s="167">
        <f>IF(B96="","",IF(F96=0,0,IF(Simulador!$F$11='Tabla Parámetros'!$W$1,'Tabla Parámetros'!$W$28,IF(Simulador!$F$11='Tabla Parámetros'!$Y$1,'Tabla Parámetros'!$Y$12))))</f>
        <v>0</v>
      </c>
      <c r="N96" s="167">
        <f>IF(F96=0,0,IF(F96="","",IF(Simulador!$N$7='Tabla Parámetros'!$C$31,AportPat!L76,0)))</f>
        <v>0</v>
      </c>
      <c r="O96" s="167">
        <f>Simulador!O464</f>
        <v>0</v>
      </c>
      <c r="P96" s="167">
        <f t="shared" si="21"/>
        <v>0</v>
      </c>
      <c r="Q96" s="167">
        <f t="shared" si="28"/>
        <v>0</v>
      </c>
      <c r="T96" s="6"/>
      <c r="U96" s="6"/>
      <c r="V96" s="6"/>
      <c r="W96" s="29">
        <f t="shared" si="19"/>
        <v>0</v>
      </c>
    </row>
    <row r="97" spans="2:23" x14ac:dyDescent="0.3">
      <c r="B97" s="181">
        <f t="shared" si="22"/>
        <v>74</v>
      </c>
      <c r="C97" s="180">
        <f t="shared" si="27"/>
        <v>30.4</v>
      </c>
      <c r="D97" s="193">
        <f>IF(B97="","",'Tabla Parámetros'!$G$5)</f>
        <v>0.11799999999999999</v>
      </c>
      <c r="E97" s="167"/>
      <c r="F97" s="167">
        <f t="shared" si="24"/>
        <v>0</v>
      </c>
      <c r="G97" s="166"/>
      <c r="H97" s="167">
        <f t="shared" si="25"/>
        <v>0</v>
      </c>
      <c r="I97" s="167">
        <f t="shared" si="23"/>
        <v>0</v>
      </c>
      <c r="J97" s="167">
        <f>IF(C97="","",IF(F97=0,0,IF(C97&lt;='Tabla Parámetros'!$J$23,I97,IF($E$2='Tabla Parámetros'!$J$19,((($H$2/1000*'Tabla Parámetros'!$K$19)/30.4*C97)*1.0212^6),IF($E$2='Tabla Parámetros'!$J$20,($H$2/1000*'Tabla Parámetros'!$K$20)/30.4*C97)*1.0201^6)))+N97+O97)</f>
        <v>0</v>
      </c>
      <c r="K97" s="167">
        <f t="shared" si="20"/>
        <v>0</v>
      </c>
      <c r="L97" s="167">
        <f t="shared" si="26"/>
        <v>0</v>
      </c>
      <c r="M97" s="167">
        <f>IF(B97="","",IF(F97=0,0,IF(Simulador!$F$11='Tabla Parámetros'!$W$1,'Tabla Parámetros'!$W$28,IF(Simulador!$F$11='Tabla Parámetros'!$Y$1,'Tabla Parámetros'!$Y$12))))</f>
        <v>0</v>
      </c>
      <c r="N97" s="167">
        <f>IF(F97=0,0,IF(F97="","",IF(Simulador!$N$7='Tabla Parámetros'!$C$31,AportPat!L77,0)))</f>
        <v>0</v>
      </c>
      <c r="O97" s="167">
        <f>Simulador!O465</f>
        <v>0</v>
      </c>
      <c r="P97" s="167">
        <f t="shared" si="21"/>
        <v>0</v>
      </c>
      <c r="Q97" s="167">
        <f t="shared" si="28"/>
        <v>0</v>
      </c>
      <c r="T97" s="6"/>
      <c r="U97" s="6"/>
      <c r="V97" s="6"/>
      <c r="W97" s="29">
        <f t="shared" si="19"/>
        <v>0</v>
      </c>
    </row>
    <row r="98" spans="2:23" x14ac:dyDescent="0.3">
      <c r="B98" s="181">
        <f t="shared" si="22"/>
        <v>75</v>
      </c>
      <c r="C98" s="180">
        <f t="shared" si="27"/>
        <v>30.4</v>
      </c>
      <c r="D98" s="193">
        <f>IF(B98="","",'Tabla Parámetros'!$G$5)</f>
        <v>0.11799999999999999</v>
      </c>
      <c r="E98" s="167"/>
      <c r="F98" s="167">
        <f t="shared" si="24"/>
        <v>0</v>
      </c>
      <c r="G98" s="166"/>
      <c r="H98" s="167">
        <f t="shared" si="25"/>
        <v>0</v>
      </c>
      <c r="I98" s="167">
        <f t="shared" si="23"/>
        <v>0</v>
      </c>
      <c r="J98" s="167">
        <f>IF(C98="","",IF(F98=0,0,IF(C98&lt;='Tabla Parámetros'!$J$23,I98,IF($E$2='Tabla Parámetros'!$J$19,((($H$2/1000*'Tabla Parámetros'!$K$19)/30.4*C98)*1.0212^6),IF($E$2='Tabla Parámetros'!$J$20,($H$2/1000*'Tabla Parámetros'!$K$20)/30.4*C98)*1.0201^6)))+N98+O98)</f>
        <v>0</v>
      </c>
      <c r="K98" s="167">
        <f t="shared" si="20"/>
        <v>0</v>
      </c>
      <c r="L98" s="167">
        <f t="shared" si="26"/>
        <v>0</v>
      </c>
      <c r="M98" s="167">
        <f>IF(B98="","",IF(F98=0,0,IF(Simulador!$F$11='Tabla Parámetros'!$W$1,'Tabla Parámetros'!$W$28,IF(Simulador!$F$11='Tabla Parámetros'!$Y$1,'Tabla Parámetros'!$Y$12))))</f>
        <v>0</v>
      </c>
      <c r="N98" s="167">
        <f>IF(F98=0,0,IF(F98="","",IF(Simulador!$N$7='Tabla Parámetros'!$C$31,AportPat!L78,0)))</f>
        <v>0</v>
      </c>
      <c r="O98" s="167">
        <f>Simulador!O466</f>
        <v>0</v>
      </c>
      <c r="P98" s="167">
        <f t="shared" si="21"/>
        <v>0</v>
      </c>
      <c r="Q98" s="167">
        <f t="shared" si="28"/>
        <v>0</v>
      </c>
      <c r="T98" s="6"/>
      <c r="U98" s="6"/>
      <c r="V98" s="6"/>
      <c r="W98" s="29">
        <f t="shared" si="19"/>
        <v>0</v>
      </c>
    </row>
    <row r="99" spans="2:23" x14ac:dyDescent="0.3">
      <c r="B99" s="181">
        <f t="shared" si="22"/>
        <v>76</v>
      </c>
      <c r="C99" s="180">
        <f t="shared" si="27"/>
        <v>30.4</v>
      </c>
      <c r="D99" s="193">
        <f>IF(B99="","",'Tabla Parámetros'!$G$5)</f>
        <v>0.11799999999999999</v>
      </c>
      <c r="E99" s="167"/>
      <c r="F99" s="167">
        <f t="shared" si="24"/>
        <v>0</v>
      </c>
      <c r="G99" s="166"/>
      <c r="H99" s="167">
        <f t="shared" si="25"/>
        <v>0</v>
      </c>
      <c r="I99" s="167">
        <f t="shared" si="23"/>
        <v>0</v>
      </c>
      <c r="J99" s="167">
        <f>IF(C99="","",IF(F99=0,0,IF(C99&lt;='Tabla Parámetros'!$J$23,I99,IF($E$2='Tabla Parámetros'!$J$19,((($H$2/1000*'Tabla Parámetros'!$K$19)/30.4*C99)*1.0212^6),IF($E$2='Tabla Parámetros'!$J$20,($H$2/1000*'Tabla Parámetros'!$K$20)/30.4*C99)*1.0201^6)))+N99+O99)</f>
        <v>0</v>
      </c>
      <c r="K99" s="167">
        <f t="shared" si="20"/>
        <v>0</v>
      </c>
      <c r="L99" s="167">
        <f t="shared" si="26"/>
        <v>0</v>
      </c>
      <c r="M99" s="167">
        <f>IF(B99="","",IF(F99=0,0,IF(Simulador!$F$11='Tabla Parámetros'!$W$1,'Tabla Parámetros'!$W$28,IF(Simulador!$F$11='Tabla Parámetros'!$Y$1,'Tabla Parámetros'!$Y$12))))</f>
        <v>0</v>
      </c>
      <c r="N99" s="167">
        <f>IF(F99=0,0,IF(F99="","",IF(Simulador!$N$7='Tabla Parámetros'!$C$31,AportPat!L79,0)))</f>
        <v>0</v>
      </c>
      <c r="O99" s="167">
        <f>Simulador!O467</f>
        <v>0</v>
      </c>
      <c r="P99" s="167">
        <f t="shared" si="21"/>
        <v>0</v>
      </c>
      <c r="Q99" s="167">
        <f t="shared" si="28"/>
        <v>0</v>
      </c>
      <c r="T99" s="6"/>
      <c r="U99" s="6"/>
      <c r="V99" s="6"/>
      <c r="W99" s="29">
        <f t="shared" si="19"/>
        <v>0</v>
      </c>
    </row>
    <row r="100" spans="2:23" x14ac:dyDescent="0.3">
      <c r="B100" s="181">
        <f t="shared" si="22"/>
        <v>77</v>
      </c>
      <c r="C100" s="180">
        <f t="shared" si="27"/>
        <v>30.4</v>
      </c>
      <c r="D100" s="193">
        <f>IF(B100="","",'Tabla Parámetros'!$G$5)</f>
        <v>0.11799999999999999</v>
      </c>
      <c r="E100" s="167"/>
      <c r="F100" s="167">
        <f t="shared" si="24"/>
        <v>0</v>
      </c>
      <c r="G100" s="166"/>
      <c r="H100" s="167">
        <f t="shared" si="25"/>
        <v>0</v>
      </c>
      <c r="I100" s="167">
        <f t="shared" si="23"/>
        <v>0</v>
      </c>
      <c r="J100" s="167">
        <f>IF(C100="","",IF(F100=0,0,IF(C100&lt;='Tabla Parámetros'!$J$23,I100,IF($E$2='Tabla Parámetros'!$J$19,((($H$2/1000*'Tabla Parámetros'!$K$19)/30.4*C100)*1.0212^6),IF($E$2='Tabla Parámetros'!$J$20,($H$2/1000*'Tabla Parámetros'!$K$20)/30.4*C100)*1.0201^6)))+N100+O100)</f>
        <v>0</v>
      </c>
      <c r="K100" s="167">
        <f t="shared" si="20"/>
        <v>0</v>
      </c>
      <c r="L100" s="167">
        <f t="shared" si="26"/>
        <v>0</v>
      </c>
      <c r="M100" s="167">
        <f>IF(B100="","",IF(F100=0,0,IF(Simulador!$F$11='Tabla Parámetros'!$W$1,'Tabla Parámetros'!$W$28,IF(Simulador!$F$11='Tabla Parámetros'!$Y$1,'Tabla Parámetros'!$Y$12))))</f>
        <v>0</v>
      </c>
      <c r="N100" s="167">
        <f>IF(F100=0,0,IF(F100="","",IF(Simulador!$N$7='Tabla Parámetros'!$C$31,AportPat!L80,0)))</f>
        <v>0</v>
      </c>
      <c r="O100" s="167">
        <f>Simulador!O468</f>
        <v>0</v>
      </c>
      <c r="P100" s="167">
        <f t="shared" si="21"/>
        <v>0</v>
      </c>
      <c r="Q100" s="167">
        <f t="shared" si="28"/>
        <v>0</v>
      </c>
      <c r="T100" s="6"/>
      <c r="U100" s="6"/>
      <c r="V100" s="6"/>
      <c r="W100" s="29">
        <f t="shared" si="19"/>
        <v>0</v>
      </c>
    </row>
    <row r="101" spans="2:23" x14ac:dyDescent="0.3">
      <c r="B101" s="181">
        <f t="shared" si="22"/>
        <v>78</v>
      </c>
      <c r="C101" s="180">
        <f t="shared" si="27"/>
        <v>30.4</v>
      </c>
      <c r="D101" s="193">
        <f>IF(B101="","",'Tabla Parámetros'!$G$5)</f>
        <v>0.11799999999999999</v>
      </c>
      <c r="E101" s="167"/>
      <c r="F101" s="167">
        <f t="shared" si="24"/>
        <v>0</v>
      </c>
      <c r="G101" s="166"/>
      <c r="H101" s="167">
        <f t="shared" si="25"/>
        <v>0</v>
      </c>
      <c r="I101" s="167">
        <f t="shared" si="23"/>
        <v>0</v>
      </c>
      <c r="J101" s="167">
        <f>IF(C101="","",IF(F101=0,0,IF(C101&lt;='Tabla Parámetros'!$J$23,I101,IF($E$2='Tabla Parámetros'!$J$19,((($H$2/1000*'Tabla Parámetros'!$K$19)/30.4*C101)*1.0212^6),IF($E$2='Tabla Parámetros'!$J$20,($H$2/1000*'Tabla Parámetros'!$K$20)/30.4*C101)*1.0201^6)))+N101+O101)</f>
        <v>0</v>
      </c>
      <c r="K101" s="167">
        <f t="shared" si="20"/>
        <v>0</v>
      </c>
      <c r="L101" s="167">
        <f t="shared" si="26"/>
        <v>0</v>
      </c>
      <c r="M101" s="167">
        <f>IF(B101="","",IF(F101=0,0,IF(Simulador!$F$11='Tabla Parámetros'!$W$1,'Tabla Parámetros'!$W$28,IF(Simulador!$F$11='Tabla Parámetros'!$Y$1,'Tabla Parámetros'!$Y$12))))</f>
        <v>0</v>
      </c>
      <c r="N101" s="167">
        <f>IF(F101=0,0,IF(F101="","",IF(Simulador!$N$7='Tabla Parámetros'!$C$31,AportPat!L81,0)))</f>
        <v>0</v>
      </c>
      <c r="O101" s="167">
        <f>Simulador!O469</f>
        <v>0</v>
      </c>
      <c r="P101" s="167">
        <f t="shared" si="21"/>
        <v>0</v>
      </c>
      <c r="Q101" s="167">
        <f t="shared" si="28"/>
        <v>0</v>
      </c>
      <c r="T101" s="6"/>
      <c r="U101" s="6"/>
      <c r="V101" s="6"/>
      <c r="W101" s="29">
        <f t="shared" si="19"/>
        <v>0</v>
      </c>
    </row>
    <row r="102" spans="2:23" x14ac:dyDescent="0.3">
      <c r="B102" s="181">
        <f t="shared" si="22"/>
        <v>79</v>
      </c>
      <c r="C102" s="180">
        <f t="shared" si="27"/>
        <v>30.4</v>
      </c>
      <c r="D102" s="193">
        <f>IF(B102="","",'Tabla Parámetros'!$G$5)</f>
        <v>0.11799999999999999</v>
      </c>
      <c r="E102" s="167"/>
      <c r="F102" s="167">
        <f t="shared" si="24"/>
        <v>0</v>
      </c>
      <c r="G102" s="166"/>
      <c r="H102" s="167">
        <f t="shared" si="25"/>
        <v>0</v>
      </c>
      <c r="I102" s="167">
        <f t="shared" si="23"/>
        <v>0</v>
      </c>
      <c r="J102" s="167">
        <f>IF(C102="","",IF(F102=0,0,IF(C102&lt;='Tabla Parámetros'!$J$23,I102,IF($E$2='Tabla Parámetros'!$J$19,((($H$2/1000*'Tabla Parámetros'!$K$19)/30.4*C102)*1.0212^6),IF($E$2='Tabla Parámetros'!$J$20,($H$2/1000*'Tabla Parámetros'!$K$20)/30.4*C102)*1.0201^6)))+N102+O102)</f>
        <v>0</v>
      </c>
      <c r="K102" s="167">
        <f t="shared" si="20"/>
        <v>0</v>
      </c>
      <c r="L102" s="167">
        <f t="shared" si="26"/>
        <v>0</v>
      </c>
      <c r="M102" s="167">
        <f>IF(B102="","",IF(F102=0,0,IF(Simulador!$F$11='Tabla Parámetros'!$W$1,'Tabla Parámetros'!$W$28,IF(Simulador!$F$11='Tabla Parámetros'!$Y$1,'Tabla Parámetros'!$Y$12))))</f>
        <v>0</v>
      </c>
      <c r="N102" s="167">
        <f>IF(F102=0,0,IF(F102="","",IF(Simulador!$N$7='Tabla Parámetros'!$C$31,AportPat!L82,0)))</f>
        <v>0</v>
      </c>
      <c r="O102" s="167">
        <f>Simulador!O470</f>
        <v>0</v>
      </c>
      <c r="P102" s="167">
        <f t="shared" si="21"/>
        <v>0</v>
      </c>
      <c r="Q102" s="167">
        <f t="shared" si="28"/>
        <v>0</v>
      </c>
      <c r="T102" s="6"/>
      <c r="U102" s="6"/>
      <c r="V102" s="6"/>
      <c r="W102" s="29">
        <f t="shared" si="19"/>
        <v>0</v>
      </c>
    </row>
    <row r="103" spans="2:23" x14ac:dyDescent="0.3">
      <c r="B103" s="181">
        <f t="shared" si="22"/>
        <v>80</v>
      </c>
      <c r="C103" s="180">
        <f t="shared" si="27"/>
        <v>30.4</v>
      </c>
      <c r="D103" s="193">
        <f>IF(B103="","",'Tabla Parámetros'!$G$5)</f>
        <v>0.11799999999999999</v>
      </c>
      <c r="E103" s="167"/>
      <c r="F103" s="167">
        <f t="shared" si="24"/>
        <v>0</v>
      </c>
      <c r="G103" s="166"/>
      <c r="H103" s="167">
        <f t="shared" si="25"/>
        <v>0</v>
      </c>
      <c r="I103" s="167">
        <f t="shared" si="23"/>
        <v>0</v>
      </c>
      <c r="J103" s="167">
        <f>IF(C103="","",IF(F103=0,0,IF(C103&lt;='Tabla Parámetros'!$J$23,I103,IF($E$2='Tabla Parámetros'!$J$19,((($H$2/1000*'Tabla Parámetros'!$K$19)/30.4*C103)*1.0212^6),IF($E$2='Tabla Parámetros'!$J$20,($H$2/1000*'Tabla Parámetros'!$K$20)/30.4*C103)*1.0201^6)))+N103+O103)</f>
        <v>0</v>
      </c>
      <c r="K103" s="167">
        <f t="shared" si="20"/>
        <v>0</v>
      </c>
      <c r="L103" s="167">
        <f t="shared" si="26"/>
        <v>0</v>
      </c>
      <c r="M103" s="167">
        <f>IF(B103="","",IF(F103=0,0,IF(Simulador!$F$11='Tabla Parámetros'!$W$1,'Tabla Parámetros'!$W$28,IF(Simulador!$F$11='Tabla Parámetros'!$Y$1,'Tabla Parámetros'!$Y$12))))</f>
        <v>0</v>
      </c>
      <c r="N103" s="167">
        <f>IF(F103=0,0,IF(F103="","",IF(Simulador!$N$7='Tabla Parámetros'!$C$31,AportPat!L83,0)))</f>
        <v>0</v>
      </c>
      <c r="O103" s="167">
        <f>Simulador!O471</f>
        <v>0</v>
      </c>
      <c r="P103" s="167">
        <f t="shared" si="21"/>
        <v>0</v>
      </c>
      <c r="Q103" s="167">
        <f t="shared" si="28"/>
        <v>0</v>
      </c>
      <c r="T103" s="6"/>
      <c r="U103" s="6"/>
      <c r="V103" s="6"/>
      <c r="W103" s="29">
        <f t="shared" si="19"/>
        <v>0</v>
      </c>
    </row>
    <row r="104" spans="2:23" x14ac:dyDescent="0.3">
      <c r="B104" s="181">
        <f t="shared" si="22"/>
        <v>81</v>
      </c>
      <c r="C104" s="180">
        <f t="shared" si="27"/>
        <v>30.4</v>
      </c>
      <c r="D104" s="193">
        <f>IF(B104="","",'Tabla Parámetros'!$G$5)</f>
        <v>0.11799999999999999</v>
      </c>
      <c r="E104" s="167"/>
      <c r="F104" s="167">
        <f t="shared" si="24"/>
        <v>0</v>
      </c>
      <c r="G104" s="166"/>
      <c r="H104" s="167">
        <f t="shared" si="25"/>
        <v>0</v>
      </c>
      <c r="I104" s="167">
        <f t="shared" si="23"/>
        <v>0</v>
      </c>
      <c r="J104" s="167">
        <f>IF(C104="","",IF(F104=0,0,IF(C104&lt;='Tabla Parámetros'!$J$23,I104,IF($E$2='Tabla Parámetros'!$J$19,((($H$2/1000*'Tabla Parámetros'!$K$19)/30.4*C104)*1.0212^6),IF($E$2='Tabla Parámetros'!$J$20,($H$2/1000*'Tabla Parámetros'!$K$20)/30.4*C104)*1.0201^6)))+N104+O104)</f>
        <v>0</v>
      </c>
      <c r="K104" s="167">
        <f t="shared" si="20"/>
        <v>0</v>
      </c>
      <c r="L104" s="167">
        <f t="shared" si="26"/>
        <v>0</v>
      </c>
      <c r="M104" s="167">
        <f>IF(B104="","",IF(F104=0,0,IF(Simulador!$F$11='Tabla Parámetros'!$W$1,'Tabla Parámetros'!$W$28,IF(Simulador!$F$11='Tabla Parámetros'!$Y$1,'Tabla Parámetros'!$Y$12))))</f>
        <v>0</v>
      </c>
      <c r="N104" s="167">
        <f>IF(F104=0,0,IF(F104="","",IF(Simulador!$N$7='Tabla Parámetros'!$C$31,AportPat!L84,0)))</f>
        <v>0</v>
      </c>
      <c r="O104" s="167">
        <f>Simulador!O472</f>
        <v>0</v>
      </c>
      <c r="P104" s="167">
        <f t="shared" si="21"/>
        <v>0</v>
      </c>
      <c r="Q104" s="167">
        <f t="shared" si="28"/>
        <v>0</v>
      </c>
      <c r="T104" s="6"/>
      <c r="U104" s="6"/>
      <c r="V104" s="6"/>
      <c r="W104" s="29">
        <f t="shared" si="19"/>
        <v>0</v>
      </c>
    </row>
    <row r="105" spans="2:23" x14ac:dyDescent="0.3">
      <c r="B105" s="181">
        <f t="shared" si="22"/>
        <v>82</v>
      </c>
      <c r="C105" s="180">
        <f t="shared" si="27"/>
        <v>30.4</v>
      </c>
      <c r="D105" s="193">
        <f>IF(B105="","",'Tabla Parámetros'!$G$5)</f>
        <v>0.11799999999999999</v>
      </c>
      <c r="E105" s="167"/>
      <c r="F105" s="167">
        <f t="shared" si="24"/>
        <v>0</v>
      </c>
      <c r="G105" s="166"/>
      <c r="H105" s="167">
        <f t="shared" si="25"/>
        <v>0</v>
      </c>
      <c r="I105" s="167">
        <f t="shared" si="23"/>
        <v>0</v>
      </c>
      <c r="J105" s="167">
        <f>IF(C105="","",IF(F105=0,0,IF(C105&lt;='Tabla Parámetros'!$J$23,I105,IF($E$2='Tabla Parámetros'!$J$19,((($H$2/1000*'Tabla Parámetros'!$K$19)/30.4*C105)*1.0212^6),IF($E$2='Tabla Parámetros'!$J$20,($H$2/1000*'Tabla Parámetros'!$K$20)/30.4*C105)*1.0201^6)))+N105+O105)</f>
        <v>0</v>
      </c>
      <c r="K105" s="167">
        <f t="shared" si="20"/>
        <v>0</v>
      </c>
      <c r="L105" s="167">
        <f t="shared" si="26"/>
        <v>0</v>
      </c>
      <c r="M105" s="167">
        <f>IF(B105="","",IF(F105=0,0,IF(Simulador!$F$11='Tabla Parámetros'!$W$1,'Tabla Parámetros'!$W$28,IF(Simulador!$F$11='Tabla Parámetros'!$Y$1,'Tabla Parámetros'!$Y$12))))</f>
        <v>0</v>
      </c>
      <c r="N105" s="167">
        <f>IF(F105=0,0,IF(F105="","",IF(Simulador!$N$7='Tabla Parámetros'!$C$31,AportPat!L85,0)))</f>
        <v>0</v>
      </c>
      <c r="O105" s="167">
        <f>Simulador!O473</f>
        <v>0</v>
      </c>
      <c r="P105" s="167">
        <f t="shared" si="21"/>
        <v>0</v>
      </c>
      <c r="Q105" s="167">
        <f t="shared" si="28"/>
        <v>0</v>
      </c>
      <c r="T105" s="6"/>
      <c r="U105" s="6"/>
      <c r="V105" s="6"/>
      <c r="W105" s="29">
        <f t="shared" si="19"/>
        <v>0</v>
      </c>
    </row>
    <row r="106" spans="2:23" x14ac:dyDescent="0.3">
      <c r="B106" s="181">
        <f t="shared" si="22"/>
        <v>83</v>
      </c>
      <c r="C106" s="180">
        <f t="shared" si="27"/>
        <v>30.4</v>
      </c>
      <c r="D106" s="193">
        <f>IF(B106="","",'Tabla Parámetros'!$G$5)</f>
        <v>0.11799999999999999</v>
      </c>
      <c r="E106" s="167"/>
      <c r="F106" s="167">
        <f t="shared" si="24"/>
        <v>0</v>
      </c>
      <c r="G106" s="166"/>
      <c r="H106" s="167">
        <f t="shared" si="25"/>
        <v>0</v>
      </c>
      <c r="I106" s="167">
        <f t="shared" si="23"/>
        <v>0</v>
      </c>
      <c r="J106" s="167">
        <f>IF(C106="","",IF(F106=0,0,IF(C106&lt;='Tabla Parámetros'!$J$23,I106,IF($E$2='Tabla Parámetros'!$J$19,((($H$2/1000*'Tabla Parámetros'!$K$19)/30.4*C106)*1.0212^6),IF($E$2='Tabla Parámetros'!$J$20,($H$2/1000*'Tabla Parámetros'!$K$20)/30.4*C106)*1.0201^6)))+N106+O106)</f>
        <v>0</v>
      </c>
      <c r="K106" s="167">
        <f t="shared" si="20"/>
        <v>0</v>
      </c>
      <c r="L106" s="167">
        <f t="shared" si="26"/>
        <v>0</v>
      </c>
      <c r="M106" s="167">
        <f>IF(B106="","",IF(F106=0,0,IF(Simulador!$F$11='Tabla Parámetros'!$W$1,'Tabla Parámetros'!$W$28,IF(Simulador!$F$11='Tabla Parámetros'!$Y$1,'Tabla Parámetros'!$Y$12))))</f>
        <v>0</v>
      </c>
      <c r="N106" s="167">
        <f>IF(F106=0,0,IF(F106="","",IF(Simulador!$N$7='Tabla Parámetros'!$C$31,AportPat!L86,0)))</f>
        <v>0</v>
      </c>
      <c r="O106" s="167">
        <f>Simulador!O474</f>
        <v>0</v>
      </c>
      <c r="P106" s="167">
        <f t="shared" si="21"/>
        <v>0</v>
      </c>
      <c r="Q106" s="167">
        <f t="shared" si="28"/>
        <v>0</v>
      </c>
      <c r="T106" s="6"/>
      <c r="U106" s="6"/>
      <c r="V106" s="6"/>
      <c r="W106" s="29">
        <f t="shared" si="19"/>
        <v>0</v>
      </c>
    </row>
    <row r="107" spans="2:23" x14ac:dyDescent="0.3">
      <c r="B107" s="181">
        <f t="shared" si="22"/>
        <v>84</v>
      </c>
      <c r="C107" s="180">
        <f t="shared" si="27"/>
        <v>30.4</v>
      </c>
      <c r="D107" s="193">
        <f>IF(B107="","",'Tabla Parámetros'!$G$5)</f>
        <v>0.11799999999999999</v>
      </c>
      <c r="E107" s="167"/>
      <c r="F107" s="167">
        <f t="shared" si="24"/>
        <v>0</v>
      </c>
      <c r="G107" s="166"/>
      <c r="H107" s="167">
        <f t="shared" si="25"/>
        <v>0</v>
      </c>
      <c r="I107" s="167">
        <f t="shared" si="23"/>
        <v>0</v>
      </c>
      <c r="J107" s="167">
        <f>IF(C107="","",IF(F107=0,0,IF(C107&lt;='Tabla Parámetros'!$J$23,I107,IF($E$2='Tabla Parámetros'!$J$19,((($H$2/1000*'Tabla Parámetros'!$K$19)/30.4*C107)*1.0212^6),IF($E$2='Tabla Parámetros'!$J$20,($H$2/1000*'Tabla Parámetros'!$K$20)/30.4*C107)*1.0201^6)))+N107+O107)</f>
        <v>0</v>
      </c>
      <c r="K107" s="167">
        <f t="shared" si="20"/>
        <v>0</v>
      </c>
      <c r="L107" s="167">
        <f t="shared" si="26"/>
        <v>0</v>
      </c>
      <c r="M107" s="167">
        <f>IF(B107="","",IF(F107=0,0,IF(Simulador!$F$11='Tabla Parámetros'!$W$1,'Tabla Parámetros'!$W$28,IF(Simulador!$F$11='Tabla Parámetros'!$Y$1,'Tabla Parámetros'!$Y$12))))</f>
        <v>0</v>
      </c>
      <c r="N107" s="167">
        <f>IF(F107=0,0,IF(F107="","",IF(Simulador!$N$7='Tabla Parámetros'!$C$31,AportPat!L87,0)))</f>
        <v>0</v>
      </c>
      <c r="O107" s="167">
        <f>Simulador!O475</f>
        <v>0</v>
      </c>
      <c r="P107" s="167">
        <f t="shared" si="21"/>
        <v>0</v>
      </c>
      <c r="Q107" s="167">
        <f t="shared" si="28"/>
        <v>0</v>
      </c>
      <c r="T107" s="6"/>
      <c r="U107" s="6"/>
      <c r="V107" s="6"/>
      <c r="W107" s="29">
        <f t="shared" si="19"/>
        <v>0</v>
      </c>
    </row>
    <row r="108" spans="2:23" x14ac:dyDescent="0.3">
      <c r="B108" s="181">
        <f t="shared" si="22"/>
        <v>85</v>
      </c>
      <c r="C108" s="180">
        <f t="shared" si="27"/>
        <v>30.4</v>
      </c>
      <c r="D108" s="193">
        <f>IF(B108="","",'Tabla Parámetros'!$G$5)</f>
        <v>0.11799999999999999</v>
      </c>
      <c r="E108" s="167"/>
      <c r="F108" s="167">
        <f t="shared" si="24"/>
        <v>0</v>
      </c>
      <c r="G108" s="166"/>
      <c r="H108" s="167">
        <f t="shared" si="25"/>
        <v>0</v>
      </c>
      <c r="I108" s="167">
        <f t="shared" si="23"/>
        <v>0</v>
      </c>
      <c r="J108" s="167">
        <f>IF(C108="","",IF(F108=0,0,IF(C108&lt;='Tabla Parámetros'!$J$23,I108,IF($E$2='Tabla Parámetros'!$J$19,((($H$2/1000*'Tabla Parámetros'!$K$19)/30.4*C108)*1.0212^6),IF($E$2='Tabla Parámetros'!$J$20,($H$2/1000*'Tabla Parámetros'!$K$20)/30.4*C108)*1.0201^6)))+N108+O108)</f>
        <v>0</v>
      </c>
      <c r="K108" s="167">
        <f t="shared" si="20"/>
        <v>0</v>
      </c>
      <c r="L108" s="167">
        <f t="shared" si="26"/>
        <v>0</v>
      </c>
      <c r="M108" s="167">
        <f>IF(B108="","",IF(F108=0,0,IF(Simulador!$F$11='Tabla Parámetros'!$W$1,'Tabla Parámetros'!$W$28,IF(Simulador!$F$11='Tabla Parámetros'!$Y$1,'Tabla Parámetros'!$Y$12))))</f>
        <v>0</v>
      </c>
      <c r="N108" s="167">
        <f>IF(F108=0,0,IF(F108="","",IF(Simulador!$N$7='Tabla Parámetros'!$C$31,AportPat!L88,0)))</f>
        <v>0</v>
      </c>
      <c r="O108" s="167">
        <f>Simulador!O476</f>
        <v>0</v>
      </c>
      <c r="P108" s="167">
        <f t="shared" si="21"/>
        <v>0</v>
      </c>
      <c r="Q108" s="167">
        <f t="shared" si="28"/>
        <v>0</v>
      </c>
      <c r="T108" s="6"/>
      <c r="U108" s="6"/>
      <c r="V108" s="6"/>
      <c r="W108" s="29">
        <f t="shared" si="19"/>
        <v>0</v>
      </c>
    </row>
    <row r="109" spans="2:23" x14ac:dyDescent="0.3">
      <c r="B109" s="181">
        <f t="shared" si="22"/>
        <v>86</v>
      </c>
      <c r="C109" s="180">
        <f t="shared" si="27"/>
        <v>30.4</v>
      </c>
      <c r="D109" s="193">
        <f>IF(B109="","",'Tabla Parámetros'!$G$5)</f>
        <v>0.11799999999999999</v>
      </c>
      <c r="E109" s="167"/>
      <c r="F109" s="167">
        <f t="shared" si="24"/>
        <v>0</v>
      </c>
      <c r="G109" s="166"/>
      <c r="H109" s="167">
        <f t="shared" si="25"/>
        <v>0</v>
      </c>
      <c r="I109" s="167">
        <f t="shared" si="23"/>
        <v>0</v>
      </c>
      <c r="J109" s="167">
        <f>IF(C109="","",IF(F109=0,0,IF(C109&lt;='Tabla Parámetros'!$J$23,I109,IF($E$2='Tabla Parámetros'!$J$19,((($H$2/1000*'Tabla Parámetros'!$K$19)/30.4*C109)*1.0212^7),IF($E$2='Tabla Parámetros'!$J$20,($H$2/1000*'Tabla Parámetros'!$K$20)/30.4*C109)*1.0201^7)))+N109+O109)</f>
        <v>0</v>
      </c>
      <c r="K109" s="167">
        <f t="shared" si="20"/>
        <v>0</v>
      </c>
      <c r="L109" s="167">
        <f t="shared" si="26"/>
        <v>0</v>
      </c>
      <c r="M109" s="167">
        <f>IF(B109="","",IF(F109=0,0,IF(Simulador!$F$11='Tabla Parámetros'!$W$1,'Tabla Parámetros'!$W$28,IF(Simulador!$F$11='Tabla Parámetros'!$Y$1,'Tabla Parámetros'!$Y$12))))</f>
        <v>0</v>
      </c>
      <c r="N109" s="167">
        <f>IF(F109=0,0,IF(F109="","",IF(Simulador!$N$7='Tabla Parámetros'!$C$31,AportPat!L89,0)))</f>
        <v>0</v>
      </c>
      <c r="O109" s="167">
        <f>Simulador!O477</f>
        <v>0</v>
      </c>
      <c r="P109" s="167">
        <f t="shared" si="21"/>
        <v>0</v>
      </c>
      <c r="Q109" s="167">
        <f t="shared" si="28"/>
        <v>0</v>
      </c>
      <c r="T109" s="6"/>
      <c r="U109" s="6"/>
      <c r="V109" s="6"/>
      <c r="W109" s="29">
        <f t="shared" si="19"/>
        <v>0</v>
      </c>
    </row>
    <row r="110" spans="2:23" x14ac:dyDescent="0.3">
      <c r="B110" s="181">
        <f t="shared" si="22"/>
        <v>87</v>
      </c>
      <c r="C110" s="180">
        <f t="shared" si="27"/>
        <v>30.4</v>
      </c>
      <c r="D110" s="193">
        <f>IF(B110="","",'Tabla Parámetros'!$G$5)</f>
        <v>0.11799999999999999</v>
      </c>
      <c r="E110" s="167"/>
      <c r="F110" s="167">
        <f t="shared" si="24"/>
        <v>0</v>
      </c>
      <c r="G110" s="166"/>
      <c r="H110" s="167">
        <f t="shared" si="25"/>
        <v>0</v>
      </c>
      <c r="I110" s="167">
        <f t="shared" si="23"/>
        <v>0</v>
      </c>
      <c r="J110" s="167">
        <f>IF(C110="","",IF(F110=0,0,IF(C110&lt;='Tabla Parámetros'!$J$23,I110,IF($E$2='Tabla Parámetros'!$J$19,((($H$2/1000*'Tabla Parámetros'!$K$19)/30.4*C110)*1.0212^7),IF($E$2='Tabla Parámetros'!$J$20,($H$2/1000*'Tabla Parámetros'!$K$20)/30.4*C110)*1.0201^7)))+N110+O110)</f>
        <v>0</v>
      </c>
      <c r="K110" s="167">
        <f t="shared" si="20"/>
        <v>0</v>
      </c>
      <c r="L110" s="167">
        <f t="shared" si="26"/>
        <v>0</v>
      </c>
      <c r="M110" s="167">
        <f>IF(B110="","",IF(F110=0,0,IF(Simulador!$F$11='Tabla Parámetros'!$W$1,'Tabla Parámetros'!$W$28,IF(Simulador!$F$11='Tabla Parámetros'!$Y$1,'Tabla Parámetros'!$Y$12))))</f>
        <v>0</v>
      </c>
      <c r="N110" s="167">
        <f>IF(F110=0,0,IF(F110="","",IF(Simulador!$N$7='Tabla Parámetros'!$C$31,AportPat!L90,0)))</f>
        <v>0</v>
      </c>
      <c r="O110" s="167">
        <f>Simulador!O478</f>
        <v>0</v>
      </c>
      <c r="P110" s="167">
        <f t="shared" si="21"/>
        <v>0</v>
      </c>
      <c r="Q110" s="167">
        <f t="shared" si="28"/>
        <v>0</v>
      </c>
      <c r="T110" s="6"/>
      <c r="U110" s="6"/>
      <c r="V110" s="6"/>
      <c r="W110" s="29">
        <f t="shared" si="19"/>
        <v>0</v>
      </c>
    </row>
    <row r="111" spans="2:23" x14ac:dyDescent="0.3">
      <c r="B111" s="181">
        <f t="shared" si="22"/>
        <v>88</v>
      </c>
      <c r="C111" s="180">
        <f t="shared" si="27"/>
        <v>30.4</v>
      </c>
      <c r="D111" s="193">
        <f>IF(B111="","",'Tabla Parámetros'!$G$5)</f>
        <v>0.11799999999999999</v>
      </c>
      <c r="E111" s="167"/>
      <c r="F111" s="167">
        <f t="shared" si="24"/>
        <v>0</v>
      </c>
      <c r="G111" s="166"/>
      <c r="H111" s="167">
        <f t="shared" si="25"/>
        <v>0</v>
      </c>
      <c r="I111" s="167">
        <f t="shared" si="23"/>
        <v>0</v>
      </c>
      <c r="J111" s="167">
        <f>IF(C111="","",IF(F111=0,0,IF(C111&lt;='Tabla Parámetros'!$J$23,I111,IF($E$2='Tabla Parámetros'!$J$19,((($H$2/1000*'Tabla Parámetros'!$K$19)/30.4*C111)*1.0212^7),IF($E$2='Tabla Parámetros'!$J$20,($H$2/1000*'Tabla Parámetros'!$K$20)/30.4*C111)*1.0201^7)))+N111+O111)</f>
        <v>0</v>
      </c>
      <c r="K111" s="167">
        <f t="shared" si="20"/>
        <v>0</v>
      </c>
      <c r="L111" s="167">
        <f t="shared" si="26"/>
        <v>0</v>
      </c>
      <c r="M111" s="167">
        <f>IF(B111="","",IF(F111=0,0,IF(Simulador!$F$11='Tabla Parámetros'!$W$1,'Tabla Parámetros'!$W$28,IF(Simulador!$F$11='Tabla Parámetros'!$Y$1,'Tabla Parámetros'!$Y$12))))</f>
        <v>0</v>
      </c>
      <c r="N111" s="167">
        <f>IF(F111=0,0,IF(F111="","",IF(Simulador!$N$7='Tabla Parámetros'!$C$31,AportPat!L91,0)))</f>
        <v>0</v>
      </c>
      <c r="O111" s="167">
        <f>Simulador!O479</f>
        <v>0</v>
      </c>
      <c r="P111" s="167">
        <f t="shared" si="21"/>
        <v>0</v>
      </c>
      <c r="Q111" s="167">
        <f t="shared" si="28"/>
        <v>0</v>
      </c>
      <c r="T111" s="6"/>
      <c r="U111" s="6"/>
      <c r="V111" s="6"/>
      <c r="W111" s="29">
        <f t="shared" si="19"/>
        <v>0</v>
      </c>
    </row>
    <row r="112" spans="2:23" x14ac:dyDescent="0.3">
      <c r="B112" s="181">
        <f t="shared" si="22"/>
        <v>89</v>
      </c>
      <c r="C112" s="180">
        <f t="shared" si="27"/>
        <v>30.4</v>
      </c>
      <c r="D112" s="193">
        <f>IF(B112="","",'Tabla Parámetros'!$G$5)</f>
        <v>0.11799999999999999</v>
      </c>
      <c r="E112" s="167"/>
      <c r="F112" s="167">
        <f t="shared" si="24"/>
        <v>0</v>
      </c>
      <c r="G112" s="166"/>
      <c r="H112" s="167">
        <f t="shared" si="25"/>
        <v>0</v>
      </c>
      <c r="I112" s="167">
        <f t="shared" si="23"/>
        <v>0</v>
      </c>
      <c r="J112" s="167">
        <f>IF(C112="","",IF(F112=0,0,IF(C112&lt;='Tabla Parámetros'!$J$23,I112,IF($E$2='Tabla Parámetros'!$J$19,((($H$2/1000*'Tabla Parámetros'!$K$19)/30.4*C112)*1.0212^7),IF($E$2='Tabla Parámetros'!$J$20,($H$2/1000*'Tabla Parámetros'!$K$20)/30.4*C112)*1.0201^7)))+N112+O112)</f>
        <v>0</v>
      </c>
      <c r="K112" s="167">
        <f t="shared" si="20"/>
        <v>0</v>
      </c>
      <c r="L112" s="167">
        <f t="shared" si="26"/>
        <v>0</v>
      </c>
      <c r="M112" s="167">
        <f>IF(B112="","",IF(F112=0,0,IF(Simulador!$F$11='Tabla Parámetros'!$W$1,'Tabla Parámetros'!$W$28,IF(Simulador!$F$11='Tabla Parámetros'!$Y$1,'Tabla Parámetros'!$Y$12))))</f>
        <v>0</v>
      </c>
      <c r="N112" s="167">
        <f>IF(F112=0,0,IF(F112="","",IF(Simulador!$N$7='Tabla Parámetros'!$C$31,AportPat!L92,0)))</f>
        <v>0</v>
      </c>
      <c r="O112" s="167">
        <f>Simulador!O480</f>
        <v>0</v>
      </c>
      <c r="P112" s="167">
        <f t="shared" si="21"/>
        <v>0</v>
      </c>
      <c r="Q112" s="167">
        <f t="shared" si="28"/>
        <v>0</v>
      </c>
      <c r="T112" s="6"/>
      <c r="U112" s="6"/>
      <c r="V112" s="6"/>
      <c r="W112" s="29">
        <f t="shared" si="19"/>
        <v>0</v>
      </c>
    </row>
    <row r="113" spans="2:23" x14ac:dyDescent="0.3">
      <c r="B113" s="181">
        <f t="shared" si="22"/>
        <v>90</v>
      </c>
      <c r="C113" s="180">
        <f t="shared" si="27"/>
        <v>30.4</v>
      </c>
      <c r="D113" s="193">
        <f>IF(B113="","",'Tabla Parámetros'!$G$5)</f>
        <v>0.11799999999999999</v>
      </c>
      <c r="E113" s="167"/>
      <c r="F113" s="167">
        <f t="shared" si="24"/>
        <v>0</v>
      </c>
      <c r="G113" s="166"/>
      <c r="H113" s="167">
        <f t="shared" si="25"/>
        <v>0</v>
      </c>
      <c r="I113" s="167">
        <f t="shared" si="23"/>
        <v>0</v>
      </c>
      <c r="J113" s="167">
        <f>IF(C113="","",IF(F113=0,0,IF(C113&lt;='Tabla Parámetros'!$J$23,I113,IF($E$2='Tabla Parámetros'!$J$19,((($H$2/1000*'Tabla Parámetros'!$K$19)/30.4*C113)*1.0212^7),IF($E$2='Tabla Parámetros'!$J$20,($H$2/1000*'Tabla Parámetros'!$K$20)/30.4*C113)*1.0201^7)))+N113+O113)</f>
        <v>0</v>
      </c>
      <c r="K113" s="167">
        <f t="shared" si="20"/>
        <v>0</v>
      </c>
      <c r="L113" s="167">
        <f t="shared" si="26"/>
        <v>0</v>
      </c>
      <c r="M113" s="167">
        <f>IF(B113="","",IF(F113=0,0,IF(Simulador!$F$11='Tabla Parámetros'!$W$1,'Tabla Parámetros'!$W$28,IF(Simulador!$F$11='Tabla Parámetros'!$Y$1,'Tabla Parámetros'!$Y$12))))</f>
        <v>0</v>
      </c>
      <c r="N113" s="167">
        <f>IF(F113=0,0,IF(F113="","",IF(Simulador!$N$7='Tabla Parámetros'!$C$31,AportPat!L93,0)))</f>
        <v>0</v>
      </c>
      <c r="O113" s="167">
        <f>Simulador!O481</f>
        <v>0</v>
      </c>
      <c r="P113" s="167">
        <f t="shared" si="21"/>
        <v>0</v>
      </c>
      <c r="Q113" s="167">
        <f t="shared" si="28"/>
        <v>0</v>
      </c>
      <c r="T113" s="6"/>
      <c r="U113" s="6"/>
      <c r="V113" s="6"/>
      <c r="W113" s="29">
        <f t="shared" si="19"/>
        <v>0</v>
      </c>
    </row>
    <row r="114" spans="2:23" x14ac:dyDescent="0.3">
      <c r="B114" s="181">
        <f t="shared" si="22"/>
        <v>91</v>
      </c>
      <c r="C114" s="180">
        <f t="shared" si="27"/>
        <v>30.4</v>
      </c>
      <c r="D114" s="193">
        <f>IF(B114="","",'Tabla Parámetros'!$G$5)</f>
        <v>0.11799999999999999</v>
      </c>
      <c r="E114" s="167"/>
      <c r="F114" s="167">
        <f t="shared" si="24"/>
        <v>0</v>
      </c>
      <c r="G114" s="166"/>
      <c r="H114" s="167">
        <f t="shared" si="25"/>
        <v>0</v>
      </c>
      <c r="I114" s="167">
        <f t="shared" si="23"/>
        <v>0</v>
      </c>
      <c r="J114" s="167">
        <f>IF(C114="","",IF(F114=0,0,IF(C114&lt;='Tabla Parámetros'!$J$23,I114,IF($E$2='Tabla Parámetros'!$J$19,((($H$2/1000*'Tabla Parámetros'!$K$19)/30.4*C114)*1.0212^7),IF($E$2='Tabla Parámetros'!$J$20,($H$2/1000*'Tabla Parámetros'!$K$20)/30.4*C114)*1.0201^7)))+N114+O114)</f>
        <v>0</v>
      </c>
      <c r="K114" s="167">
        <f t="shared" si="20"/>
        <v>0</v>
      </c>
      <c r="L114" s="167">
        <f t="shared" si="26"/>
        <v>0</v>
      </c>
      <c r="M114" s="167">
        <f>IF(B114="","",IF(F114=0,0,IF(Simulador!$F$11='Tabla Parámetros'!$W$1,'Tabla Parámetros'!$W$28,IF(Simulador!$F$11='Tabla Parámetros'!$Y$1,'Tabla Parámetros'!$Y$12))))</f>
        <v>0</v>
      </c>
      <c r="N114" s="167">
        <f>IF(F114=0,0,IF(F114="","",IF(Simulador!$N$7='Tabla Parámetros'!$C$31,AportPat!L94,0)))</f>
        <v>0</v>
      </c>
      <c r="O114" s="167">
        <f>Simulador!O482</f>
        <v>0</v>
      </c>
      <c r="P114" s="167">
        <f t="shared" si="21"/>
        <v>0</v>
      </c>
      <c r="Q114" s="167">
        <f t="shared" si="28"/>
        <v>0</v>
      </c>
      <c r="T114" s="6"/>
      <c r="U114" s="6"/>
      <c r="V114" s="6"/>
      <c r="W114" s="29">
        <f t="shared" si="19"/>
        <v>0</v>
      </c>
    </row>
    <row r="115" spans="2:23" x14ac:dyDescent="0.3">
      <c r="B115" s="181">
        <f t="shared" si="22"/>
        <v>92</v>
      </c>
      <c r="C115" s="180">
        <f t="shared" si="27"/>
        <v>30.4</v>
      </c>
      <c r="D115" s="193">
        <f>IF(B115="","",'Tabla Parámetros'!$G$5)</f>
        <v>0.11799999999999999</v>
      </c>
      <c r="E115" s="167"/>
      <c r="F115" s="167">
        <f t="shared" si="24"/>
        <v>0</v>
      </c>
      <c r="G115" s="166"/>
      <c r="H115" s="167">
        <f t="shared" si="25"/>
        <v>0</v>
      </c>
      <c r="I115" s="167">
        <f t="shared" si="23"/>
        <v>0</v>
      </c>
      <c r="J115" s="167">
        <f>IF(C115="","",IF(F115=0,0,IF(C115&lt;='Tabla Parámetros'!$J$23,I115,IF($E$2='Tabla Parámetros'!$J$19,((($H$2/1000*'Tabla Parámetros'!$K$19)/30.4*C115)*1.0212^7),IF($E$2='Tabla Parámetros'!$J$20,($H$2/1000*'Tabla Parámetros'!$K$20)/30.4*C115)*1.0201^7)))+N115+O115)</f>
        <v>0</v>
      </c>
      <c r="K115" s="167">
        <f t="shared" si="20"/>
        <v>0</v>
      </c>
      <c r="L115" s="167">
        <f t="shared" si="26"/>
        <v>0</v>
      </c>
      <c r="M115" s="167">
        <f>IF(B115="","",IF(F115=0,0,IF(Simulador!$F$11='Tabla Parámetros'!$W$1,'Tabla Parámetros'!$W$28,IF(Simulador!$F$11='Tabla Parámetros'!$Y$1,'Tabla Parámetros'!$Y$12))))</f>
        <v>0</v>
      </c>
      <c r="N115" s="167">
        <f>IF(F115=0,0,IF(F115="","",IF(Simulador!$N$7='Tabla Parámetros'!$C$31,AportPat!L95,0)))</f>
        <v>0</v>
      </c>
      <c r="O115" s="167">
        <f>Simulador!O483</f>
        <v>0</v>
      </c>
      <c r="P115" s="167">
        <f t="shared" si="21"/>
        <v>0</v>
      </c>
      <c r="Q115" s="167">
        <f t="shared" si="28"/>
        <v>0</v>
      </c>
      <c r="T115" s="6"/>
      <c r="U115" s="6"/>
      <c r="V115" s="6"/>
      <c r="W115" s="29">
        <f t="shared" si="19"/>
        <v>0</v>
      </c>
    </row>
    <row r="116" spans="2:23" x14ac:dyDescent="0.3">
      <c r="B116" s="181">
        <f t="shared" si="22"/>
        <v>93</v>
      </c>
      <c r="C116" s="180">
        <f t="shared" si="27"/>
        <v>30.4</v>
      </c>
      <c r="D116" s="193">
        <f>IF(B116="","",'Tabla Parámetros'!$G$5)</f>
        <v>0.11799999999999999</v>
      </c>
      <c r="E116" s="167"/>
      <c r="F116" s="167">
        <f t="shared" si="24"/>
        <v>0</v>
      </c>
      <c r="G116" s="166"/>
      <c r="H116" s="167">
        <f t="shared" si="25"/>
        <v>0</v>
      </c>
      <c r="I116" s="167">
        <f t="shared" si="23"/>
        <v>0</v>
      </c>
      <c r="J116" s="167">
        <f>IF(C116="","",IF(F116=0,0,IF(C116&lt;='Tabla Parámetros'!$J$23,I116,IF($E$2='Tabla Parámetros'!$J$19,((($H$2/1000*'Tabla Parámetros'!$K$19)/30.4*C116)*1.0212^7),IF($E$2='Tabla Parámetros'!$J$20,($H$2/1000*'Tabla Parámetros'!$K$20)/30.4*C116)*1.0201^7)))+N116+O116)</f>
        <v>0</v>
      </c>
      <c r="K116" s="167">
        <f t="shared" si="20"/>
        <v>0</v>
      </c>
      <c r="L116" s="167">
        <f t="shared" si="26"/>
        <v>0</v>
      </c>
      <c r="M116" s="167">
        <f>IF(B116="","",IF(F116=0,0,IF(Simulador!$F$11='Tabla Parámetros'!$W$1,'Tabla Parámetros'!$W$28,IF(Simulador!$F$11='Tabla Parámetros'!$Y$1,'Tabla Parámetros'!$Y$12))))</f>
        <v>0</v>
      </c>
      <c r="N116" s="167">
        <f>IF(F116=0,0,IF(F116="","",IF(Simulador!$N$7='Tabla Parámetros'!$C$31,AportPat!L96,0)))</f>
        <v>0</v>
      </c>
      <c r="O116" s="167">
        <f>Simulador!O484</f>
        <v>0</v>
      </c>
      <c r="P116" s="167">
        <f t="shared" si="21"/>
        <v>0</v>
      </c>
      <c r="Q116" s="167">
        <f t="shared" si="28"/>
        <v>0</v>
      </c>
      <c r="T116" s="6"/>
      <c r="U116" s="6"/>
      <c r="V116" s="6"/>
      <c r="W116" s="29">
        <f t="shared" si="19"/>
        <v>0</v>
      </c>
    </row>
    <row r="117" spans="2:23" x14ac:dyDescent="0.3">
      <c r="B117" s="181">
        <f t="shared" si="22"/>
        <v>94</v>
      </c>
      <c r="C117" s="180">
        <f t="shared" si="27"/>
        <v>30.4</v>
      </c>
      <c r="D117" s="193">
        <f>IF(B117="","",'Tabla Parámetros'!$G$5)</f>
        <v>0.11799999999999999</v>
      </c>
      <c r="E117" s="167"/>
      <c r="F117" s="167">
        <f t="shared" si="24"/>
        <v>0</v>
      </c>
      <c r="G117" s="166"/>
      <c r="H117" s="167">
        <f t="shared" si="25"/>
        <v>0</v>
      </c>
      <c r="I117" s="167">
        <f t="shared" si="23"/>
        <v>0</v>
      </c>
      <c r="J117" s="167">
        <f>IF(C117="","",IF(F117=0,0,IF(C117&lt;='Tabla Parámetros'!$J$23,I117,IF($E$2='Tabla Parámetros'!$J$19,((($H$2/1000*'Tabla Parámetros'!$K$19)/30.4*C117)*1.0212^7),IF($E$2='Tabla Parámetros'!$J$20,($H$2/1000*'Tabla Parámetros'!$K$20)/30.4*C117)*1.0201^7)))+N117+O117)</f>
        <v>0</v>
      </c>
      <c r="K117" s="167">
        <f t="shared" si="20"/>
        <v>0</v>
      </c>
      <c r="L117" s="167">
        <f t="shared" si="26"/>
        <v>0</v>
      </c>
      <c r="M117" s="167">
        <f>IF(B117="","",IF(F117=0,0,IF(Simulador!$F$11='Tabla Parámetros'!$W$1,'Tabla Parámetros'!$W$28,IF(Simulador!$F$11='Tabla Parámetros'!$Y$1,'Tabla Parámetros'!$Y$12))))</f>
        <v>0</v>
      </c>
      <c r="N117" s="167">
        <f>IF(F117=0,0,IF(F117="","",IF(Simulador!$N$7='Tabla Parámetros'!$C$31,AportPat!L97,0)))</f>
        <v>0</v>
      </c>
      <c r="O117" s="167">
        <f>Simulador!O485</f>
        <v>0</v>
      </c>
      <c r="P117" s="167">
        <f t="shared" si="21"/>
        <v>0</v>
      </c>
      <c r="Q117" s="167">
        <f t="shared" si="28"/>
        <v>0</v>
      </c>
      <c r="T117" s="6"/>
      <c r="U117" s="6"/>
      <c r="V117" s="6"/>
      <c r="W117" s="29">
        <f t="shared" si="19"/>
        <v>0</v>
      </c>
    </row>
    <row r="118" spans="2:23" x14ac:dyDescent="0.3">
      <c r="B118" s="181">
        <f t="shared" si="22"/>
        <v>95</v>
      </c>
      <c r="C118" s="180">
        <f t="shared" si="27"/>
        <v>30.4</v>
      </c>
      <c r="D118" s="193">
        <f>IF(B118="","",'Tabla Parámetros'!$G$5)</f>
        <v>0.11799999999999999</v>
      </c>
      <c r="E118" s="167"/>
      <c r="F118" s="167">
        <f t="shared" si="24"/>
        <v>0</v>
      </c>
      <c r="G118" s="166"/>
      <c r="H118" s="167">
        <f t="shared" si="25"/>
        <v>0</v>
      </c>
      <c r="I118" s="167">
        <f t="shared" si="23"/>
        <v>0</v>
      </c>
      <c r="J118" s="167">
        <f>IF(C118="","",IF(F118=0,0,IF(C118&lt;='Tabla Parámetros'!$J$23,I118,IF($E$2='Tabla Parámetros'!$J$19,((($H$2/1000*'Tabla Parámetros'!$K$19)/30.4*C118)*1.0212^7),IF($E$2='Tabla Parámetros'!$J$20,($H$2/1000*'Tabla Parámetros'!$K$20)/30.4*C118)*1.0201^7)))+N118+O118)</f>
        <v>0</v>
      </c>
      <c r="K118" s="167">
        <f t="shared" si="20"/>
        <v>0</v>
      </c>
      <c r="L118" s="167">
        <f t="shared" si="26"/>
        <v>0</v>
      </c>
      <c r="M118" s="167">
        <f>IF(B118="","",IF(F118=0,0,IF(Simulador!$F$11='Tabla Parámetros'!$W$1,'Tabla Parámetros'!$W$28,IF(Simulador!$F$11='Tabla Parámetros'!$Y$1,'Tabla Parámetros'!$Y$12))))</f>
        <v>0</v>
      </c>
      <c r="N118" s="167">
        <f>IF(F118=0,0,IF(F118="","",IF(Simulador!$N$7='Tabla Parámetros'!$C$31,AportPat!L98,0)))</f>
        <v>0</v>
      </c>
      <c r="O118" s="167">
        <f>Simulador!O486</f>
        <v>0</v>
      </c>
      <c r="P118" s="167">
        <f t="shared" si="21"/>
        <v>0</v>
      </c>
      <c r="Q118" s="167">
        <f t="shared" si="28"/>
        <v>0</v>
      </c>
      <c r="T118" s="6"/>
      <c r="U118" s="6"/>
      <c r="V118" s="6"/>
      <c r="W118" s="29">
        <f t="shared" si="19"/>
        <v>0</v>
      </c>
    </row>
    <row r="119" spans="2:23" x14ac:dyDescent="0.3">
      <c r="B119" s="181">
        <f t="shared" si="22"/>
        <v>96</v>
      </c>
      <c r="C119" s="180">
        <f t="shared" si="27"/>
        <v>30.4</v>
      </c>
      <c r="D119" s="193">
        <f>IF(B119="","",'Tabla Parámetros'!$G$5)</f>
        <v>0.11799999999999999</v>
      </c>
      <c r="E119" s="167"/>
      <c r="F119" s="167">
        <f t="shared" si="24"/>
        <v>0</v>
      </c>
      <c r="G119" s="166"/>
      <c r="H119" s="167">
        <f t="shared" si="25"/>
        <v>0</v>
      </c>
      <c r="I119" s="167">
        <f t="shared" si="23"/>
        <v>0</v>
      </c>
      <c r="J119" s="167">
        <f>IF(C119="","",IF(F119=0,0,IF(C119&lt;='Tabla Parámetros'!$J$23,I119,IF($E$2='Tabla Parámetros'!$J$19,((($H$2/1000*'Tabla Parámetros'!$K$19)/30.4*C119)*1.0212^7),IF($E$2='Tabla Parámetros'!$J$20,($H$2/1000*'Tabla Parámetros'!$K$20)/30.4*C119)*1.0201^7)))+N119+O119)</f>
        <v>0</v>
      </c>
      <c r="K119" s="167">
        <f t="shared" si="20"/>
        <v>0</v>
      </c>
      <c r="L119" s="167">
        <f t="shared" si="26"/>
        <v>0</v>
      </c>
      <c r="M119" s="167">
        <f>IF(B119="","",IF(F119=0,0,IF(Simulador!$F$11='Tabla Parámetros'!$W$1,'Tabla Parámetros'!$W$28,IF(Simulador!$F$11='Tabla Parámetros'!$Y$1,'Tabla Parámetros'!$Y$12))))</f>
        <v>0</v>
      </c>
      <c r="N119" s="167">
        <f>IF(F119=0,0,IF(F119="","",IF(Simulador!$N$7='Tabla Parámetros'!$C$31,AportPat!L99,0)))</f>
        <v>0</v>
      </c>
      <c r="O119" s="167">
        <f>Simulador!O487</f>
        <v>0</v>
      </c>
      <c r="P119" s="167">
        <f t="shared" si="21"/>
        <v>0</v>
      </c>
      <c r="Q119" s="167">
        <f t="shared" si="28"/>
        <v>0</v>
      </c>
      <c r="T119" s="6"/>
      <c r="U119" s="6"/>
      <c r="V119" s="6"/>
      <c r="W119" s="29">
        <f t="shared" si="19"/>
        <v>0</v>
      </c>
    </row>
    <row r="120" spans="2:23" x14ac:dyDescent="0.3">
      <c r="B120" s="181">
        <f t="shared" si="22"/>
        <v>97</v>
      </c>
      <c r="C120" s="180">
        <f t="shared" si="27"/>
        <v>30.4</v>
      </c>
      <c r="D120" s="193">
        <f>IF(B120="","",'Tabla Parámetros'!$G$5)</f>
        <v>0.11799999999999999</v>
      </c>
      <c r="E120" s="167"/>
      <c r="F120" s="167">
        <f t="shared" si="24"/>
        <v>0</v>
      </c>
      <c r="G120" s="166"/>
      <c r="H120" s="167">
        <f t="shared" si="25"/>
        <v>0</v>
      </c>
      <c r="I120" s="167">
        <f t="shared" si="23"/>
        <v>0</v>
      </c>
      <c r="J120" s="167">
        <f>IF(C120="","",IF(F120=0,0,IF(C120&lt;='Tabla Parámetros'!$J$23,I120,IF($E$2='Tabla Parámetros'!$J$19,((($H$2/1000*'Tabla Parámetros'!$K$19)/30.4*C120)*1.0212^7),IF($E$2='Tabla Parámetros'!$J$20,($H$2/1000*'Tabla Parámetros'!$K$20)/30.4*C120)*1.0201^7)))+N120+O120)</f>
        <v>0</v>
      </c>
      <c r="K120" s="167">
        <f t="shared" si="20"/>
        <v>0</v>
      </c>
      <c r="L120" s="167">
        <f t="shared" si="26"/>
        <v>0</v>
      </c>
      <c r="M120" s="167">
        <f>IF(B120="","",IF(F120=0,0,IF(Simulador!$F$11='Tabla Parámetros'!$W$1,'Tabla Parámetros'!$W$28,IF(Simulador!$F$11='Tabla Parámetros'!$Y$1,'Tabla Parámetros'!$Y$12))))</f>
        <v>0</v>
      </c>
      <c r="N120" s="167">
        <f>IF(F120=0,0,IF(F120="","",IF(Simulador!$N$7='Tabla Parámetros'!$C$31,AportPat!L100,0)))</f>
        <v>0</v>
      </c>
      <c r="O120" s="167">
        <f>Simulador!O488</f>
        <v>0</v>
      </c>
      <c r="P120" s="167">
        <f t="shared" si="21"/>
        <v>0</v>
      </c>
      <c r="Q120" s="167">
        <f t="shared" si="28"/>
        <v>0</v>
      </c>
      <c r="T120" s="6"/>
      <c r="U120" s="6"/>
      <c r="V120" s="6"/>
      <c r="W120" s="29">
        <f t="shared" si="19"/>
        <v>0</v>
      </c>
    </row>
    <row r="121" spans="2:23" x14ac:dyDescent="0.3">
      <c r="B121" s="181">
        <f t="shared" si="22"/>
        <v>98</v>
      </c>
      <c r="C121" s="180">
        <f t="shared" si="27"/>
        <v>30.4</v>
      </c>
      <c r="D121" s="193">
        <f>IF(B121="","",'Tabla Parámetros'!$G$5)</f>
        <v>0.11799999999999999</v>
      </c>
      <c r="E121" s="167"/>
      <c r="F121" s="167">
        <f t="shared" si="24"/>
        <v>0</v>
      </c>
      <c r="G121" s="166"/>
      <c r="H121" s="167">
        <f t="shared" si="25"/>
        <v>0</v>
      </c>
      <c r="I121" s="167">
        <f t="shared" si="23"/>
        <v>0</v>
      </c>
      <c r="J121" s="167">
        <f>IF(C121="","",IF(F121=0,0,IF(C121&lt;='Tabla Parámetros'!$J$23,I121,IF($E$2='Tabla Parámetros'!$J$19,((($H$2/1000*'Tabla Parámetros'!$K$19)/30.4*C121)*1.0212^8),IF($E$2='Tabla Parámetros'!$J$20,($H$2/1000*'Tabla Parámetros'!$K$20)/30.4*C121)*1.0201^8)))+N121+O121)</f>
        <v>0</v>
      </c>
      <c r="K121" s="167">
        <f t="shared" si="20"/>
        <v>0</v>
      </c>
      <c r="L121" s="167">
        <f t="shared" si="26"/>
        <v>0</v>
      </c>
      <c r="M121" s="167">
        <f>IF(B121="","",IF(F121=0,0,IF(Simulador!$F$11='Tabla Parámetros'!$W$1,'Tabla Parámetros'!$W$28,IF(Simulador!$F$11='Tabla Parámetros'!$Y$1,'Tabla Parámetros'!$Y$12))))</f>
        <v>0</v>
      </c>
      <c r="N121" s="167">
        <f>IF(F121=0,0,IF(F121="","",IF(Simulador!$N$7='Tabla Parámetros'!$C$31,AportPat!L101,0)))</f>
        <v>0</v>
      </c>
      <c r="O121" s="167">
        <f>Simulador!O489</f>
        <v>0</v>
      </c>
      <c r="P121" s="167">
        <f t="shared" si="21"/>
        <v>0</v>
      </c>
      <c r="Q121" s="167">
        <f t="shared" si="28"/>
        <v>0</v>
      </c>
      <c r="T121" s="6"/>
      <c r="U121" s="6"/>
      <c r="V121" s="6"/>
      <c r="W121" s="29">
        <f t="shared" si="19"/>
        <v>0</v>
      </c>
    </row>
    <row r="122" spans="2:23" x14ac:dyDescent="0.3">
      <c r="B122" s="181">
        <f t="shared" si="22"/>
        <v>99</v>
      </c>
      <c r="C122" s="180">
        <f t="shared" si="27"/>
        <v>30.4</v>
      </c>
      <c r="D122" s="193">
        <f>IF(B122="","",'Tabla Parámetros'!$G$5)</f>
        <v>0.11799999999999999</v>
      </c>
      <c r="E122" s="167"/>
      <c r="F122" s="167">
        <f t="shared" si="24"/>
        <v>0</v>
      </c>
      <c r="G122" s="166"/>
      <c r="H122" s="167">
        <f t="shared" si="25"/>
        <v>0</v>
      </c>
      <c r="I122" s="167">
        <f t="shared" si="23"/>
        <v>0</v>
      </c>
      <c r="J122" s="167">
        <f>IF(C122="","",IF(F122=0,0,IF(C122&lt;='Tabla Parámetros'!$J$23,I122,IF($E$2='Tabla Parámetros'!$J$19,((($H$2/1000*'Tabla Parámetros'!$K$19)/30.4*C122)*1.0212^8),IF($E$2='Tabla Parámetros'!$J$20,($H$2/1000*'Tabla Parámetros'!$K$20)/30.4*C122)*1.0201^8)))+N122+O122)</f>
        <v>0</v>
      </c>
      <c r="K122" s="167">
        <f t="shared" si="20"/>
        <v>0</v>
      </c>
      <c r="L122" s="167">
        <f t="shared" si="26"/>
        <v>0</v>
      </c>
      <c r="M122" s="167">
        <f>IF(B122="","",IF(F122=0,0,IF(Simulador!$F$11='Tabla Parámetros'!$W$1,'Tabla Parámetros'!$W$28,IF(Simulador!$F$11='Tabla Parámetros'!$Y$1,'Tabla Parámetros'!$Y$12))))</f>
        <v>0</v>
      </c>
      <c r="N122" s="167">
        <f>IF(F122=0,0,IF(F122="","",IF(Simulador!$N$7='Tabla Parámetros'!$C$31,AportPat!L102,0)))</f>
        <v>0</v>
      </c>
      <c r="O122" s="167">
        <f>Simulador!O490</f>
        <v>0</v>
      </c>
      <c r="P122" s="167">
        <f t="shared" si="21"/>
        <v>0</v>
      </c>
      <c r="Q122" s="167">
        <f t="shared" si="28"/>
        <v>0</v>
      </c>
      <c r="T122" s="6"/>
      <c r="U122" s="6"/>
      <c r="V122" s="6"/>
      <c r="W122" s="29">
        <f t="shared" si="19"/>
        <v>0</v>
      </c>
    </row>
    <row r="123" spans="2:23" x14ac:dyDescent="0.3">
      <c r="B123" s="181">
        <f t="shared" si="22"/>
        <v>100</v>
      </c>
      <c r="C123" s="180">
        <f t="shared" si="27"/>
        <v>30.4</v>
      </c>
      <c r="D123" s="193">
        <f>IF(B123="","",'Tabla Parámetros'!$G$5)</f>
        <v>0.11799999999999999</v>
      </c>
      <c r="E123" s="167"/>
      <c r="F123" s="167">
        <f t="shared" si="24"/>
        <v>0</v>
      </c>
      <c r="G123" s="166"/>
      <c r="H123" s="167">
        <f t="shared" si="25"/>
        <v>0</v>
      </c>
      <c r="I123" s="167">
        <f t="shared" si="23"/>
        <v>0</v>
      </c>
      <c r="J123" s="167">
        <f>IF(C123="","",IF(F123=0,0,IF(C123&lt;='Tabla Parámetros'!$J$23,I123,IF($E$2='Tabla Parámetros'!$J$19,((($H$2/1000*'Tabla Parámetros'!$K$19)/30.4*C123)*1.0212^8),IF($E$2='Tabla Parámetros'!$J$20,($H$2/1000*'Tabla Parámetros'!$K$20)/30.4*C123)*1.0201^8)))+N123+O123)</f>
        <v>0</v>
      </c>
      <c r="K123" s="167">
        <f t="shared" si="20"/>
        <v>0</v>
      </c>
      <c r="L123" s="167">
        <f t="shared" si="26"/>
        <v>0</v>
      </c>
      <c r="M123" s="167">
        <f>IF(B123="","",IF(F123=0,0,IF(Simulador!$F$11='Tabla Parámetros'!$W$1,'Tabla Parámetros'!$W$28,IF(Simulador!$F$11='Tabla Parámetros'!$Y$1,'Tabla Parámetros'!$Y$12))))</f>
        <v>0</v>
      </c>
      <c r="N123" s="167">
        <f>IF(F123=0,0,IF(F123="","",IF(Simulador!$N$7='Tabla Parámetros'!$C$31,AportPat!L103,0)))</f>
        <v>0</v>
      </c>
      <c r="O123" s="167">
        <f>Simulador!O491</f>
        <v>0</v>
      </c>
      <c r="P123" s="167">
        <f t="shared" si="21"/>
        <v>0</v>
      </c>
      <c r="Q123" s="167">
        <f t="shared" si="28"/>
        <v>0</v>
      </c>
      <c r="T123" s="6"/>
      <c r="U123" s="6"/>
      <c r="V123" s="6"/>
      <c r="W123" s="29">
        <f t="shared" si="19"/>
        <v>0</v>
      </c>
    </row>
    <row r="124" spans="2:23" x14ac:dyDescent="0.3">
      <c r="B124" s="181">
        <f t="shared" si="22"/>
        <v>101</v>
      </c>
      <c r="C124" s="180">
        <f t="shared" si="27"/>
        <v>30.4</v>
      </c>
      <c r="D124" s="193">
        <f>IF(B124="","",'Tabla Parámetros'!$G$5)</f>
        <v>0.11799999999999999</v>
      </c>
      <c r="E124" s="167"/>
      <c r="F124" s="167">
        <f t="shared" si="24"/>
        <v>0</v>
      </c>
      <c r="G124" s="166"/>
      <c r="H124" s="167">
        <f t="shared" si="25"/>
        <v>0</v>
      </c>
      <c r="I124" s="167">
        <f t="shared" si="23"/>
        <v>0</v>
      </c>
      <c r="J124" s="167">
        <f>IF(C124="","",IF(F124=0,0,IF(C124&lt;='Tabla Parámetros'!$J$23,I124,IF($E$2='Tabla Parámetros'!$J$19,((($H$2/1000*'Tabla Parámetros'!$K$19)/30.4*C124)*1.0212^8),IF($E$2='Tabla Parámetros'!$J$20,($H$2/1000*'Tabla Parámetros'!$K$20)/30.4*C124)*1.0201^8)))+N124+O124)</f>
        <v>0</v>
      </c>
      <c r="K124" s="167">
        <f t="shared" si="20"/>
        <v>0</v>
      </c>
      <c r="L124" s="167">
        <f t="shared" si="26"/>
        <v>0</v>
      </c>
      <c r="M124" s="167">
        <f>IF(B124="","",IF(F124=0,0,IF(Simulador!$F$11='Tabla Parámetros'!$W$1,'Tabla Parámetros'!$W$28,IF(Simulador!$F$11='Tabla Parámetros'!$Y$1,'Tabla Parámetros'!$Y$12))))</f>
        <v>0</v>
      </c>
      <c r="N124" s="167">
        <f>IF(F124=0,0,IF(F124="","",IF(Simulador!$N$7='Tabla Parámetros'!$C$31,AportPat!L104,0)))</f>
        <v>0</v>
      </c>
      <c r="O124" s="167">
        <f>Simulador!O492</f>
        <v>0</v>
      </c>
      <c r="P124" s="167">
        <f t="shared" si="21"/>
        <v>0</v>
      </c>
      <c r="Q124" s="167">
        <f t="shared" si="28"/>
        <v>0</v>
      </c>
      <c r="T124" s="6"/>
      <c r="U124" s="6"/>
      <c r="V124" s="6"/>
      <c r="W124" s="29">
        <f t="shared" si="19"/>
        <v>0</v>
      </c>
    </row>
    <row r="125" spans="2:23" x14ac:dyDescent="0.3">
      <c r="B125" s="181">
        <f t="shared" si="22"/>
        <v>102</v>
      </c>
      <c r="C125" s="180">
        <f t="shared" si="27"/>
        <v>30.4</v>
      </c>
      <c r="D125" s="193">
        <f>IF(B125="","",'Tabla Parámetros'!$G$5)</f>
        <v>0.11799999999999999</v>
      </c>
      <c r="E125" s="167"/>
      <c r="F125" s="167">
        <f t="shared" si="24"/>
        <v>0</v>
      </c>
      <c r="G125" s="166"/>
      <c r="H125" s="167">
        <f t="shared" si="25"/>
        <v>0</v>
      </c>
      <c r="I125" s="167">
        <f t="shared" si="23"/>
        <v>0</v>
      </c>
      <c r="J125" s="167">
        <f>IF(C125="","",IF(F125=0,0,IF(C125&lt;='Tabla Parámetros'!$J$23,I125,IF($E$2='Tabla Parámetros'!$J$19,((($H$2/1000*'Tabla Parámetros'!$K$19)/30.4*C125)*1.0212^8),IF($E$2='Tabla Parámetros'!$J$20,($H$2/1000*'Tabla Parámetros'!$K$20)/30.4*C125)*1.0201^8)))+N125+O125)</f>
        <v>0</v>
      </c>
      <c r="K125" s="167">
        <f t="shared" si="20"/>
        <v>0</v>
      </c>
      <c r="L125" s="167">
        <f t="shared" si="26"/>
        <v>0</v>
      </c>
      <c r="M125" s="167">
        <f>IF(B125="","",IF(F125=0,0,IF(Simulador!$F$11='Tabla Parámetros'!$W$1,'Tabla Parámetros'!$W$28,IF(Simulador!$F$11='Tabla Parámetros'!$Y$1,'Tabla Parámetros'!$Y$12))))</f>
        <v>0</v>
      </c>
      <c r="N125" s="167">
        <f>IF(F125=0,0,IF(F125="","",IF(Simulador!$N$7='Tabla Parámetros'!$C$31,AportPat!L105,0)))</f>
        <v>0</v>
      </c>
      <c r="O125" s="167">
        <f>Simulador!O493</f>
        <v>0</v>
      </c>
      <c r="P125" s="167">
        <f t="shared" si="21"/>
        <v>0</v>
      </c>
      <c r="Q125" s="167">
        <f t="shared" si="28"/>
        <v>0</v>
      </c>
      <c r="T125" s="6"/>
      <c r="U125" s="6"/>
      <c r="V125" s="6"/>
      <c r="W125" s="29">
        <f t="shared" si="19"/>
        <v>0</v>
      </c>
    </row>
    <row r="126" spans="2:23" x14ac:dyDescent="0.3">
      <c r="B126" s="181">
        <f t="shared" si="22"/>
        <v>103</v>
      </c>
      <c r="C126" s="180">
        <f t="shared" si="27"/>
        <v>30.4</v>
      </c>
      <c r="D126" s="193">
        <f>IF(B126="","",'Tabla Parámetros'!$G$5)</f>
        <v>0.11799999999999999</v>
      </c>
      <c r="E126" s="167"/>
      <c r="F126" s="167">
        <f t="shared" si="24"/>
        <v>0</v>
      </c>
      <c r="G126" s="166"/>
      <c r="H126" s="167">
        <f t="shared" si="25"/>
        <v>0</v>
      </c>
      <c r="I126" s="167">
        <f t="shared" si="23"/>
        <v>0</v>
      </c>
      <c r="J126" s="167">
        <f>IF(C126="","",IF(F126=0,0,IF(C126&lt;='Tabla Parámetros'!$J$23,I126,IF($E$2='Tabla Parámetros'!$J$19,((($H$2/1000*'Tabla Parámetros'!$K$19)/30.4*C126)*1.0212^8),IF($E$2='Tabla Parámetros'!$J$20,($H$2/1000*'Tabla Parámetros'!$K$20)/30.4*C126)*1.0201^8)))+N126+O126)</f>
        <v>0</v>
      </c>
      <c r="K126" s="167">
        <f t="shared" si="20"/>
        <v>0</v>
      </c>
      <c r="L126" s="167">
        <f t="shared" si="26"/>
        <v>0</v>
      </c>
      <c r="M126" s="167">
        <f>IF(B126="","",IF(F126=0,0,IF(Simulador!$F$11='Tabla Parámetros'!$W$1,'Tabla Parámetros'!$W$28,IF(Simulador!$F$11='Tabla Parámetros'!$Y$1,'Tabla Parámetros'!$Y$12))))</f>
        <v>0</v>
      </c>
      <c r="N126" s="167">
        <f>IF(F126=0,0,IF(F126="","",IF(Simulador!$N$7='Tabla Parámetros'!$C$31,AportPat!L106,0)))</f>
        <v>0</v>
      </c>
      <c r="O126" s="167">
        <f>Simulador!O494</f>
        <v>0</v>
      </c>
      <c r="P126" s="167">
        <f t="shared" si="21"/>
        <v>0</v>
      </c>
      <c r="Q126" s="167">
        <f t="shared" si="28"/>
        <v>0</v>
      </c>
      <c r="T126" s="6"/>
      <c r="U126" s="6"/>
      <c r="V126" s="6"/>
      <c r="W126" s="29">
        <f t="shared" si="19"/>
        <v>0</v>
      </c>
    </row>
    <row r="127" spans="2:23" x14ac:dyDescent="0.3">
      <c r="B127" s="181">
        <f t="shared" si="22"/>
        <v>104</v>
      </c>
      <c r="C127" s="180">
        <f t="shared" si="27"/>
        <v>30.4</v>
      </c>
      <c r="D127" s="193">
        <f>IF(B127="","",'Tabla Parámetros'!$G$5)</f>
        <v>0.11799999999999999</v>
      </c>
      <c r="E127" s="167"/>
      <c r="F127" s="167">
        <f t="shared" si="24"/>
        <v>0</v>
      </c>
      <c r="G127" s="166"/>
      <c r="H127" s="167">
        <f t="shared" si="25"/>
        <v>0</v>
      </c>
      <c r="I127" s="167">
        <f t="shared" si="23"/>
        <v>0</v>
      </c>
      <c r="J127" s="167">
        <f>IF(C127="","",IF(F127=0,0,IF(C127&lt;='Tabla Parámetros'!$J$23,I127,IF($E$2='Tabla Parámetros'!$J$19,((($H$2/1000*'Tabla Parámetros'!$K$19)/30.4*C127)*1.0212^8),IF($E$2='Tabla Parámetros'!$J$20,($H$2/1000*'Tabla Parámetros'!$K$20)/30.4*C127)*1.0201^8)))+N127+O127)</f>
        <v>0</v>
      </c>
      <c r="K127" s="167">
        <f t="shared" si="20"/>
        <v>0</v>
      </c>
      <c r="L127" s="167">
        <f t="shared" si="26"/>
        <v>0</v>
      </c>
      <c r="M127" s="167">
        <f>IF(B127="","",IF(F127=0,0,IF(Simulador!$F$11='Tabla Parámetros'!$W$1,'Tabla Parámetros'!$W$28,IF(Simulador!$F$11='Tabla Parámetros'!$Y$1,'Tabla Parámetros'!$Y$12))))</f>
        <v>0</v>
      </c>
      <c r="N127" s="167">
        <f>IF(F127=0,0,IF(F127="","",IF(Simulador!$N$7='Tabla Parámetros'!$C$31,AportPat!L107,0)))</f>
        <v>0</v>
      </c>
      <c r="O127" s="167">
        <f>Simulador!O495</f>
        <v>0</v>
      </c>
      <c r="P127" s="167">
        <f t="shared" si="21"/>
        <v>0</v>
      </c>
      <c r="Q127" s="167">
        <f t="shared" si="28"/>
        <v>0</v>
      </c>
      <c r="T127" s="6"/>
      <c r="U127" s="6"/>
      <c r="V127" s="6"/>
      <c r="W127" s="29">
        <f t="shared" si="19"/>
        <v>0</v>
      </c>
    </row>
    <row r="128" spans="2:23" x14ac:dyDescent="0.3">
      <c r="B128" s="181">
        <f t="shared" si="22"/>
        <v>105</v>
      </c>
      <c r="C128" s="180">
        <f t="shared" si="27"/>
        <v>30.4</v>
      </c>
      <c r="D128" s="193">
        <f>IF(B128="","",'Tabla Parámetros'!$G$5)</f>
        <v>0.11799999999999999</v>
      </c>
      <c r="E128" s="167"/>
      <c r="F128" s="167">
        <f t="shared" si="24"/>
        <v>0</v>
      </c>
      <c r="G128" s="166"/>
      <c r="H128" s="167">
        <f t="shared" si="25"/>
        <v>0</v>
      </c>
      <c r="I128" s="167">
        <f t="shared" si="23"/>
        <v>0</v>
      </c>
      <c r="J128" s="167">
        <f>IF(C128="","",IF(F128=0,0,IF(C128&lt;='Tabla Parámetros'!$J$23,I128,IF($E$2='Tabla Parámetros'!$J$19,((($H$2/1000*'Tabla Parámetros'!$K$19)/30.4*C128)*1.0212^8),IF($E$2='Tabla Parámetros'!$J$20,($H$2/1000*'Tabla Parámetros'!$K$20)/30.4*C128)*1.0201^8)))+N128+O128)</f>
        <v>0</v>
      </c>
      <c r="K128" s="167">
        <f t="shared" si="20"/>
        <v>0</v>
      </c>
      <c r="L128" s="167">
        <f t="shared" si="26"/>
        <v>0</v>
      </c>
      <c r="M128" s="167">
        <f>IF(B128="","",IF(F128=0,0,IF(Simulador!$F$11='Tabla Parámetros'!$W$1,'Tabla Parámetros'!$W$28,IF(Simulador!$F$11='Tabla Parámetros'!$Y$1,'Tabla Parámetros'!$Y$12))))</f>
        <v>0</v>
      </c>
      <c r="N128" s="167">
        <f>IF(F128=0,0,IF(F128="","",IF(Simulador!$N$7='Tabla Parámetros'!$C$31,AportPat!L108,0)))</f>
        <v>0</v>
      </c>
      <c r="O128" s="167">
        <f>Simulador!O496</f>
        <v>0</v>
      </c>
      <c r="P128" s="167">
        <f t="shared" si="21"/>
        <v>0</v>
      </c>
      <c r="Q128" s="167">
        <f t="shared" si="28"/>
        <v>0</v>
      </c>
      <c r="T128" s="6"/>
      <c r="U128" s="6"/>
      <c r="V128" s="6"/>
      <c r="W128" s="29">
        <f t="shared" si="19"/>
        <v>0</v>
      </c>
    </row>
    <row r="129" spans="2:23" x14ac:dyDescent="0.3">
      <c r="B129" s="181">
        <f t="shared" si="22"/>
        <v>106</v>
      </c>
      <c r="C129" s="180">
        <f t="shared" si="27"/>
        <v>30.4</v>
      </c>
      <c r="D129" s="193">
        <f>IF(B129="","",'Tabla Parámetros'!$G$5)</f>
        <v>0.11799999999999999</v>
      </c>
      <c r="E129" s="167"/>
      <c r="F129" s="167">
        <f t="shared" si="24"/>
        <v>0</v>
      </c>
      <c r="G129" s="166"/>
      <c r="H129" s="167">
        <f t="shared" si="25"/>
        <v>0</v>
      </c>
      <c r="I129" s="167">
        <f t="shared" si="23"/>
        <v>0</v>
      </c>
      <c r="J129" s="167">
        <f>IF(C129="","",IF(F129=0,0,IF(C129&lt;='Tabla Parámetros'!$J$23,I129,IF($E$2='Tabla Parámetros'!$J$19,((($H$2/1000*'Tabla Parámetros'!$K$19)/30.4*C129)*1.0212^8),IF($E$2='Tabla Parámetros'!$J$20,($H$2/1000*'Tabla Parámetros'!$K$20)/30.4*C129)*1.0201^8)))+N129+O129)</f>
        <v>0</v>
      </c>
      <c r="K129" s="167">
        <f t="shared" si="20"/>
        <v>0</v>
      </c>
      <c r="L129" s="167">
        <f t="shared" si="26"/>
        <v>0</v>
      </c>
      <c r="M129" s="167">
        <f>IF(B129="","",IF(F129=0,0,IF(Simulador!$F$11='Tabla Parámetros'!$W$1,'Tabla Parámetros'!$W$28,IF(Simulador!$F$11='Tabla Parámetros'!$Y$1,'Tabla Parámetros'!$Y$12))))</f>
        <v>0</v>
      </c>
      <c r="N129" s="167">
        <f>IF(F129=0,0,IF(F129="","",IF(Simulador!$N$7='Tabla Parámetros'!$C$31,AportPat!L109,0)))</f>
        <v>0</v>
      </c>
      <c r="O129" s="167">
        <f>Simulador!O497</f>
        <v>0</v>
      </c>
      <c r="P129" s="167">
        <f t="shared" si="21"/>
        <v>0</v>
      </c>
      <c r="Q129" s="167">
        <f t="shared" si="28"/>
        <v>0</v>
      </c>
      <c r="T129" s="6"/>
      <c r="U129" s="6"/>
      <c r="V129" s="6"/>
      <c r="W129" s="29">
        <f t="shared" si="19"/>
        <v>0</v>
      </c>
    </row>
    <row r="130" spans="2:23" x14ac:dyDescent="0.3">
      <c r="B130" s="181">
        <f t="shared" si="22"/>
        <v>107</v>
      </c>
      <c r="C130" s="180">
        <f t="shared" si="27"/>
        <v>30.4</v>
      </c>
      <c r="D130" s="193">
        <f>IF(B130="","",'Tabla Parámetros'!$G$5)</f>
        <v>0.11799999999999999</v>
      </c>
      <c r="E130" s="167"/>
      <c r="F130" s="167">
        <f t="shared" si="24"/>
        <v>0</v>
      </c>
      <c r="G130" s="166"/>
      <c r="H130" s="167">
        <f t="shared" si="25"/>
        <v>0</v>
      </c>
      <c r="I130" s="167">
        <f t="shared" si="23"/>
        <v>0</v>
      </c>
      <c r="J130" s="167">
        <f>IF(C130="","",IF(F130=0,0,IF(C130&lt;='Tabla Parámetros'!$J$23,I130,IF($E$2='Tabla Parámetros'!$J$19,((($H$2/1000*'Tabla Parámetros'!$K$19)/30.4*C130)*1.0212^8),IF($E$2='Tabla Parámetros'!$J$20,($H$2/1000*'Tabla Parámetros'!$K$20)/30.4*C130)*1.0201^8)))+N130+O130)</f>
        <v>0</v>
      </c>
      <c r="K130" s="167">
        <f t="shared" si="20"/>
        <v>0</v>
      </c>
      <c r="L130" s="167">
        <f t="shared" si="26"/>
        <v>0</v>
      </c>
      <c r="M130" s="167">
        <f>IF(B130="","",IF(F130=0,0,IF(Simulador!$F$11='Tabla Parámetros'!$W$1,'Tabla Parámetros'!$W$28,IF(Simulador!$F$11='Tabla Parámetros'!$Y$1,'Tabla Parámetros'!$Y$12))))</f>
        <v>0</v>
      </c>
      <c r="N130" s="167">
        <f>IF(F130=0,0,IF(F130="","",IF(Simulador!$N$7='Tabla Parámetros'!$C$31,AportPat!L110,0)))</f>
        <v>0</v>
      </c>
      <c r="O130" s="167">
        <f>Simulador!O498</f>
        <v>0</v>
      </c>
      <c r="P130" s="167">
        <f t="shared" si="21"/>
        <v>0</v>
      </c>
      <c r="Q130" s="167">
        <f t="shared" si="28"/>
        <v>0</v>
      </c>
      <c r="T130" s="6"/>
      <c r="U130" s="6"/>
      <c r="V130" s="6"/>
      <c r="W130" s="29">
        <f t="shared" si="19"/>
        <v>0</v>
      </c>
    </row>
    <row r="131" spans="2:23" x14ac:dyDescent="0.3">
      <c r="B131" s="181">
        <f t="shared" si="22"/>
        <v>108</v>
      </c>
      <c r="C131" s="180">
        <f t="shared" si="27"/>
        <v>30.4</v>
      </c>
      <c r="D131" s="193">
        <f>IF(B131="","",'Tabla Parámetros'!$G$5)</f>
        <v>0.11799999999999999</v>
      </c>
      <c r="E131" s="167"/>
      <c r="F131" s="167">
        <f t="shared" si="24"/>
        <v>0</v>
      </c>
      <c r="G131" s="166"/>
      <c r="H131" s="167">
        <f t="shared" si="25"/>
        <v>0</v>
      </c>
      <c r="I131" s="167">
        <f t="shared" si="23"/>
        <v>0</v>
      </c>
      <c r="J131" s="167">
        <f>IF(C131="","",IF(F131=0,0,IF(C131&lt;='Tabla Parámetros'!$J$23,I131,IF($E$2='Tabla Parámetros'!$J$19,((($H$2/1000*'Tabla Parámetros'!$K$19)/30.4*C131)*1.0212^8),IF($E$2='Tabla Parámetros'!$J$20,($H$2/1000*'Tabla Parámetros'!$K$20)/30.4*C131)*1.0201^8)))+N131+O131)</f>
        <v>0</v>
      </c>
      <c r="K131" s="167">
        <f t="shared" si="20"/>
        <v>0</v>
      </c>
      <c r="L131" s="167">
        <f t="shared" si="26"/>
        <v>0</v>
      </c>
      <c r="M131" s="167">
        <f>IF(B131="","",IF(F131=0,0,IF(Simulador!$F$11='Tabla Parámetros'!$W$1,'Tabla Parámetros'!$W$28,IF(Simulador!$F$11='Tabla Parámetros'!$Y$1,'Tabla Parámetros'!$Y$12))))</f>
        <v>0</v>
      </c>
      <c r="N131" s="167">
        <f>IF(F131=0,0,IF(F131="","",IF(Simulador!$N$7='Tabla Parámetros'!$C$31,AportPat!L111,0)))</f>
        <v>0</v>
      </c>
      <c r="O131" s="167">
        <f>Simulador!O499</f>
        <v>0</v>
      </c>
      <c r="P131" s="167">
        <f t="shared" si="21"/>
        <v>0</v>
      </c>
      <c r="Q131" s="167">
        <f t="shared" si="28"/>
        <v>0</v>
      </c>
      <c r="T131" s="6"/>
      <c r="U131" s="6"/>
      <c r="V131" s="6"/>
      <c r="W131" s="29">
        <f t="shared" si="19"/>
        <v>0</v>
      </c>
    </row>
    <row r="132" spans="2:23" x14ac:dyDescent="0.3">
      <c r="B132" s="181">
        <f t="shared" si="22"/>
        <v>109</v>
      </c>
      <c r="C132" s="180">
        <f t="shared" si="27"/>
        <v>30.4</v>
      </c>
      <c r="D132" s="193">
        <f>IF(B132="","",'Tabla Parámetros'!$G$5)</f>
        <v>0.11799999999999999</v>
      </c>
      <c r="E132" s="167"/>
      <c r="F132" s="167">
        <f t="shared" si="24"/>
        <v>0</v>
      </c>
      <c r="G132" s="166"/>
      <c r="H132" s="167">
        <f t="shared" si="25"/>
        <v>0</v>
      </c>
      <c r="I132" s="167">
        <f t="shared" si="23"/>
        <v>0</v>
      </c>
      <c r="J132" s="167">
        <f>IF(C132="","",IF(F132=0,0,IF(C132&lt;='Tabla Parámetros'!$J$23,I132,IF($E$2='Tabla Parámetros'!$J$19,((($H$2/1000*'Tabla Parámetros'!$K$19)/30.4*C132)*1.0212^8),IF($E$2='Tabla Parámetros'!$J$20,($H$2/1000*'Tabla Parámetros'!$K$20)/30.4*C132)*1.0201^8)))+N132+O132)</f>
        <v>0</v>
      </c>
      <c r="K132" s="167">
        <f t="shared" si="20"/>
        <v>0</v>
      </c>
      <c r="L132" s="167">
        <f t="shared" si="26"/>
        <v>0</v>
      </c>
      <c r="M132" s="167">
        <f>IF(B132="","",IF(F132=0,0,IF(Simulador!$F$11='Tabla Parámetros'!$W$1,'Tabla Parámetros'!$W$28,IF(Simulador!$F$11='Tabla Parámetros'!$Y$1,'Tabla Parámetros'!$Y$12))))</f>
        <v>0</v>
      </c>
      <c r="N132" s="167">
        <f>IF(F132=0,0,IF(F132="","",IF(Simulador!$N$7='Tabla Parámetros'!$C$31,AportPat!L112,0)))</f>
        <v>0</v>
      </c>
      <c r="O132" s="167">
        <f>Simulador!O500</f>
        <v>0</v>
      </c>
      <c r="P132" s="167">
        <f t="shared" si="21"/>
        <v>0</v>
      </c>
      <c r="Q132" s="167">
        <f t="shared" si="28"/>
        <v>0</v>
      </c>
      <c r="T132" s="6"/>
      <c r="U132" s="6"/>
      <c r="V132" s="6"/>
      <c r="W132" s="29">
        <f t="shared" ref="W132:W195" si="29">P134</f>
        <v>0</v>
      </c>
    </row>
    <row r="133" spans="2:23" x14ac:dyDescent="0.3">
      <c r="B133" s="181">
        <f t="shared" si="22"/>
        <v>110</v>
      </c>
      <c r="C133" s="180">
        <f t="shared" si="27"/>
        <v>30.4</v>
      </c>
      <c r="D133" s="193">
        <f>IF(B133="","",'Tabla Parámetros'!$G$5)</f>
        <v>0.11799999999999999</v>
      </c>
      <c r="E133" s="167"/>
      <c r="F133" s="167">
        <f t="shared" si="24"/>
        <v>0</v>
      </c>
      <c r="G133" s="166"/>
      <c r="H133" s="167">
        <f t="shared" si="25"/>
        <v>0</v>
      </c>
      <c r="I133" s="167">
        <f t="shared" si="23"/>
        <v>0</v>
      </c>
      <c r="J133" s="167">
        <f>IF(C133="","",IF(F133=0,0,IF(C133&lt;='Tabla Parámetros'!$J$23,I133,IF($E$2='Tabla Parámetros'!$J$19,((($H$2/1000*'Tabla Parámetros'!$K$19)/30.4*C133)*1.0212^9),IF($E$2='Tabla Parámetros'!$J$20,($H$2/1000*'Tabla Parámetros'!$K$20)/30.4*C133)*1.0201^9)))+N133+O133)</f>
        <v>0</v>
      </c>
      <c r="K133" s="167">
        <f t="shared" si="20"/>
        <v>0</v>
      </c>
      <c r="L133" s="167">
        <f t="shared" si="26"/>
        <v>0</v>
      </c>
      <c r="M133" s="167">
        <f>IF(B133="","",IF(F133=0,0,IF(Simulador!$F$11='Tabla Parámetros'!$W$1,'Tabla Parámetros'!$W$28,IF(Simulador!$F$11='Tabla Parámetros'!$Y$1,'Tabla Parámetros'!$Y$12))))</f>
        <v>0</v>
      </c>
      <c r="N133" s="167">
        <f>IF(F133=0,0,IF(F133="","",IF(Simulador!$N$7='Tabla Parámetros'!$C$31,AportPat!L113,0)))</f>
        <v>0</v>
      </c>
      <c r="O133" s="167">
        <f>Simulador!O501</f>
        <v>0</v>
      </c>
      <c r="P133" s="167">
        <f t="shared" si="21"/>
        <v>0</v>
      </c>
      <c r="Q133" s="167">
        <f t="shared" si="28"/>
        <v>0</v>
      </c>
      <c r="T133" s="6"/>
      <c r="U133" s="6"/>
      <c r="V133" s="6"/>
      <c r="W133" s="29">
        <f t="shared" si="29"/>
        <v>0</v>
      </c>
    </row>
    <row r="134" spans="2:23" x14ac:dyDescent="0.3">
      <c r="B134" s="181">
        <f t="shared" si="22"/>
        <v>111</v>
      </c>
      <c r="C134" s="180">
        <f t="shared" si="27"/>
        <v>30.4</v>
      </c>
      <c r="D134" s="193">
        <f>IF(B134="","",'Tabla Parámetros'!$G$5)</f>
        <v>0.11799999999999999</v>
      </c>
      <c r="E134" s="167"/>
      <c r="F134" s="167">
        <f t="shared" si="24"/>
        <v>0</v>
      </c>
      <c r="G134" s="166"/>
      <c r="H134" s="167">
        <f t="shared" si="25"/>
        <v>0</v>
      </c>
      <c r="I134" s="167">
        <f t="shared" si="23"/>
        <v>0</v>
      </c>
      <c r="J134" s="167">
        <f>IF(C134="","",IF(F134=0,0,IF(C134&lt;='Tabla Parámetros'!$J$23,I134,IF($E$2='Tabla Parámetros'!$J$19,((($H$2/1000*'Tabla Parámetros'!$K$19)/30.4*C134)*1.0212^9),IF($E$2='Tabla Parámetros'!$J$20,($H$2/1000*'Tabla Parámetros'!$K$20)/30.4*C134)*1.0201^9)))+N134+O134)</f>
        <v>0</v>
      </c>
      <c r="K134" s="167">
        <f t="shared" si="20"/>
        <v>0</v>
      </c>
      <c r="L134" s="167">
        <f t="shared" si="26"/>
        <v>0</v>
      </c>
      <c r="M134" s="167">
        <f>IF(B134="","",IF(F134=0,0,IF(Simulador!$F$11='Tabla Parámetros'!$W$1,'Tabla Parámetros'!$W$28,IF(Simulador!$F$11='Tabla Parámetros'!$Y$1,'Tabla Parámetros'!$Y$12))))</f>
        <v>0</v>
      </c>
      <c r="N134" s="167">
        <f>IF(F134=0,0,IF(F134="","",IF(Simulador!$N$7='Tabla Parámetros'!$C$31,AportPat!L114,0)))</f>
        <v>0</v>
      </c>
      <c r="O134" s="167">
        <f>Simulador!O502</f>
        <v>0</v>
      </c>
      <c r="P134" s="167">
        <f t="shared" si="21"/>
        <v>0</v>
      </c>
      <c r="Q134" s="167">
        <f t="shared" si="28"/>
        <v>0</v>
      </c>
      <c r="T134" s="6"/>
      <c r="U134" s="6"/>
      <c r="V134" s="6"/>
      <c r="W134" s="29">
        <f t="shared" si="29"/>
        <v>0</v>
      </c>
    </row>
    <row r="135" spans="2:23" x14ac:dyDescent="0.3">
      <c r="B135" s="181">
        <f t="shared" si="22"/>
        <v>112</v>
      </c>
      <c r="C135" s="180">
        <f t="shared" si="27"/>
        <v>30.4</v>
      </c>
      <c r="D135" s="193">
        <f>IF(B135="","",'Tabla Parámetros'!$G$5)</f>
        <v>0.11799999999999999</v>
      </c>
      <c r="E135" s="167"/>
      <c r="F135" s="167">
        <f t="shared" si="24"/>
        <v>0</v>
      </c>
      <c r="G135" s="166"/>
      <c r="H135" s="167">
        <f t="shared" si="25"/>
        <v>0</v>
      </c>
      <c r="I135" s="167">
        <f t="shared" si="23"/>
        <v>0</v>
      </c>
      <c r="J135" s="167">
        <f>IF(C135="","",IF(F135=0,0,IF(C135&lt;='Tabla Parámetros'!$J$23,I135,IF($E$2='Tabla Parámetros'!$J$19,((($H$2/1000*'Tabla Parámetros'!$K$19)/30.4*C135)*1.0212^9),IF($E$2='Tabla Parámetros'!$J$20,($H$2/1000*'Tabla Parámetros'!$K$20)/30.4*C135)*1.0201^9)))+N135+O135)</f>
        <v>0</v>
      </c>
      <c r="K135" s="167">
        <f t="shared" ref="K135:K198" si="30">F135*$I$2</f>
        <v>0</v>
      </c>
      <c r="L135" s="167">
        <f t="shared" si="26"/>
        <v>0</v>
      </c>
      <c r="M135" s="167">
        <f>IF(B135="","",IF(F135=0,0,IF(Simulador!$F$11='Tabla Parámetros'!$W$1,'Tabla Parámetros'!$W$28,IF(Simulador!$F$11='Tabla Parámetros'!$Y$1,'Tabla Parámetros'!$Y$12))))</f>
        <v>0</v>
      </c>
      <c r="N135" s="167">
        <f>IF(F135=0,0,IF(F135="","",IF(Simulador!$N$7='Tabla Parámetros'!$C$31,AportPat!L115,0)))</f>
        <v>0</v>
      </c>
      <c r="O135" s="167">
        <f>Simulador!O503</f>
        <v>0</v>
      </c>
      <c r="P135" s="167">
        <f t="shared" si="21"/>
        <v>0</v>
      </c>
      <c r="Q135" s="167">
        <f t="shared" si="28"/>
        <v>0</v>
      </c>
      <c r="T135" s="6"/>
      <c r="U135" s="6"/>
      <c r="V135" s="6"/>
      <c r="W135" s="29">
        <f t="shared" si="29"/>
        <v>0</v>
      </c>
    </row>
    <row r="136" spans="2:23" x14ac:dyDescent="0.3">
      <c r="B136" s="181">
        <f t="shared" si="22"/>
        <v>113</v>
      </c>
      <c r="C136" s="180">
        <f t="shared" si="27"/>
        <v>30.4</v>
      </c>
      <c r="D136" s="193">
        <f>IF(B136="","",'Tabla Parámetros'!$G$5)</f>
        <v>0.11799999999999999</v>
      </c>
      <c r="E136" s="167"/>
      <c r="F136" s="167">
        <f t="shared" si="24"/>
        <v>0</v>
      </c>
      <c r="G136" s="166"/>
      <c r="H136" s="167">
        <f t="shared" si="25"/>
        <v>0</v>
      </c>
      <c r="I136" s="167">
        <f t="shared" si="23"/>
        <v>0</v>
      </c>
      <c r="J136" s="167">
        <f>IF(C136="","",IF(F136=0,0,IF(C136&lt;='Tabla Parámetros'!$J$23,I136,IF($E$2='Tabla Parámetros'!$J$19,((($H$2/1000*'Tabla Parámetros'!$K$19)/30.4*C136)*1.0212^9),IF($E$2='Tabla Parámetros'!$J$20,($H$2/1000*'Tabla Parámetros'!$K$20)/30.4*C136)*1.0201^9)))+N136+O136)</f>
        <v>0</v>
      </c>
      <c r="K136" s="167">
        <f t="shared" si="30"/>
        <v>0</v>
      </c>
      <c r="L136" s="167">
        <f t="shared" si="26"/>
        <v>0</v>
      </c>
      <c r="M136" s="167">
        <f>IF(B136="","",IF(F136=0,0,IF(Simulador!$F$11='Tabla Parámetros'!$W$1,'Tabla Parámetros'!$W$28,IF(Simulador!$F$11='Tabla Parámetros'!$Y$1,'Tabla Parámetros'!$Y$12))))</f>
        <v>0</v>
      </c>
      <c r="N136" s="167">
        <f>IF(F136=0,0,IF(F136="","",IF(Simulador!$N$7='Tabla Parámetros'!$C$31,AportPat!L116,0)))</f>
        <v>0</v>
      </c>
      <c r="O136" s="167">
        <f>Simulador!O504</f>
        <v>0</v>
      </c>
      <c r="P136" s="167">
        <f t="shared" si="21"/>
        <v>0</v>
      </c>
      <c r="Q136" s="167">
        <f t="shared" si="28"/>
        <v>0</v>
      </c>
      <c r="T136" s="6"/>
      <c r="U136" s="6"/>
      <c r="V136" s="6"/>
      <c r="W136" s="29">
        <f t="shared" si="29"/>
        <v>0</v>
      </c>
    </row>
    <row r="137" spans="2:23" x14ac:dyDescent="0.3">
      <c r="B137" s="181">
        <f t="shared" si="22"/>
        <v>114</v>
      </c>
      <c r="C137" s="180">
        <f t="shared" si="27"/>
        <v>30.4</v>
      </c>
      <c r="D137" s="193">
        <f>IF(B137="","",'Tabla Parámetros'!$G$5)</f>
        <v>0.11799999999999999</v>
      </c>
      <c r="E137" s="167"/>
      <c r="F137" s="167">
        <f t="shared" si="24"/>
        <v>0</v>
      </c>
      <c r="G137" s="166"/>
      <c r="H137" s="167">
        <f t="shared" si="25"/>
        <v>0</v>
      </c>
      <c r="I137" s="167">
        <f t="shared" si="23"/>
        <v>0</v>
      </c>
      <c r="J137" s="167">
        <f>IF(C137="","",IF(F137=0,0,IF(C137&lt;='Tabla Parámetros'!$J$23,I137,IF($E$2='Tabla Parámetros'!$J$19,((($H$2/1000*'Tabla Parámetros'!$K$19)/30.4*C137)*1.0212^9),IF($E$2='Tabla Parámetros'!$J$20,($H$2/1000*'Tabla Parámetros'!$K$20)/30.4*C137)*1.0201^9)))+N137+O137)</f>
        <v>0</v>
      </c>
      <c r="K137" s="167">
        <f t="shared" si="30"/>
        <v>0</v>
      </c>
      <c r="L137" s="167">
        <f t="shared" si="26"/>
        <v>0</v>
      </c>
      <c r="M137" s="167">
        <f>IF(B137="","",IF(F137=0,0,IF(Simulador!$F$11='Tabla Parámetros'!$W$1,'Tabla Parámetros'!$W$28,IF(Simulador!$F$11='Tabla Parámetros'!$Y$1,'Tabla Parámetros'!$Y$12))))</f>
        <v>0</v>
      </c>
      <c r="N137" s="167">
        <f>IF(F137=0,0,IF(F137="","",IF(Simulador!$N$7='Tabla Parámetros'!$C$31,AportPat!L117,0)))</f>
        <v>0</v>
      </c>
      <c r="O137" s="167">
        <f>Simulador!O505</f>
        <v>0</v>
      </c>
      <c r="P137" s="167">
        <f t="shared" si="21"/>
        <v>0</v>
      </c>
      <c r="Q137" s="167">
        <f t="shared" si="28"/>
        <v>0</v>
      </c>
      <c r="T137" s="6"/>
      <c r="U137" s="6"/>
      <c r="V137" s="6"/>
      <c r="W137" s="29">
        <f t="shared" si="29"/>
        <v>0</v>
      </c>
    </row>
    <row r="138" spans="2:23" x14ac:dyDescent="0.3">
      <c r="B138" s="181">
        <f t="shared" si="22"/>
        <v>115</v>
      </c>
      <c r="C138" s="180">
        <f t="shared" si="27"/>
        <v>30.4</v>
      </c>
      <c r="D138" s="193">
        <f>IF(B138="","",'Tabla Parámetros'!$G$5)</f>
        <v>0.11799999999999999</v>
      </c>
      <c r="E138" s="167"/>
      <c r="F138" s="167">
        <f t="shared" si="24"/>
        <v>0</v>
      </c>
      <c r="G138" s="166"/>
      <c r="H138" s="167">
        <f t="shared" si="25"/>
        <v>0</v>
      </c>
      <c r="I138" s="167">
        <f t="shared" si="23"/>
        <v>0</v>
      </c>
      <c r="J138" s="167">
        <f>IF(C138="","",IF(F138=0,0,IF(C138&lt;='Tabla Parámetros'!$J$23,I138,IF($E$2='Tabla Parámetros'!$J$19,((($H$2/1000*'Tabla Parámetros'!$K$19)/30.4*C138)*1.0212^9),IF($E$2='Tabla Parámetros'!$J$20,($H$2/1000*'Tabla Parámetros'!$K$20)/30.4*C138)*1.0201^9)))+N138+O138)</f>
        <v>0</v>
      </c>
      <c r="K138" s="167">
        <f t="shared" si="30"/>
        <v>0</v>
      </c>
      <c r="L138" s="167">
        <f t="shared" si="26"/>
        <v>0</v>
      </c>
      <c r="M138" s="167">
        <f>IF(B138="","",IF(F138=0,0,IF(Simulador!$F$11='Tabla Parámetros'!$W$1,'Tabla Parámetros'!$W$28,IF(Simulador!$F$11='Tabla Parámetros'!$Y$1,'Tabla Parámetros'!$Y$12))))</f>
        <v>0</v>
      </c>
      <c r="N138" s="167">
        <f>IF(F138=0,0,IF(F138="","",IF(Simulador!$N$7='Tabla Parámetros'!$C$31,AportPat!L118,0)))</f>
        <v>0</v>
      </c>
      <c r="O138" s="167">
        <f>Simulador!O506</f>
        <v>0</v>
      </c>
      <c r="P138" s="167">
        <f t="shared" si="21"/>
        <v>0</v>
      </c>
      <c r="Q138" s="167">
        <f t="shared" si="28"/>
        <v>0</v>
      </c>
      <c r="T138" s="6"/>
      <c r="U138" s="6"/>
      <c r="V138" s="6"/>
      <c r="W138" s="29">
        <f t="shared" si="29"/>
        <v>0</v>
      </c>
    </row>
    <row r="139" spans="2:23" x14ac:dyDescent="0.3">
      <c r="B139" s="181">
        <f t="shared" si="22"/>
        <v>116</v>
      </c>
      <c r="C139" s="180">
        <f t="shared" si="27"/>
        <v>30.4</v>
      </c>
      <c r="D139" s="193">
        <f>IF(B139="","",'Tabla Parámetros'!$G$5)</f>
        <v>0.11799999999999999</v>
      </c>
      <c r="E139" s="167"/>
      <c r="F139" s="167">
        <f t="shared" si="24"/>
        <v>0</v>
      </c>
      <c r="G139" s="166"/>
      <c r="H139" s="167">
        <f t="shared" si="25"/>
        <v>0</v>
      </c>
      <c r="I139" s="167">
        <f t="shared" si="23"/>
        <v>0</v>
      </c>
      <c r="J139" s="167">
        <f>IF(C139="","",IF(F139=0,0,IF(C139&lt;='Tabla Parámetros'!$J$23,I139,IF($E$2='Tabla Parámetros'!$J$19,((($H$2/1000*'Tabla Parámetros'!$K$19)/30.4*C139)*1.0212^9),IF($E$2='Tabla Parámetros'!$J$20,($H$2/1000*'Tabla Parámetros'!$K$20)/30.4*C139)*1.0201^9)))+N139+O139)</f>
        <v>0</v>
      </c>
      <c r="K139" s="167">
        <f t="shared" si="30"/>
        <v>0</v>
      </c>
      <c r="L139" s="167">
        <f t="shared" si="26"/>
        <v>0</v>
      </c>
      <c r="M139" s="167">
        <f>IF(B139="","",IF(F139=0,0,IF(Simulador!$F$11='Tabla Parámetros'!$W$1,'Tabla Parámetros'!$W$28,IF(Simulador!$F$11='Tabla Parámetros'!$Y$1,'Tabla Parámetros'!$Y$12))))</f>
        <v>0</v>
      </c>
      <c r="N139" s="167">
        <f>IF(F139=0,0,IF(F139="","",IF(Simulador!$N$7='Tabla Parámetros'!$C$31,AportPat!L119,0)))</f>
        <v>0</v>
      </c>
      <c r="O139" s="167">
        <f>Simulador!O507</f>
        <v>0</v>
      </c>
      <c r="P139" s="167">
        <f t="shared" si="21"/>
        <v>0</v>
      </c>
      <c r="Q139" s="167">
        <f t="shared" si="28"/>
        <v>0</v>
      </c>
      <c r="T139" s="6"/>
      <c r="U139" s="6"/>
      <c r="V139" s="6"/>
      <c r="W139" s="29">
        <f t="shared" si="29"/>
        <v>0</v>
      </c>
    </row>
    <row r="140" spans="2:23" x14ac:dyDescent="0.3">
      <c r="B140" s="181">
        <f t="shared" si="22"/>
        <v>117</v>
      </c>
      <c r="C140" s="180">
        <f t="shared" si="27"/>
        <v>30.4</v>
      </c>
      <c r="D140" s="193">
        <f>IF(B140="","",'Tabla Parámetros'!$G$5)</f>
        <v>0.11799999999999999</v>
      </c>
      <c r="E140" s="167"/>
      <c r="F140" s="167">
        <f t="shared" si="24"/>
        <v>0</v>
      </c>
      <c r="G140" s="166"/>
      <c r="H140" s="167">
        <f t="shared" si="25"/>
        <v>0</v>
      </c>
      <c r="I140" s="167">
        <f t="shared" si="23"/>
        <v>0</v>
      </c>
      <c r="J140" s="167">
        <f>IF(C140="","",IF(F140=0,0,IF(C140&lt;='Tabla Parámetros'!$J$23,I140,IF($E$2='Tabla Parámetros'!$J$19,((($H$2/1000*'Tabla Parámetros'!$K$19)/30.4*C140)*1.0212^9),IF($E$2='Tabla Parámetros'!$J$20,($H$2/1000*'Tabla Parámetros'!$K$20)/30.4*C140)*1.0201^9)))+N140+O140)</f>
        <v>0</v>
      </c>
      <c r="K140" s="167">
        <f t="shared" si="30"/>
        <v>0</v>
      </c>
      <c r="L140" s="167">
        <f t="shared" si="26"/>
        <v>0</v>
      </c>
      <c r="M140" s="167">
        <f>IF(B140="","",IF(F140=0,0,IF(Simulador!$F$11='Tabla Parámetros'!$W$1,'Tabla Parámetros'!$W$28,IF(Simulador!$F$11='Tabla Parámetros'!$Y$1,'Tabla Parámetros'!$Y$12))))</f>
        <v>0</v>
      </c>
      <c r="N140" s="167">
        <f>IF(F140=0,0,IF(F140="","",IF(Simulador!$N$7='Tabla Parámetros'!$C$31,AportPat!L120,0)))</f>
        <v>0</v>
      </c>
      <c r="O140" s="167">
        <f>Simulador!O508</f>
        <v>0</v>
      </c>
      <c r="P140" s="167">
        <f t="shared" si="21"/>
        <v>0</v>
      </c>
      <c r="Q140" s="167">
        <f t="shared" si="28"/>
        <v>0</v>
      </c>
      <c r="T140" s="6"/>
      <c r="U140" s="6"/>
      <c r="V140" s="6"/>
      <c r="W140" s="29">
        <f t="shared" si="29"/>
        <v>0</v>
      </c>
    </row>
    <row r="141" spans="2:23" x14ac:dyDescent="0.3">
      <c r="B141" s="181">
        <f t="shared" si="22"/>
        <v>118</v>
      </c>
      <c r="C141" s="180">
        <f t="shared" si="27"/>
        <v>30.4</v>
      </c>
      <c r="D141" s="193">
        <f>IF(B141="","",'Tabla Parámetros'!$G$5)</f>
        <v>0.11799999999999999</v>
      </c>
      <c r="E141" s="167"/>
      <c r="F141" s="167">
        <f t="shared" si="24"/>
        <v>0</v>
      </c>
      <c r="G141" s="166"/>
      <c r="H141" s="167">
        <f t="shared" si="25"/>
        <v>0</v>
      </c>
      <c r="I141" s="167">
        <f t="shared" si="23"/>
        <v>0</v>
      </c>
      <c r="J141" s="167">
        <f>IF(C141="","",IF(F141=0,0,IF(C141&lt;='Tabla Parámetros'!$J$23,I141,IF($E$2='Tabla Parámetros'!$J$19,((($H$2/1000*'Tabla Parámetros'!$K$19)/30.4*C141)*1.0212^9),IF($E$2='Tabla Parámetros'!$J$20,($H$2/1000*'Tabla Parámetros'!$K$20)/30.4*C141)*1.0201^9)))+N141+O141)</f>
        <v>0</v>
      </c>
      <c r="K141" s="167">
        <f t="shared" si="30"/>
        <v>0</v>
      </c>
      <c r="L141" s="167">
        <f t="shared" si="26"/>
        <v>0</v>
      </c>
      <c r="M141" s="167">
        <f>IF(B141="","",IF(F141=0,0,IF(Simulador!$F$11='Tabla Parámetros'!$W$1,'Tabla Parámetros'!$W$28,IF(Simulador!$F$11='Tabla Parámetros'!$Y$1,'Tabla Parámetros'!$Y$12))))</f>
        <v>0</v>
      </c>
      <c r="N141" s="167">
        <f>IF(F141=0,0,IF(F141="","",IF(Simulador!$N$7='Tabla Parámetros'!$C$31,AportPat!L121,0)))</f>
        <v>0</v>
      </c>
      <c r="O141" s="167">
        <f>Simulador!O509</f>
        <v>0</v>
      </c>
      <c r="P141" s="167">
        <f t="shared" si="21"/>
        <v>0</v>
      </c>
      <c r="Q141" s="167">
        <f t="shared" si="28"/>
        <v>0</v>
      </c>
      <c r="T141" s="6"/>
      <c r="U141" s="6"/>
      <c r="V141" s="6"/>
      <c r="W141" s="29">
        <f t="shared" si="29"/>
        <v>0</v>
      </c>
    </row>
    <row r="142" spans="2:23" x14ac:dyDescent="0.3">
      <c r="B142" s="181">
        <f t="shared" si="22"/>
        <v>119</v>
      </c>
      <c r="C142" s="180">
        <f t="shared" si="27"/>
        <v>30.4</v>
      </c>
      <c r="D142" s="193">
        <f>IF(B142="","",'Tabla Parámetros'!$G$5)</f>
        <v>0.11799999999999999</v>
      </c>
      <c r="E142" s="167"/>
      <c r="F142" s="167">
        <f t="shared" si="24"/>
        <v>0</v>
      </c>
      <c r="G142" s="166"/>
      <c r="H142" s="167">
        <f t="shared" si="25"/>
        <v>0</v>
      </c>
      <c r="I142" s="167">
        <f t="shared" si="23"/>
        <v>0</v>
      </c>
      <c r="J142" s="167">
        <f>IF(C142="","",IF(F142=0,0,IF(C142&lt;='Tabla Parámetros'!$J$23,I142,IF($E$2='Tabla Parámetros'!$J$19,((($H$2/1000*'Tabla Parámetros'!$K$19)/30.4*C142)*1.0212^9),IF($E$2='Tabla Parámetros'!$J$20,($H$2/1000*'Tabla Parámetros'!$K$20)/30.4*C142)*1.0201^9)))+N142+O142)</f>
        <v>0</v>
      </c>
      <c r="K142" s="167">
        <f t="shared" si="30"/>
        <v>0</v>
      </c>
      <c r="L142" s="167">
        <f t="shared" si="26"/>
        <v>0</v>
      </c>
      <c r="M142" s="167">
        <f>IF(B142="","",IF(F142=0,0,IF(Simulador!$F$11='Tabla Parámetros'!$W$1,'Tabla Parámetros'!$W$28,IF(Simulador!$F$11='Tabla Parámetros'!$Y$1,'Tabla Parámetros'!$Y$12))))</f>
        <v>0</v>
      </c>
      <c r="N142" s="167">
        <f>IF(F142=0,0,IF(F142="","",IF(Simulador!$N$7='Tabla Parámetros'!$C$31,AportPat!L122,0)))</f>
        <v>0</v>
      </c>
      <c r="O142" s="167">
        <f>Simulador!O510</f>
        <v>0</v>
      </c>
      <c r="P142" s="167">
        <f t="shared" si="21"/>
        <v>0</v>
      </c>
      <c r="Q142" s="167">
        <f t="shared" si="28"/>
        <v>0</v>
      </c>
      <c r="T142" s="6"/>
      <c r="U142" s="6"/>
      <c r="V142" s="6"/>
      <c r="W142" s="29">
        <f t="shared" si="29"/>
        <v>0</v>
      </c>
    </row>
    <row r="143" spans="2:23" x14ac:dyDescent="0.3">
      <c r="B143" s="181">
        <f t="shared" si="22"/>
        <v>120</v>
      </c>
      <c r="C143" s="180">
        <f t="shared" si="27"/>
        <v>30.4</v>
      </c>
      <c r="D143" s="193">
        <f>IF(B143="","",'Tabla Parámetros'!$G$5)</f>
        <v>0.11799999999999999</v>
      </c>
      <c r="E143" s="167"/>
      <c r="F143" s="167">
        <f t="shared" si="24"/>
        <v>0</v>
      </c>
      <c r="G143" s="166"/>
      <c r="H143" s="167">
        <f t="shared" si="25"/>
        <v>0</v>
      </c>
      <c r="I143" s="167">
        <f t="shared" si="23"/>
        <v>0</v>
      </c>
      <c r="J143" s="167">
        <f>IF(C143="","",IF(F143=0,0,IF(C143&lt;='Tabla Parámetros'!$J$23,I143,IF($E$2='Tabla Parámetros'!$J$19,((($H$2/1000*'Tabla Parámetros'!$K$19)/30.4*C143)*1.0212^9),IF($E$2='Tabla Parámetros'!$J$20,($H$2/1000*'Tabla Parámetros'!$K$20)/30.4*C143)*1.0201^9)))+N143+O143)</f>
        <v>0</v>
      </c>
      <c r="K143" s="167">
        <f t="shared" si="30"/>
        <v>0</v>
      </c>
      <c r="L143" s="167">
        <f t="shared" si="26"/>
        <v>0</v>
      </c>
      <c r="M143" s="167">
        <f>IF(B143="","",IF(F143=0,0,IF(Simulador!$F$11='Tabla Parámetros'!$W$1,'Tabla Parámetros'!$W$28,IF(Simulador!$F$11='Tabla Parámetros'!$Y$1,'Tabla Parámetros'!$Y$12))))</f>
        <v>0</v>
      </c>
      <c r="N143" s="167">
        <f>IF(F143=0,0,IF(F143="","",IF(Simulador!$N$7='Tabla Parámetros'!$C$31,AportPat!L123,0)))</f>
        <v>0</v>
      </c>
      <c r="O143" s="167">
        <f>Simulador!O511</f>
        <v>0</v>
      </c>
      <c r="P143" s="167">
        <f t="shared" si="21"/>
        <v>0</v>
      </c>
      <c r="Q143" s="167">
        <f t="shared" si="28"/>
        <v>0</v>
      </c>
      <c r="T143" s="6"/>
      <c r="U143" s="6"/>
      <c r="V143" s="6"/>
      <c r="W143" s="29">
        <f t="shared" si="29"/>
        <v>0</v>
      </c>
    </row>
    <row r="144" spans="2:23" x14ac:dyDescent="0.3">
      <c r="B144" s="181">
        <f t="shared" si="22"/>
        <v>121</v>
      </c>
      <c r="C144" s="180">
        <f t="shared" si="27"/>
        <v>30.4</v>
      </c>
      <c r="D144" s="193">
        <f>IF(B144="","",'Tabla Parámetros'!$G$5)</f>
        <v>0.11799999999999999</v>
      </c>
      <c r="E144" s="167"/>
      <c r="F144" s="167">
        <f t="shared" si="24"/>
        <v>0</v>
      </c>
      <c r="G144" s="166"/>
      <c r="H144" s="167">
        <f t="shared" si="25"/>
        <v>0</v>
      </c>
      <c r="I144" s="167">
        <f t="shared" si="23"/>
        <v>0</v>
      </c>
      <c r="J144" s="167">
        <f>IF(C144="","",IF(F144=0,0,IF(C144&lt;='Tabla Parámetros'!$J$23,I144,IF($E$2='Tabla Parámetros'!$J$19,((($H$2/1000*'Tabla Parámetros'!$K$19)/30.4*C144)*1.0212^9),IF($E$2='Tabla Parámetros'!$J$20,($H$2/1000*'Tabla Parámetros'!$K$20)/30.4*C144)*1.0201^9)))+N144+O144)</f>
        <v>0</v>
      </c>
      <c r="K144" s="167">
        <f t="shared" si="30"/>
        <v>0</v>
      </c>
      <c r="L144" s="167">
        <f t="shared" si="26"/>
        <v>0</v>
      </c>
      <c r="M144" s="167">
        <f>IF(B144="","",IF(F144=0,0,IF(Simulador!$F$11='Tabla Parámetros'!$W$1,'Tabla Parámetros'!$W$28,IF(Simulador!$F$11='Tabla Parámetros'!$Y$1,'Tabla Parámetros'!$Y$12))))</f>
        <v>0</v>
      </c>
      <c r="N144" s="167">
        <f>IF(F144=0,0,IF(F144="","",IF(Simulador!$N$7='Tabla Parámetros'!$C$31,AportPat!L124,0)))</f>
        <v>0</v>
      </c>
      <c r="O144" s="167">
        <f>Simulador!O512</f>
        <v>0</v>
      </c>
      <c r="P144" s="167">
        <f t="shared" si="21"/>
        <v>0</v>
      </c>
      <c r="Q144" s="167">
        <f t="shared" si="28"/>
        <v>0</v>
      </c>
      <c r="T144" s="6"/>
      <c r="U144" s="6"/>
      <c r="V144" s="6"/>
      <c r="W144" s="29">
        <f t="shared" si="29"/>
        <v>0</v>
      </c>
    </row>
    <row r="145" spans="2:23" x14ac:dyDescent="0.3">
      <c r="B145" s="181">
        <f t="shared" si="22"/>
        <v>122</v>
      </c>
      <c r="C145" s="180">
        <f t="shared" si="27"/>
        <v>30.4</v>
      </c>
      <c r="D145" s="193">
        <f>IF(B145="","",'Tabla Parámetros'!$G$5)</f>
        <v>0.11799999999999999</v>
      </c>
      <c r="E145" s="167"/>
      <c r="F145" s="167">
        <f t="shared" si="24"/>
        <v>0</v>
      </c>
      <c r="G145" s="166"/>
      <c r="H145" s="167">
        <f t="shared" si="25"/>
        <v>0</v>
      </c>
      <c r="I145" s="167">
        <f t="shared" si="23"/>
        <v>0</v>
      </c>
      <c r="J145" s="167">
        <f>IF(C145="","",IF(F145=0,0,IF(C145&lt;='Tabla Parámetros'!$J$23,I145,IF($E$2='Tabla Parámetros'!$J$19,((($H$2/1000*'Tabla Parámetros'!$K$19)/30.4*C145)*1.0212^10),IF($E$2='Tabla Parámetros'!$J$20,($H$2/1000*'Tabla Parámetros'!$K$20)/30.4*C145)*1.0201^10)))+N145+O145)</f>
        <v>0</v>
      </c>
      <c r="K145" s="167">
        <f t="shared" si="30"/>
        <v>0</v>
      </c>
      <c r="L145" s="167">
        <f t="shared" si="26"/>
        <v>0</v>
      </c>
      <c r="M145" s="167">
        <f>IF(B145="","",IF(F145=0,0,IF(Simulador!$F$11='Tabla Parámetros'!$W$1,'Tabla Parámetros'!$W$28,IF(Simulador!$F$11='Tabla Parámetros'!$Y$1,'Tabla Parámetros'!$Y$12))))</f>
        <v>0</v>
      </c>
      <c r="N145" s="167">
        <f>IF(F145=0,0,IF(F145="","",IF(Simulador!$N$7='Tabla Parámetros'!$C$31,AportPat!L125,0)))</f>
        <v>0</v>
      </c>
      <c r="O145" s="167">
        <f>Simulador!O513</f>
        <v>0</v>
      </c>
      <c r="P145" s="167">
        <f t="shared" si="21"/>
        <v>0</v>
      </c>
      <c r="Q145" s="167">
        <f t="shared" si="28"/>
        <v>0</v>
      </c>
      <c r="T145" s="6"/>
      <c r="U145" s="6"/>
      <c r="V145" s="6"/>
      <c r="W145" s="29">
        <f t="shared" si="29"/>
        <v>0</v>
      </c>
    </row>
    <row r="146" spans="2:23" x14ac:dyDescent="0.3">
      <c r="B146" s="181">
        <f t="shared" si="22"/>
        <v>123</v>
      </c>
      <c r="C146" s="180">
        <f t="shared" si="27"/>
        <v>30.4</v>
      </c>
      <c r="D146" s="193">
        <f>IF(B146="","",'Tabla Parámetros'!$G$5)</f>
        <v>0.11799999999999999</v>
      </c>
      <c r="E146" s="167"/>
      <c r="F146" s="167">
        <f t="shared" si="24"/>
        <v>0</v>
      </c>
      <c r="G146" s="166"/>
      <c r="H146" s="167">
        <f t="shared" si="25"/>
        <v>0</v>
      </c>
      <c r="I146" s="167">
        <f t="shared" si="23"/>
        <v>0</v>
      </c>
      <c r="J146" s="167">
        <f>IF(C146="","",IF(F146=0,0,IF(C146&lt;='Tabla Parámetros'!$J$23,I146,IF($E$2='Tabla Parámetros'!$J$19,((($H$2/1000*'Tabla Parámetros'!$K$19)/30.4*C146)*1.0212^10),IF($E$2='Tabla Parámetros'!$J$20,($H$2/1000*'Tabla Parámetros'!$K$20)/30.4*C146)*1.0201^10)))+N146+O146)</f>
        <v>0</v>
      </c>
      <c r="K146" s="167">
        <f t="shared" si="30"/>
        <v>0</v>
      </c>
      <c r="L146" s="167">
        <f t="shared" si="26"/>
        <v>0</v>
      </c>
      <c r="M146" s="167">
        <f>IF(B146="","",IF(F146=0,0,IF(Simulador!$F$11='Tabla Parámetros'!$W$1,'Tabla Parámetros'!$W$28,IF(Simulador!$F$11='Tabla Parámetros'!$Y$1,'Tabla Parámetros'!$Y$12))))</f>
        <v>0</v>
      </c>
      <c r="N146" s="167">
        <f>IF(F146=0,0,IF(F146="","",IF(Simulador!$N$7='Tabla Parámetros'!$C$31,AportPat!L126,0)))</f>
        <v>0</v>
      </c>
      <c r="O146" s="167">
        <f>Simulador!O514</f>
        <v>0</v>
      </c>
      <c r="P146" s="167">
        <f t="shared" si="21"/>
        <v>0</v>
      </c>
      <c r="Q146" s="167">
        <f t="shared" si="28"/>
        <v>0</v>
      </c>
      <c r="T146" s="6"/>
      <c r="U146" s="6"/>
      <c r="V146" s="6"/>
      <c r="W146" s="29">
        <f t="shared" si="29"/>
        <v>0</v>
      </c>
    </row>
    <row r="147" spans="2:23" x14ac:dyDescent="0.3">
      <c r="B147" s="181">
        <f t="shared" si="22"/>
        <v>124</v>
      </c>
      <c r="C147" s="180">
        <f t="shared" si="27"/>
        <v>30.4</v>
      </c>
      <c r="D147" s="193">
        <f>IF(B147="","",'Tabla Parámetros'!$G$5)</f>
        <v>0.11799999999999999</v>
      </c>
      <c r="E147" s="167"/>
      <c r="F147" s="167">
        <f t="shared" si="24"/>
        <v>0</v>
      </c>
      <c r="G147" s="166"/>
      <c r="H147" s="167">
        <f t="shared" si="25"/>
        <v>0</v>
      </c>
      <c r="I147" s="167">
        <f t="shared" si="23"/>
        <v>0</v>
      </c>
      <c r="J147" s="167">
        <f>IF(C147="","",IF(F147=0,0,IF(C147&lt;='Tabla Parámetros'!$J$23,I147,IF($E$2='Tabla Parámetros'!$J$19,((($H$2/1000*'Tabla Parámetros'!$K$19)/30.4*C147)*1.0212^10),IF($E$2='Tabla Parámetros'!$J$20,($H$2/1000*'Tabla Parámetros'!$K$20)/30.4*C147)*1.0201^10)))+N147+O147)</f>
        <v>0</v>
      </c>
      <c r="K147" s="167">
        <f t="shared" si="30"/>
        <v>0</v>
      </c>
      <c r="L147" s="167">
        <f t="shared" si="26"/>
        <v>0</v>
      </c>
      <c r="M147" s="167">
        <f>IF(B147="","",IF(F147=0,0,IF(Simulador!$F$11='Tabla Parámetros'!$W$1,'Tabla Parámetros'!$W$28,IF(Simulador!$F$11='Tabla Parámetros'!$Y$1,'Tabla Parámetros'!$Y$12))))</f>
        <v>0</v>
      </c>
      <c r="N147" s="167">
        <f>IF(F147=0,0,IF(F147="","",IF(Simulador!$N$7='Tabla Parámetros'!$C$31,AportPat!L127,0)))</f>
        <v>0</v>
      </c>
      <c r="O147" s="167">
        <f>Simulador!O515</f>
        <v>0</v>
      </c>
      <c r="P147" s="167">
        <f t="shared" si="21"/>
        <v>0</v>
      </c>
      <c r="Q147" s="167">
        <f t="shared" si="28"/>
        <v>0</v>
      </c>
      <c r="T147" s="6"/>
      <c r="U147" s="6"/>
      <c r="V147" s="6"/>
      <c r="W147" s="29">
        <f t="shared" si="29"/>
        <v>0</v>
      </c>
    </row>
    <row r="148" spans="2:23" x14ac:dyDescent="0.3">
      <c r="B148" s="181">
        <f t="shared" si="22"/>
        <v>125</v>
      </c>
      <c r="C148" s="180">
        <f t="shared" si="27"/>
        <v>30.4</v>
      </c>
      <c r="D148" s="193">
        <f>IF(B148="","",'Tabla Parámetros'!$G$5)</f>
        <v>0.11799999999999999</v>
      </c>
      <c r="E148" s="167"/>
      <c r="F148" s="167">
        <f t="shared" si="24"/>
        <v>0</v>
      </c>
      <c r="G148" s="166"/>
      <c r="H148" s="167">
        <f t="shared" si="25"/>
        <v>0</v>
      </c>
      <c r="I148" s="167">
        <f t="shared" si="23"/>
        <v>0</v>
      </c>
      <c r="J148" s="167">
        <f>IF(C148="","",IF(F148=0,0,IF(C148&lt;='Tabla Parámetros'!$J$23,I148,IF($E$2='Tabla Parámetros'!$J$19,((($H$2/1000*'Tabla Parámetros'!$K$19)/30.4*C148)*1.0212^10),IF($E$2='Tabla Parámetros'!$J$20,($H$2/1000*'Tabla Parámetros'!$K$20)/30.4*C148)*1.0201^10)))+N148+O148)</f>
        <v>0</v>
      </c>
      <c r="K148" s="167">
        <f t="shared" si="30"/>
        <v>0</v>
      </c>
      <c r="L148" s="167">
        <f t="shared" si="26"/>
        <v>0</v>
      </c>
      <c r="M148" s="167">
        <f>IF(B148="","",IF(F148=0,0,IF(Simulador!$F$11='Tabla Parámetros'!$W$1,'Tabla Parámetros'!$W$28,IF(Simulador!$F$11='Tabla Parámetros'!$Y$1,'Tabla Parámetros'!$Y$12))))</f>
        <v>0</v>
      </c>
      <c r="N148" s="167">
        <f>IF(F148=0,0,IF(F148="","",IF(Simulador!$N$7='Tabla Parámetros'!$C$31,AportPat!L128,0)))</f>
        <v>0</v>
      </c>
      <c r="O148" s="167">
        <f>Simulador!O516</f>
        <v>0</v>
      </c>
      <c r="P148" s="167">
        <f t="shared" si="21"/>
        <v>0</v>
      </c>
      <c r="Q148" s="167">
        <f t="shared" si="28"/>
        <v>0</v>
      </c>
      <c r="T148" s="6"/>
      <c r="U148" s="6"/>
      <c r="V148" s="6"/>
      <c r="W148" s="29">
        <f t="shared" si="29"/>
        <v>0</v>
      </c>
    </row>
    <row r="149" spans="2:23" x14ac:dyDescent="0.3">
      <c r="B149" s="181">
        <f t="shared" si="22"/>
        <v>126</v>
      </c>
      <c r="C149" s="180">
        <f t="shared" si="27"/>
        <v>30.4</v>
      </c>
      <c r="D149" s="193">
        <f>IF(B149="","",'Tabla Parámetros'!$G$5)</f>
        <v>0.11799999999999999</v>
      </c>
      <c r="E149" s="167"/>
      <c r="F149" s="167">
        <f t="shared" si="24"/>
        <v>0</v>
      </c>
      <c r="G149" s="166"/>
      <c r="H149" s="167">
        <f t="shared" si="25"/>
        <v>0</v>
      </c>
      <c r="I149" s="167">
        <f t="shared" si="23"/>
        <v>0</v>
      </c>
      <c r="J149" s="167">
        <f>IF(C149="","",IF(F149=0,0,IF(C149&lt;='Tabla Parámetros'!$J$23,I149,IF($E$2='Tabla Parámetros'!$J$19,((($H$2/1000*'Tabla Parámetros'!$K$19)/30.4*C149)*1.0212^10),IF($E$2='Tabla Parámetros'!$J$20,($H$2/1000*'Tabla Parámetros'!$K$20)/30.4*C149)*1.0201^10)))+N149+O149)</f>
        <v>0</v>
      </c>
      <c r="K149" s="167">
        <f t="shared" si="30"/>
        <v>0</v>
      </c>
      <c r="L149" s="167">
        <f t="shared" si="26"/>
        <v>0</v>
      </c>
      <c r="M149" s="167">
        <f>IF(B149="","",IF(F149=0,0,IF(Simulador!$F$11='Tabla Parámetros'!$W$1,'Tabla Parámetros'!$W$28,IF(Simulador!$F$11='Tabla Parámetros'!$Y$1,'Tabla Parámetros'!$Y$12))))</f>
        <v>0</v>
      </c>
      <c r="N149" s="167">
        <f>IF(F149=0,0,IF(F149="","",IF(Simulador!$N$7='Tabla Parámetros'!$C$31,AportPat!L129,0)))</f>
        <v>0</v>
      </c>
      <c r="O149" s="167">
        <f>Simulador!O517</f>
        <v>0</v>
      </c>
      <c r="P149" s="167">
        <f t="shared" si="21"/>
        <v>0</v>
      </c>
      <c r="Q149" s="167">
        <f t="shared" si="28"/>
        <v>0</v>
      </c>
      <c r="T149" s="6"/>
      <c r="U149" s="6"/>
      <c r="V149" s="6"/>
      <c r="W149" s="29">
        <f t="shared" si="29"/>
        <v>0</v>
      </c>
    </row>
    <row r="150" spans="2:23" x14ac:dyDescent="0.3">
      <c r="B150" s="181">
        <f t="shared" si="22"/>
        <v>127</v>
      </c>
      <c r="C150" s="180">
        <f t="shared" si="27"/>
        <v>30.4</v>
      </c>
      <c r="D150" s="193">
        <f>IF(B150="","",'Tabla Parámetros'!$G$5)</f>
        <v>0.11799999999999999</v>
      </c>
      <c r="E150" s="167"/>
      <c r="F150" s="167">
        <f t="shared" si="24"/>
        <v>0</v>
      </c>
      <c r="G150" s="166"/>
      <c r="H150" s="167">
        <f t="shared" si="25"/>
        <v>0</v>
      </c>
      <c r="I150" s="167">
        <f t="shared" si="23"/>
        <v>0</v>
      </c>
      <c r="J150" s="167">
        <f>IF(C150="","",IF(F150=0,0,IF(C150&lt;='Tabla Parámetros'!$J$23,I150,IF($E$2='Tabla Parámetros'!$J$19,((($H$2/1000*'Tabla Parámetros'!$K$19)/30.4*C150)*1.0212^10),IF($E$2='Tabla Parámetros'!$J$20,($H$2/1000*'Tabla Parámetros'!$K$20)/30.4*C150)*1.0201^10)))+N150+O150)</f>
        <v>0</v>
      </c>
      <c r="K150" s="167">
        <f t="shared" si="30"/>
        <v>0</v>
      </c>
      <c r="L150" s="167">
        <f t="shared" si="26"/>
        <v>0</v>
      </c>
      <c r="M150" s="167">
        <f>IF(B150="","",IF(F150=0,0,IF(Simulador!$F$11='Tabla Parámetros'!$W$1,'Tabla Parámetros'!$W$28,IF(Simulador!$F$11='Tabla Parámetros'!$Y$1,'Tabla Parámetros'!$Y$12))))</f>
        <v>0</v>
      </c>
      <c r="N150" s="167">
        <f>IF(F150=0,0,IF(F150="","",IF(Simulador!$N$7='Tabla Parámetros'!$C$31,AportPat!L130,0)))</f>
        <v>0</v>
      </c>
      <c r="O150" s="167">
        <f>Simulador!O518</f>
        <v>0</v>
      </c>
      <c r="P150" s="167">
        <f t="shared" si="21"/>
        <v>0</v>
      </c>
      <c r="Q150" s="167">
        <f t="shared" si="28"/>
        <v>0</v>
      </c>
      <c r="T150" s="6"/>
      <c r="U150" s="6"/>
      <c r="V150" s="6"/>
      <c r="W150" s="29">
        <f t="shared" si="29"/>
        <v>0</v>
      </c>
    </row>
    <row r="151" spans="2:23" x14ac:dyDescent="0.3">
      <c r="B151" s="181">
        <f t="shared" si="22"/>
        <v>128</v>
      </c>
      <c r="C151" s="180">
        <f t="shared" si="27"/>
        <v>30.4</v>
      </c>
      <c r="D151" s="193">
        <f>IF(B151="","",'Tabla Parámetros'!$G$5)</f>
        <v>0.11799999999999999</v>
      </c>
      <c r="E151" s="167"/>
      <c r="F151" s="167">
        <f t="shared" si="24"/>
        <v>0</v>
      </c>
      <c r="G151" s="166"/>
      <c r="H151" s="167">
        <f t="shared" si="25"/>
        <v>0</v>
      </c>
      <c r="I151" s="167">
        <f t="shared" si="23"/>
        <v>0</v>
      </c>
      <c r="J151" s="167">
        <f>IF(C151="","",IF(F151=0,0,IF(C151&lt;='Tabla Parámetros'!$J$23,I151,IF($E$2='Tabla Parámetros'!$J$19,((($H$2/1000*'Tabla Parámetros'!$K$19)/30.4*C151)*1.0212^10),IF($E$2='Tabla Parámetros'!$J$20,($H$2/1000*'Tabla Parámetros'!$K$20)/30.4*C151)*1.0201^10)))+N151+O151)</f>
        <v>0</v>
      </c>
      <c r="K151" s="167">
        <f t="shared" si="30"/>
        <v>0</v>
      </c>
      <c r="L151" s="167">
        <f t="shared" si="26"/>
        <v>0</v>
      </c>
      <c r="M151" s="167">
        <f>IF(B151="","",IF(F151=0,0,IF(Simulador!$F$11='Tabla Parámetros'!$W$1,'Tabla Parámetros'!$W$28,IF(Simulador!$F$11='Tabla Parámetros'!$Y$1,'Tabla Parámetros'!$Y$12))))</f>
        <v>0</v>
      </c>
      <c r="N151" s="167">
        <f>IF(F151=0,0,IF(F151="","",IF(Simulador!$N$7='Tabla Parámetros'!$C$31,AportPat!L131,0)))</f>
        <v>0</v>
      </c>
      <c r="O151" s="167">
        <f>Simulador!O519</f>
        <v>0</v>
      </c>
      <c r="P151" s="167">
        <f t="shared" si="21"/>
        <v>0</v>
      </c>
      <c r="Q151" s="167">
        <f t="shared" si="28"/>
        <v>0</v>
      </c>
      <c r="T151" s="6"/>
      <c r="U151" s="6"/>
      <c r="V151" s="6"/>
      <c r="W151" s="29">
        <f t="shared" si="29"/>
        <v>0</v>
      </c>
    </row>
    <row r="152" spans="2:23" x14ac:dyDescent="0.3">
      <c r="B152" s="181">
        <f t="shared" si="22"/>
        <v>129</v>
      </c>
      <c r="C152" s="180">
        <f t="shared" si="27"/>
        <v>30.4</v>
      </c>
      <c r="D152" s="193">
        <f>IF(B152="","",'Tabla Parámetros'!$G$5)</f>
        <v>0.11799999999999999</v>
      </c>
      <c r="E152" s="167"/>
      <c r="F152" s="167">
        <f t="shared" si="24"/>
        <v>0</v>
      </c>
      <c r="G152" s="166"/>
      <c r="H152" s="167">
        <f t="shared" si="25"/>
        <v>0</v>
      </c>
      <c r="I152" s="167">
        <f t="shared" si="23"/>
        <v>0</v>
      </c>
      <c r="J152" s="167">
        <f>IF(C152="","",IF(F152=0,0,IF(C152&lt;='Tabla Parámetros'!$J$23,I152,IF($E$2='Tabla Parámetros'!$J$19,((($H$2/1000*'Tabla Parámetros'!$K$19)/30.4*C152)*1.0212^10),IF($E$2='Tabla Parámetros'!$J$20,($H$2/1000*'Tabla Parámetros'!$K$20)/30.4*C152)*1.0201^10)))+N152+O152)</f>
        <v>0</v>
      </c>
      <c r="K152" s="167">
        <f t="shared" si="30"/>
        <v>0</v>
      </c>
      <c r="L152" s="167">
        <f t="shared" si="26"/>
        <v>0</v>
      </c>
      <c r="M152" s="167">
        <f>IF(B152="","",IF(F152=0,0,IF(Simulador!$F$11='Tabla Parámetros'!$W$1,'Tabla Parámetros'!$W$28,IF(Simulador!$F$11='Tabla Parámetros'!$Y$1,'Tabla Parámetros'!$Y$12))))</f>
        <v>0</v>
      </c>
      <c r="N152" s="167">
        <f>IF(F152=0,0,IF(F152="","",IF(Simulador!$N$7='Tabla Parámetros'!$C$31,AportPat!L132,0)))</f>
        <v>0</v>
      </c>
      <c r="O152" s="167">
        <f>Simulador!O520</f>
        <v>0</v>
      </c>
      <c r="P152" s="167">
        <f t="shared" ref="P152:P203" si="31">IF(B152="","",H152+I152+K152+L152+M152)</f>
        <v>0</v>
      </c>
      <c r="Q152" s="167">
        <f t="shared" si="28"/>
        <v>0</v>
      </c>
      <c r="T152" s="6"/>
      <c r="U152" s="6"/>
      <c r="V152" s="6"/>
      <c r="W152" s="29">
        <f t="shared" si="29"/>
        <v>0</v>
      </c>
    </row>
    <row r="153" spans="2:23" x14ac:dyDescent="0.3">
      <c r="B153" s="181">
        <f t="shared" ref="B153:B203" si="32">IF(B152=$E$2,"",IF(B152="","",B152+1))</f>
        <v>130</v>
      </c>
      <c r="C153" s="180">
        <f t="shared" si="27"/>
        <v>30.4</v>
      </c>
      <c r="D153" s="193">
        <f>IF(B153="","",'Tabla Parámetros'!$G$5)</f>
        <v>0.11799999999999999</v>
      </c>
      <c r="E153" s="167"/>
      <c r="F153" s="167">
        <f t="shared" si="24"/>
        <v>0</v>
      </c>
      <c r="G153" s="166"/>
      <c r="H153" s="167">
        <f t="shared" si="25"/>
        <v>0</v>
      </c>
      <c r="I153" s="167">
        <f t="shared" ref="I153:I203" si="33">IF(B153="","",((D153/360)*30.4)*F153)</f>
        <v>0</v>
      </c>
      <c r="J153" s="167">
        <f>IF(C153="","",IF(F153=0,0,IF(C153&lt;='Tabla Parámetros'!$J$23,I153,IF($E$2='Tabla Parámetros'!$J$19,((($H$2/1000*'Tabla Parámetros'!$K$19)/30.4*C153)*1.0212^10),IF($E$2='Tabla Parámetros'!$J$20,($H$2/1000*'Tabla Parámetros'!$K$20)/30.4*C153)*1.0201^10)))+N153+O153)</f>
        <v>0</v>
      </c>
      <c r="K153" s="167">
        <f t="shared" si="30"/>
        <v>0</v>
      </c>
      <c r="L153" s="167">
        <f t="shared" si="26"/>
        <v>0</v>
      </c>
      <c r="M153" s="167">
        <f>IF(B153="","",IF(F153=0,0,IF(Simulador!$F$11='Tabla Parámetros'!$W$1,'Tabla Parámetros'!$W$28,IF(Simulador!$F$11='Tabla Parámetros'!$Y$1,'Tabla Parámetros'!$Y$12))))</f>
        <v>0</v>
      </c>
      <c r="N153" s="167">
        <f>IF(F153=0,0,IF(F153="","",IF(Simulador!$N$7='Tabla Parámetros'!$C$31,AportPat!L133,0)))</f>
        <v>0</v>
      </c>
      <c r="O153" s="167">
        <f>Simulador!O521</f>
        <v>0</v>
      </c>
      <c r="P153" s="167">
        <f t="shared" si="31"/>
        <v>0</v>
      </c>
      <c r="Q153" s="167">
        <f t="shared" si="28"/>
        <v>0</v>
      </c>
      <c r="T153" s="6"/>
      <c r="U153" s="6"/>
      <c r="V153" s="6"/>
      <c r="W153" s="29">
        <f t="shared" si="29"/>
        <v>0</v>
      </c>
    </row>
    <row r="154" spans="2:23" x14ac:dyDescent="0.3">
      <c r="B154" s="181">
        <f t="shared" si="32"/>
        <v>131</v>
      </c>
      <c r="C154" s="180">
        <f t="shared" si="27"/>
        <v>30.4</v>
      </c>
      <c r="D154" s="193">
        <f>IF(B154="","",'Tabla Parámetros'!$G$5)</f>
        <v>0.11799999999999999</v>
      </c>
      <c r="E154" s="167"/>
      <c r="F154" s="167">
        <f t="shared" ref="F154:F217" si="34">IF(B154="","",F153-H153)</f>
        <v>0</v>
      </c>
      <c r="G154" s="166"/>
      <c r="H154" s="167">
        <f t="shared" ref="H154:H217" si="35">IF($B154="","",IF($B154=$E$2,$F154,IF(($J154-$I154)&gt;$F154,$F154,$J154-$I154)))</f>
        <v>0</v>
      </c>
      <c r="I154" s="167">
        <f t="shared" si="33"/>
        <v>0</v>
      </c>
      <c r="J154" s="167">
        <f>IF(C154="","",IF(F154=0,0,IF(C154&lt;='Tabla Parámetros'!$J$23,I154,IF($E$2='Tabla Parámetros'!$J$19,((($H$2/1000*'Tabla Parámetros'!$K$19)/30.4*C154)*1.0212^10),IF($E$2='Tabla Parámetros'!$J$20,($H$2/1000*'Tabla Parámetros'!$K$20)/30.4*C154)*1.0201^10)))+N154+O154)</f>
        <v>0</v>
      </c>
      <c r="K154" s="167">
        <f t="shared" si="30"/>
        <v>0</v>
      </c>
      <c r="L154" s="167">
        <f t="shared" ref="L154:L217" si="36">IF(B154="","",IF(F154=0,0,$L$1*$J$2))</f>
        <v>0</v>
      </c>
      <c r="M154" s="167">
        <f>IF(B154="","",IF(F154=0,0,IF(Simulador!$F$11='Tabla Parámetros'!$W$1,'Tabla Parámetros'!$W$28,IF(Simulador!$F$11='Tabla Parámetros'!$Y$1,'Tabla Parámetros'!$Y$12))))</f>
        <v>0</v>
      </c>
      <c r="N154" s="167">
        <f>IF(F154=0,0,IF(F154="","",IF(Simulador!$N$7='Tabla Parámetros'!$C$31,AportPat!L134,0)))</f>
        <v>0</v>
      </c>
      <c r="O154" s="167">
        <f>Simulador!O522</f>
        <v>0</v>
      </c>
      <c r="P154" s="167">
        <f t="shared" si="31"/>
        <v>0</v>
      </c>
      <c r="Q154" s="167">
        <f t="shared" si="28"/>
        <v>0</v>
      </c>
      <c r="T154" s="6"/>
      <c r="U154" s="6"/>
      <c r="V154" s="6"/>
      <c r="W154" s="29">
        <f t="shared" si="29"/>
        <v>0</v>
      </c>
    </row>
    <row r="155" spans="2:23" x14ac:dyDescent="0.3">
      <c r="B155" s="181">
        <f t="shared" si="32"/>
        <v>132</v>
      </c>
      <c r="C155" s="180">
        <f t="shared" ref="C155:C203" si="37">IF(B154="","",30.4)</f>
        <v>30.4</v>
      </c>
      <c r="D155" s="193">
        <f>IF(B155="","",'Tabla Parámetros'!$G$5)</f>
        <v>0.11799999999999999</v>
      </c>
      <c r="E155" s="167"/>
      <c r="F155" s="167">
        <f t="shared" si="34"/>
        <v>0</v>
      </c>
      <c r="G155" s="166"/>
      <c r="H155" s="167">
        <f t="shared" si="35"/>
        <v>0</v>
      </c>
      <c r="I155" s="167">
        <f t="shared" si="33"/>
        <v>0</v>
      </c>
      <c r="J155" s="167">
        <f>IF(C155="","",IF(F155=0,0,IF(C155&lt;='Tabla Parámetros'!$J$23,I155,IF($E$2='Tabla Parámetros'!$J$19,((($H$2/1000*'Tabla Parámetros'!$K$19)/30.4*C155)*1.0212^10),IF($E$2='Tabla Parámetros'!$J$20,($H$2/1000*'Tabla Parámetros'!$K$20)/30.4*C155)*1.0201^10)))+N155+O155)</f>
        <v>0</v>
      </c>
      <c r="K155" s="167">
        <f t="shared" si="30"/>
        <v>0</v>
      </c>
      <c r="L155" s="167">
        <f t="shared" si="36"/>
        <v>0</v>
      </c>
      <c r="M155" s="167">
        <f>IF(B155="","",IF(F155=0,0,IF(Simulador!$F$11='Tabla Parámetros'!$W$1,'Tabla Parámetros'!$W$28,IF(Simulador!$F$11='Tabla Parámetros'!$Y$1,'Tabla Parámetros'!$Y$12))))</f>
        <v>0</v>
      </c>
      <c r="N155" s="167">
        <f>IF(F155=0,0,IF(F155="","",IF(Simulador!$N$7='Tabla Parámetros'!$C$31,AportPat!L135,0)))</f>
        <v>0</v>
      </c>
      <c r="O155" s="167">
        <f>Simulador!O523</f>
        <v>0</v>
      </c>
      <c r="P155" s="167">
        <f t="shared" si="31"/>
        <v>0</v>
      </c>
      <c r="Q155" s="167">
        <f t="shared" ref="Q155:Q218" si="38">IF(B155="","",F155-H155)</f>
        <v>0</v>
      </c>
      <c r="T155" s="6"/>
      <c r="U155" s="6"/>
      <c r="V155" s="6"/>
      <c r="W155" s="29">
        <f t="shared" si="29"/>
        <v>0</v>
      </c>
    </row>
    <row r="156" spans="2:23" x14ac:dyDescent="0.3">
      <c r="B156" s="181">
        <f t="shared" si="32"/>
        <v>133</v>
      </c>
      <c r="C156" s="180">
        <f t="shared" si="37"/>
        <v>30.4</v>
      </c>
      <c r="D156" s="193">
        <f>IF(B156="","",'Tabla Parámetros'!$G$5)</f>
        <v>0.11799999999999999</v>
      </c>
      <c r="E156" s="167"/>
      <c r="F156" s="167">
        <f t="shared" si="34"/>
        <v>0</v>
      </c>
      <c r="G156" s="166"/>
      <c r="H156" s="167">
        <f t="shared" si="35"/>
        <v>0</v>
      </c>
      <c r="I156" s="167">
        <f t="shared" si="33"/>
        <v>0</v>
      </c>
      <c r="J156" s="167">
        <f>IF(C156="","",IF(F156=0,0,IF(C156&lt;='Tabla Parámetros'!$J$23,I156,IF($E$2='Tabla Parámetros'!$J$19,((($H$2/1000*'Tabla Parámetros'!$K$19)/30.4*C156)*1.0212^10),IF($E$2='Tabla Parámetros'!$J$20,($H$2/1000*'Tabla Parámetros'!$K$20)/30.4*C156)*1.0201^10)))+N156+O156)</f>
        <v>0</v>
      </c>
      <c r="K156" s="167">
        <f t="shared" si="30"/>
        <v>0</v>
      </c>
      <c r="L156" s="167">
        <f t="shared" si="36"/>
        <v>0</v>
      </c>
      <c r="M156" s="167">
        <f>IF(B156="","",IF(F156=0,0,IF(Simulador!$F$11='Tabla Parámetros'!$W$1,'Tabla Parámetros'!$W$28,IF(Simulador!$F$11='Tabla Parámetros'!$Y$1,'Tabla Parámetros'!$Y$12))))</f>
        <v>0</v>
      </c>
      <c r="N156" s="167">
        <f>IF(F156=0,0,IF(F156="","",IF(Simulador!$N$7='Tabla Parámetros'!$C$31,AportPat!L136,0)))</f>
        <v>0</v>
      </c>
      <c r="O156" s="167">
        <f>Simulador!O524</f>
        <v>0</v>
      </c>
      <c r="P156" s="167">
        <f t="shared" si="31"/>
        <v>0</v>
      </c>
      <c r="Q156" s="167">
        <f t="shared" si="38"/>
        <v>0</v>
      </c>
      <c r="T156" s="6"/>
      <c r="U156" s="6"/>
      <c r="V156" s="6"/>
      <c r="W156" s="29">
        <f t="shared" si="29"/>
        <v>0</v>
      </c>
    </row>
    <row r="157" spans="2:23" x14ac:dyDescent="0.3">
      <c r="B157" s="181">
        <f t="shared" si="32"/>
        <v>134</v>
      </c>
      <c r="C157" s="180">
        <f t="shared" si="37"/>
        <v>30.4</v>
      </c>
      <c r="D157" s="193">
        <f>IF(B157="","",'Tabla Parámetros'!$G$5)</f>
        <v>0.11799999999999999</v>
      </c>
      <c r="E157" s="167"/>
      <c r="F157" s="167">
        <f t="shared" si="34"/>
        <v>0</v>
      </c>
      <c r="G157" s="166"/>
      <c r="H157" s="167">
        <f t="shared" si="35"/>
        <v>0</v>
      </c>
      <c r="I157" s="167">
        <f t="shared" si="33"/>
        <v>0</v>
      </c>
      <c r="J157" s="167">
        <f>IF(C157="","",IF(F157=0,0,IF(C157&lt;='Tabla Parámetros'!$J$23,I157,IF($E$2='Tabla Parámetros'!$J$19,((($H$2/1000*'Tabla Parámetros'!$K$19)/30.4*C157)*1.0212^11),IF($E$2='Tabla Parámetros'!$J$20,($H$2/1000*'Tabla Parámetros'!$K$20)/30.4*C157)*1.0201^11)))+N157+O157)</f>
        <v>0</v>
      </c>
      <c r="K157" s="167">
        <f t="shared" si="30"/>
        <v>0</v>
      </c>
      <c r="L157" s="167">
        <f t="shared" si="36"/>
        <v>0</v>
      </c>
      <c r="M157" s="167">
        <f>IF(B157="","",IF(F157=0,0,IF(Simulador!$F$11='Tabla Parámetros'!$W$1,'Tabla Parámetros'!$W$28,IF(Simulador!$F$11='Tabla Parámetros'!$Y$1,'Tabla Parámetros'!$Y$12))))</f>
        <v>0</v>
      </c>
      <c r="N157" s="167">
        <f>IF(F157=0,0,IF(F157="","",IF(Simulador!$N$7='Tabla Parámetros'!$C$31,AportPat!L137,0)))</f>
        <v>0</v>
      </c>
      <c r="O157" s="167">
        <f>Simulador!O525</f>
        <v>0</v>
      </c>
      <c r="P157" s="167">
        <f t="shared" si="31"/>
        <v>0</v>
      </c>
      <c r="Q157" s="167">
        <f t="shared" si="38"/>
        <v>0</v>
      </c>
      <c r="T157" s="6"/>
      <c r="U157" s="6"/>
      <c r="V157" s="6"/>
      <c r="W157" s="29">
        <f t="shared" si="29"/>
        <v>0</v>
      </c>
    </row>
    <row r="158" spans="2:23" x14ac:dyDescent="0.3">
      <c r="B158" s="181">
        <f t="shared" si="32"/>
        <v>135</v>
      </c>
      <c r="C158" s="180">
        <f t="shared" si="37"/>
        <v>30.4</v>
      </c>
      <c r="D158" s="193">
        <f>IF(B158="","",'Tabla Parámetros'!$G$5)</f>
        <v>0.11799999999999999</v>
      </c>
      <c r="E158" s="167"/>
      <c r="F158" s="167">
        <f t="shared" si="34"/>
        <v>0</v>
      </c>
      <c r="G158" s="166"/>
      <c r="H158" s="167">
        <f t="shared" si="35"/>
        <v>0</v>
      </c>
      <c r="I158" s="167">
        <f t="shared" si="33"/>
        <v>0</v>
      </c>
      <c r="J158" s="167">
        <f>IF(C158="","",IF(F158=0,0,IF(C158&lt;='Tabla Parámetros'!$J$23,I158,IF($E$2='Tabla Parámetros'!$J$19,((($H$2/1000*'Tabla Parámetros'!$K$19)/30.4*C158)*1.0212^11),IF($E$2='Tabla Parámetros'!$J$20,($H$2/1000*'Tabla Parámetros'!$K$20)/30.4*C158)*1.0201^11)))+N158+O158)</f>
        <v>0</v>
      </c>
      <c r="K158" s="167">
        <f t="shared" si="30"/>
        <v>0</v>
      </c>
      <c r="L158" s="167">
        <f t="shared" si="36"/>
        <v>0</v>
      </c>
      <c r="M158" s="167">
        <f>IF(B158="","",IF(F158=0,0,IF(Simulador!$F$11='Tabla Parámetros'!$W$1,'Tabla Parámetros'!$W$28,IF(Simulador!$F$11='Tabla Parámetros'!$Y$1,'Tabla Parámetros'!$Y$12))))</f>
        <v>0</v>
      </c>
      <c r="N158" s="167">
        <f>IF(F158=0,0,IF(F158="","",IF(Simulador!$N$7='Tabla Parámetros'!$C$31,AportPat!L138,0)))</f>
        <v>0</v>
      </c>
      <c r="O158" s="167">
        <f>Simulador!O526</f>
        <v>0</v>
      </c>
      <c r="P158" s="167">
        <f t="shared" si="31"/>
        <v>0</v>
      </c>
      <c r="Q158" s="167">
        <f t="shared" si="38"/>
        <v>0</v>
      </c>
      <c r="T158" s="6"/>
      <c r="U158" s="6"/>
      <c r="V158" s="6"/>
      <c r="W158" s="29">
        <f t="shared" si="29"/>
        <v>0</v>
      </c>
    </row>
    <row r="159" spans="2:23" x14ac:dyDescent="0.3">
      <c r="B159" s="181">
        <f t="shared" si="32"/>
        <v>136</v>
      </c>
      <c r="C159" s="180">
        <f t="shared" si="37"/>
        <v>30.4</v>
      </c>
      <c r="D159" s="193">
        <f>IF(B159="","",'Tabla Parámetros'!$G$5)</f>
        <v>0.11799999999999999</v>
      </c>
      <c r="E159" s="167"/>
      <c r="F159" s="167">
        <f t="shared" si="34"/>
        <v>0</v>
      </c>
      <c r="G159" s="166"/>
      <c r="H159" s="167">
        <f t="shared" si="35"/>
        <v>0</v>
      </c>
      <c r="I159" s="167">
        <f t="shared" si="33"/>
        <v>0</v>
      </c>
      <c r="J159" s="167">
        <f>IF(C159="","",IF(F159=0,0,IF(C159&lt;='Tabla Parámetros'!$J$23,I159,IF($E$2='Tabla Parámetros'!$J$19,((($H$2/1000*'Tabla Parámetros'!$K$19)/30.4*C159)*1.0212^11),IF($E$2='Tabla Parámetros'!$J$20,($H$2/1000*'Tabla Parámetros'!$K$20)/30.4*C159)*1.0201^11)))+N159+O159)</f>
        <v>0</v>
      </c>
      <c r="K159" s="167">
        <f t="shared" si="30"/>
        <v>0</v>
      </c>
      <c r="L159" s="167">
        <f t="shared" si="36"/>
        <v>0</v>
      </c>
      <c r="M159" s="167">
        <f>IF(B159="","",IF(F159=0,0,IF(Simulador!$F$11='Tabla Parámetros'!$W$1,'Tabla Parámetros'!$W$28,IF(Simulador!$F$11='Tabla Parámetros'!$Y$1,'Tabla Parámetros'!$Y$12))))</f>
        <v>0</v>
      </c>
      <c r="N159" s="167">
        <f>IF(F159=0,0,IF(F159="","",IF(Simulador!$N$7='Tabla Parámetros'!$C$31,AportPat!L139,0)))</f>
        <v>0</v>
      </c>
      <c r="O159" s="167">
        <f>Simulador!O527</f>
        <v>0</v>
      </c>
      <c r="P159" s="167">
        <f t="shared" si="31"/>
        <v>0</v>
      </c>
      <c r="Q159" s="167">
        <f t="shared" si="38"/>
        <v>0</v>
      </c>
      <c r="T159" s="6"/>
      <c r="U159" s="6"/>
      <c r="V159" s="6"/>
      <c r="W159" s="29">
        <f t="shared" si="29"/>
        <v>0</v>
      </c>
    </row>
    <row r="160" spans="2:23" x14ac:dyDescent="0.3">
      <c r="B160" s="181">
        <f t="shared" si="32"/>
        <v>137</v>
      </c>
      <c r="C160" s="180">
        <f t="shared" si="37"/>
        <v>30.4</v>
      </c>
      <c r="D160" s="193">
        <f>IF(B160="","",'Tabla Parámetros'!$G$5)</f>
        <v>0.11799999999999999</v>
      </c>
      <c r="E160" s="167"/>
      <c r="F160" s="167">
        <f t="shared" si="34"/>
        <v>0</v>
      </c>
      <c r="G160" s="166"/>
      <c r="H160" s="167">
        <f t="shared" si="35"/>
        <v>0</v>
      </c>
      <c r="I160" s="167">
        <f t="shared" si="33"/>
        <v>0</v>
      </c>
      <c r="J160" s="167">
        <f>IF(C160="","",IF(F160=0,0,IF(C160&lt;='Tabla Parámetros'!$J$23,I160,IF($E$2='Tabla Parámetros'!$J$19,((($H$2/1000*'Tabla Parámetros'!$K$19)/30.4*C160)*1.0212^11),IF($E$2='Tabla Parámetros'!$J$20,($H$2/1000*'Tabla Parámetros'!$K$20)/30.4*C160)*1.0201^11)))+N160+O160)</f>
        <v>0</v>
      </c>
      <c r="K160" s="167">
        <f t="shared" si="30"/>
        <v>0</v>
      </c>
      <c r="L160" s="167">
        <f t="shared" si="36"/>
        <v>0</v>
      </c>
      <c r="M160" s="167">
        <f>IF(B160="","",IF(F160=0,0,IF(Simulador!$F$11='Tabla Parámetros'!$W$1,'Tabla Parámetros'!$W$28,IF(Simulador!$F$11='Tabla Parámetros'!$Y$1,'Tabla Parámetros'!$Y$12))))</f>
        <v>0</v>
      </c>
      <c r="N160" s="167">
        <f>IF(F160=0,0,IF(F160="","",IF(Simulador!$N$7='Tabla Parámetros'!$C$31,AportPat!L140,0)))</f>
        <v>0</v>
      </c>
      <c r="O160" s="167">
        <f>Simulador!O528</f>
        <v>0</v>
      </c>
      <c r="P160" s="167">
        <f t="shared" si="31"/>
        <v>0</v>
      </c>
      <c r="Q160" s="167">
        <f t="shared" si="38"/>
        <v>0</v>
      </c>
      <c r="T160" s="6"/>
      <c r="U160" s="6"/>
      <c r="V160" s="6"/>
      <c r="W160" s="29">
        <f t="shared" si="29"/>
        <v>0</v>
      </c>
    </row>
    <row r="161" spans="2:23" x14ac:dyDescent="0.3">
      <c r="B161" s="181">
        <f t="shared" si="32"/>
        <v>138</v>
      </c>
      <c r="C161" s="180">
        <f t="shared" si="37"/>
        <v>30.4</v>
      </c>
      <c r="D161" s="193">
        <f>IF(B161="","",'Tabla Parámetros'!$G$5)</f>
        <v>0.11799999999999999</v>
      </c>
      <c r="E161" s="167"/>
      <c r="F161" s="167">
        <f t="shared" si="34"/>
        <v>0</v>
      </c>
      <c r="G161" s="166"/>
      <c r="H161" s="167">
        <f t="shared" si="35"/>
        <v>0</v>
      </c>
      <c r="I161" s="167">
        <f t="shared" si="33"/>
        <v>0</v>
      </c>
      <c r="J161" s="167">
        <f>IF(C161="","",IF(F161=0,0,IF(C161&lt;='Tabla Parámetros'!$J$23,I161,IF($E$2='Tabla Parámetros'!$J$19,((($H$2/1000*'Tabla Parámetros'!$K$19)/30.4*C161)*1.0212^11),IF($E$2='Tabla Parámetros'!$J$20,($H$2/1000*'Tabla Parámetros'!$K$20)/30.4*C161)*1.0201^11)))+N161+O161)</f>
        <v>0</v>
      </c>
      <c r="K161" s="167">
        <f t="shared" si="30"/>
        <v>0</v>
      </c>
      <c r="L161" s="167">
        <f t="shared" si="36"/>
        <v>0</v>
      </c>
      <c r="M161" s="167">
        <f>IF(B161="","",IF(F161=0,0,IF(Simulador!$F$11='Tabla Parámetros'!$W$1,'Tabla Parámetros'!$W$28,IF(Simulador!$F$11='Tabla Parámetros'!$Y$1,'Tabla Parámetros'!$Y$12))))</f>
        <v>0</v>
      </c>
      <c r="N161" s="167">
        <f>IF(F161=0,0,IF(F161="","",IF(Simulador!$N$7='Tabla Parámetros'!$C$31,AportPat!L141,0)))</f>
        <v>0</v>
      </c>
      <c r="O161" s="167">
        <f>Simulador!O529</f>
        <v>0</v>
      </c>
      <c r="P161" s="167">
        <f t="shared" si="31"/>
        <v>0</v>
      </c>
      <c r="Q161" s="167">
        <f t="shared" si="38"/>
        <v>0</v>
      </c>
      <c r="T161" s="6"/>
      <c r="U161" s="6"/>
      <c r="V161" s="6"/>
      <c r="W161" s="29">
        <f t="shared" si="29"/>
        <v>0</v>
      </c>
    </row>
    <row r="162" spans="2:23" x14ac:dyDescent="0.3">
      <c r="B162" s="181">
        <f t="shared" si="32"/>
        <v>139</v>
      </c>
      <c r="C162" s="180">
        <f t="shared" si="37"/>
        <v>30.4</v>
      </c>
      <c r="D162" s="193">
        <f>IF(B162="","",'Tabla Parámetros'!$G$5)</f>
        <v>0.11799999999999999</v>
      </c>
      <c r="E162" s="167"/>
      <c r="F162" s="167">
        <f t="shared" si="34"/>
        <v>0</v>
      </c>
      <c r="G162" s="166"/>
      <c r="H162" s="167">
        <f t="shared" si="35"/>
        <v>0</v>
      </c>
      <c r="I162" s="167">
        <f t="shared" si="33"/>
        <v>0</v>
      </c>
      <c r="J162" s="167">
        <f>IF(C162="","",IF(F162=0,0,IF(C162&lt;='Tabla Parámetros'!$J$23,I162,IF($E$2='Tabla Parámetros'!$J$19,((($H$2/1000*'Tabla Parámetros'!$K$19)/30.4*C162)*1.0212^11),IF($E$2='Tabla Parámetros'!$J$20,($H$2/1000*'Tabla Parámetros'!$K$20)/30.4*C162)*1.0201^11)))+N162+O162)</f>
        <v>0</v>
      </c>
      <c r="K162" s="167">
        <f t="shared" si="30"/>
        <v>0</v>
      </c>
      <c r="L162" s="167">
        <f t="shared" si="36"/>
        <v>0</v>
      </c>
      <c r="M162" s="167">
        <f>IF(B162="","",IF(F162=0,0,IF(Simulador!$F$11='Tabla Parámetros'!$W$1,'Tabla Parámetros'!$W$28,IF(Simulador!$F$11='Tabla Parámetros'!$Y$1,'Tabla Parámetros'!$Y$12))))</f>
        <v>0</v>
      </c>
      <c r="N162" s="167">
        <f>IF(F162=0,0,IF(F162="","",IF(Simulador!$N$7='Tabla Parámetros'!$C$31,AportPat!L142,0)))</f>
        <v>0</v>
      </c>
      <c r="O162" s="167">
        <f>Simulador!O530</f>
        <v>0</v>
      </c>
      <c r="P162" s="167">
        <f t="shared" si="31"/>
        <v>0</v>
      </c>
      <c r="Q162" s="167">
        <f t="shared" si="38"/>
        <v>0</v>
      </c>
      <c r="T162" s="6"/>
      <c r="U162" s="6"/>
      <c r="V162" s="6"/>
      <c r="W162" s="29">
        <f t="shared" si="29"/>
        <v>0</v>
      </c>
    </row>
    <row r="163" spans="2:23" x14ac:dyDescent="0.3">
      <c r="B163" s="181">
        <f t="shared" si="32"/>
        <v>140</v>
      </c>
      <c r="C163" s="180">
        <f t="shared" si="37"/>
        <v>30.4</v>
      </c>
      <c r="D163" s="193">
        <f>IF(B163="","",'Tabla Parámetros'!$G$5)</f>
        <v>0.11799999999999999</v>
      </c>
      <c r="E163" s="167"/>
      <c r="F163" s="167">
        <f t="shared" si="34"/>
        <v>0</v>
      </c>
      <c r="G163" s="166"/>
      <c r="H163" s="167">
        <f t="shared" si="35"/>
        <v>0</v>
      </c>
      <c r="I163" s="167">
        <f t="shared" si="33"/>
        <v>0</v>
      </c>
      <c r="J163" s="167">
        <f>IF(C163="","",IF(F163=0,0,IF(C163&lt;='Tabla Parámetros'!$J$23,I163,IF($E$2='Tabla Parámetros'!$J$19,((($H$2/1000*'Tabla Parámetros'!$K$19)/30.4*C163)*1.0212^11),IF($E$2='Tabla Parámetros'!$J$20,($H$2/1000*'Tabla Parámetros'!$K$20)/30.4*C163)*1.0201^11)))+N163+O163)</f>
        <v>0</v>
      </c>
      <c r="K163" s="167">
        <f t="shared" si="30"/>
        <v>0</v>
      </c>
      <c r="L163" s="167">
        <f t="shared" si="36"/>
        <v>0</v>
      </c>
      <c r="M163" s="167">
        <f>IF(B163="","",IF(F163=0,0,IF(Simulador!$F$11='Tabla Parámetros'!$W$1,'Tabla Parámetros'!$W$28,IF(Simulador!$F$11='Tabla Parámetros'!$Y$1,'Tabla Parámetros'!$Y$12))))</f>
        <v>0</v>
      </c>
      <c r="N163" s="167">
        <f>IF(F163=0,0,IF(F163="","",IF(Simulador!$N$7='Tabla Parámetros'!$C$31,AportPat!L143,0)))</f>
        <v>0</v>
      </c>
      <c r="O163" s="167">
        <f>Simulador!O531</f>
        <v>0</v>
      </c>
      <c r="P163" s="167">
        <f t="shared" si="31"/>
        <v>0</v>
      </c>
      <c r="Q163" s="167">
        <f t="shared" si="38"/>
        <v>0</v>
      </c>
      <c r="T163" s="6"/>
      <c r="U163" s="6"/>
      <c r="V163" s="6"/>
      <c r="W163" s="29">
        <f t="shared" si="29"/>
        <v>0</v>
      </c>
    </row>
    <row r="164" spans="2:23" x14ac:dyDescent="0.3">
      <c r="B164" s="181">
        <f t="shared" si="32"/>
        <v>141</v>
      </c>
      <c r="C164" s="180">
        <f t="shared" si="37"/>
        <v>30.4</v>
      </c>
      <c r="D164" s="193">
        <f>IF(B164="","",'Tabla Parámetros'!$G$5)</f>
        <v>0.11799999999999999</v>
      </c>
      <c r="E164" s="167"/>
      <c r="F164" s="167">
        <f t="shared" si="34"/>
        <v>0</v>
      </c>
      <c r="G164" s="166"/>
      <c r="H164" s="167">
        <f t="shared" si="35"/>
        <v>0</v>
      </c>
      <c r="I164" s="167">
        <f t="shared" si="33"/>
        <v>0</v>
      </c>
      <c r="J164" s="167">
        <f>IF(C164="","",IF(F164=0,0,IF(C164&lt;='Tabla Parámetros'!$J$23,I164,IF($E$2='Tabla Parámetros'!$J$19,((($H$2/1000*'Tabla Parámetros'!$K$19)/30.4*C164)*1.0212^11),IF($E$2='Tabla Parámetros'!$J$20,($H$2/1000*'Tabla Parámetros'!$K$20)/30.4*C164)*1.0201^11)))+N164+O164)</f>
        <v>0</v>
      </c>
      <c r="K164" s="167">
        <f t="shared" si="30"/>
        <v>0</v>
      </c>
      <c r="L164" s="167">
        <f t="shared" si="36"/>
        <v>0</v>
      </c>
      <c r="M164" s="167">
        <f>IF(B164="","",IF(F164=0,0,IF(Simulador!$F$11='Tabla Parámetros'!$W$1,'Tabla Parámetros'!$W$28,IF(Simulador!$F$11='Tabla Parámetros'!$Y$1,'Tabla Parámetros'!$Y$12))))</f>
        <v>0</v>
      </c>
      <c r="N164" s="167">
        <f>IF(F164=0,0,IF(F164="","",IF(Simulador!$N$7='Tabla Parámetros'!$C$31,AportPat!L144,0)))</f>
        <v>0</v>
      </c>
      <c r="O164" s="167">
        <f>Simulador!O532</f>
        <v>0</v>
      </c>
      <c r="P164" s="167">
        <f t="shared" si="31"/>
        <v>0</v>
      </c>
      <c r="Q164" s="167">
        <f t="shared" si="38"/>
        <v>0</v>
      </c>
      <c r="T164" s="6"/>
      <c r="U164" s="6"/>
      <c r="V164" s="6"/>
      <c r="W164" s="29">
        <f t="shared" si="29"/>
        <v>0</v>
      </c>
    </row>
    <row r="165" spans="2:23" x14ac:dyDescent="0.3">
      <c r="B165" s="181">
        <f t="shared" si="32"/>
        <v>142</v>
      </c>
      <c r="C165" s="180">
        <f t="shared" si="37"/>
        <v>30.4</v>
      </c>
      <c r="D165" s="193">
        <f>IF(B165="","",'Tabla Parámetros'!$G$5)</f>
        <v>0.11799999999999999</v>
      </c>
      <c r="E165" s="167"/>
      <c r="F165" s="167">
        <f t="shared" si="34"/>
        <v>0</v>
      </c>
      <c r="G165" s="166"/>
      <c r="H165" s="167">
        <f t="shared" si="35"/>
        <v>0</v>
      </c>
      <c r="I165" s="167">
        <f t="shared" si="33"/>
        <v>0</v>
      </c>
      <c r="J165" s="167">
        <f>IF(C165="","",IF(F165=0,0,IF(C165&lt;='Tabla Parámetros'!$J$23,I165,IF($E$2='Tabla Parámetros'!$J$19,((($H$2/1000*'Tabla Parámetros'!$K$19)/30.4*C165)*1.0212^11),IF($E$2='Tabla Parámetros'!$J$20,($H$2/1000*'Tabla Parámetros'!$K$20)/30.4*C165)*1.0201^11)))+N165+O165)</f>
        <v>0</v>
      </c>
      <c r="K165" s="167">
        <f t="shared" si="30"/>
        <v>0</v>
      </c>
      <c r="L165" s="167">
        <f t="shared" si="36"/>
        <v>0</v>
      </c>
      <c r="M165" s="167">
        <f>IF(B165="","",IF(F165=0,0,IF(Simulador!$F$11='Tabla Parámetros'!$W$1,'Tabla Parámetros'!$W$28,IF(Simulador!$F$11='Tabla Parámetros'!$Y$1,'Tabla Parámetros'!$Y$12))))</f>
        <v>0</v>
      </c>
      <c r="N165" s="167">
        <f>IF(F165=0,0,IF(F165="","",IF(Simulador!$N$7='Tabla Parámetros'!$C$31,AportPat!L145,0)))</f>
        <v>0</v>
      </c>
      <c r="O165" s="167">
        <f>Simulador!O533</f>
        <v>0</v>
      </c>
      <c r="P165" s="167">
        <f t="shared" si="31"/>
        <v>0</v>
      </c>
      <c r="Q165" s="167">
        <f t="shared" si="38"/>
        <v>0</v>
      </c>
      <c r="T165" s="6"/>
      <c r="U165" s="6"/>
      <c r="V165" s="6"/>
      <c r="W165" s="29">
        <f t="shared" si="29"/>
        <v>0</v>
      </c>
    </row>
    <row r="166" spans="2:23" x14ac:dyDescent="0.3">
      <c r="B166" s="181">
        <f t="shared" si="32"/>
        <v>143</v>
      </c>
      <c r="C166" s="180">
        <f t="shared" si="37"/>
        <v>30.4</v>
      </c>
      <c r="D166" s="193">
        <f>IF(B166="","",'Tabla Parámetros'!$G$5)</f>
        <v>0.11799999999999999</v>
      </c>
      <c r="E166" s="167"/>
      <c r="F166" s="167">
        <f t="shared" si="34"/>
        <v>0</v>
      </c>
      <c r="G166" s="166"/>
      <c r="H166" s="167">
        <f t="shared" si="35"/>
        <v>0</v>
      </c>
      <c r="I166" s="167">
        <f t="shared" si="33"/>
        <v>0</v>
      </c>
      <c r="J166" s="167">
        <f>IF(C166="","",IF(F166=0,0,IF(C166&lt;='Tabla Parámetros'!$J$23,I166,IF($E$2='Tabla Parámetros'!$J$19,((($H$2/1000*'Tabla Parámetros'!$K$19)/30.4*C166)*1.0212^11),IF($E$2='Tabla Parámetros'!$J$20,($H$2/1000*'Tabla Parámetros'!$K$20)/30.4*C166)*1.0201^11)))+N166+O166)</f>
        <v>0</v>
      </c>
      <c r="K166" s="167">
        <f t="shared" si="30"/>
        <v>0</v>
      </c>
      <c r="L166" s="167">
        <f t="shared" si="36"/>
        <v>0</v>
      </c>
      <c r="M166" s="167">
        <f>IF(B166="","",IF(F166=0,0,IF(Simulador!$F$11='Tabla Parámetros'!$W$1,'Tabla Parámetros'!$W$28,IF(Simulador!$F$11='Tabla Parámetros'!$Y$1,'Tabla Parámetros'!$Y$12))))</f>
        <v>0</v>
      </c>
      <c r="N166" s="167">
        <f>IF(F166=0,0,IF(F166="","",IF(Simulador!$N$7='Tabla Parámetros'!$C$31,AportPat!L146,0)))</f>
        <v>0</v>
      </c>
      <c r="O166" s="167">
        <f>Simulador!O534</f>
        <v>0</v>
      </c>
      <c r="P166" s="167">
        <f t="shared" si="31"/>
        <v>0</v>
      </c>
      <c r="Q166" s="167">
        <f t="shared" si="38"/>
        <v>0</v>
      </c>
      <c r="T166" s="6"/>
      <c r="U166" s="6"/>
      <c r="V166" s="6"/>
      <c r="W166" s="29">
        <f t="shared" si="29"/>
        <v>0</v>
      </c>
    </row>
    <row r="167" spans="2:23" x14ac:dyDescent="0.3">
      <c r="B167" s="181">
        <f t="shared" si="32"/>
        <v>144</v>
      </c>
      <c r="C167" s="180">
        <f t="shared" si="37"/>
        <v>30.4</v>
      </c>
      <c r="D167" s="193">
        <f>IF(B167="","",'Tabla Parámetros'!$G$5)</f>
        <v>0.11799999999999999</v>
      </c>
      <c r="E167" s="167"/>
      <c r="F167" s="167">
        <f t="shared" si="34"/>
        <v>0</v>
      </c>
      <c r="G167" s="166"/>
      <c r="H167" s="167">
        <f t="shared" si="35"/>
        <v>0</v>
      </c>
      <c r="I167" s="167">
        <f t="shared" si="33"/>
        <v>0</v>
      </c>
      <c r="J167" s="167">
        <f>IF(C167="","",IF(F167=0,0,IF(C167&lt;='Tabla Parámetros'!$J$23,I167,IF($E$2='Tabla Parámetros'!$J$19,((($H$2/1000*'Tabla Parámetros'!$K$19)/30.4*C167)*1.0212^11),IF($E$2='Tabla Parámetros'!$J$20,($H$2/1000*'Tabla Parámetros'!$K$20)/30.4*C167)*1.0201^11)))+N167+O167)</f>
        <v>0</v>
      </c>
      <c r="K167" s="167">
        <f t="shared" si="30"/>
        <v>0</v>
      </c>
      <c r="L167" s="167">
        <f t="shared" si="36"/>
        <v>0</v>
      </c>
      <c r="M167" s="167">
        <f>IF(B167="","",IF(F167=0,0,IF(Simulador!$F$11='Tabla Parámetros'!$W$1,'Tabla Parámetros'!$W$28,IF(Simulador!$F$11='Tabla Parámetros'!$Y$1,'Tabla Parámetros'!$Y$12))))</f>
        <v>0</v>
      </c>
      <c r="N167" s="167">
        <f>IF(F167=0,0,IF(F167="","",IF(Simulador!$N$7='Tabla Parámetros'!$C$31,AportPat!L147,0)))</f>
        <v>0</v>
      </c>
      <c r="O167" s="167">
        <f>Simulador!O535</f>
        <v>0</v>
      </c>
      <c r="P167" s="167">
        <f t="shared" si="31"/>
        <v>0</v>
      </c>
      <c r="Q167" s="167">
        <f t="shared" si="38"/>
        <v>0</v>
      </c>
      <c r="T167" s="6"/>
      <c r="U167" s="6"/>
      <c r="V167" s="6"/>
      <c r="W167" s="29">
        <f t="shared" si="29"/>
        <v>0</v>
      </c>
    </row>
    <row r="168" spans="2:23" x14ac:dyDescent="0.3">
      <c r="B168" s="181">
        <f t="shared" si="32"/>
        <v>145</v>
      </c>
      <c r="C168" s="180">
        <f t="shared" si="37"/>
        <v>30.4</v>
      </c>
      <c r="D168" s="193">
        <f>IF(B168="","",'Tabla Parámetros'!$G$5)</f>
        <v>0.11799999999999999</v>
      </c>
      <c r="E168" s="167"/>
      <c r="F168" s="167">
        <f t="shared" si="34"/>
        <v>0</v>
      </c>
      <c r="G168" s="166"/>
      <c r="H168" s="167">
        <f t="shared" si="35"/>
        <v>0</v>
      </c>
      <c r="I168" s="167">
        <f t="shared" si="33"/>
        <v>0</v>
      </c>
      <c r="J168" s="167">
        <f>IF(C168="","",IF(F168=0,0,IF(C168&lt;='Tabla Parámetros'!$J$23,I168,IF($E$2='Tabla Parámetros'!$J$19,((($H$2/1000*'Tabla Parámetros'!$K$19)/30.4*C168)*1.0212^11),IF($E$2='Tabla Parámetros'!$J$20,($H$2/1000*'Tabla Parámetros'!$K$20)/30.4*C168)*1.0201^11)))+N168+O168)</f>
        <v>0</v>
      </c>
      <c r="K168" s="167">
        <f t="shared" si="30"/>
        <v>0</v>
      </c>
      <c r="L168" s="167">
        <f t="shared" si="36"/>
        <v>0</v>
      </c>
      <c r="M168" s="167">
        <f>IF(B168="","",IF(F168=0,0,IF(Simulador!$F$11='Tabla Parámetros'!$W$1,'Tabla Parámetros'!$W$28,IF(Simulador!$F$11='Tabla Parámetros'!$Y$1,'Tabla Parámetros'!$Y$12))))</f>
        <v>0</v>
      </c>
      <c r="N168" s="167">
        <f>IF(F168=0,0,IF(F168="","",IF(Simulador!$N$7='Tabla Parámetros'!$C$31,AportPat!L148,0)))</f>
        <v>0</v>
      </c>
      <c r="O168" s="167">
        <f>Simulador!O536</f>
        <v>0</v>
      </c>
      <c r="P168" s="167">
        <f t="shared" si="31"/>
        <v>0</v>
      </c>
      <c r="Q168" s="167">
        <f t="shared" si="38"/>
        <v>0</v>
      </c>
      <c r="T168" s="6"/>
      <c r="U168" s="6"/>
      <c r="V168" s="6"/>
      <c r="W168" s="29">
        <f t="shared" si="29"/>
        <v>0</v>
      </c>
    </row>
    <row r="169" spans="2:23" x14ac:dyDescent="0.3">
      <c r="B169" s="181">
        <f t="shared" si="32"/>
        <v>146</v>
      </c>
      <c r="C169" s="180">
        <f t="shared" si="37"/>
        <v>30.4</v>
      </c>
      <c r="D169" s="193">
        <f>IF(B169="","",'Tabla Parámetros'!$G$5)</f>
        <v>0.11799999999999999</v>
      </c>
      <c r="E169" s="167"/>
      <c r="F169" s="167">
        <f t="shared" si="34"/>
        <v>0</v>
      </c>
      <c r="G169" s="166"/>
      <c r="H169" s="167">
        <f t="shared" si="35"/>
        <v>0</v>
      </c>
      <c r="I169" s="167">
        <f t="shared" si="33"/>
        <v>0</v>
      </c>
      <c r="J169" s="167">
        <f>IF(C169="","",IF(F169=0,0,IF(C169&lt;='Tabla Parámetros'!$J$23,I169,IF($E$2='Tabla Parámetros'!$J$19,((($H$2/1000*'Tabla Parámetros'!$K$19)/30.4*C169)*1.0212^12),IF($E$2='Tabla Parámetros'!$J$20,($H$2/1000*'Tabla Parámetros'!$K$20)/30.4*C169)*1.0201^12)))+N169+O169)</f>
        <v>0</v>
      </c>
      <c r="K169" s="167">
        <f t="shared" si="30"/>
        <v>0</v>
      </c>
      <c r="L169" s="167">
        <f t="shared" si="36"/>
        <v>0</v>
      </c>
      <c r="M169" s="167">
        <f>IF(B169="","",IF(F169=0,0,IF(Simulador!$F$11='Tabla Parámetros'!$W$1,'Tabla Parámetros'!$W$28,IF(Simulador!$F$11='Tabla Parámetros'!$Y$1,'Tabla Parámetros'!$Y$12))))</f>
        <v>0</v>
      </c>
      <c r="N169" s="167">
        <f>IF(F169=0,0,IF(F169="","",IF(Simulador!$N$7='Tabla Parámetros'!$C$31,AportPat!L149,0)))</f>
        <v>0</v>
      </c>
      <c r="O169" s="167">
        <f>Simulador!O537</f>
        <v>0</v>
      </c>
      <c r="P169" s="167">
        <f t="shared" si="31"/>
        <v>0</v>
      </c>
      <c r="Q169" s="167">
        <f t="shared" si="38"/>
        <v>0</v>
      </c>
      <c r="T169" s="6"/>
      <c r="U169" s="6"/>
      <c r="V169" s="6"/>
      <c r="W169" s="29">
        <f t="shared" si="29"/>
        <v>0</v>
      </c>
    </row>
    <row r="170" spans="2:23" x14ac:dyDescent="0.3">
      <c r="B170" s="181">
        <f t="shared" si="32"/>
        <v>147</v>
      </c>
      <c r="C170" s="180">
        <f t="shared" si="37"/>
        <v>30.4</v>
      </c>
      <c r="D170" s="193">
        <f>IF(B170="","",'Tabla Parámetros'!$G$5)</f>
        <v>0.11799999999999999</v>
      </c>
      <c r="E170" s="167"/>
      <c r="F170" s="167">
        <f t="shared" si="34"/>
        <v>0</v>
      </c>
      <c r="G170" s="166"/>
      <c r="H170" s="167">
        <f t="shared" si="35"/>
        <v>0</v>
      </c>
      <c r="I170" s="167">
        <f t="shared" si="33"/>
        <v>0</v>
      </c>
      <c r="J170" s="167">
        <f>IF(C170="","",IF(F170=0,0,IF(C170&lt;='Tabla Parámetros'!$J$23,I170,IF($E$2='Tabla Parámetros'!$J$19,((($H$2/1000*'Tabla Parámetros'!$K$19)/30.4*C170)*1.0212^12),IF($E$2='Tabla Parámetros'!$J$20,($H$2/1000*'Tabla Parámetros'!$K$20)/30.4*C170)*1.0201^12)))+N170+O170)</f>
        <v>0</v>
      </c>
      <c r="K170" s="167">
        <f t="shared" si="30"/>
        <v>0</v>
      </c>
      <c r="L170" s="167">
        <f t="shared" si="36"/>
        <v>0</v>
      </c>
      <c r="M170" s="167">
        <f>IF(B170="","",IF(F170=0,0,IF(Simulador!$F$11='Tabla Parámetros'!$W$1,'Tabla Parámetros'!$W$28,IF(Simulador!$F$11='Tabla Parámetros'!$Y$1,'Tabla Parámetros'!$Y$12))))</f>
        <v>0</v>
      </c>
      <c r="N170" s="167">
        <f>IF(F170=0,0,IF(F170="","",IF(Simulador!$N$7='Tabla Parámetros'!$C$31,AportPat!L150,0)))</f>
        <v>0</v>
      </c>
      <c r="O170" s="167">
        <f>Simulador!O538</f>
        <v>0</v>
      </c>
      <c r="P170" s="167">
        <f t="shared" si="31"/>
        <v>0</v>
      </c>
      <c r="Q170" s="167">
        <f t="shared" si="38"/>
        <v>0</v>
      </c>
      <c r="T170" s="6"/>
      <c r="U170" s="6"/>
      <c r="V170" s="6"/>
      <c r="W170" s="29">
        <f t="shared" si="29"/>
        <v>0</v>
      </c>
    </row>
    <row r="171" spans="2:23" x14ac:dyDescent="0.3">
      <c r="B171" s="181">
        <f t="shared" si="32"/>
        <v>148</v>
      </c>
      <c r="C171" s="180">
        <f t="shared" si="37"/>
        <v>30.4</v>
      </c>
      <c r="D171" s="193">
        <f>IF(B171="","",'Tabla Parámetros'!$G$5)</f>
        <v>0.11799999999999999</v>
      </c>
      <c r="E171" s="167"/>
      <c r="F171" s="167">
        <f t="shared" si="34"/>
        <v>0</v>
      </c>
      <c r="G171" s="166"/>
      <c r="H171" s="167">
        <f t="shared" si="35"/>
        <v>0</v>
      </c>
      <c r="I171" s="167">
        <f t="shared" si="33"/>
        <v>0</v>
      </c>
      <c r="J171" s="167">
        <f>IF(C171="","",IF(F171=0,0,IF(C171&lt;='Tabla Parámetros'!$J$23,I171,IF($E$2='Tabla Parámetros'!$J$19,((($H$2/1000*'Tabla Parámetros'!$K$19)/30.4*C171)*1.0212^12),IF($E$2='Tabla Parámetros'!$J$20,($H$2/1000*'Tabla Parámetros'!$K$20)/30.4*C171)*1.0201^12)))+N171+O171)</f>
        <v>0</v>
      </c>
      <c r="K171" s="167">
        <f t="shared" si="30"/>
        <v>0</v>
      </c>
      <c r="L171" s="167">
        <f t="shared" si="36"/>
        <v>0</v>
      </c>
      <c r="M171" s="167">
        <f>IF(B171="","",IF(F171=0,0,IF(Simulador!$F$11='Tabla Parámetros'!$W$1,'Tabla Parámetros'!$W$28,IF(Simulador!$F$11='Tabla Parámetros'!$Y$1,'Tabla Parámetros'!$Y$12))))</f>
        <v>0</v>
      </c>
      <c r="N171" s="167">
        <f>IF(F171=0,0,IF(F171="","",IF(Simulador!$N$7='Tabla Parámetros'!$C$31,AportPat!L151,0)))</f>
        <v>0</v>
      </c>
      <c r="O171" s="167">
        <f>Simulador!O539</f>
        <v>0</v>
      </c>
      <c r="P171" s="167">
        <f t="shared" si="31"/>
        <v>0</v>
      </c>
      <c r="Q171" s="167">
        <f t="shared" si="38"/>
        <v>0</v>
      </c>
      <c r="T171" s="6"/>
      <c r="U171" s="6"/>
      <c r="V171" s="6"/>
      <c r="W171" s="29">
        <f t="shared" si="29"/>
        <v>0</v>
      </c>
    </row>
    <row r="172" spans="2:23" x14ac:dyDescent="0.3">
      <c r="B172" s="181">
        <f t="shared" si="32"/>
        <v>149</v>
      </c>
      <c r="C172" s="180">
        <f t="shared" si="37"/>
        <v>30.4</v>
      </c>
      <c r="D172" s="193">
        <f>IF(B172="","",'Tabla Parámetros'!$G$5)</f>
        <v>0.11799999999999999</v>
      </c>
      <c r="E172" s="167"/>
      <c r="F172" s="167">
        <f t="shared" si="34"/>
        <v>0</v>
      </c>
      <c r="G172" s="166"/>
      <c r="H172" s="167">
        <f t="shared" si="35"/>
        <v>0</v>
      </c>
      <c r="I172" s="167">
        <f t="shared" si="33"/>
        <v>0</v>
      </c>
      <c r="J172" s="167">
        <f>IF(C172="","",IF(F172=0,0,IF(C172&lt;='Tabla Parámetros'!$J$23,I172,IF($E$2='Tabla Parámetros'!$J$19,((($H$2/1000*'Tabla Parámetros'!$K$19)/30.4*C172)*1.0212^12),IF($E$2='Tabla Parámetros'!$J$20,($H$2/1000*'Tabla Parámetros'!$K$20)/30.4*C172)*1.0201^12)))+N172+O172)</f>
        <v>0</v>
      </c>
      <c r="K172" s="167">
        <f t="shared" si="30"/>
        <v>0</v>
      </c>
      <c r="L172" s="167">
        <f t="shared" si="36"/>
        <v>0</v>
      </c>
      <c r="M172" s="167">
        <f>IF(B172="","",IF(F172=0,0,IF(Simulador!$F$11='Tabla Parámetros'!$W$1,'Tabla Parámetros'!$W$28,IF(Simulador!$F$11='Tabla Parámetros'!$Y$1,'Tabla Parámetros'!$Y$12))))</f>
        <v>0</v>
      </c>
      <c r="N172" s="167">
        <f>IF(F172=0,0,IF(F172="","",IF(Simulador!$N$7='Tabla Parámetros'!$C$31,AportPat!L152,0)))</f>
        <v>0</v>
      </c>
      <c r="O172" s="167">
        <f>Simulador!O540</f>
        <v>0</v>
      </c>
      <c r="P172" s="167">
        <f t="shared" si="31"/>
        <v>0</v>
      </c>
      <c r="Q172" s="167">
        <f t="shared" si="38"/>
        <v>0</v>
      </c>
      <c r="T172" s="6"/>
      <c r="U172" s="6"/>
      <c r="V172" s="6"/>
      <c r="W172" s="29">
        <f t="shared" si="29"/>
        <v>0</v>
      </c>
    </row>
    <row r="173" spans="2:23" x14ac:dyDescent="0.3">
      <c r="B173" s="181">
        <f t="shared" si="32"/>
        <v>150</v>
      </c>
      <c r="C173" s="180">
        <f t="shared" si="37"/>
        <v>30.4</v>
      </c>
      <c r="D173" s="193">
        <f>IF(B173="","",'Tabla Parámetros'!$G$5)</f>
        <v>0.11799999999999999</v>
      </c>
      <c r="E173" s="167"/>
      <c r="F173" s="167">
        <f t="shared" si="34"/>
        <v>0</v>
      </c>
      <c r="G173" s="166"/>
      <c r="H173" s="167">
        <f t="shared" si="35"/>
        <v>0</v>
      </c>
      <c r="I173" s="167">
        <f t="shared" si="33"/>
        <v>0</v>
      </c>
      <c r="J173" s="167">
        <f>IF(C173="","",IF(F173=0,0,IF(C173&lt;='Tabla Parámetros'!$J$23,I173,IF($E$2='Tabla Parámetros'!$J$19,((($H$2/1000*'Tabla Parámetros'!$K$19)/30.4*C173)*1.0212^12),IF($E$2='Tabla Parámetros'!$J$20,($H$2/1000*'Tabla Parámetros'!$K$20)/30.4*C173)*1.0201^12)))+N173+O173)</f>
        <v>0</v>
      </c>
      <c r="K173" s="167">
        <f t="shared" si="30"/>
        <v>0</v>
      </c>
      <c r="L173" s="167">
        <f t="shared" si="36"/>
        <v>0</v>
      </c>
      <c r="M173" s="167">
        <f>IF(B173="","",IF(F173=0,0,IF(Simulador!$F$11='Tabla Parámetros'!$W$1,'Tabla Parámetros'!$W$28,IF(Simulador!$F$11='Tabla Parámetros'!$Y$1,'Tabla Parámetros'!$Y$12))))</f>
        <v>0</v>
      </c>
      <c r="N173" s="167">
        <f>IF(F173=0,0,IF(F173="","",IF(Simulador!$N$7='Tabla Parámetros'!$C$31,AportPat!L153,0)))</f>
        <v>0</v>
      </c>
      <c r="O173" s="167">
        <f>Simulador!O541</f>
        <v>0</v>
      </c>
      <c r="P173" s="167">
        <f t="shared" si="31"/>
        <v>0</v>
      </c>
      <c r="Q173" s="167">
        <f t="shared" si="38"/>
        <v>0</v>
      </c>
      <c r="T173" s="6"/>
      <c r="U173" s="6"/>
      <c r="V173" s="6"/>
      <c r="W173" s="29">
        <f t="shared" si="29"/>
        <v>0</v>
      </c>
    </row>
    <row r="174" spans="2:23" x14ac:dyDescent="0.3">
      <c r="B174" s="181">
        <f t="shared" si="32"/>
        <v>151</v>
      </c>
      <c r="C174" s="180">
        <f t="shared" si="37"/>
        <v>30.4</v>
      </c>
      <c r="D174" s="193">
        <f>IF(B174="","",'Tabla Parámetros'!$G$5)</f>
        <v>0.11799999999999999</v>
      </c>
      <c r="E174" s="167"/>
      <c r="F174" s="167">
        <f t="shared" si="34"/>
        <v>0</v>
      </c>
      <c r="G174" s="166"/>
      <c r="H174" s="167">
        <f t="shared" si="35"/>
        <v>0</v>
      </c>
      <c r="I174" s="167">
        <f t="shared" si="33"/>
        <v>0</v>
      </c>
      <c r="J174" s="167">
        <f>IF(C174="","",IF(F174=0,0,IF(C174&lt;='Tabla Parámetros'!$J$23,I174,IF($E$2='Tabla Parámetros'!$J$19,((($H$2/1000*'Tabla Parámetros'!$K$19)/30.4*C174)*1.0212^12),IF($E$2='Tabla Parámetros'!$J$20,($H$2/1000*'Tabla Parámetros'!$K$20)/30.4*C174)*1.0201^12)))+N174+O174)</f>
        <v>0</v>
      </c>
      <c r="K174" s="167">
        <f t="shared" si="30"/>
        <v>0</v>
      </c>
      <c r="L174" s="167">
        <f t="shared" si="36"/>
        <v>0</v>
      </c>
      <c r="M174" s="167">
        <f>IF(B174="","",IF(F174=0,0,IF(Simulador!$F$11='Tabla Parámetros'!$W$1,'Tabla Parámetros'!$W$28,IF(Simulador!$F$11='Tabla Parámetros'!$Y$1,'Tabla Parámetros'!$Y$12))))</f>
        <v>0</v>
      </c>
      <c r="N174" s="167">
        <f>IF(F174=0,0,IF(F174="","",IF(Simulador!$N$7='Tabla Parámetros'!$C$31,AportPat!L154,0)))</f>
        <v>0</v>
      </c>
      <c r="O174" s="167">
        <f>Simulador!O542</f>
        <v>0</v>
      </c>
      <c r="P174" s="167">
        <f t="shared" si="31"/>
        <v>0</v>
      </c>
      <c r="Q174" s="167">
        <f t="shared" si="38"/>
        <v>0</v>
      </c>
      <c r="T174" s="6"/>
      <c r="U174" s="6"/>
      <c r="V174" s="6"/>
      <c r="W174" s="29">
        <f t="shared" si="29"/>
        <v>0</v>
      </c>
    </row>
    <row r="175" spans="2:23" x14ac:dyDescent="0.3">
      <c r="B175" s="181">
        <f t="shared" si="32"/>
        <v>152</v>
      </c>
      <c r="C175" s="180">
        <f t="shared" si="37"/>
        <v>30.4</v>
      </c>
      <c r="D175" s="193">
        <f>IF(B175="","",'Tabla Parámetros'!$G$5)</f>
        <v>0.11799999999999999</v>
      </c>
      <c r="E175" s="167"/>
      <c r="F175" s="167">
        <f t="shared" si="34"/>
        <v>0</v>
      </c>
      <c r="G175" s="166"/>
      <c r="H175" s="167">
        <f t="shared" si="35"/>
        <v>0</v>
      </c>
      <c r="I175" s="167">
        <f t="shared" si="33"/>
        <v>0</v>
      </c>
      <c r="J175" s="167">
        <f>IF(C175="","",IF(F175=0,0,IF(C175&lt;='Tabla Parámetros'!$J$23,I175,IF($E$2='Tabla Parámetros'!$J$19,((($H$2/1000*'Tabla Parámetros'!$K$19)/30.4*C175)*1.0212^12),IF($E$2='Tabla Parámetros'!$J$20,($H$2/1000*'Tabla Parámetros'!$K$20)/30.4*C175)*1.0201^12)))+N175+O175)</f>
        <v>0</v>
      </c>
      <c r="K175" s="167">
        <f t="shared" si="30"/>
        <v>0</v>
      </c>
      <c r="L175" s="167">
        <f t="shared" si="36"/>
        <v>0</v>
      </c>
      <c r="M175" s="167">
        <f>IF(B175="","",IF(F175=0,0,IF(Simulador!$F$11='Tabla Parámetros'!$W$1,'Tabla Parámetros'!$W$28,IF(Simulador!$F$11='Tabla Parámetros'!$Y$1,'Tabla Parámetros'!$Y$12))))</f>
        <v>0</v>
      </c>
      <c r="N175" s="167">
        <f>IF(F175=0,0,IF(F175="","",IF(Simulador!$N$7='Tabla Parámetros'!$C$31,AportPat!L155,0)))</f>
        <v>0</v>
      </c>
      <c r="O175" s="167">
        <f>Simulador!O543</f>
        <v>0</v>
      </c>
      <c r="P175" s="167">
        <f t="shared" si="31"/>
        <v>0</v>
      </c>
      <c r="Q175" s="167">
        <f t="shared" si="38"/>
        <v>0</v>
      </c>
      <c r="T175" s="6"/>
      <c r="U175" s="6"/>
      <c r="V175" s="6"/>
      <c r="W175" s="29">
        <f t="shared" si="29"/>
        <v>0</v>
      </c>
    </row>
    <row r="176" spans="2:23" x14ac:dyDescent="0.3">
      <c r="B176" s="181">
        <f t="shared" si="32"/>
        <v>153</v>
      </c>
      <c r="C176" s="180">
        <f t="shared" si="37"/>
        <v>30.4</v>
      </c>
      <c r="D176" s="193">
        <f>IF(B176="","",'Tabla Parámetros'!$G$5)</f>
        <v>0.11799999999999999</v>
      </c>
      <c r="E176" s="167"/>
      <c r="F176" s="167">
        <f t="shared" si="34"/>
        <v>0</v>
      </c>
      <c r="G176" s="166"/>
      <c r="H176" s="167">
        <f t="shared" si="35"/>
        <v>0</v>
      </c>
      <c r="I176" s="167">
        <f t="shared" si="33"/>
        <v>0</v>
      </c>
      <c r="J176" s="167">
        <f>IF(C176="","",IF(F176=0,0,IF(C176&lt;='Tabla Parámetros'!$J$23,I176,IF($E$2='Tabla Parámetros'!$J$19,((($H$2/1000*'Tabla Parámetros'!$K$19)/30.4*C176)*1.0212^12),IF($E$2='Tabla Parámetros'!$J$20,($H$2/1000*'Tabla Parámetros'!$K$20)/30.4*C176)*1.0201^12)))+N176+O176)</f>
        <v>0</v>
      </c>
      <c r="K176" s="167">
        <f t="shared" si="30"/>
        <v>0</v>
      </c>
      <c r="L176" s="167">
        <f t="shared" si="36"/>
        <v>0</v>
      </c>
      <c r="M176" s="167">
        <f>IF(B176="","",IF(F176=0,0,IF(Simulador!$F$11='Tabla Parámetros'!$W$1,'Tabla Parámetros'!$W$28,IF(Simulador!$F$11='Tabla Parámetros'!$Y$1,'Tabla Parámetros'!$Y$12))))</f>
        <v>0</v>
      </c>
      <c r="N176" s="167">
        <f>IF(F176=0,0,IF(F176="","",IF(Simulador!$N$7='Tabla Parámetros'!$C$31,AportPat!L156,0)))</f>
        <v>0</v>
      </c>
      <c r="O176" s="167">
        <f>Simulador!O544</f>
        <v>0</v>
      </c>
      <c r="P176" s="167">
        <f t="shared" si="31"/>
        <v>0</v>
      </c>
      <c r="Q176" s="167">
        <f t="shared" si="38"/>
        <v>0</v>
      </c>
      <c r="T176" s="6"/>
      <c r="U176" s="6"/>
      <c r="V176" s="6"/>
      <c r="W176" s="29">
        <f t="shared" si="29"/>
        <v>0</v>
      </c>
    </row>
    <row r="177" spans="2:23" x14ac:dyDescent="0.3">
      <c r="B177" s="181">
        <f t="shared" si="32"/>
        <v>154</v>
      </c>
      <c r="C177" s="180">
        <f t="shared" si="37"/>
        <v>30.4</v>
      </c>
      <c r="D177" s="193">
        <f>IF(B177="","",'Tabla Parámetros'!$G$5)</f>
        <v>0.11799999999999999</v>
      </c>
      <c r="E177" s="167"/>
      <c r="F177" s="167">
        <f t="shared" si="34"/>
        <v>0</v>
      </c>
      <c r="G177" s="166"/>
      <c r="H177" s="167">
        <f t="shared" si="35"/>
        <v>0</v>
      </c>
      <c r="I177" s="167">
        <f t="shared" si="33"/>
        <v>0</v>
      </c>
      <c r="J177" s="167">
        <f>IF(C177="","",IF(F177=0,0,IF(C177&lt;='Tabla Parámetros'!$J$23,I177,IF($E$2='Tabla Parámetros'!$J$19,((($H$2/1000*'Tabla Parámetros'!$K$19)/30.4*C177)*1.0212^12),IF($E$2='Tabla Parámetros'!$J$20,($H$2/1000*'Tabla Parámetros'!$K$20)/30.4*C177)*1.0201^12)))+N177+O177)</f>
        <v>0</v>
      </c>
      <c r="K177" s="167">
        <f t="shared" si="30"/>
        <v>0</v>
      </c>
      <c r="L177" s="167">
        <f t="shared" si="36"/>
        <v>0</v>
      </c>
      <c r="M177" s="167">
        <f>IF(B177="","",IF(F177=0,0,IF(Simulador!$F$11='Tabla Parámetros'!$W$1,'Tabla Parámetros'!$W$28,IF(Simulador!$F$11='Tabla Parámetros'!$Y$1,'Tabla Parámetros'!$Y$12))))</f>
        <v>0</v>
      </c>
      <c r="N177" s="167">
        <f>IF(F177=0,0,IF(F177="","",IF(Simulador!$N$7='Tabla Parámetros'!$C$31,AportPat!L157,0)))</f>
        <v>0</v>
      </c>
      <c r="O177" s="167">
        <f>Simulador!O545</f>
        <v>0</v>
      </c>
      <c r="P177" s="167">
        <f t="shared" si="31"/>
        <v>0</v>
      </c>
      <c r="Q177" s="167">
        <f t="shared" si="38"/>
        <v>0</v>
      </c>
      <c r="T177" s="6"/>
      <c r="U177" s="6"/>
      <c r="V177" s="6"/>
      <c r="W177" s="29">
        <f t="shared" si="29"/>
        <v>0</v>
      </c>
    </row>
    <row r="178" spans="2:23" x14ac:dyDescent="0.3">
      <c r="B178" s="181">
        <f t="shared" si="32"/>
        <v>155</v>
      </c>
      <c r="C178" s="180">
        <f t="shared" si="37"/>
        <v>30.4</v>
      </c>
      <c r="D178" s="193">
        <f>IF(B178="","",'Tabla Parámetros'!$G$5)</f>
        <v>0.11799999999999999</v>
      </c>
      <c r="E178" s="167"/>
      <c r="F178" s="167">
        <f t="shared" si="34"/>
        <v>0</v>
      </c>
      <c r="G178" s="166"/>
      <c r="H178" s="167">
        <f t="shared" si="35"/>
        <v>0</v>
      </c>
      <c r="I178" s="167">
        <f t="shared" si="33"/>
        <v>0</v>
      </c>
      <c r="J178" s="167">
        <f>IF(C178="","",IF(F178=0,0,IF(C178&lt;='Tabla Parámetros'!$J$23,I178,IF($E$2='Tabla Parámetros'!$J$19,((($H$2/1000*'Tabla Parámetros'!$K$19)/30.4*C178)*1.0212^12),IF($E$2='Tabla Parámetros'!$J$20,($H$2/1000*'Tabla Parámetros'!$K$20)/30.4*C178)*1.0201^12)))+N178+O178)</f>
        <v>0</v>
      </c>
      <c r="K178" s="167">
        <f t="shared" si="30"/>
        <v>0</v>
      </c>
      <c r="L178" s="167">
        <f t="shared" si="36"/>
        <v>0</v>
      </c>
      <c r="M178" s="167">
        <f>IF(B178="","",IF(F178=0,0,IF(Simulador!$F$11='Tabla Parámetros'!$W$1,'Tabla Parámetros'!$W$28,IF(Simulador!$F$11='Tabla Parámetros'!$Y$1,'Tabla Parámetros'!$Y$12))))</f>
        <v>0</v>
      </c>
      <c r="N178" s="167">
        <f>IF(F178=0,0,IF(F178="","",IF(Simulador!$N$7='Tabla Parámetros'!$C$31,AportPat!L158,0)))</f>
        <v>0</v>
      </c>
      <c r="O178" s="167">
        <f>Simulador!O546</f>
        <v>0</v>
      </c>
      <c r="P178" s="167">
        <f t="shared" si="31"/>
        <v>0</v>
      </c>
      <c r="Q178" s="167">
        <f t="shared" si="38"/>
        <v>0</v>
      </c>
      <c r="T178" s="6"/>
      <c r="U178" s="6"/>
      <c r="V178" s="6"/>
      <c r="W178" s="29">
        <f t="shared" si="29"/>
        <v>0</v>
      </c>
    </row>
    <row r="179" spans="2:23" x14ac:dyDescent="0.3">
      <c r="B179" s="181">
        <f t="shared" si="32"/>
        <v>156</v>
      </c>
      <c r="C179" s="180">
        <f t="shared" si="37"/>
        <v>30.4</v>
      </c>
      <c r="D179" s="193">
        <f>IF(B179="","",'Tabla Parámetros'!$G$5)</f>
        <v>0.11799999999999999</v>
      </c>
      <c r="E179" s="167"/>
      <c r="F179" s="167">
        <f t="shared" si="34"/>
        <v>0</v>
      </c>
      <c r="G179" s="166"/>
      <c r="H179" s="167">
        <f t="shared" si="35"/>
        <v>0</v>
      </c>
      <c r="I179" s="167">
        <f t="shared" si="33"/>
        <v>0</v>
      </c>
      <c r="J179" s="167">
        <f>IF(C179="","",IF(F179=0,0,IF(C179&lt;='Tabla Parámetros'!$J$23,I179,IF($E$2='Tabla Parámetros'!$J$19,((($H$2/1000*'Tabla Parámetros'!$K$19)/30.4*C179)*1.0212^12),IF($E$2='Tabla Parámetros'!$J$20,($H$2/1000*'Tabla Parámetros'!$K$20)/30.4*C179)*1.0201^12)))+N179+O179)</f>
        <v>0</v>
      </c>
      <c r="K179" s="167">
        <f t="shared" si="30"/>
        <v>0</v>
      </c>
      <c r="L179" s="167">
        <f t="shared" si="36"/>
        <v>0</v>
      </c>
      <c r="M179" s="167">
        <f>IF(B179="","",IF(F179=0,0,IF(Simulador!$F$11='Tabla Parámetros'!$W$1,'Tabla Parámetros'!$W$28,IF(Simulador!$F$11='Tabla Parámetros'!$Y$1,'Tabla Parámetros'!$Y$12))))</f>
        <v>0</v>
      </c>
      <c r="N179" s="167">
        <f>IF(F179=0,0,IF(F179="","",IF(Simulador!$N$7='Tabla Parámetros'!$C$31,AportPat!L159,0)))</f>
        <v>0</v>
      </c>
      <c r="O179" s="167">
        <f>Simulador!O547</f>
        <v>0</v>
      </c>
      <c r="P179" s="167">
        <f t="shared" si="31"/>
        <v>0</v>
      </c>
      <c r="Q179" s="167">
        <f t="shared" si="38"/>
        <v>0</v>
      </c>
      <c r="T179" s="6"/>
      <c r="U179" s="6"/>
      <c r="V179" s="6"/>
      <c r="W179" s="29">
        <f t="shared" si="29"/>
        <v>0</v>
      </c>
    </row>
    <row r="180" spans="2:23" x14ac:dyDescent="0.3">
      <c r="B180" s="181">
        <f t="shared" si="32"/>
        <v>157</v>
      </c>
      <c r="C180" s="180">
        <f t="shared" si="37"/>
        <v>30.4</v>
      </c>
      <c r="D180" s="193">
        <f>IF(B180="","",'Tabla Parámetros'!$G$5)</f>
        <v>0.11799999999999999</v>
      </c>
      <c r="E180" s="167"/>
      <c r="F180" s="167">
        <f t="shared" si="34"/>
        <v>0</v>
      </c>
      <c r="G180" s="166"/>
      <c r="H180" s="167">
        <f t="shared" si="35"/>
        <v>0</v>
      </c>
      <c r="I180" s="167">
        <f t="shared" si="33"/>
        <v>0</v>
      </c>
      <c r="J180" s="167">
        <f>IF(C180="","",IF(F180=0,0,IF(C180&lt;='Tabla Parámetros'!$J$23,I180,IF($E$2='Tabla Parámetros'!$J$19,((($H$2/1000*'Tabla Parámetros'!$K$19)/30.4*C180)*1.0212^12),IF($E$2='Tabla Parámetros'!$J$20,($H$2/1000*'Tabla Parámetros'!$K$20)/30.4*C180)*1.0201^12)))+N180+O180)</f>
        <v>0</v>
      </c>
      <c r="K180" s="167">
        <f t="shared" si="30"/>
        <v>0</v>
      </c>
      <c r="L180" s="167">
        <f t="shared" si="36"/>
        <v>0</v>
      </c>
      <c r="M180" s="167">
        <f>IF(B180="","",IF(F180=0,0,IF(Simulador!$F$11='Tabla Parámetros'!$W$1,'Tabla Parámetros'!$W$28,IF(Simulador!$F$11='Tabla Parámetros'!$Y$1,'Tabla Parámetros'!$Y$12))))</f>
        <v>0</v>
      </c>
      <c r="N180" s="167">
        <f>IF(F180=0,0,IF(F180="","",IF(Simulador!$N$7='Tabla Parámetros'!$C$31,AportPat!L160,0)))</f>
        <v>0</v>
      </c>
      <c r="O180" s="167">
        <f>Simulador!O548</f>
        <v>0</v>
      </c>
      <c r="P180" s="167">
        <f t="shared" si="31"/>
        <v>0</v>
      </c>
      <c r="Q180" s="167">
        <f t="shared" si="38"/>
        <v>0</v>
      </c>
      <c r="T180" s="6"/>
      <c r="U180" s="6"/>
      <c r="V180" s="6"/>
      <c r="W180" s="29">
        <f t="shared" si="29"/>
        <v>0</v>
      </c>
    </row>
    <row r="181" spans="2:23" x14ac:dyDescent="0.3">
      <c r="B181" s="181">
        <f t="shared" si="32"/>
        <v>158</v>
      </c>
      <c r="C181" s="180">
        <f t="shared" si="37"/>
        <v>30.4</v>
      </c>
      <c r="D181" s="193">
        <f>IF(B181="","",'Tabla Parámetros'!$G$5)</f>
        <v>0.11799999999999999</v>
      </c>
      <c r="E181" s="167"/>
      <c r="F181" s="167">
        <f t="shared" si="34"/>
        <v>0</v>
      </c>
      <c r="G181" s="166"/>
      <c r="H181" s="167">
        <f t="shared" si="35"/>
        <v>0</v>
      </c>
      <c r="I181" s="167">
        <f t="shared" si="33"/>
        <v>0</v>
      </c>
      <c r="J181" s="167">
        <f>IF(C181="","",IF(F181=0,0,IF(C181&lt;='Tabla Parámetros'!$J$23,I181,IF($E$2='Tabla Parámetros'!$J$19,((($H$2/1000*'Tabla Parámetros'!$K$19)/30.4*C181)*1.0212^13),IF($E$2='Tabla Parámetros'!$J$20,($H$2/1000*'Tabla Parámetros'!$K$20)/30.4*C181)*1.0201^13)))+N181+O181)</f>
        <v>0</v>
      </c>
      <c r="K181" s="167">
        <f t="shared" si="30"/>
        <v>0</v>
      </c>
      <c r="L181" s="167">
        <f t="shared" si="36"/>
        <v>0</v>
      </c>
      <c r="M181" s="167">
        <f>IF(B181="","",IF(F181=0,0,IF(Simulador!$F$11='Tabla Parámetros'!$W$1,'Tabla Parámetros'!$W$28,IF(Simulador!$F$11='Tabla Parámetros'!$Y$1,'Tabla Parámetros'!$Y$12))))</f>
        <v>0</v>
      </c>
      <c r="N181" s="167">
        <f>IF(F181=0,0,IF(F181="","",IF(Simulador!$N$7='Tabla Parámetros'!$C$31,AportPat!L161,0)))</f>
        <v>0</v>
      </c>
      <c r="O181" s="167">
        <f>Simulador!O549</f>
        <v>0</v>
      </c>
      <c r="P181" s="167">
        <f t="shared" si="31"/>
        <v>0</v>
      </c>
      <c r="Q181" s="167">
        <f t="shared" si="38"/>
        <v>0</v>
      </c>
      <c r="T181" s="6"/>
      <c r="U181" s="6"/>
      <c r="V181" s="6"/>
      <c r="W181" s="29">
        <f t="shared" si="29"/>
        <v>0</v>
      </c>
    </row>
    <row r="182" spans="2:23" x14ac:dyDescent="0.3">
      <c r="B182" s="181">
        <f t="shared" si="32"/>
        <v>159</v>
      </c>
      <c r="C182" s="180">
        <f t="shared" si="37"/>
        <v>30.4</v>
      </c>
      <c r="D182" s="193">
        <f>IF(B182="","",'Tabla Parámetros'!$G$5)</f>
        <v>0.11799999999999999</v>
      </c>
      <c r="E182" s="167"/>
      <c r="F182" s="167">
        <f t="shared" si="34"/>
        <v>0</v>
      </c>
      <c r="G182" s="166"/>
      <c r="H182" s="167">
        <f t="shared" si="35"/>
        <v>0</v>
      </c>
      <c r="I182" s="167">
        <f t="shared" si="33"/>
        <v>0</v>
      </c>
      <c r="J182" s="167">
        <f>IF(C182="","",IF(F182=0,0,IF(C182&lt;='Tabla Parámetros'!$J$23,I182,IF($E$2='Tabla Parámetros'!$J$19,((($H$2/1000*'Tabla Parámetros'!$K$19)/30.4*C182)*1.0212^13),IF($E$2='Tabla Parámetros'!$J$20,($H$2/1000*'Tabla Parámetros'!$K$20)/30.4*C182)*1.0201^13)))+N182+O182)</f>
        <v>0</v>
      </c>
      <c r="K182" s="167">
        <f t="shared" si="30"/>
        <v>0</v>
      </c>
      <c r="L182" s="167">
        <f t="shared" si="36"/>
        <v>0</v>
      </c>
      <c r="M182" s="167">
        <f>IF(B182="","",IF(F182=0,0,IF(Simulador!$F$11='Tabla Parámetros'!$W$1,'Tabla Parámetros'!$W$28,IF(Simulador!$F$11='Tabla Parámetros'!$Y$1,'Tabla Parámetros'!$Y$12))))</f>
        <v>0</v>
      </c>
      <c r="N182" s="167">
        <f>IF(F182=0,0,IF(F182="","",IF(Simulador!$N$7='Tabla Parámetros'!$C$31,AportPat!L162,0)))</f>
        <v>0</v>
      </c>
      <c r="O182" s="167">
        <f>Simulador!O550</f>
        <v>0</v>
      </c>
      <c r="P182" s="167">
        <f t="shared" si="31"/>
        <v>0</v>
      </c>
      <c r="Q182" s="167">
        <f t="shared" si="38"/>
        <v>0</v>
      </c>
      <c r="T182" s="6"/>
      <c r="U182" s="6"/>
      <c r="V182" s="6"/>
      <c r="W182" s="29">
        <f t="shared" si="29"/>
        <v>0</v>
      </c>
    </row>
    <row r="183" spans="2:23" x14ac:dyDescent="0.3">
      <c r="B183" s="181">
        <f t="shared" si="32"/>
        <v>160</v>
      </c>
      <c r="C183" s="180">
        <f t="shared" si="37"/>
        <v>30.4</v>
      </c>
      <c r="D183" s="193">
        <f>IF(B183="","",'Tabla Parámetros'!$G$5)</f>
        <v>0.11799999999999999</v>
      </c>
      <c r="E183" s="167"/>
      <c r="F183" s="167">
        <f t="shared" si="34"/>
        <v>0</v>
      </c>
      <c r="G183" s="166"/>
      <c r="H183" s="167">
        <f t="shared" si="35"/>
        <v>0</v>
      </c>
      <c r="I183" s="167">
        <f t="shared" si="33"/>
        <v>0</v>
      </c>
      <c r="J183" s="167">
        <f>IF(C183="","",IF(F183=0,0,IF(C183&lt;='Tabla Parámetros'!$J$23,I183,IF($E$2='Tabla Parámetros'!$J$19,((($H$2/1000*'Tabla Parámetros'!$K$19)/30.4*C183)*1.0212^13),IF($E$2='Tabla Parámetros'!$J$20,($H$2/1000*'Tabla Parámetros'!$K$20)/30.4*C183)*1.0201^13)))+N183+O183)</f>
        <v>0</v>
      </c>
      <c r="K183" s="167">
        <f t="shared" si="30"/>
        <v>0</v>
      </c>
      <c r="L183" s="167">
        <f t="shared" si="36"/>
        <v>0</v>
      </c>
      <c r="M183" s="167">
        <f>IF(B183="","",IF(F183=0,0,IF(Simulador!$F$11='Tabla Parámetros'!$W$1,'Tabla Parámetros'!$W$28,IF(Simulador!$F$11='Tabla Parámetros'!$Y$1,'Tabla Parámetros'!$Y$12))))</f>
        <v>0</v>
      </c>
      <c r="N183" s="167">
        <f>IF(F183=0,0,IF(F183="","",IF(Simulador!$N$7='Tabla Parámetros'!$C$31,AportPat!L163,0)))</f>
        <v>0</v>
      </c>
      <c r="O183" s="167">
        <f>Simulador!O551</f>
        <v>0</v>
      </c>
      <c r="P183" s="167">
        <f t="shared" si="31"/>
        <v>0</v>
      </c>
      <c r="Q183" s="167">
        <f t="shared" si="38"/>
        <v>0</v>
      </c>
      <c r="T183" s="6"/>
      <c r="U183" s="6"/>
      <c r="V183" s="6"/>
      <c r="W183" s="29">
        <f t="shared" si="29"/>
        <v>0</v>
      </c>
    </row>
    <row r="184" spans="2:23" x14ac:dyDescent="0.3">
      <c r="B184" s="181">
        <f t="shared" si="32"/>
        <v>161</v>
      </c>
      <c r="C184" s="180">
        <f t="shared" si="37"/>
        <v>30.4</v>
      </c>
      <c r="D184" s="193">
        <f>IF(B184="","",'Tabla Parámetros'!$G$5)</f>
        <v>0.11799999999999999</v>
      </c>
      <c r="E184" s="167"/>
      <c r="F184" s="167">
        <f t="shared" si="34"/>
        <v>0</v>
      </c>
      <c r="G184" s="166"/>
      <c r="H184" s="167">
        <f t="shared" si="35"/>
        <v>0</v>
      </c>
      <c r="I184" s="167">
        <f t="shared" si="33"/>
        <v>0</v>
      </c>
      <c r="J184" s="167">
        <f>IF(C184="","",IF(F184=0,0,IF(C184&lt;='Tabla Parámetros'!$J$23,I184,IF($E$2='Tabla Parámetros'!$J$19,((($H$2/1000*'Tabla Parámetros'!$K$19)/30.4*C184)*1.0212^13),IF($E$2='Tabla Parámetros'!$J$20,($H$2/1000*'Tabla Parámetros'!$K$20)/30.4*C184)*1.0201^13)))+N184+O184)</f>
        <v>0</v>
      </c>
      <c r="K184" s="167">
        <f t="shared" si="30"/>
        <v>0</v>
      </c>
      <c r="L184" s="167">
        <f t="shared" si="36"/>
        <v>0</v>
      </c>
      <c r="M184" s="167">
        <f>IF(B184="","",IF(F184=0,0,IF(Simulador!$F$11='Tabla Parámetros'!$W$1,'Tabla Parámetros'!$W$28,IF(Simulador!$F$11='Tabla Parámetros'!$Y$1,'Tabla Parámetros'!$Y$12))))</f>
        <v>0</v>
      </c>
      <c r="N184" s="167">
        <f>IF(F184=0,0,IF(F184="","",IF(Simulador!$N$7='Tabla Parámetros'!$C$31,AportPat!L164,0)))</f>
        <v>0</v>
      </c>
      <c r="O184" s="167">
        <f>Simulador!O552</f>
        <v>0</v>
      </c>
      <c r="P184" s="167">
        <f t="shared" si="31"/>
        <v>0</v>
      </c>
      <c r="Q184" s="167">
        <f t="shared" si="38"/>
        <v>0</v>
      </c>
      <c r="T184" s="6"/>
      <c r="U184" s="6"/>
      <c r="V184" s="6"/>
      <c r="W184" s="29">
        <f t="shared" si="29"/>
        <v>0</v>
      </c>
    </row>
    <row r="185" spans="2:23" x14ac:dyDescent="0.3">
      <c r="B185" s="181">
        <f t="shared" si="32"/>
        <v>162</v>
      </c>
      <c r="C185" s="180">
        <f t="shared" si="37"/>
        <v>30.4</v>
      </c>
      <c r="D185" s="193">
        <f>IF(B185="","",'Tabla Parámetros'!$G$5)</f>
        <v>0.11799999999999999</v>
      </c>
      <c r="E185" s="167"/>
      <c r="F185" s="167">
        <f t="shared" si="34"/>
        <v>0</v>
      </c>
      <c r="G185" s="166"/>
      <c r="H185" s="167">
        <f t="shared" si="35"/>
        <v>0</v>
      </c>
      <c r="I185" s="167">
        <f t="shared" si="33"/>
        <v>0</v>
      </c>
      <c r="J185" s="167">
        <f>IF(C185="","",IF(F185=0,0,IF(C185&lt;='Tabla Parámetros'!$J$23,I185,IF($E$2='Tabla Parámetros'!$J$19,((($H$2/1000*'Tabla Parámetros'!$K$19)/30.4*C185)*1.0212^13),IF($E$2='Tabla Parámetros'!$J$20,($H$2/1000*'Tabla Parámetros'!$K$20)/30.4*C185)*1.0201^13)))+N185+O185)</f>
        <v>0</v>
      </c>
      <c r="K185" s="167">
        <f t="shared" si="30"/>
        <v>0</v>
      </c>
      <c r="L185" s="167">
        <f t="shared" si="36"/>
        <v>0</v>
      </c>
      <c r="M185" s="167">
        <f>IF(B185="","",IF(F185=0,0,IF(Simulador!$F$11='Tabla Parámetros'!$W$1,'Tabla Parámetros'!$W$28,IF(Simulador!$F$11='Tabla Parámetros'!$Y$1,'Tabla Parámetros'!$Y$12))))</f>
        <v>0</v>
      </c>
      <c r="N185" s="167">
        <f>IF(F185=0,0,IF(F185="","",IF(Simulador!$N$7='Tabla Parámetros'!$C$31,AportPat!L165,0)))</f>
        <v>0</v>
      </c>
      <c r="O185" s="167">
        <f>Simulador!O553</f>
        <v>0</v>
      </c>
      <c r="P185" s="167">
        <f t="shared" si="31"/>
        <v>0</v>
      </c>
      <c r="Q185" s="167">
        <f t="shared" si="38"/>
        <v>0</v>
      </c>
      <c r="T185" s="6"/>
      <c r="U185" s="6"/>
      <c r="V185" s="6"/>
      <c r="W185" s="29">
        <f t="shared" si="29"/>
        <v>0</v>
      </c>
    </row>
    <row r="186" spans="2:23" x14ac:dyDescent="0.3">
      <c r="B186" s="181">
        <f t="shared" si="32"/>
        <v>163</v>
      </c>
      <c r="C186" s="180">
        <f t="shared" si="37"/>
        <v>30.4</v>
      </c>
      <c r="D186" s="193">
        <f>IF(B186="","",'Tabla Parámetros'!$G$5)</f>
        <v>0.11799999999999999</v>
      </c>
      <c r="E186" s="167"/>
      <c r="F186" s="167">
        <f t="shared" si="34"/>
        <v>0</v>
      </c>
      <c r="G186" s="166"/>
      <c r="H186" s="167">
        <f t="shared" si="35"/>
        <v>0</v>
      </c>
      <c r="I186" s="167">
        <f t="shared" si="33"/>
        <v>0</v>
      </c>
      <c r="J186" s="167">
        <f>IF(C186="","",IF(F186=0,0,IF(C186&lt;='Tabla Parámetros'!$J$23,I186,IF($E$2='Tabla Parámetros'!$J$19,((($H$2/1000*'Tabla Parámetros'!$K$19)/30.4*C186)*1.0212^13),IF($E$2='Tabla Parámetros'!$J$20,($H$2/1000*'Tabla Parámetros'!$K$20)/30.4*C186)*1.0201^13)))+N186+O186)</f>
        <v>0</v>
      </c>
      <c r="K186" s="167">
        <f t="shared" si="30"/>
        <v>0</v>
      </c>
      <c r="L186" s="167">
        <f t="shared" si="36"/>
        <v>0</v>
      </c>
      <c r="M186" s="167">
        <f>IF(B186="","",IF(F186=0,0,IF(Simulador!$F$11='Tabla Parámetros'!$W$1,'Tabla Parámetros'!$W$28,IF(Simulador!$F$11='Tabla Parámetros'!$Y$1,'Tabla Parámetros'!$Y$12))))</f>
        <v>0</v>
      </c>
      <c r="N186" s="167">
        <f>IF(F186=0,0,IF(F186="","",IF(Simulador!$N$7='Tabla Parámetros'!$C$31,AportPat!L166,0)))</f>
        <v>0</v>
      </c>
      <c r="O186" s="167">
        <f>Simulador!O554</f>
        <v>0</v>
      </c>
      <c r="P186" s="167">
        <f t="shared" si="31"/>
        <v>0</v>
      </c>
      <c r="Q186" s="167">
        <f t="shared" si="38"/>
        <v>0</v>
      </c>
      <c r="T186" s="6"/>
      <c r="U186" s="6"/>
      <c r="V186" s="6"/>
      <c r="W186" s="29">
        <f t="shared" si="29"/>
        <v>0</v>
      </c>
    </row>
    <row r="187" spans="2:23" x14ac:dyDescent="0.3">
      <c r="B187" s="181">
        <f t="shared" si="32"/>
        <v>164</v>
      </c>
      <c r="C187" s="180">
        <f t="shared" si="37"/>
        <v>30.4</v>
      </c>
      <c r="D187" s="193">
        <f>IF(B187="","",'Tabla Parámetros'!$G$5)</f>
        <v>0.11799999999999999</v>
      </c>
      <c r="E187" s="167"/>
      <c r="F187" s="167">
        <f t="shared" si="34"/>
        <v>0</v>
      </c>
      <c r="G187" s="166"/>
      <c r="H187" s="167">
        <f t="shared" si="35"/>
        <v>0</v>
      </c>
      <c r="I187" s="167">
        <f t="shared" si="33"/>
        <v>0</v>
      </c>
      <c r="J187" s="167">
        <f>IF(C187="","",IF(F187=0,0,IF(C187&lt;='Tabla Parámetros'!$J$23,I187,IF($E$2='Tabla Parámetros'!$J$19,((($H$2/1000*'Tabla Parámetros'!$K$19)/30.4*C187)*1.0212^13),IF($E$2='Tabla Parámetros'!$J$20,($H$2/1000*'Tabla Parámetros'!$K$20)/30.4*C187)*1.0201^13)))+N187+O187)</f>
        <v>0</v>
      </c>
      <c r="K187" s="167">
        <f t="shared" si="30"/>
        <v>0</v>
      </c>
      <c r="L187" s="167">
        <f t="shared" si="36"/>
        <v>0</v>
      </c>
      <c r="M187" s="167">
        <f>IF(B187="","",IF(F187=0,0,IF(Simulador!$F$11='Tabla Parámetros'!$W$1,'Tabla Parámetros'!$W$28,IF(Simulador!$F$11='Tabla Parámetros'!$Y$1,'Tabla Parámetros'!$Y$12))))</f>
        <v>0</v>
      </c>
      <c r="N187" s="167">
        <f>IF(F187=0,0,IF(F187="","",IF(Simulador!$N$7='Tabla Parámetros'!$C$31,AportPat!L167,0)))</f>
        <v>0</v>
      </c>
      <c r="O187" s="167">
        <f>Simulador!O555</f>
        <v>0</v>
      </c>
      <c r="P187" s="167">
        <f t="shared" si="31"/>
        <v>0</v>
      </c>
      <c r="Q187" s="167">
        <f t="shared" si="38"/>
        <v>0</v>
      </c>
      <c r="T187" s="6"/>
      <c r="U187" s="6"/>
      <c r="V187" s="6"/>
      <c r="W187" s="29">
        <f t="shared" si="29"/>
        <v>0</v>
      </c>
    </row>
    <row r="188" spans="2:23" x14ac:dyDescent="0.3">
      <c r="B188" s="181">
        <f t="shared" si="32"/>
        <v>165</v>
      </c>
      <c r="C188" s="180">
        <f t="shared" si="37"/>
        <v>30.4</v>
      </c>
      <c r="D188" s="193">
        <f>IF(B188="","",'Tabla Parámetros'!$G$5)</f>
        <v>0.11799999999999999</v>
      </c>
      <c r="E188" s="167"/>
      <c r="F188" s="167">
        <f t="shared" si="34"/>
        <v>0</v>
      </c>
      <c r="G188" s="166"/>
      <c r="H188" s="167">
        <f t="shared" si="35"/>
        <v>0</v>
      </c>
      <c r="I188" s="167">
        <f t="shared" si="33"/>
        <v>0</v>
      </c>
      <c r="J188" s="167">
        <f>IF(C188="","",IF(F188=0,0,IF(C188&lt;='Tabla Parámetros'!$J$23,I188,IF($E$2='Tabla Parámetros'!$J$19,((($H$2/1000*'Tabla Parámetros'!$K$19)/30.4*C188)*1.0212^13),IF($E$2='Tabla Parámetros'!$J$20,($H$2/1000*'Tabla Parámetros'!$K$20)/30.4*C188)*1.0201^13)))+N188+O188)</f>
        <v>0</v>
      </c>
      <c r="K188" s="167">
        <f t="shared" si="30"/>
        <v>0</v>
      </c>
      <c r="L188" s="167">
        <f t="shared" si="36"/>
        <v>0</v>
      </c>
      <c r="M188" s="167">
        <f>IF(B188="","",IF(F188=0,0,IF(Simulador!$F$11='Tabla Parámetros'!$W$1,'Tabla Parámetros'!$W$28,IF(Simulador!$F$11='Tabla Parámetros'!$Y$1,'Tabla Parámetros'!$Y$12))))</f>
        <v>0</v>
      </c>
      <c r="N188" s="167">
        <f>IF(F188=0,0,IF(F188="","",IF(Simulador!$N$7='Tabla Parámetros'!$C$31,AportPat!L168,0)))</f>
        <v>0</v>
      </c>
      <c r="O188" s="167">
        <f>Simulador!O556</f>
        <v>0</v>
      </c>
      <c r="P188" s="167">
        <f t="shared" si="31"/>
        <v>0</v>
      </c>
      <c r="Q188" s="167">
        <f t="shared" si="38"/>
        <v>0</v>
      </c>
      <c r="T188" s="6"/>
      <c r="U188" s="6"/>
      <c r="V188" s="6"/>
      <c r="W188" s="29">
        <f t="shared" si="29"/>
        <v>0</v>
      </c>
    </row>
    <row r="189" spans="2:23" x14ac:dyDescent="0.3">
      <c r="B189" s="181">
        <f t="shared" si="32"/>
        <v>166</v>
      </c>
      <c r="C189" s="180">
        <f t="shared" si="37"/>
        <v>30.4</v>
      </c>
      <c r="D189" s="193">
        <f>IF(B189="","",'Tabla Parámetros'!$G$5)</f>
        <v>0.11799999999999999</v>
      </c>
      <c r="E189" s="167"/>
      <c r="F189" s="167">
        <f t="shared" si="34"/>
        <v>0</v>
      </c>
      <c r="G189" s="166"/>
      <c r="H189" s="167">
        <f t="shared" si="35"/>
        <v>0</v>
      </c>
      <c r="I189" s="167">
        <f t="shared" si="33"/>
        <v>0</v>
      </c>
      <c r="J189" s="167">
        <f>IF(C189="","",IF(F189=0,0,IF(C189&lt;='Tabla Parámetros'!$J$23,I189,IF($E$2='Tabla Parámetros'!$J$19,((($H$2/1000*'Tabla Parámetros'!$K$19)/30.4*C189)*1.0212^13),IF($E$2='Tabla Parámetros'!$J$20,($H$2/1000*'Tabla Parámetros'!$K$20)/30.4*C189)*1.0201^13)))+N189+O189)</f>
        <v>0</v>
      </c>
      <c r="K189" s="167">
        <f t="shared" si="30"/>
        <v>0</v>
      </c>
      <c r="L189" s="167">
        <f t="shared" si="36"/>
        <v>0</v>
      </c>
      <c r="M189" s="167">
        <f>IF(B189="","",IF(F189=0,0,IF(Simulador!$F$11='Tabla Parámetros'!$W$1,'Tabla Parámetros'!$W$28,IF(Simulador!$F$11='Tabla Parámetros'!$Y$1,'Tabla Parámetros'!$Y$12))))</f>
        <v>0</v>
      </c>
      <c r="N189" s="167">
        <f>IF(F189=0,0,IF(F189="","",IF(Simulador!$N$7='Tabla Parámetros'!$C$31,AportPat!L169,0)))</f>
        <v>0</v>
      </c>
      <c r="O189" s="167">
        <f>Simulador!O557</f>
        <v>0</v>
      </c>
      <c r="P189" s="167">
        <f t="shared" si="31"/>
        <v>0</v>
      </c>
      <c r="Q189" s="167">
        <f t="shared" si="38"/>
        <v>0</v>
      </c>
      <c r="T189" s="6"/>
      <c r="U189" s="6"/>
      <c r="V189" s="6"/>
      <c r="W189" s="29">
        <f t="shared" si="29"/>
        <v>0</v>
      </c>
    </row>
    <row r="190" spans="2:23" x14ac:dyDescent="0.3">
      <c r="B190" s="181">
        <f t="shared" si="32"/>
        <v>167</v>
      </c>
      <c r="C190" s="180">
        <f t="shared" si="37"/>
        <v>30.4</v>
      </c>
      <c r="D190" s="193">
        <f>IF(B190="","",'Tabla Parámetros'!$G$5)</f>
        <v>0.11799999999999999</v>
      </c>
      <c r="E190" s="167"/>
      <c r="F190" s="167">
        <f t="shared" si="34"/>
        <v>0</v>
      </c>
      <c r="G190" s="166"/>
      <c r="H190" s="167">
        <f t="shared" si="35"/>
        <v>0</v>
      </c>
      <c r="I190" s="167">
        <f t="shared" si="33"/>
        <v>0</v>
      </c>
      <c r="J190" s="167">
        <f>IF(C190="","",IF(F190=0,0,IF(C190&lt;='Tabla Parámetros'!$J$23,I190,IF($E$2='Tabla Parámetros'!$J$19,((($H$2/1000*'Tabla Parámetros'!$K$19)/30.4*C190)*1.0212^13),IF($E$2='Tabla Parámetros'!$J$20,($H$2/1000*'Tabla Parámetros'!$K$20)/30.4*C190)*1.0201^13)))+N190+O190)</f>
        <v>0</v>
      </c>
      <c r="K190" s="167">
        <f t="shared" si="30"/>
        <v>0</v>
      </c>
      <c r="L190" s="167">
        <f t="shared" si="36"/>
        <v>0</v>
      </c>
      <c r="M190" s="167">
        <f>IF(B190="","",IF(F190=0,0,IF(Simulador!$F$11='Tabla Parámetros'!$W$1,'Tabla Parámetros'!$W$28,IF(Simulador!$F$11='Tabla Parámetros'!$Y$1,'Tabla Parámetros'!$Y$12))))</f>
        <v>0</v>
      </c>
      <c r="N190" s="167">
        <f>IF(F190=0,0,IF(F190="","",IF(Simulador!$N$7='Tabla Parámetros'!$C$31,AportPat!L170,0)))</f>
        <v>0</v>
      </c>
      <c r="O190" s="167">
        <f>Simulador!O558</f>
        <v>0</v>
      </c>
      <c r="P190" s="167">
        <f t="shared" si="31"/>
        <v>0</v>
      </c>
      <c r="Q190" s="167">
        <f t="shared" si="38"/>
        <v>0</v>
      </c>
      <c r="T190" s="6"/>
      <c r="U190" s="6"/>
      <c r="V190" s="6"/>
      <c r="W190" s="29">
        <f t="shared" si="29"/>
        <v>0</v>
      </c>
    </row>
    <row r="191" spans="2:23" x14ac:dyDescent="0.3">
      <c r="B191" s="181">
        <f t="shared" si="32"/>
        <v>168</v>
      </c>
      <c r="C191" s="180">
        <f t="shared" si="37"/>
        <v>30.4</v>
      </c>
      <c r="D191" s="193">
        <f>IF(B191="","",'Tabla Parámetros'!$G$5)</f>
        <v>0.11799999999999999</v>
      </c>
      <c r="E191" s="167"/>
      <c r="F191" s="167">
        <f t="shared" si="34"/>
        <v>0</v>
      </c>
      <c r="G191" s="166"/>
      <c r="H191" s="167">
        <f t="shared" si="35"/>
        <v>0</v>
      </c>
      <c r="I191" s="167">
        <f t="shared" si="33"/>
        <v>0</v>
      </c>
      <c r="J191" s="167">
        <f>IF(C191="","",IF(F191=0,0,IF(C191&lt;='Tabla Parámetros'!$J$23,I191,IF($E$2='Tabla Parámetros'!$J$19,((($H$2/1000*'Tabla Parámetros'!$K$19)/30.4*C191)*1.0212^13),IF($E$2='Tabla Parámetros'!$J$20,($H$2/1000*'Tabla Parámetros'!$K$20)/30.4*C191)*1.0201^13)))+N191+O191)</f>
        <v>0</v>
      </c>
      <c r="K191" s="167">
        <f t="shared" si="30"/>
        <v>0</v>
      </c>
      <c r="L191" s="167">
        <f t="shared" si="36"/>
        <v>0</v>
      </c>
      <c r="M191" s="167">
        <f>IF(B191="","",IF(F191=0,0,IF(Simulador!$F$11='Tabla Parámetros'!$W$1,'Tabla Parámetros'!$W$28,IF(Simulador!$F$11='Tabla Parámetros'!$Y$1,'Tabla Parámetros'!$Y$12))))</f>
        <v>0</v>
      </c>
      <c r="N191" s="167">
        <f>IF(F191=0,0,IF(F191="","",IF(Simulador!$N$7='Tabla Parámetros'!$C$31,AportPat!L171,0)))</f>
        <v>0</v>
      </c>
      <c r="O191" s="167">
        <f>Simulador!O559</f>
        <v>0</v>
      </c>
      <c r="P191" s="167">
        <f t="shared" si="31"/>
        <v>0</v>
      </c>
      <c r="Q191" s="167">
        <f t="shared" si="38"/>
        <v>0</v>
      </c>
      <c r="T191" s="6"/>
      <c r="U191" s="6"/>
      <c r="V191" s="6"/>
      <c r="W191" s="29">
        <f t="shared" si="29"/>
        <v>0</v>
      </c>
    </row>
    <row r="192" spans="2:23" x14ac:dyDescent="0.3">
      <c r="B192" s="181">
        <f t="shared" si="32"/>
        <v>169</v>
      </c>
      <c r="C192" s="180">
        <f t="shared" si="37"/>
        <v>30.4</v>
      </c>
      <c r="D192" s="193">
        <f>IF(B192="","",'Tabla Parámetros'!$G$5)</f>
        <v>0.11799999999999999</v>
      </c>
      <c r="E192" s="167"/>
      <c r="F192" s="167">
        <f t="shared" si="34"/>
        <v>0</v>
      </c>
      <c r="G192" s="166"/>
      <c r="H192" s="167">
        <f t="shared" si="35"/>
        <v>0</v>
      </c>
      <c r="I192" s="167">
        <f t="shared" si="33"/>
        <v>0</v>
      </c>
      <c r="J192" s="167">
        <f>IF(C192="","",IF(F192=0,0,IF(C192&lt;='Tabla Parámetros'!$J$23,I192,IF($E$2='Tabla Parámetros'!$J$19,((($H$2/1000*'Tabla Parámetros'!$K$19)/30.4*C192)*1.0212^13),IF($E$2='Tabla Parámetros'!$J$20,($H$2/1000*'Tabla Parámetros'!$K$20)/30.4*C192)*1.0201^13)))+N192+O192)</f>
        <v>0</v>
      </c>
      <c r="K192" s="167">
        <f t="shared" si="30"/>
        <v>0</v>
      </c>
      <c r="L192" s="167">
        <f t="shared" si="36"/>
        <v>0</v>
      </c>
      <c r="M192" s="167">
        <f>IF(B192="","",IF(F192=0,0,IF(Simulador!$F$11='Tabla Parámetros'!$W$1,'Tabla Parámetros'!$W$28,IF(Simulador!$F$11='Tabla Parámetros'!$Y$1,'Tabla Parámetros'!$Y$12))))</f>
        <v>0</v>
      </c>
      <c r="N192" s="167">
        <f>IF(F192=0,0,IF(F192="","",IF(Simulador!$N$7='Tabla Parámetros'!$C$31,AportPat!L172,0)))</f>
        <v>0</v>
      </c>
      <c r="O192" s="167">
        <f>Simulador!O560</f>
        <v>0</v>
      </c>
      <c r="P192" s="167">
        <f t="shared" si="31"/>
        <v>0</v>
      </c>
      <c r="Q192" s="167">
        <f t="shared" si="38"/>
        <v>0</v>
      </c>
      <c r="T192" s="6"/>
      <c r="U192" s="6"/>
      <c r="V192" s="6"/>
      <c r="W192" s="29">
        <f t="shared" si="29"/>
        <v>0</v>
      </c>
    </row>
    <row r="193" spans="2:23" x14ac:dyDescent="0.3">
      <c r="B193" s="181">
        <f t="shared" si="32"/>
        <v>170</v>
      </c>
      <c r="C193" s="180">
        <f t="shared" si="37"/>
        <v>30.4</v>
      </c>
      <c r="D193" s="193">
        <f>IF(B193="","",'Tabla Parámetros'!$G$5)</f>
        <v>0.11799999999999999</v>
      </c>
      <c r="E193" s="167"/>
      <c r="F193" s="167">
        <f t="shared" si="34"/>
        <v>0</v>
      </c>
      <c r="G193" s="166"/>
      <c r="H193" s="167">
        <f t="shared" si="35"/>
        <v>0</v>
      </c>
      <c r="I193" s="167">
        <f t="shared" si="33"/>
        <v>0</v>
      </c>
      <c r="J193" s="167">
        <f>IF(C193="","",IF(F193=0,0,IF(C193&lt;='Tabla Parámetros'!$J$23,I193,IF($E$2='Tabla Parámetros'!$J$19,((($H$2/1000*'Tabla Parámetros'!$K$19)/30.4*C193)*1.0212^14),IF($E$2='Tabla Parámetros'!$J$20,($H$2/1000*'Tabla Parámetros'!$K$20)/30.4*C193)*1.0201^14)))+N193+O193)</f>
        <v>0</v>
      </c>
      <c r="K193" s="167">
        <f t="shared" si="30"/>
        <v>0</v>
      </c>
      <c r="L193" s="167">
        <f t="shared" si="36"/>
        <v>0</v>
      </c>
      <c r="M193" s="167">
        <f>IF(B193="","",IF(F193=0,0,IF(Simulador!$F$11='Tabla Parámetros'!$W$1,'Tabla Parámetros'!$W$28,IF(Simulador!$F$11='Tabla Parámetros'!$Y$1,'Tabla Parámetros'!$Y$12))))</f>
        <v>0</v>
      </c>
      <c r="N193" s="167">
        <f>IF(F193=0,0,IF(F193="","",IF(Simulador!$N$7='Tabla Parámetros'!$C$31,AportPat!L173,0)))</f>
        <v>0</v>
      </c>
      <c r="O193" s="167">
        <f>Simulador!O561</f>
        <v>0</v>
      </c>
      <c r="P193" s="167">
        <f t="shared" si="31"/>
        <v>0</v>
      </c>
      <c r="Q193" s="167">
        <f t="shared" si="38"/>
        <v>0</v>
      </c>
      <c r="T193" s="6"/>
      <c r="U193" s="6"/>
      <c r="V193" s="6"/>
      <c r="W193" s="29">
        <f t="shared" si="29"/>
        <v>0</v>
      </c>
    </row>
    <row r="194" spans="2:23" x14ac:dyDescent="0.3">
      <c r="B194" s="181">
        <f t="shared" si="32"/>
        <v>171</v>
      </c>
      <c r="C194" s="180">
        <f t="shared" si="37"/>
        <v>30.4</v>
      </c>
      <c r="D194" s="193">
        <f>IF(B194="","",'Tabla Parámetros'!$G$5)</f>
        <v>0.11799999999999999</v>
      </c>
      <c r="E194" s="167"/>
      <c r="F194" s="167">
        <f t="shared" si="34"/>
        <v>0</v>
      </c>
      <c r="G194" s="166"/>
      <c r="H194" s="167">
        <f t="shared" si="35"/>
        <v>0</v>
      </c>
      <c r="I194" s="167">
        <f t="shared" si="33"/>
        <v>0</v>
      </c>
      <c r="J194" s="167">
        <f>IF(C194="","",IF(F194=0,0,IF(C194&lt;='Tabla Parámetros'!$J$23,I194,IF($E$2='Tabla Parámetros'!$J$19,((($H$2/1000*'Tabla Parámetros'!$K$19)/30.4*C194)*1.0212^14),IF($E$2='Tabla Parámetros'!$J$20,($H$2/1000*'Tabla Parámetros'!$K$20)/30.4*C194)*1.0201^14)))+N194+O194)</f>
        <v>0</v>
      </c>
      <c r="K194" s="167">
        <f t="shared" si="30"/>
        <v>0</v>
      </c>
      <c r="L194" s="167">
        <f t="shared" si="36"/>
        <v>0</v>
      </c>
      <c r="M194" s="167">
        <f>IF(B194="","",IF(F194=0,0,IF(Simulador!$F$11='Tabla Parámetros'!$W$1,'Tabla Parámetros'!$W$28,IF(Simulador!$F$11='Tabla Parámetros'!$Y$1,'Tabla Parámetros'!$Y$12))))</f>
        <v>0</v>
      </c>
      <c r="N194" s="167">
        <f>IF(F194=0,0,IF(F194="","",IF(Simulador!$N$7='Tabla Parámetros'!$C$31,AportPat!L174,0)))</f>
        <v>0</v>
      </c>
      <c r="O194" s="167">
        <f>Simulador!O562</f>
        <v>0</v>
      </c>
      <c r="P194" s="167">
        <f t="shared" si="31"/>
        <v>0</v>
      </c>
      <c r="Q194" s="167">
        <f t="shared" si="38"/>
        <v>0</v>
      </c>
      <c r="T194" s="6"/>
      <c r="U194" s="6"/>
      <c r="V194" s="6"/>
      <c r="W194" s="29">
        <f t="shared" si="29"/>
        <v>0</v>
      </c>
    </row>
    <row r="195" spans="2:23" x14ac:dyDescent="0.3">
      <c r="B195" s="181">
        <f t="shared" si="32"/>
        <v>172</v>
      </c>
      <c r="C195" s="180">
        <f t="shared" si="37"/>
        <v>30.4</v>
      </c>
      <c r="D195" s="193">
        <f>IF(B195="","",'Tabla Parámetros'!$G$5)</f>
        <v>0.11799999999999999</v>
      </c>
      <c r="E195" s="167"/>
      <c r="F195" s="167">
        <f t="shared" si="34"/>
        <v>0</v>
      </c>
      <c r="G195" s="166"/>
      <c r="H195" s="167">
        <f t="shared" si="35"/>
        <v>0</v>
      </c>
      <c r="I195" s="167">
        <f t="shared" si="33"/>
        <v>0</v>
      </c>
      <c r="J195" s="167">
        <f>IF(C195="","",IF(F195=0,0,IF(C195&lt;='Tabla Parámetros'!$J$23,I195,IF($E$2='Tabla Parámetros'!$J$19,((($H$2/1000*'Tabla Parámetros'!$K$19)/30.4*C195)*1.0212^14),IF($E$2='Tabla Parámetros'!$J$20,($H$2/1000*'Tabla Parámetros'!$K$20)/30.4*C195)*1.0201^14)))+N195+O195)</f>
        <v>0</v>
      </c>
      <c r="K195" s="167">
        <f t="shared" si="30"/>
        <v>0</v>
      </c>
      <c r="L195" s="167">
        <f t="shared" si="36"/>
        <v>0</v>
      </c>
      <c r="M195" s="167">
        <f>IF(B195="","",IF(F195=0,0,IF(Simulador!$F$11='Tabla Parámetros'!$W$1,'Tabla Parámetros'!$W$28,IF(Simulador!$F$11='Tabla Parámetros'!$Y$1,'Tabla Parámetros'!$Y$12))))</f>
        <v>0</v>
      </c>
      <c r="N195" s="167">
        <f>IF(F195=0,0,IF(F195="","",IF(Simulador!$N$7='Tabla Parámetros'!$C$31,AportPat!L175,0)))</f>
        <v>0</v>
      </c>
      <c r="O195" s="167">
        <f>Simulador!O563</f>
        <v>0</v>
      </c>
      <c r="P195" s="167">
        <f t="shared" si="31"/>
        <v>0</v>
      </c>
      <c r="Q195" s="167">
        <f t="shared" si="38"/>
        <v>0</v>
      </c>
      <c r="T195" s="6"/>
      <c r="U195" s="6"/>
      <c r="V195" s="6"/>
      <c r="W195" s="29">
        <f t="shared" si="29"/>
        <v>0</v>
      </c>
    </row>
    <row r="196" spans="2:23" x14ac:dyDescent="0.3">
      <c r="B196" s="181">
        <f t="shared" si="32"/>
        <v>173</v>
      </c>
      <c r="C196" s="180">
        <f t="shared" si="37"/>
        <v>30.4</v>
      </c>
      <c r="D196" s="193">
        <f>IF(B196="","",'Tabla Parámetros'!$G$5)</f>
        <v>0.11799999999999999</v>
      </c>
      <c r="E196" s="167"/>
      <c r="F196" s="167">
        <f t="shared" si="34"/>
        <v>0</v>
      </c>
      <c r="G196" s="166"/>
      <c r="H196" s="167">
        <f t="shared" si="35"/>
        <v>0</v>
      </c>
      <c r="I196" s="167">
        <f t="shared" si="33"/>
        <v>0</v>
      </c>
      <c r="J196" s="167">
        <f>IF(C196="","",IF(F196=0,0,IF(C196&lt;='Tabla Parámetros'!$J$23,I196,IF($E$2='Tabla Parámetros'!$J$19,((($H$2/1000*'Tabla Parámetros'!$K$19)/30.4*C196)*1.0212^14),IF($E$2='Tabla Parámetros'!$J$20,($H$2/1000*'Tabla Parámetros'!$K$20)/30.4*C196)*1.0201^14)))+N196+O196)</f>
        <v>0</v>
      </c>
      <c r="K196" s="167">
        <f t="shared" si="30"/>
        <v>0</v>
      </c>
      <c r="L196" s="167">
        <f t="shared" si="36"/>
        <v>0</v>
      </c>
      <c r="M196" s="167">
        <f>IF(B196="","",IF(F196=0,0,IF(Simulador!$F$11='Tabla Parámetros'!$W$1,'Tabla Parámetros'!$W$28,IF(Simulador!$F$11='Tabla Parámetros'!$Y$1,'Tabla Parámetros'!$Y$12))))</f>
        <v>0</v>
      </c>
      <c r="N196" s="167">
        <f>IF(F196=0,0,IF(F196="","",IF(Simulador!$N$7='Tabla Parámetros'!$C$31,AportPat!L176,0)))</f>
        <v>0</v>
      </c>
      <c r="O196" s="167">
        <f>Simulador!O564</f>
        <v>0</v>
      </c>
      <c r="P196" s="167">
        <f t="shared" si="31"/>
        <v>0</v>
      </c>
      <c r="Q196" s="167">
        <f t="shared" si="38"/>
        <v>0</v>
      </c>
      <c r="T196" s="6"/>
      <c r="U196" s="6"/>
      <c r="V196" s="6"/>
      <c r="W196" s="29">
        <f t="shared" ref="W196:W259" si="39">P198</f>
        <v>0</v>
      </c>
    </row>
    <row r="197" spans="2:23" x14ac:dyDescent="0.3">
      <c r="B197" s="181">
        <f t="shared" si="32"/>
        <v>174</v>
      </c>
      <c r="C197" s="180">
        <f t="shared" si="37"/>
        <v>30.4</v>
      </c>
      <c r="D197" s="193">
        <f>IF(B197="","",'Tabla Parámetros'!$G$5)</f>
        <v>0.11799999999999999</v>
      </c>
      <c r="E197" s="167"/>
      <c r="F197" s="167">
        <f t="shared" si="34"/>
        <v>0</v>
      </c>
      <c r="G197" s="166"/>
      <c r="H197" s="167">
        <f t="shared" si="35"/>
        <v>0</v>
      </c>
      <c r="I197" s="167">
        <f t="shared" si="33"/>
        <v>0</v>
      </c>
      <c r="J197" s="167">
        <f>IF(C197="","",IF(F197=0,0,IF(C197&lt;='Tabla Parámetros'!$J$23,I197,IF($E$2='Tabla Parámetros'!$J$19,((($H$2/1000*'Tabla Parámetros'!$K$19)/30.4*C197)*1.0212^14),IF($E$2='Tabla Parámetros'!$J$20,($H$2/1000*'Tabla Parámetros'!$K$20)/30.4*C197)*1.0201^14)))+N197+O197)</f>
        <v>0</v>
      </c>
      <c r="K197" s="167">
        <f t="shared" si="30"/>
        <v>0</v>
      </c>
      <c r="L197" s="167">
        <f t="shared" si="36"/>
        <v>0</v>
      </c>
      <c r="M197" s="167">
        <f>IF(B197="","",IF(F197=0,0,IF(Simulador!$F$11='Tabla Parámetros'!$W$1,'Tabla Parámetros'!$W$28,IF(Simulador!$F$11='Tabla Parámetros'!$Y$1,'Tabla Parámetros'!$Y$12))))</f>
        <v>0</v>
      </c>
      <c r="N197" s="167">
        <f>IF(F197=0,0,IF(F197="","",IF(Simulador!$N$7='Tabla Parámetros'!$C$31,AportPat!L177,0)))</f>
        <v>0</v>
      </c>
      <c r="O197" s="167">
        <f>Simulador!O565</f>
        <v>0</v>
      </c>
      <c r="P197" s="167">
        <f t="shared" si="31"/>
        <v>0</v>
      </c>
      <c r="Q197" s="167">
        <f t="shared" si="38"/>
        <v>0</v>
      </c>
      <c r="T197" s="6"/>
      <c r="U197" s="6"/>
      <c r="V197" s="6"/>
      <c r="W197" s="29">
        <f t="shared" si="39"/>
        <v>0</v>
      </c>
    </row>
    <row r="198" spans="2:23" x14ac:dyDescent="0.3">
      <c r="B198" s="181">
        <f t="shared" si="32"/>
        <v>175</v>
      </c>
      <c r="C198" s="180">
        <f t="shared" si="37"/>
        <v>30.4</v>
      </c>
      <c r="D198" s="193">
        <f>IF(B198="","",'Tabla Parámetros'!$G$5)</f>
        <v>0.11799999999999999</v>
      </c>
      <c r="E198" s="167"/>
      <c r="F198" s="167">
        <f t="shared" si="34"/>
        <v>0</v>
      </c>
      <c r="G198" s="166"/>
      <c r="H198" s="167">
        <f t="shared" si="35"/>
        <v>0</v>
      </c>
      <c r="I198" s="167">
        <f t="shared" si="33"/>
        <v>0</v>
      </c>
      <c r="J198" s="167">
        <f>IF(C198="","",IF(F198=0,0,IF(C198&lt;='Tabla Parámetros'!$J$23,I198,IF($E$2='Tabla Parámetros'!$J$19,((($H$2/1000*'Tabla Parámetros'!$K$19)/30.4*C198)*1.0212^14),IF($E$2='Tabla Parámetros'!$J$20,($H$2/1000*'Tabla Parámetros'!$K$20)/30.4*C198)*1.0201^14)))+N198+O198)</f>
        <v>0</v>
      </c>
      <c r="K198" s="167">
        <f t="shared" si="30"/>
        <v>0</v>
      </c>
      <c r="L198" s="167">
        <f t="shared" si="36"/>
        <v>0</v>
      </c>
      <c r="M198" s="167">
        <f>IF(B198="","",IF(F198=0,0,IF(Simulador!$F$11='Tabla Parámetros'!$W$1,'Tabla Parámetros'!$W$28,IF(Simulador!$F$11='Tabla Parámetros'!$Y$1,'Tabla Parámetros'!$Y$12))))</f>
        <v>0</v>
      </c>
      <c r="N198" s="167">
        <f>IF(F198=0,0,IF(F198="","",IF(Simulador!$N$7='Tabla Parámetros'!$C$31,AportPat!L178,0)))</f>
        <v>0</v>
      </c>
      <c r="O198" s="167">
        <f>Simulador!O566</f>
        <v>0</v>
      </c>
      <c r="P198" s="167">
        <f t="shared" si="31"/>
        <v>0</v>
      </c>
      <c r="Q198" s="167">
        <f t="shared" si="38"/>
        <v>0</v>
      </c>
      <c r="T198" s="6"/>
      <c r="U198" s="6"/>
      <c r="V198" s="6"/>
      <c r="W198" s="29">
        <f t="shared" si="39"/>
        <v>0</v>
      </c>
    </row>
    <row r="199" spans="2:23" x14ac:dyDescent="0.3">
      <c r="B199" s="181">
        <f t="shared" si="32"/>
        <v>176</v>
      </c>
      <c r="C199" s="180">
        <f t="shared" si="37"/>
        <v>30.4</v>
      </c>
      <c r="D199" s="193">
        <f>IF(B199="","",'Tabla Parámetros'!$G$5)</f>
        <v>0.11799999999999999</v>
      </c>
      <c r="E199" s="167"/>
      <c r="F199" s="167">
        <f t="shared" si="34"/>
        <v>0</v>
      </c>
      <c r="G199" s="166"/>
      <c r="H199" s="167">
        <f t="shared" si="35"/>
        <v>0</v>
      </c>
      <c r="I199" s="167">
        <f t="shared" si="33"/>
        <v>0</v>
      </c>
      <c r="J199" s="167">
        <f>IF(C199="","",IF(F199=0,0,IF(C199&lt;='Tabla Parámetros'!$J$23,I199,IF($E$2='Tabla Parámetros'!$J$19,((($H$2/1000*'Tabla Parámetros'!$K$19)/30.4*C199)*1.0212^14),IF($E$2='Tabla Parámetros'!$J$20,($H$2/1000*'Tabla Parámetros'!$K$20)/30.4*C199)*1.0201^14)))+N199+O199)</f>
        <v>0</v>
      </c>
      <c r="K199" s="167">
        <f t="shared" ref="K199:K262" si="40">F199*$I$2</f>
        <v>0</v>
      </c>
      <c r="L199" s="167">
        <f t="shared" si="36"/>
        <v>0</v>
      </c>
      <c r="M199" s="167">
        <f>IF(B199="","",IF(F199=0,0,IF(Simulador!$F$11='Tabla Parámetros'!$W$1,'Tabla Parámetros'!$W$28,IF(Simulador!$F$11='Tabla Parámetros'!$Y$1,'Tabla Parámetros'!$Y$12))))</f>
        <v>0</v>
      </c>
      <c r="N199" s="167">
        <f>IF(F199=0,0,IF(F199="","",IF(Simulador!$N$7='Tabla Parámetros'!$C$31,AportPat!L179,0)))</f>
        <v>0</v>
      </c>
      <c r="O199" s="167">
        <f>Simulador!O567</f>
        <v>0</v>
      </c>
      <c r="P199" s="167">
        <f t="shared" si="31"/>
        <v>0</v>
      </c>
      <c r="Q199" s="167">
        <f t="shared" si="38"/>
        <v>0</v>
      </c>
      <c r="T199" s="6"/>
      <c r="U199" s="6"/>
      <c r="V199" s="6"/>
      <c r="W199" s="29">
        <f t="shared" si="39"/>
        <v>0</v>
      </c>
    </row>
    <row r="200" spans="2:23" x14ac:dyDescent="0.3">
      <c r="B200" s="181">
        <f t="shared" si="32"/>
        <v>177</v>
      </c>
      <c r="C200" s="180">
        <f t="shared" si="37"/>
        <v>30.4</v>
      </c>
      <c r="D200" s="193">
        <f>IF(B200="","",'Tabla Parámetros'!$G$5)</f>
        <v>0.11799999999999999</v>
      </c>
      <c r="E200" s="167"/>
      <c r="F200" s="167">
        <f t="shared" si="34"/>
        <v>0</v>
      </c>
      <c r="G200" s="166"/>
      <c r="H200" s="167">
        <f t="shared" si="35"/>
        <v>0</v>
      </c>
      <c r="I200" s="167">
        <f t="shared" si="33"/>
        <v>0</v>
      </c>
      <c r="J200" s="167">
        <f>IF(C200="","",IF(F200=0,0,IF(C200&lt;='Tabla Parámetros'!$J$23,I200,IF($E$2='Tabla Parámetros'!$J$19,((($H$2/1000*'Tabla Parámetros'!$K$19)/30.4*C200)*1.0212^14),IF($E$2='Tabla Parámetros'!$J$20,($H$2/1000*'Tabla Parámetros'!$K$20)/30.4*C200)*1.0201^14)))+N200+O200)</f>
        <v>0</v>
      </c>
      <c r="K200" s="167">
        <f t="shared" si="40"/>
        <v>0</v>
      </c>
      <c r="L200" s="167">
        <f t="shared" si="36"/>
        <v>0</v>
      </c>
      <c r="M200" s="167">
        <f>IF(B200="","",IF(F200=0,0,IF(Simulador!$F$11='Tabla Parámetros'!$W$1,'Tabla Parámetros'!$W$28,IF(Simulador!$F$11='Tabla Parámetros'!$Y$1,'Tabla Parámetros'!$Y$12))))</f>
        <v>0</v>
      </c>
      <c r="N200" s="167">
        <f>IF(F200=0,0,IF(F200="","",IF(Simulador!$N$7='Tabla Parámetros'!$C$31,AportPat!L180,0)))</f>
        <v>0</v>
      </c>
      <c r="O200" s="167">
        <f>Simulador!O568</f>
        <v>0</v>
      </c>
      <c r="P200" s="167">
        <f t="shared" si="31"/>
        <v>0</v>
      </c>
      <c r="Q200" s="167">
        <f t="shared" si="38"/>
        <v>0</v>
      </c>
      <c r="T200" s="6"/>
      <c r="U200" s="6"/>
      <c r="V200" s="6"/>
      <c r="W200" s="29">
        <f t="shared" si="39"/>
        <v>0</v>
      </c>
    </row>
    <row r="201" spans="2:23" x14ac:dyDescent="0.3">
      <c r="B201" s="181">
        <f t="shared" si="32"/>
        <v>178</v>
      </c>
      <c r="C201" s="180">
        <f t="shared" si="37"/>
        <v>30.4</v>
      </c>
      <c r="D201" s="193">
        <f>IF(B201="","",'Tabla Parámetros'!$G$5)</f>
        <v>0.11799999999999999</v>
      </c>
      <c r="E201" s="167"/>
      <c r="F201" s="167">
        <f t="shared" si="34"/>
        <v>0</v>
      </c>
      <c r="G201" s="166"/>
      <c r="H201" s="167">
        <f t="shared" si="35"/>
        <v>0</v>
      </c>
      <c r="I201" s="167">
        <f t="shared" si="33"/>
        <v>0</v>
      </c>
      <c r="J201" s="167">
        <f>IF(C201="","",IF(F201=0,0,IF(C201&lt;='Tabla Parámetros'!$J$23,I201,IF($E$2='Tabla Parámetros'!$J$19,((($H$2/1000*'Tabla Parámetros'!$K$19)/30.4*C201)*1.0212^14),IF($E$2='Tabla Parámetros'!$J$20,($H$2/1000*'Tabla Parámetros'!$K$20)/30.4*C201)*1.0201^14)))+N201+O201)</f>
        <v>0</v>
      </c>
      <c r="K201" s="167">
        <f t="shared" si="40"/>
        <v>0</v>
      </c>
      <c r="L201" s="167">
        <f t="shared" si="36"/>
        <v>0</v>
      </c>
      <c r="M201" s="167">
        <f>IF(B201="","",IF(F201=0,0,IF(Simulador!$F$11='Tabla Parámetros'!$W$1,'Tabla Parámetros'!$W$28,IF(Simulador!$F$11='Tabla Parámetros'!$Y$1,'Tabla Parámetros'!$Y$12))))</f>
        <v>0</v>
      </c>
      <c r="N201" s="167">
        <f>IF(F201=0,0,IF(F201="","",IF(Simulador!$N$7='Tabla Parámetros'!$C$31,AportPat!L181,0)))</f>
        <v>0</v>
      </c>
      <c r="O201" s="167">
        <f>Simulador!O569</f>
        <v>0</v>
      </c>
      <c r="P201" s="167">
        <f t="shared" si="31"/>
        <v>0</v>
      </c>
      <c r="Q201" s="167">
        <f t="shared" si="38"/>
        <v>0</v>
      </c>
      <c r="T201" s="6"/>
      <c r="U201" s="6"/>
      <c r="V201" s="6"/>
      <c r="W201" s="29">
        <f t="shared" si="39"/>
        <v>0</v>
      </c>
    </row>
    <row r="202" spans="2:23" x14ac:dyDescent="0.3">
      <c r="B202" s="181">
        <f t="shared" si="32"/>
        <v>179</v>
      </c>
      <c r="C202" s="180">
        <f t="shared" si="37"/>
        <v>30.4</v>
      </c>
      <c r="D202" s="193">
        <f>IF(B202="","",'Tabla Parámetros'!$G$5)</f>
        <v>0.11799999999999999</v>
      </c>
      <c r="E202" s="167"/>
      <c r="F202" s="167">
        <f t="shared" si="34"/>
        <v>0</v>
      </c>
      <c r="G202" s="166"/>
      <c r="H202" s="167">
        <f t="shared" si="35"/>
        <v>0</v>
      </c>
      <c r="I202" s="167">
        <f t="shared" si="33"/>
        <v>0</v>
      </c>
      <c r="J202" s="167">
        <f>IF(C202="","",IF(F202=0,0,IF(C202&lt;='Tabla Parámetros'!$J$23,I202,IF($E$2='Tabla Parámetros'!$J$19,((($H$2/1000*'Tabla Parámetros'!$K$19)/30.4*C202)*1.0212^14),IF($E$2='Tabla Parámetros'!$J$20,($H$2/1000*'Tabla Parámetros'!$K$20)/30.4*C202)*1.0201^14)))+N202+O202)</f>
        <v>0</v>
      </c>
      <c r="K202" s="167">
        <f t="shared" si="40"/>
        <v>0</v>
      </c>
      <c r="L202" s="167">
        <f t="shared" si="36"/>
        <v>0</v>
      </c>
      <c r="M202" s="167">
        <f>IF(B202="","",IF(F202=0,0,IF(Simulador!$F$11='Tabla Parámetros'!$W$1,'Tabla Parámetros'!$W$28,IF(Simulador!$F$11='Tabla Parámetros'!$Y$1,'Tabla Parámetros'!$Y$12))))</f>
        <v>0</v>
      </c>
      <c r="N202" s="167">
        <f>IF(F202=0,0,IF(F202="","",IF(Simulador!$N$7='Tabla Parámetros'!$C$31,AportPat!L182,0)))</f>
        <v>0</v>
      </c>
      <c r="O202" s="167">
        <f>Simulador!O570</f>
        <v>0</v>
      </c>
      <c r="P202" s="167">
        <f t="shared" si="31"/>
        <v>0</v>
      </c>
      <c r="Q202" s="167">
        <f t="shared" si="38"/>
        <v>0</v>
      </c>
      <c r="T202" s="6"/>
      <c r="U202" s="6"/>
      <c r="V202" s="6"/>
      <c r="W202" s="29">
        <f t="shared" si="39"/>
        <v>0</v>
      </c>
    </row>
    <row r="203" spans="2:23" x14ac:dyDescent="0.3">
      <c r="B203" s="181">
        <f t="shared" si="32"/>
        <v>180</v>
      </c>
      <c r="C203" s="180">
        <f t="shared" si="37"/>
        <v>30.4</v>
      </c>
      <c r="D203" s="193">
        <f>IF(B203="","",'Tabla Parámetros'!$G$5)</f>
        <v>0.11799999999999999</v>
      </c>
      <c r="E203" s="167"/>
      <c r="F203" s="167">
        <f t="shared" si="34"/>
        <v>0</v>
      </c>
      <c r="G203" s="166"/>
      <c r="H203" s="167">
        <f t="shared" si="35"/>
        <v>0</v>
      </c>
      <c r="I203" s="167">
        <f t="shared" si="33"/>
        <v>0</v>
      </c>
      <c r="J203" s="167">
        <f>IF(C203="","",IF(F203=0,0,IF(C203&lt;='Tabla Parámetros'!$J$23,I203,IF($E$2='Tabla Parámetros'!$J$19,((($H$2/1000*'Tabla Parámetros'!$K$19)/30.4*C203)*1.0212^14),IF($E$2='Tabla Parámetros'!$J$20,($H$2/1000*'Tabla Parámetros'!$K$20)/30.4*C203)*1.0201^14)))+N203+O203)</f>
        <v>0</v>
      </c>
      <c r="K203" s="167">
        <f t="shared" si="40"/>
        <v>0</v>
      </c>
      <c r="L203" s="167">
        <f t="shared" si="36"/>
        <v>0</v>
      </c>
      <c r="M203" s="167">
        <f>IF(B203="","",IF(F203=0,0,IF(Simulador!$F$11='Tabla Parámetros'!$W$1,'Tabla Parámetros'!$W$28,IF(Simulador!$F$11='Tabla Parámetros'!$Y$1,'Tabla Parámetros'!$Y$12))))</f>
        <v>0</v>
      </c>
      <c r="N203" s="167">
        <f>IF(F203=0,0,IF(F203="","",IF(Simulador!$N$7='Tabla Parámetros'!$C$31,AportPat!L183,0)))</f>
        <v>0</v>
      </c>
      <c r="O203" s="167">
        <f>Simulador!O571</f>
        <v>0</v>
      </c>
      <c r="P203" s="167">
        <f t="shared" si="31"/>
        <v>0</v>
      </c>
      <c r="Q203" s="167">
        <f t="shared" si="38"/>
        <v>0</v>
      </c>
      <c r="T203" s="6"/>
      <c r="U203" s="6"/>
      <c r="V203" s="6"/>
      <c r="W203" s="29">
        <f t="shared" si="39"/>
        <v>0</v>
      </c>
    </row>
    <row r="204" spans="2:23" x14ac:dyDescent="0.3">
      <c r="B204" s="181">
        <f>IF(B203=$E$2,"",IF(B203="","",B203+1))</f>
        <v>181</v>
      </c>
      <c r="C204" s="180">
        <f>IF(B204="","",30.4)</f>
        <v>30.4</v>
      </c>
      <c r="D204" s="193">
        <f>IF(B204="","",'Tabla Parámetros'!$G$5)</f>
        <v>0.11799999999999999</v>
      </c>
      <c r="E204" s="167"/>
      <c r="F204" s="167">
        <f t="shared" si="34"/>
        <v>0</v>
      </c>
      <c r="G204" s="166"/>
      <c r="H204" s="167">
        <f t="shared" si="35"/>
        <v>0</v>
      </c>
      <c r="I204" s="167">
        <f>IF(B204="","",((D204/360)*30.4)*F204)</f>
        <v>0</v>
      </c>
      <c r="J204" s="167">
        <f>IF(C204="","",IF(F204=0,0,IF(C204&lt;='Tabla Parámetros'!$J$23,I204,IF($E$2='Tabla Parámetros'!$J$19,((($H$2/1000*'Tabla Parámetros'!$K$19)/30.4*C204)*1.0212^14),IF($E$2='Tabla Parámetros'!$J$20,($H$2/1000*'Tabla Parámetros'!$K$20)/30.4*C204)*1.0201^14)))+N204+O204)</f>
        <v>0</v>
      </c>
      <c r="K204" s="167">
        <f t="shared" si="40"/>
        <v>0</v>
      </c>
      <c r="L204" s="167">
        <f t="shared" si="36"/>
        <v>0</v>
      </c>
      <c r="M204" s="167">
        <f>IF(B204="","",IF(F204=0,0,IF(Simulador!$F$11='Tabla Parámetros'!$W$1,'Tabla Parámetros'!$W$28,IF(Simulador!$F$11='Tabla Parámetros'!$Y$1,'Tabla Parámetros'!$Y$12))))</f>
        <v>0</v>
      </c>
      <c r="N204" s="167">
        <f>IF(F204=0,0,IF(F204="","",IF(Simulador!$N$7='Tabla Parámetros'!$C$31,AportPat!L184,0)))</f>
        <v>0</v>
      </c>
      <c r="O204" s="167">
        <f>Simulador!O572</f>
        <v>0</v>
      </c>
      <c r="P204" s="167">
        <f>IF(B204="","",H204+I204+K204+L204+M204)</f>
        <v>0</v>
      </c>
      <c r="Q204" s="167">
        <f t="shared" si="38"/>
        <v>0</v>
      </c>
      <c r="T204" s="6"/>
      <c r="U204" s="6"/>
      <c r="V204" s="6"/>
      <c r="W204" s="29">
        <f t="shared" si="39"/>
        <v>0</v>
      </c>
    </row>
    <row r="205" spans="2:23" x14ac:dyDescent="0.3">
      <c r="B205" s="181">
        <f t="shared" ref="B205:B263" si="41">IF(B204=$E$2,"",IF(B204="","",B204+1))</f>
        <v>182</v>
      </c>
      <c r="C205" s="180">
        <f t="shared" ref="C205:C263" si="42">IF(B205="","",30.4)</f>
        <v>30.4</v>
      </c>
      <c r="D205" s="193">
        <f>IF(B205="","",'Tabla Parámetros'!$G$5)</f>
        <v>0.11799999999999999</v>
      </c>
      <c r="E205" s="167"/>
      <c r="F205" s="167">
        <f t="shared" si="34"/>
        <v>0</v>
      </c>
      <c r="G205" s="166"/>
      <c r="H205" s="167">
        <f t="shared" si="35"/>
        <v>0</v>
      </c>
      <c r="I205" s="167">
        <f t="shared" ref="I205:I263" si="43">IF(B205="","",((D205/360)*30.4)*F205)</f>
        <v>0</v>
      </c>
      <c r="J205" s="167">
        <f>IF(C205="","",IF(F205=0,0,IF(C205&lt;='Tabla Parámetros'!$J$23,I205,IF($E$2='Tabla Parámetros'!$J$19,((($H$2/1000*'Tabla Parámetros'!$K$19)/30.4*C205)*1.0212^15),IF($E$2='Tabla Parámetros'!$J$20,($H$2/1000*'Tabla Parámetros'!$K$20)/30.4*C205)*1.0201^15)))+N205+O205)</f>
        <v>0</v>
      </c>
      <c r="K205" s="167">
        <f t="shared" si="40"/>
        <v>0</v>
      </c>
      <c r="L205" s="167">
        <f t="shared" si="36"/>
        <v>0</v>
      </c>
      <c r="M205" s="167">
        <f>IF(B205="","",IF(F205=0,0,IF(Simulador!$F$11='Tabla Parámetros'!$W$1,'Tabla Parámetros'!$W$28,IF(Simulador!$F$11='Tabla Parámetros'!$Y$1,'Tabla Parámetros'!$Y$12))))</f>
        <v>0</v>
      </c>
      <c r="N205" s="167">
        <f>IF(F205=0,0,IF(F205="","",IF(Simulador!$N$7='Tabla Parámetros'!$C$31,AportPat!L185,0)))</f>
        <v>0</v>
      </c>
      <c r="O205" s="167">
        <f>Simulador!O573</f>
        <v>0</v>
      </c>
      <c r="P205" s="167">
        <f t="shared" ref="P205:P263" si="44">IF(B205="","",H205+I205+K205+L205+M205)</f>
        <v>0</v>
      </c>
      <c r="Q205" s="167">
        <f t="shared" si="38"/>
        <v>0</v>
      </c>
      <c r="T205" s="6"/>
      <c r="U205" s="6"/>
      <c r="V205" s="6"/>
      <c r="W205" s="29">
        <f t="shared" si="39"/>
        <v>0</v>
      </c>
    </row>
    <row r="206" spans="2:23" x14ac:dyDescent="0.3">
      <c r="B206" s="181">
        <f t="shared" si="41"/>
        <v>183</v>
      </c>
      <c r="C206" s="180">
        <f t="shared" si="42"/>
        <v>30.4</v>
      </c>
      <c r="D206" s="193">
        <f>IF(B206="","",'Tabla Parámetros'!$G$5)</f>
        <v>0.11799999999999999</v>
      </c>
      <c r="E206" s="167"/>
      <c r="F206" s="167">
        <f t="shared" si="34"/>
        <v>0</v>
      </c>
      <c r="G206" s="166"/>
      <c r="H206" s="167">
        <f t="shared" si="35"/>
        <v>0</v>
      </c>
      <c r="I206" s="167">
        <f t="shared" si="43"/>
        <v>0</v>
      </c>
      <c r="J206" s="167">
        <f>IF(C206="","",IF(F206=0,0,IF(C206&lt;='Tabla Parámetros'!$J$23,I206,IF($E$2='Tabla Parámetros'!$J$19,((($H$2/1000*'Tabla Parámetros'!$K$19)/30.4*C206)*1.0212^15),IF($E$2='Tabla Parámetros'!$J$20,($H$2/1000*'Tabla Parámetros'!$K$20)/30.4*C206)*1.0201^15)))+N206+O206)</f>
        <v>0</v>
      </c>
      <c r="K206" s="167">
        <f t="shared" si="40"/>
        <v>0</v>
      </c>
      <c r="L206" s="167">
        <f t="shared" si="36"/>
        <v>0</v>
      </c>
      <c r="M206" s="167">
        <f>IF(B206="","",IF(F206=0,0,IF(Simulador!$F$11='Tabla Parámetros'!$W$1,'Tabla Parámetros'!$W$28,IF(Simulador!$F$11='Tabla Parámetros'!$Y$1,'Tabla Parámetros'!$Y$12))))</f>
        <v>0</v>
      </c>
      <c r="N206" s="167">
        <f>IF(F206=0,0,IF(F206="","",IF(Simulador!$N$7='Tabla Parámetros'!$C$31,AportPat!L186,0)))</f>
        <v>0</v>
      </c>
      <c r="O206" s="167">
        <f>Simulador!O574</f>
        <v>0</v>
      </c>
      <c r="P206" s="167">
        <f t="shared" si="44"/>
        <v>0</v>
      </c>
      <c r="Q206" s="167">
        <f t="shared" si="38"/>
        <v>0</v>
      </c>
      <c r="T206" s="6"/>
      <c r="U206" s="6"/>
      <c r="V206" s="6"/>
      <c r="W206" s="29">
        <f t="shared" si="39"/>
        <v>0</v>
      </c>
    </row>
    <row r="207" spans="2:23" x14ac:dyDescent="0.3">
      <c r="B207" s="181">
        <f t="shared" si="41"/>
        <v>184</v>
      </c>
      <c r="C207" s="180">
        <f t="shared" si="42"/>
        <v>30.4</v>
      </c>
      <c r="D207" s="193">
        <f>IF(B207="","",'Tabla Parámetros'!$G$5)</f>
        <v>0.11799999999999999</v>
      </c>
      <c r="E207" s="167"/>
      <c r="F207" s="167">
        <f t="shared" si="34"/>
        <v>0</v>
      </c>
      <c r="G207" s="166"/>
      <c r="H207" s="167">
        <f t="shared" si="35"/>
        <v>0</v>
      </c>
      <c r="I207" s="167">
        <f t="shared" si="43"/>
        <v>0</v>
      </c>
      <c r="J207" s="167">
        <f>IF(C207="","",IF(F207=0,0,IF(C207&lt;='Tabla Parámetros'!$J$23,I207,IF($E$2='Tabla Parámetros'!$J$19,((($H$2/1000*'Tabla Parámetros'!$K$19)/30.4*C207)*1.0212^15),IF($E$2='Tabla Parámetros'!$J$20,($H$2/1000*'Tabla Parámetros'!$K$20)/30.4*C207)*1.0201^15)))+N207+O207)</f>
        <v>0</v>
      </c>
      <c r="K207" s="167">
        <f t="shared" si="40"/>
        <v>0</v>
      </c>
      <c r="L207" s="167">
        <f t="shared" si="36"/>
        <v>0</v>
      </c>
      <c r="M207" s="167">
        <f>IF(B207="","",IF(F207=0,0,IF(Simulador!$F$11='Tabla Parámetros'!$W$1,'Tabla Parámetros'!$W$28,IF(Simulador!$F$11='Tabla Parámetros'!$Y$1,'Tabla Parámetros'!$Y$12))))</f>
        <v>0</v>
      </c>
      <c r="N207" s="167">
        <f>IF(F207=0,0,IF(F207="","",IF(Simulador!$N$7='Tabla Parámetros'!$C$31,AportPat!L187,0)))</f>
        <v>0</v>
      </c>
      <c r="O207" s="167">
        <f>Simulador!O575</f>
        <v>0</v>
      </c>
      <c r="P207" s="167">
        <f t="shared" si="44"/>
        <v>0</v>
      </c>
      <c r="Q207" s="167">
        <f t="shared" si="38"/>
        <v>0</v>
      </c>
      <c r="T207" s="6"/>
      <c r="U207" s="6"/>
      <c r="V207" s="6"/>
      <c r="W207" s="29">
        <f t="shared" si="39"/>
        <v>0</v>
      </c>
    </row>
    <row r="208" spans="2:23" x14ac:dyDescent="0.3">
      <c r="B208" s="181">
        <f t="shared" si="41"/>
        <v>185</v>
      </c>
      <c r="C208" s="180">
        <f t="shared" si="42"/>
        <v>30.4</v>
      </c>
      <c r="D208" s="193">
        <f>IF(B208="","",'Tabla Parámetros'!$G$5)</f>
        <v>0.11799999999999999</v>
      </c>
      <c r="E208" s="167"/>
      <c r="F208" s="167">
        <f t="shared" si="34"/>
        <v>0</v>
      </c>
      <c r="G208" s="166"/>
      <c r="H208" s="167">
        <f t="shared" si="35"/>
        <v>0</v>
      </c>
      <c r="I208" s="167">
        <f t="shared" si="43"/>
        <v>0</v>
      </c>
      <c r="J208" s="167">
        <f>IF(C208="","",IF(F208=0,0,IF(C208&lt;='Tabla Parámetros'!$J$23,I208,IF($E$2='Tabla Parámetros'!$J$19,((($H$2/1000*'Tabla Parámetros'!$K$19)/30.4*C208)*1.0212^15),IF($E$2='Tabla Parámetros'!$J$20,($H$2/1000*'Tabla Parámetros'!$K$20)/30.4*C208)*1.0201^15)))+N208+O208)</f>
        <v>0</v>
      </c>
      <c r="K208" s="167">
        <f t="shared" si="40"/>
        <v>0</v>
      </c>
      <c r="L208" s="167">
        <f t="shared" si="36"/>
        <v>0</v>
      </c>
      <c r="M208" s="167">
        <f>IF(B208="","",IF(F208=0,0,IF(Simulador!$F$11='Tabla Parámetros'!$W$1,'Tabla Parámetros'!$W$28,IF(Simulador!$F$11='Tabla Parámetros'!$Y$1,'Tabla Parámetros'!$Y$12))))</f>
        <v>0</v>
      </c>
      <c r="N208" s="167">
        <f>IF(F208=0,0,IF(F208="","",IF(Simulador!$N$7='Tabla Parámetros'!$C$31,AportPat!L188,0)))</f>
        <v>0</v>
      </c>
      <c r="O208" s="167">
        <f>Simulador!O576</f>
        <v>0</v>
      </c>
      <c r="P208" s="167">
        <f t="shared" si="44"/>
        <v>0</v>
      </c>
      <c r="Q208" s="167">
        <f t="shared" si="38"/>
        <v>0</v>
      </c>
      <c r="T208" s="6"/>
      <c r="U208" s="6"/>
      <c r="V208" s="6"/>
      <c r="W208" s="29">
        <f t="shared" si="39"/>
        <v>0</v>
      </c>
    </row>
    <row r="209" spans="2:23" x14ac:dyDescent="0.3">
      <c r="B209" s="181">
        <f t="shared" si="41"/>
        <v>186</v>
      </c>
      <c r="C209" s="180">
        <f t="shared" si="42"/>
        <v>30.4</v>
      </c>
      <c r="D209" s="193">
        <f>IF(B209="","",'Tabla Parámetros'!$G$5)</f>
        <v>0.11799999999999999</v>
      </c>
      <c r="E209" s="167"/>
      <c r="F209" s="167">
        <f t="shared" si="34"/>
        <v>0</v>
      </c>
      <c r="G209" s="166"/>
      <c r="H209" s="167">
        <f t="shared" si="35"/>
        <v>0</v>
      </c>
      <c r="I209" s="167">
        <f t="shared" si="43"/>
        <v>0</v>
      </c>
      <c r="J209" s="167">
        <f>IF(C209="","",IF(F209=0,0,IF(C209&lt;='Tabla Parámetros'!$J$23,I209,IF($E$2='Tabla Parámetros'!$J$19,((($H$2/1000*'Tabla Parámetros'!$K$19)/30.4*C209)*1.0212^15),IF($E$2='Tabla Parámetros'!$J$20,($H$2/1000*'Tabla Parámetros'!$K$20)/30.4*C209)*1.0201^15)))+N209+O209)</f>
        <v>0</v>
      </c>
      <c r="K209" s="167">
        <f t="shared" si="40"/>
        <v>0</v>
      </c>
      <c r="L209" s="167">
        <f t="shared" si="36"/>
        <v>0</v>
      </c>
      <c r="M209" s="167">
        <f>IF(B209="","",IF(F209=0,0,IF(Simulador!$F$11='Tabla Parámetros'!$W$1,'Tabla Parámetros'!$W$28,IF(Simulador!$F$11='Tabla Parámetros'!$Y$1,'Tabla Parámetros'!$Y$12))))</f>
        <v>0</v>
      </c>
      <c r="N209" s="167">
        <f>IF(F209=0,0,IF(F209="","",IF(Simulador!$N$7='Tabla Parámetros'!$C$31,AportPat!L189,0)))</f>
        <v>0</v>
      </c>
      <c r="O209" s="167">
        <f>Simulador!O577</f>
        <v>0</v>
      </c>
      <c r="P209" s="167">
        <f t="shared" si="44"/>
        <v>0</v>
      </c>
      <c r="Q209" s="167">
        <f t="shared" si="38"/>
        <v>0</v>
      </c>
      <c r="T209" s="6"/>
      <c r="U209" s="6"/>
      <c r="V209" s="6"/>
      <c r="W209" s="29">
        <f t="shared" si="39"/>
        <v>0</v>
      </c>
    </row>
    <row r="210" spans="2:23" x14ac:dyDescent="0.3">
      <c r="B210" s="181">
        <f t="shared" si="41"/>
        <v>187</v>
      </c>
      <c r="C210" s="180">
        <f t="shared" si="42"/>
        <v>30.4</v>
      </c>
      <c r="D210" s="193">
        <f>IF(B210="","",'Tabla Parámetros'!$G$5)</f>
        <v>0.11799999999999999</v>
      </c>
      <c r="E210" s="167"/>
      <c r="F210" s="167">
        <f t="shared" si="34"/>
        <v>0</v>
      </c>
      <c r="G210" s="166"/>
      <c r="H210" s="167">
        <f t="shared" si="35"/>
        <v>0</v>
      </c>
      <c r="I210" s="167">
        <f t="shared" si="43"/>
        <v>0</v>
      </c>
      <c r="J210" s="167">
        <f>IF(C210="","",IF(F210=0,0,IF(C210&lt;='Tabla Parámetros'!$J$23,I210,IF($E$2='Tabla Parámetros'!$J$19,((($H$2/1000*'Tabla Parámetros'!$K$19)/30.4*C210)*1.0212^15),IF($E$2='Tabla Parámetros'!$J$20,($H$2/1000*'Tabla Parámetros'!$K$20)/30.4*C210)*1.0201^15)))+N210+O210)</f>
        <v>0</v>
      </c>
      <c r="K210" s="167">
        <f t="shared" si="40"/>
        <v>0</v>
      </c>
      <c r="L210" s="167">
        <f t="shared" si="36"/>
        <v>0</v>
      </c>
      <c r="M210" s="167">
        <f>IF(B210="","",IF(F210=0,0,IF(Simulador!$F$11='Tabla Parámetros'!$W$1,'Tabla Parámetros'!$W$28,IF(Simulador!$F$11='Tabla Parámetros'!$Y$1,'Tabla Parámetros'!$Y$12))))</f>
        <v>0</v>
      </c>
      <c r="N210" s="167">
        <f>IF(F210=0,0,IF(F210="","",IF(Simulador!$N$7='Tabla Parámetros'!$C$31,AportPat!L190,0)))</f>
        <v>0</v>
      </c>
      <c r="O210" s="167">
        <f>Simulador!O578</f>
        <v>0</v>
      </c>
      <c r="P210" s="167">
        <f t="shared" si="44"/>
        <v>0</v>
      </c>
      <c r="Q210" s="167">
        <f t="shared" si="38"/>
        <v>0</v>
      </c>
      <c r="T210" s="6"/>
      <c r="U210" s="6"/>
      <c r="V210" s="6"/>
      <c r="W210" s="29">
        <f t="shared" si="39"/>
        <v>0</v>
      </c>
    </row>
    <row r="211" spans="2:23" x14ac:dyDescent="0.3">
      <c r="B211" s="181">
        <f t="shared" si="41"/>
        <v>188</v>
      </c>
      <c r="C211" s="180">
        <f t="shared" si="42"/>
        <v>30.4</v>
      </c>
      <c r="D211" s="193">
        <f>IF(B211="","",'Tabla Parámetros'!$G$5)</f>
        <v>0.11799999999999999</v>
      </c>
      <c r="E211" s="167"/>
      <c r="F211" s="167">
        <f t="shared" si="34"/>
        <v>0</v>
      </c>
      <c r="G211" s="166"/>
      <c r="H211" s="167">
        <f t="shared" si="35"/>
        <v>0</v>
      </c>
      <c r="I211" s="167">
        <f t="shared" si="43"/>
        <v>0</v>
      </c>
      <c r="J211" s="167">
        <f>IF(C211="","",IF(F211=0,0,IF(C211&lt;='Tabla Parámetros'!$J$23,I211,IF($E$2='Tabla Parámetros'!$J$19,((($H$2/1000*'Tabla Parámetros'!$K$19)/30.4*C211)*1.0212^15),IF($E$2='Tabla Parámetros'!$J$20,($H$2/1000*'Tabla Parámetros'!$K$20)/30.4*C211)*1.0201^15)))+N211+O211)</f>
        <v>0</v>
      </c>
      <c r="K211" s="167">
        <f t="shared" si="40"/>
        <v>0</v>
      </c>
      <c r="L211" s="167">
        <f t="shared" si="36"/>
        <v>0</v>
      </c>
      <c r="M211" s="167">
        <f>IF(B211="","",IF(F211=0,0,IF(Simulador!$F$11='Tabla Parámetros'!$W$1,'Tabla Parámetros'!$W$28,IF(Simulador!$F$11='Tabla Parámetros'!$Y$1,'Tabla Parámetros'!$Y$12))))</f>
        <v>0</v>
      </c>
      <c r="N211" s="167">
        <f>IF(F211=0,0,IF(F211="","",IF(Simulador!$N$7='Tabla Parámetros'!$C$31,AportPat!L191,0)))</f>
        <v>0</v>
      </c>
      <c r="O211" s="167">
        <f>Simulador!O579</f>
        <v>0</v>
      </c>
      <c r="P211" s="167">
        <f t="shared" si="44"/>
        <v>0</v>
      </c>
      <c r="Q211" s="167">
        <f t="shared" si="38"/>
        <v>0</v>
      </c>
      <c r="T211" s="6"/>
      <c r="U211" s="6"/>
      <c r="V211" s="6"/>
      <c r="W211" s="29">
        <f t="shared" si="39"/>
        <v>0</v>
      </c>
    </row>
    <row r="212" spans="2:23" x14ac:dyDescent="0.3">
      <c r="B212" s="181">
        <f t="shared" si="41"/>
        <v>189</v>
      </c>
      <c r="C212" s="180">
        <f t="shared" si="42"/>
        <v>30.4</v>
      </c>
      <c r="D212" s="193">
        <f>IF(B212="","",'Tabla Parámetros'!$G$5)</f>
        <v>0.11799999999999999</v>
      </c>
      <c r="E212" s="167"/>
      <c r="F212" s="167">
        <f t="shared" si="34"/>
        <v>0</v>
      </c>
      <c r="G212" s="166"/>
      <c r="H212" s="167">
        <f t="shared" si="35"/>
        <v>0</v>
      </c>
      <c r="I212" s="167">
        <f t="shared" si="43"/>
        <v>0</v>
      </c>
      <c r="J212" s="167">
        <f>IF(C212="","",IF(F212=0,0,IF(C212&lt;='Tabla Parámetros'!$J$23,I212,IF($E$2='Tabla Parámetros'!$J$19,((($H$2/1000*'Tabla Parámetros'!$K$19)/30.4*C212)*1.0212^15),IF($E$2='Tabla Parámetros'!$J$20,($H$2/1000*'Tabla Parámetros'!$K$20)/30.4*C212)*1.0201^15)))+N212+O212)</f>
        <v>0</v>
      </c>
      <c r="K212" s="167">
        <f t="shared" si="40"/>
        <v>0</v>
      </c>
      <c r="L212" s="167">
        <f t="shared" si="36"/>
        <v>0</v>
      </c>
      <c r="M212" s="167">
        <f>IF(B212="","",IF(F212=0,0,IF(Simulador!$F$11='Tabla Parámetros'!$W$1,'Tabla Parámetros'!$W$28,IF(Simulador!$F$11='Tabla Parámetros'!$Y$1,'Tabla Parámetros'!$Y$12))))</f>
        <v>0</v>
      </c>
      <c r="N212" s="167">
        <f>IF(F212=0,0,IF(F212="","",IF(Simulador!$N$7='Tabla Parámetros'!$C$31,AportPat!L192,0)))</f>
        <v>0</v>
      </c>
      <c r="O212" s="167">
        <f>Simulador!O580</f>
        <v>0</v>
      </c>
      <c r="P212" s="167">
        <f t="shared" si="44"/>
        <v>0</v>
      </c>
      <c r="Q212" s="167">
        <f t="shared" si="38"/>
        <v>0</v>
      </c>
      <c r="T212" s="6"/>
      <c r="U212" s="6"/>
      <c r="V212" s="6"/>
      <c r="W212" s="29">
        <f t="shared" si="39"/>
        <v>0</v>
      </c>
    </row>
    <row r="213" spans="2:23" x14ac:dyDescent="0.3">
      <c r="B213" s="181">
        <f t="shared" si="41"/>
        <v>190</v>
      </c>
      <c r="C213" s="180">
        <f t="shared" si="42"/>
        <v>30.4</v>
      </c>
      <c r="D213" s="193">
        <f>IF(B213="","",'Tabla Parámetros'!$G$5)</f>
        <v>0.11799999999999999</v>
      </c>
      <c r="E213" s="167"/>
      <c r="F213" s="167">
        <f t="shared" si="34"/>
        <v>0</v>
      </c>
      <c r="G213" s="166"/>
      <c r="H213" s="167">
        <f t="shared" si="35"/>
        <v>0</v>
      </c>
      <c r="I213" s="167">
        <f t="shared" si="43"/>
        <v>0</v>
      </c>
      <c r="J213" s="167">
        <f>IF(C213="","",IF(F213=0,0,IF(C213&lt;='Tabla Parámetros'!$J$23,I213,IF($E$2='Tabla Parámetros'!$J$19,((($H$2/1000*'Tabla Parámetros'!$K$19)/30.4*C213)*1.0212^15),IF($E$2='Tabla Parámetros'!$J$20,($H$2/1000*'Tabla Parámetros'!$K$20)/30.4*C213)*1.0201^15)))+N213+O213)</f>
        <v>0</v>
      </c>
      <c r="K213" s="167">
        <f t="shared" si="40"/>
        <v>0</v>
      </c>
      <c r="L213" s="167">
        <f t="shared" si="36"/>
        <v>0</v>
      </c>
      <c r="M213" s="167">
        <f>IF(B213="","",IF(F213=0,0,IF(Simulador!$F$11='Tabla Parámetros'!$W$1,'Tabla Parámetros'!$W$28,IF(Simulador!$F$11='Tabla Parámetros'!$Y$1,'Tabla Parámetros'!$Y$12))))</f>
        <v>0</v>
      </c>
      <c r="N213" s="167">
        <f>IF(F213=0,0,IF(F213="","",IF(Simulador!$N$7='Tabla Parámetros'!$C$31,AportPat!L193,0)))</f>
        <v>0</v>
      </c>
      <c r="O213" s="167">
        <f>Simulador!O581</f>
        <v>0</v>
      </c>
      <c r="P213" s="167">
        <f t="shared" si="44"/>
        <v>0</v>
      </c>
      <c r="Q213" s="167">
        <f t="shared" si="38"/>
        <v>0</v>
      </c>
      <c r="T213" s="6"/>
      <c r="U213" s="6"/>
      <c r="V213" s="6"/>
      <c r="W213" s="29">
        <f t="shared" si="39"/>
        <v>0</v>
      </c>
    </row>
    <row r="214" spans="2:23" x14ac:dyDescent="0.3">
      <c r="B214" s="181">
        <f t="shared" si="41"/>
        <v>191</v>
      </c>
      <c r="C214" s="180">
        <f t="shared" si="42"/>
        <v>30.4</v>
      </c>
      <c r="D214" s="193">
        <f>IF(B214="","",'Tabla Parámetros'!$G$5)</f>
        <v>0.11799999999999999</v>
      </c>
      <c r="E214" s="167"/>
      <c r="F214" s="167">
        <f t="shared" si="34"/>
        <v>0</v>
      </c>
      <c r="G214" s="166"/>
      <c r="H214" s="167">
        <f t="shared" si="35"/>
        <v>0</v>
      </c>
      <c r="I214" s="167">
        <f t="shared" si="43"/>
        <v>0</v>
      </c>
      <c r="J214" s="167">
        <f>IF(C214="","",IF(F214=0,0,IF(C214&lt;='Tabla Parámetros'!$J$23,I214,IF($E$2='Tabla Parámetros'!$J$19,((($H$2/1000*'Tabla Parámetros'!$K$19)/30.4*C214)*1.0212^15),IF($E$2='Tabla Parámetros'!$J$20,($H$2/1000*'Tabla Parámetros'!$K$20)/30.4*C214)*1.0201^15)))+N214+O214)</f>
        <v>0</v>
      </c>
      <c r="K214" s="167">
        <f t="shared" si="40"/>
        <v>0</v>
      </c>
      <c r="L214" s="167">
        <f t="shared" si="36"/>
        <v>0</v>
      </c>
      <c r="M214" s="167">
        <f>IF(B214="","",IF(F214=0,0,IF(Simulador!$F$11='Tabla Parámetros'!$W$1,'Tabla Parámetros'!$W$28,IF(Simulador!$F$11='Tabla Parámetros'!$Y$1,'Tabla Parámetros'!$Y$12))))</f>
        <v>0</v>
      </c>
      <c r="N214" s="167">
        <f>IF(F214=0,0,IF(F214="","",IF(Simulador!$N$7='Tabla Parámetros'!$C$31,AportPat!L194,0)))</f>
        <v>0</v>
      </c>
      <c r="O214" s="167">
        <f>Simulador!O582</f>
        <v>0</v>
      </c>
      <c r="P214" s="167">
        <f t="shared" si="44"/>
        <v>0</v>
      </c>
      <c r="Q214" s="167">
        <f t="shared" si="38"/>
        <v>0</v>
      </c>
      <c r="T214" s="6"/>
      <c r="U214" s="6"/>
      <c r="V214" s="6"/>
      <c r="W214" s="29">
        <f t="shared" si="39"/>
        <v>0</v>
      </c>
    </row>
    <row r="215" spans="2:23" x14ac:dyDescent="0.3">
      <c r="B215" s="181">
        <f t="shared" si="41"/>
        <v>192</v>
      </c>
      <c r="C215" s="180">
        <f t="shared" si="42"/>
        <v>30.4</v>
      </c>
      <c r="D215" s="193">
        <f>IF(B215="","",'Tabla Parámetros'!$G$5)</f>
        <v>0.11799999999999999</v>
      </c>
      <c r="E215" s="167"/>
      <c r="F215" s="167">
        <f t="shared" si="34"/>
        <v>0</v>
      </c>
      <c r="G215" s="166"/>
      <c r="H215" s="167">
        <f t="shared" si="35"/>
        <v>0</v>
      </c>
      <c r="I215" s="167">
        <f t="shared" si="43"/>
        <v>0</v>
      </c>
      <c r="J215" s="167">
        <f>IF(C215="","",IF(F215=0,0,IF(C215&lt;='Tabla Parámetros'!$J$23,I215,IF($E$2='Tabla Parámetros'!$J$19,((($H$2/1000*'Tabla Parámetros'!$K$19)/30.4*C215)*1.0212^15),IF($E$2='Tabla Parámetros'!$J$20,($H$2/1000*'Tabla Parámetros'!$K$20)/30.4*C215)*1.0201^15)))+N215+O215)</f>
        <v>0</v>
      </c>
      <c r="K215" s="167">
        <f t="shared" si="40"/>
        <v>0</v>
      </c>
      <c r="L215" s="167">
        <f t="shared" si="36"/>
        <v>0</v>
      </c>
      <c r="M215" s="167">
        <f>IF(B215="","",IF(F215=0,0,IF(Simulador!$F$11='Tabla Parámetros'!$W$1,'Tabla Parámetros'!$W$28,IF(Simulador!$F$11='Tabla Parámetros'!$Y$1,'Tabla Parámetros'!$Y$12))))</f>
        <v>0</v>
      </c>
      <c r="N215" s="167">
        <f>IF(F215=0,0,IF(F215="","",IF(Simulador!$N$7='Tabla Parámetros'!$C$31,AportPat!L195,0)))</f>
        <v>0</v>
      </c>
      <c r="O215" s="167">
        <f>Simulador!O583</f>
        <v>0</v>
      </c>
      <c r="P215" s="167">
        <f t="shared" si="44"/>
        <v>0</v>
      </c>
      <c r="Q215" s="167">
        <f t="shared" si="38"/>
        <v>0</v>
      </c>
      <c r="T215" s="6"/>
      <c r="U215" s="6"/>
      <c r="V215" s="6"/>
      <c r="W215" s="29">
        <f t="shared" si="39"/>
        <v>0</v>
      </c>
    </row>
    <row r="216" spans="2:23" x14ac:dyDescent="0.3">
      <c r="B216" s="181">
        <f t="shared" si="41"/>
        <v>193</v>
      </c>
      <c r="C216" s="180">
        <f t="shared" si="42"/>
        <v>30.4</v>
      </c>
      <c r="D216" s="193">
        <f>IF(B216="","",'Tabla Parámetros'!$G$5)</f>
        <v>0.11799999999999999</v>
      </c>
      <c r="E216" s="167"/>
      <c r="F216" s="167">
        <f t="shared" si="34"/>
        <v>0</v>
      </c>
      <c r="G216" s="166"/>
      <c r="H216" s="167">
        <f t="shared" si="35"/>
        <v>0</v>
      </c>
      <c r="I216" s="167">
        <f t="shared" si="43"/>
        <v>0</v>
      </c>
      <c r="J216" s="167">
        <f>IF(C216="","",IF(F216=0,0,IF(C216&lt;='Tabla Parámetros'!$J$23,I216,IF($E$2='Tabla Parámetros'!$J$19,((($H$2/1000*'Tabla Parámetros'!$K$19)/30.4*C216)*1.0212^15),IF($E$2='Tabla Parámetros'!$J$20,($H$2/1000*'Tabla Parámetros'!$K$20)/30.4*C216)*1.0201^15)))+N216+O216)</f>
        <v>0</v>
      </c>
      <c r="K216" s="167">
        <f t="shared" si="40"/>
        <v>0</v>
      </c>
      <c r="L216" s="167">
        <f t="shared" si="36"/>
        <v>0</v>
      </c>
      <c r="M216" s="167">
        <f>IF(B216="","",IF(F216=0,0,IF(Simulador!$F$11='Tabla Parámetros'!$W$1,'Tabla Parámetros'!$W$28,IF(Simulador!$F$11='Tabla Parámetros'!$Y$1,'Tabla Parámetros'!$Y$12))))</f>
        <v>0</v>
      </c>
      <c r="N216" s="167">
        <f>IF(F216=0,0,IF(F216="","",IF(Simulador!$N$7='Tabla Parámetros'!$C$31,AportPat!L196,0)))</f>
        <v>0</v>
      </c>
      <c r="O216" s="167">
        <f>Simulador!O584</f>
        <v>0</v>
      </c>
      <c r="P216" s="167">
        <f t="shared" si="44"/>
        <v>0</v>
      </c>
      <c r="Q216" s="167">
        <f t="shared" si="38"/>
        <v>0</v>
      </c>
      <c r="T216" s="6"/>
      <c r="U216" s="6"/>
      <c r="V216" s="6"/>
      <c r="W216" s="29">
        <f t="shared" si="39"/>
        <v>0</v>
      </c>
    </row>
    <row r="217" spans="2:23" x14ac:dyDescent="0.3">
      <c r="B217" s="181">
        <f t="shared" si="41"/>
        <v>194</v>
      </c>
      <c r="C217" s="180">
        <f t="shared" si="42"/>
        <v>30.4</v>
      </c>
      <c r="D217" s="193">
        <f>IF(B217="","",'Tabla Parámetros'!$G$5)</f>
        <v>0.11799999999999999</v>
      </c>
      <c r="E217" s="167"/>
      <c r="F217" s="167">
        <f t="shared" si="34"/>
        <v>0</v>
      </c>
      <c r="G217" s="166"/>
      <c r="H217" s="167">
        <f t="shared" si="35"/>
        <v>0</v>
      </c>
      <c r="I217" s="167">
        <f t="shared" si="43"/>
        <v>0</v>
      </c>
      <c r="J217" s="167">
        <f>IF(C217="","",IF(F217=0,0,IF(C217&lt;='Tabla Parámetros'!$J$23,I217,IF($E$2='Tabla Parámetros'!$J$19,((($H$2/1000*'Tabla Parámetros'!$K$19)/30.4*C217)*1.0212^16),IF($E$2='Tabla Parámetros'!$J$20,($H$2/1000*'Tabla Parámetros'!$K$20)/30.4*C217)*1.0201^16)))+N217+O217)</f>
        <v>0</v>
      </c>
      <c r="K217" s="167">
        <f t="shared" si="40"/>
        <v>0</v>
      </c>
      <c r="L217" s="167">
        <f t="shared" si="36"/>
        <v>0</v>
      </c>
      <c r="M217" s="167">
        <f>IF(B217="","",IF(F217=0,0,IF(Simulador!$F$11='Tabla Parámetros'!$W$1,'Tabla Parámetros'!$W$28,IF(Simulador!$F$11='Tabla Parámetros'!$Y$1,'Tabla Parámetros'!$Y$12))))</f>
        <v>0</v>
      </c>
      <c r="N217" s="167">
        <f>IF(F217=0,0,IF(F217="","",IF(Simulador!$N$7='Tabla Parámetros'!$C$31,AportPat!L197,0)))</f>
        <v>0</v>
      </c>
      <c r="O217" s="167">
        <f>Simulador!O585</f>
        <v>0</v>
      </c>
      <c r="P217" s="167">
        <f t="shared" si="44"/>
        <v>0</v>
      </c>
      <c r="Q217" s="167">
        <f t="shared" si="38"/>
        <v>0</v>
      </c>
      <c r="T217" s="6"/>
      <c r="U217" s="6"/>
      <c r="V217" s="6"/>
      <c r="W217" s="29">
        <f t="shared" si="39"/>
        <v>0</v>
      </c>
    </row>
    <row r="218" spans="2:23" x14ac:dyDescent="0.3">
      <c r="B218" s="181">
        <f t="shared" si="41"/>
        <v>195</v>
      </c>
      <c r="C218" s="180">
        <f t="shared" si="42"/>
        <v>30.4</v>
      </c>
      <c r="D218" s="193">
        <f>IF(B218="","",'Tabla Parámetros'!$G$5)</f>
        <v>0.11799999999999999</v>
      </c>
      <c r="E218" s="167"/>
      <c r="F218" s="167">
        <f t="shared" ref="F218:F263" si="45">IF(B218="","",F217-H217)</f>
        <v>0</v>
      </c>
      <c r="G218" s="166"/>
      <c r="H218" s="167">
        <f t="shared" ref="H218:H263" si="46">IF($B218="","",IF($B218=$E$2,$F218,IF(($J218-$I218)&gt;$F218,$F218,$J218-$I218)))</f>
        <v>0</v>
      </c>
      <c r="I218" s="167">
        <f t="shared" si="43"/>
        <v>0</v>
      </c>
      <c r="J218" s="167">
        <f>IF(C218="","",IF(F218=0,0,IF(C218&lt;='Tabla Parámetros'!$J$23,I218,IF($E$2='Tabla Parámetros'!$J$19,((($H$2/1000*'Tabla Parámetros'!$K$19)/30.4*C218)*1.0212^16),IF($E$2='Tabla Parámetros'!$J$20,($H$2/1000*'Tabla Parámetros'!$K$20)/30.4*C218)*1.0201^16)))+N218+O218)</f>
        <v>0</v>
      </c>
      <c r="K218" s="167">
        <f t="shared" si="40"/>
        <v>0</v>
      </c>
      <c r="L218" s="167">
        <f t="shared" ref="L218:L263" si="47">IF(B218="","",IF(F218=0,0,$L$1*$J$2))</f>
        <v>0</v>
      </c>
      <c r="M218" s="167">
        <f>IF(B218="","",IF(F218=0,0,IF(Simulador!$F$11='Tabla Parámetros'!$W$1,'Tabla Parámetros'!$W$28,IF(Simulador!$F$11='Tabla Parámetros'!$Y$1,'Tabla Parámetros'!$Y$12))))</f>
        <v>0</v>
      </c>
      <c r="N218" s="167">
        <f>IF(F218=0,0,IF(F218="","",IF(Simulador!$N$7='Tabla Parámetros'!$C$31,AportPat!L198,0)))</f>
        <v>0</v>
      </c>
      <c r="O218" s="167">
        <f>Simulador!O586</f>
        <v>0</v>
      </c>
      <c r="P218" s="167">
        <f t="shared" si="44"/>
        <v>0</v>
      </c>
      <c r="Q218" s="167">
        <f t="shared" si="38"/>
        <v>0</v>
      </c>
      <c r="T218" s="6"/>
      <c r="U218" s="6"/>
      <c r="V218" s="6"/>
      <c r="W218" s="29">
        <f t="shared" si="39"/>
        <v>0</v>
      </c>
    </row>
    <row r="219" spans="2:23" x14ac:dyDescent="0.3">
      <c r="B219" s="181">
        <f t="shared" si="41"/>
        <v>196</v>
      </c>
      <c r="C219" s="180">
        <f t="shared" si="42"/>
        <v>30.4</v>
      </c>
      <c r="D219" s="193">
        <f>IF(B219="","",'Tabla Parámetros'!$G$5)</f>
        <v>0.11799999999999999</v>
      </c>
      <c r="E219" s="167"/>
      <c r="F219" s="167">
        <f t="shared" si="45"/>
        <v>0</v>
      </c>
      <c r="G219" s="166"/>
      <c r="H219" s="167">
        <f t="shared" si="46"/>
        <v>0</v>
      </c>
      <c r="I219" s="167">
        <f t="shared" si="43"/>
        <v>0</v>
      </c>
      <c r="J219" s="167">
        <f>IF(C219="","",IF(F219=0,0,IF(C219&lt;='Tabla Parámetros'!$J$23,I219,IF($E$2='Tabla Parámetros'!$J$19,((($H$2/1000*'Tabla Parámetros'!$K$19)/30.4*C219)*1.0212^16),IF($E$2='Tabla Parámetros'!$J$20,($H$2/1000*'Tabla Parámetros'!$K$20)/30.4*C219)*1.0201^16)))+N219+O219)</f>
        <v>0</v>
      </c>
      <c r="K219" s="167">
        <f t="shared" si="40"/>
        <v>0</v>
      </c>
      <c r="L219" s="167">
        <f t="shared" si="47"/>
        <v>0</v>
      </c>
      <c r="M219" s="167">
        <f>IF(B219="","",IF(F219=0,0,IF(Simulador!$F$11='Tabla Parámetros'!$W$1,'Tabla Parámetros'!$W$28,IF(Simulador!$F$11='Tabla Parámetros'!$Y$1,'Tabla Parámetros'!$Y$12))))</f>
        <v>0</v>
      </c>
      <c r="N219" s="167">
        <f>IF(F219=0,0,IF(F219="","",IF(Simulador!$N$7='Tabla Parámetros'!$C$31,AportPat!L199,0)))</f>
        <v>0</v>
      </c>
      <c r="O219" s="167">
        <f>Simulador!O587</f>
        <v>0</v>
      </c>
      <c r="P219" s="167">
        <f t="shared" si="44"/>
        <v>0</v>
      </c>
      <c r="Q219" s="167">
        <f t="shared" ref="Q219:Q263" si="48">IF(B219="","",F219-H219)</f>
        <v>0</v>
      </c>
      <c r="T219" s="6"/>
      <c r="U219" s="6"/>
      <c r="V219" s="6"/>
      <c r="W219" s="29">
        <f t="shared" si="39"/>
        <v>0</v>
      </c>
    </row>
    <row r="220" spans="2:23" x14ac:dyDescent="0.3">
      <c r="B220" s="181">
        <f t="shared" si="41"/>
        <v>197</v>
      </c>
      <c r="C220" s="180">
        <f t="shared" si="42"/>
        <v>30.4</v>
      </c>
      <c r="D220" s="193">
        <f>IF(B220="","",'Tabla Parámetros'!$G$5)</f>
        <v>0.11799999999999999</v>
      </c>
      <c r="E220" s="167"/>
      <c r="F220" s="167">
        <f t="shared" si="45"/>
        <v>0</v>
      </c>
      <c r="G220" s="166"/>
      <c r="H220" s="167">
        <f t="shared" si="46"/>
        <v>0</v>
      </c>
      <c r="I220" s="167">
        <f t="shared" si="43"/>
        <v>0</v>
      </c>
      <c r="J220" s="167">
        <f>IF(C220="","",IF(F220=0,0,IF(C220&lt;='Tabla Parámetros'!$J$23,I220,IF($E$2='Tabla Parámetros'!$J$19,((($H$2/1000*'Tabla Parámetros'!$K$19)/30.4*C220)*1.0212^16),IF($E$2='Tabla Parámetros'!$J$20,($H$2/1000*'Tabla Parámetros'!$K$20)/30.4*C220)*1.0201^16)))+N220+O220)</f>
        <v>0</v>
      </c>
      <c r="K220" s="167">
        <f t="shared" si="40"/>
        <v>0</v>
      </c>
      <c r="L220" s="167">
        <f t="shared" si="47"/>
        <v>0</v>
      </c>
      <c r="M220" s="167">
        <f>IF(B220="","",IF(F220=0,0,IF(Simulador!$F$11='Tabla Parámetros'!$W$1,'Tabla Parámetros'!$W$28,IF(Simulador!$F$11='Tabla Parámetros'!$Y$1,'Tabla Parámetros'!$Y$12))))</f>
        <v>0</v>
      </c>
      <c r="N220" s="167">
        <f>IF(F220=0,0,IF(F220="","",IF(Simulador!$N$7='Tabla Parámetros'!$C$31,AportPat!L200,0)))</f>
        <v>0</v>
      </c>
      <c r="O220" s="167">
        <f>Simulador!O588</f>
        <v>0</v>
      </c>
      <c r="P220" s="167">
        <f t="shared" si="44"/>
        <v>0</v>
      </c>
      <c r="Q220" s="167">
        <f t="shared" si="48"/>
        <v>0</v>
      </c>
      <c r="T220" s="6"/>
      <c r="U220" s="6"/>
      <c r="V220" s="6"/>
      <c r="W220" s="29">
        <f t="shared" si="39"/>
        <v>0</v>
      </c>
    </row>
    <row r="221" spans="2:23" x14ac:dyDescent="0.3">
      <c r="B221" s="181">
        <f t="shared" si="41"/>
        <v>198</v>
      </c>
      <c r="C221" s="180">
        <f t="shared" si="42"/>
        <v>30.4</v>
      </c>
      <c r="D221" s="193">
        <f>IF(B221="","",'Tabla Parámetros'!$G$5)</f>
        <v>0.11799999999999999</v>
      </c>
      <c r="E221" s="167"/>
      <c r="F221" s="167">
        <f t="shared" si="45"/>
        <v>0</v>
      </c>
      <c r="G221" s="166"/>
      <c r="H221" s="167">
        <f t="shared" si="46"/>
        <v>0</v>
      </c>
      <c r="I221" s="167">
        <f t="shared" si="43"/>
        <v>0</v>
      </c>
      <c r="J221" s="167">
        <f>IF(C221="","",IF(F221=0,0,IF(C221&lt;='Tabla Parámetros'!$J$23,I221,IF($E$2='Tabla Parámetros'!$J$19,((($H$2/1000*'Tabla Parámetros'!$K$19)/30.4*C221)*1.0212^16),IF($E$2='Tabla Parámetros'!$J$20,($H$2/1000*'Tabla Parámetros'!$K$20)/30.4*C221)*1.0201^16)))+N221+O221)</f>
        <v>0</v>
      </c>
      <c r="K221" s="167">
        <f t="shared" si="40"/>
        <v>0</v>
      </c>
      <c r="L221" s="167">
        <f t="shared" si="47"/>
        <v>0</v>
      </c>
      <c r="M221" s="167">
        <f>IF(B221="","",IF(F221=0,0,IF(Simulador!$F$11='Tabla Parámetros'!$W$1,'Tabla Parámetros'!$W$28,IF(Simulador!$F$11='Tabla Parámetros'!$Y$1,'Tabla Parámetros'!$Y$12))))</f>
        <v>0</v>
      </c>
      <c r="N221" s="167">
        <f>IF(F221=0,0,IF(F221="","",IF(Simulador!$N$7='Tabla Parámetros'!$C$31,AportPat!L201,0)))</f>
        <v>0</v>
      </c>
      <c r="O221" s="167">
        <f>Simulador!O589</f>
        <v>0</v>
      </c>
      <c r="P221" s="167">
        <f t="shared" si="44"/>
        <v>0</v>
      </c>
      <c r="Q221" s="167">
        <f t="shared" si="48"/>
        <v>0</v>
      </c>
      <c r="T221" s="6"/>
      <c r="U221" s="6"/>
      <c r="V221" s="6"/>
      <c r="W221" s="29">
        <f t="shared" si="39"/>
        <v>0</v>
      </c>
    </row>
    <row r="222" spans="2:23" x14ac:dyDescent="0.3">
      <c r="B222" s="181">
        <f t="shared" si="41"/>
        <v>199</v>
      </c>
      <c r="C222" s="180">
        <f t="shared" si="42"/>
        <v>30.4</v>
      </c>
      <c r="D222" s="193">
        <f>IF(B222="","",'Tabla Parámetros'!$G$5)</f>
        <v>0.11799999999999999</v>
      </c>
      <c r="E222" s="167"/>
      <c r="F222" s="167">
        <f t="shared" si="45"/>
        <v>0</v>
      </c>
      <c r="G222" s="166"/>
      <c r="H222" s="167">
        <f t="shared" si="46"/>
        <v>0</v>
      </c>
      <c r="I222" s="167">
        <f t="shared" si="43"/>
        <v>0</v>
      </c>
      <c r="J222" s="167">
        <f>IF(C222="","",IF(F222=0,0,IF(C222&lt;='Tabla Parámetros'!$J$23,I222,IF($E$2='Tabla Parámetros'!$J$19,((($H$2/1000*'Tabla Parámetros'!$K$19)/30.4*C222)*1.0212^16),IF($E$2='Tabla Parámetros'!$J$20,($H$2/1000*'Tabla Parámetros'!$K$20)/30.4*C222)*1.0201^16)))+N222+O222)</f>
        <v>0</v>
      </c>
      <c r="K222" s="167">
        <f t="shared" si="40"/>
        <v>0</v>
      </c>
      <c r="L222" s="167">
        <f t="shared" si="47"/>
        <v>0</v>
      </c>
      <c r="M222" s="167">
        <f>IF(B222="","",IF(F222=0,0,IF(Simulador!$F$11='Tabla Parámetros'!$W$1,'Tabla Parámetros'!$W$28,IF(Simulador!$F$11='Tabla Parámetros'!$Y$1,'Tabla Parámetros'!$Y$12))))</f>
        <v>0</v>
      </c>
      <c r="N222" s="167">
        <f>IF(F222=0,0,IF(F222="","",IF(Simulador!$N$7='Tabla Parámetros'!$C$31,AportPat!L202,0)))</f>
        <v>0</v>
      </c>
      <c r="O222" s="167">
        <f>Simulador!O590</f>
        <v>0</v>
      </c>
      <c r="P222" s="167">
        <f t="shared" si="44"/>
        <v>0</v>
      </c>
      <c r="Q222" s="167">
        <f t="shared" si="48"/>
        <v>0</v>
      </c>
      <c r="T222" s="6"/>
      <c r="U222" s="6"/>
      <c r="V222" s="6"/>
      <c r="W222" s="29">
        <f t="shared" si="39"/>
        <v>0</v>
      </c>
    </row>
    <row r="223" spans="2:23" x14ac:dyDescent="0.3">
      <c r="B223" s="181">
        <f t="shared" si="41"/>
        <v>200</v>
      </c>
      <c r="C223" s="180">
        <f t="shared" si="42"/>
        <v>30.4</v>
      </c>
      <c r="D223" s="193">
        <f>IF(B223="","",'Tabla Parámetros'!$G$5)</f>
        <v>0.11799999999999999</v>
      </c>
      <c r="E223" s="167"/>
      <c r="F223" s="167">
        <f t="shared" si="45"/>
        <v>0</v>
      </c>
      <c r="G223" s="166"/>
      <c r="H223" s="167">
        <f t="shared" si="46"/>
        <v>0</v>
      </c>
      <c r="I223" s="167">
        <f t="shared" si="43"/>
        <v>0</v>
      </c>
      <c r="J223" s="167">
        <f>IF(C223="","",IF(F223=0,0,IF(C223&lt;='Tabla Parámetros'!$J$23,I223,IF($E$2='Tabla Parámetros'!$J$19,((($H$2/1000*'Tabla Parámetros'!$K$19)/30.4*C223)*1.0212^16),IF($E$2='Tabla Parámetros'!$J$20,($H$2/1000*'Tabla Parámetros'!$K$20)/30.4*C223)*1.0201^16)))+N223+O223)</f>
        <v>0</v>
      </c>
      <c r="K223" s="167">
        <f t="shared" si="40"/>
        <v>0</v>
      </c>
      <c r="L223" s="167">
        <f t="shared" si="47"/>
        <v>0</v>
      </c>
      <c r="M223" s="167">
        <f>IF(B223="","",IF(F223=0,0,IF(Simulador!$F$11='Tabla Parámetros'!$W$1,'Tabla Parámetros'!$W$28,IF(Simulador!$F$11='Tabla Parámetros'!$Y$1,'Tabla Parámetros'!$Y$12))))</f>
        <v>0</v>
      </c>
      <c r="N223" s="167">
        <f>IF(F223=0,0,IF(F223="","",IF(Simulador!$N$7='Tabla Parámetros'!$C$31,AportPat!L203,0)))</f>
        <v>0</v>
      </c>
      <c r="O223" s="167">
        <f>Simulador!O591</f>
        <v>0</v>
      </c>
      <c r="P223" s="167">
        <f t="shared" si="44"/>
        <v>0</v>
      </c>
      <c r="Q223" s="167">
        <f t="shared" si="48"/>
        <v>0</v>
      </c>
      <c r="T223" s="6"/>
      <c r="U223" s="6"/>
      <c r="V223" s="6"/>
      <c r="W223" s="29">
        <f t="shared" si="39"/>
        <v>0</v>
      </c>
    </row>
    <row r="224" spans="2:23" x14ac:dyDescent="0.3">
      <c r="B224" s="181">
        <f t="shared" si="41"/>
        <v>201</v>
      </c>
      <c r="C224" s="180">
        <f t="shared" si="42"/>
        <v>30.4</v>
      </c>
      <c r="D224" s="193">
        <f>IF(B224="","",'Tabla Parámetros'!$G$5)</f>
        <v>0.11799999999999999</v>
      </c>
      <c r="E224" s="167"/>
      <c r="F224" s="167">
        <f t="shared" si="45"/>
        <v>0</v>
      </c>
      <c r="G224" s="166"/>
      <c r="H224" s="167">
        <f t="shared" si="46"/>
        <v>0</v>
      </c>
      <c r="I224" s="167">
        <f t="shared" si="43"/>
        <v>0</v>
      </c>
      <c r="J224" s="167">
        <f>IF(C224="","",IF(F224=0,0,IF(C224&lt;='Tabla Parámetros'!$J$23,I224,IF($E$2='Tabla Parámetros'!$J$19,((($H$2/1000*'Tabla Parámetros'!$K$19)/30.4*C224)*1.0212^16),IF($E$2='Tabla Parámetros'!$J$20,($H$2/1000*'Tabla Parámetros'!$K$20)/30.4*C224)*1.0201^16)))+N224+O224)</f>
        <v>0</v>
      </c>
      <c r="K224" s="167">
        <f t="shared" si="40"/>
        <v>0</v>
      </c>
      <c r="L224" s="167">
        <f t="shared" si="47"/>
        <v>0</v>
      </c>
      <c r="M224" s="167">
        <f>IF(B224="","",IF(F224=0,0,IF(Simulador!$F$11='Tabla Parámetros'!$W$1,'Tabla Parámetros'!$W$28,IF(Simulador!$F$11='Tabla Parámetros'!$Y$1,'Tabla Parámetros'!$Y$12))))</f>
        <v>0</v>
      </c>
      <c r="N224" s="167">
        <f>IF(F224=0,0,IF(F224="","",IF(Simulador!$N$7='Tabla Parámetros'!$C$31,AportPat!L204,0)))</f>
        <v>0</v>
      </c>
      <c r="O224" s="167">
        <f>Simulador!O592</f>
        <v>0</v>
      </c>
      <c r="P224" s="167">
        <f t="shared" si="44"/>
        <v>0</v>
      </c>
      <c r="Q224" s="167">
        <f t="shared" si="48"/>
        <v>0</v>
      </c>
      <c r="T224" s="6"/>
      <c r="U224" s="6"/>
      <c r="V224" s="6"/>
      <c r="W224" s="29">
        <f t="shared" si="39"/>
        <v>0</v>
      </c>
    </row>
    <row r="225" spans="2:23" x14ac:dyDescent="0.3">
      <c r="B225" s="181">
        <f t="shared" si="41"/>
        <v>202</v>
      </c>
      <c r="C225" s="180">
        <f t="shared" si="42"/>
        <v>30.4</v>
      </c>
      <c r="D225" s="193">
        <f>IF(B225="","",'Tabla Parámetros'!$G$5)</f>
        <v>0.11799999999999999</v>
      </c>
      <c r="E225" s="167"/>
      <c r="F225" s="167">
        <f t="shared" si="45"/>
        <v>0</v>
      </c>
      <c r="G225" s="166"/>
      <c r="H225" s="167">
        <f t="shared" si="46"/>
        <v>0</v>
      </c>
      <c r="I225" s="167">
        <f t="shared" si="43"/>
        <v>0</v>
      </c>
      <c r="J225" s="167">
        <f>IF(C225="","",IF(F225=0,0,IF(C225&lt;='Tabla Parámetros'!$J$23,I225,IF($E$2='Tabla Parámetros'!$J$19,((($H$2/1000*'Tabla Parámetros'!$K$19)/30.4*C225)*1.0212^16),IF($E$2='Tabla Parámetros'!$J$20,($H$2/1000*'Tabla Parámetros'!$K$20)/30.4*C225)*1.0201^16)))+N225+O225)</f>
        <v>0</v>
      </c>
      <c r="K225" s="167">
        <f t="shared" si="40"/>
        <v>0</v>
      </c>
      <c r="L225" s="167">
        <f t="shared" si="47"/>
        <v>0</v>
      </c>
      <c r="M225" s="167">
        <f>IF(B225="","",IF(F225=0,0,IF(Simulador!$F$11='Tabla Parámetros'!$W$1,'Tabla Parámetros'!$W$28,IF(Simulador!$F$11='Tabla Parámetros'!$Y$1,'Tabla Parámetros'!$Y$12))))</f>
        <v>0</v>
      </c>
      <c r="N225" s="167">
        <f>IF(F225=0,0,IF(F225="","",IF(Simulador!$N$7='Tabla Parámetros'!$C$31,AportPat!L205,0)))</f>
        <v>0</v>
      </c>
      <c r="O225" s="167">
        <f>Simulador!O593</f>
        <v>0</v>
      </c>
      <c r="P225" s="167">
        <f t="shared" si="44"/>
        <v>0</v>
      </c>
      <c r="Q225" s="167">
        <f t="shared" si="48"/>
        <v>0</v>
      </c>
      <c r="T225" s="6"/>
      <c r="U225" s="6"/>
      <c r="V225" s="6"/>
      <c r="W225" s="29">
        <f t="shared" si="39"/>
        <v>0</v>
      </c>
    </row>
    <row r="226" spans="2:23" x14ac:dyDescent="0.3">
      <c r="B226" s="181">
        <f t="shared" si="41"/>
        <v>203</v>
      </c>
      <c r="C226" s="180">
        <f t="shared" si="42"/>
        <v>30.4</v>
      </c>
      <c r="D226" s="193">
        <f>IF(B226="","",'Tabla Parámetros'!$G$5)</f>
        <v>0.11799999999999999</v>
      </c>
      <c r="E226" s="167"/>
      <c r="F226" s="167">
        <f t="shared" si="45"/>
        <v>0</v>
      </c>
      <c r="G226" s="166"/>
      <c r="H226" s="167">
        <f t="shared" si="46"/>
        <v>0</v>
      </c>
      <c r="I226" s="167">
        <f t="shared" si="43"/>
        <v>0</v>
      </c>
      <c r="J226" s="167">
        <f>IF(C226="","",IF(F226=0,0,IF(C226&lt;='Tabla Parámetros'!$J$23,I226,IF($E$2='Tabla Parámetros'!$J$19,((($H$2/1000*'Tabla Parámetros'!$K$19)/30.4*C226)*1.0212^16),IF($E$2='Tabla Parámetros'!$J$20,($H$2/1000*'Tabla Parámetros'!$K$20)/30.4*C226)*1.0201^16)))+N226+O226)</f>
        <v>0</v>
      </c>
      <c r="K226" s="167">
        <f t="shared" si="40"/>
        <v>0</v>
      </c>
      <c r="L226" s="167">
        <f t="shared" si="47"/>
        <v>0</v>
      </c>
      <c r="M226" s="167">
        <f>IF(B226="","",IF(F226=0,0,IF(Simulador!$F$11='Tabla Parámetros'!$W$1,'Tabla Parámetros'!$W$28,IF(Simulador!$F$11='Tabla Parámetros'!$Y$1,'Tabla Parámetros'!$Y$12))))</f>
        <v>0</v>
      </c>
      <c r="N226" s="167">
        <f>IF(F226=0,0,IF(F226="","",IF(Simulador!$N$7='Tabla Parámetros'!$C$31,AportPat!L206,0)))</f>
        <v>0</v>
      </c>
      <c r="O226" s="167">
        <f>Simulador!O594</f>
        <v>0</v>
      </c>
      <c r="P226" s="167">
        <f t="shared" si="44"/>
        <v>0</v>
      </c>
      <c r="Q226" s="167">
        <f t="shared" si="48"/>
        <v>0</v>
      </c>
      <c r="T226" s="6"/>
      <c r="U226" s="6"/>
      <c r="V226" s="6"/>
      <c r="W226" s="29">
        <f t="shared" si="39"/>
        <v>0</v>
      </c>
    </row>
    <row r="227" spans="2:23" x14ac:dyDescent="0.3">
      <c r="B227" s="181">
        <f t="shared" si="41"/>
        <v>204</v>
      </c>
      <c r="C227" s="180">
        <f t="shared" si="42"/>
        <v>30.4</v>
      </c>
      <c r="D227" s="193">
        <f>IF(B227="","",'Tabla Parámetros'!$G$5)</f>
        <v>0.11799999999999999</v>
      </c>
      <c r="E227" s="167"/>
      <c r="F227" s="167">
        <f t="shared" si="45"/>
        <v>0</v>
      </c>
      <c r="G227" s="166"/>
      <c r="H227" s="167">
        <f t="shared" si="46"/>
        <v>0</v>
      </c>
      <c r="I227" s="167">
        <f t="shared" si="43"/>
        <v>0</v>
      </c>
      <c r="J227" s="167">
        <f>IF(C227="","",IF(F227=0,0,IF(C227&lt;='Tabla Parámetros'!$J$23,I227,IF($E$2='Tabla Parámetros'!$J$19,((($H$2/1000*'Tabla Parámetros'!$K$19)/30.4*C227)*1.0212^16),IF($E$2='Tabla Parámetros'!$J$20,($H$2/1000*'Tabla Parámetros'!$K$20)/30.4*C227)*1.0201^16)))+N227+O227)</f>
        <v>0</v>
      </c>
      <c r="K227" s="167">
        <f t="shared" si="40"/>
        <v>0</v>
      </c>
      <c r="L227" s="167">
        <f t="shared" si="47"/>
        <v>0</v>
      </c>
      <c r="M227" s="167">
        <f>IF(B227="","",IF(F227=0,0,IF(Simulador!$F$11='Tabla Parámetros'!$W$1,'Tabla Parámetros'!$W$28,IF(Simulador!$F$11='Tabla Parámetros'!$Y$1,'Tabla Parámetros'!$Y$12))))</f>
        <v>0</v>
      </c>
      <c r="N227" s="167">
        <f>IF(F227=0,0,IF(F227="","",IF(Simulador!$N$7='Tabla Parámetros'!$C$31,AportPat!L207,0)))</f>
        <v>0</v>
      </c>
      <c r="O227" s="167">
        <f>Simulador!O595</f>
        <v>0</v>
      </c>
      <c r="P227" s="167">
        <f t="shared" si="44"/>
        <v>0</v>
      </c>
      <c r="Q227" s="167">
        <f t="shared" si="48"/>
        <v>0</v>
      </c>
      <c r="T227" s="6"/>
      <c r="U227" s="6"/>
      <c r="V227" s="6"/>
      <c r="W227" s="29">
        <f t="shared" si="39"/>
        <v>0</v>
      </c>
    </row>
    <row r="228" spans="2:23" x14ac:dyDescent="0.3">
      <c r="B228" s="181">
        <f t="shared" si="41"/>
        <v>205</v>
      </c>
      <c r="C228" s="180">
        <f t="shared" si="42"/>
        <v>30.4</v>
      </c>
      <c r="D228" s="193">
        <f>IF(B228="","",'Tabla Parámetros'!$G$5)</f>
        <v>0.11799999999999999</v>
      </c>
      <c r="E228" s="167"/>
      <c r="F228" s="167">
        <f t="shared" si="45"/>
        <v>0</v>
      </c>
      <c r="G228" s="166"/>
      <c r="H228" s="167">
        <f t="shared" si="46"/>
        <v>0</v>
      </c>
      <c r="I228" s="167">
        <f t="shared" si="43"/>
        <v>0</v>
      </c>
      <c r="J228" s="167">
        <f>IF(C228="","",IF(F228=0,0,IF(C228&lt;='Tabla Parámetros'!$J$23,I228,IF($E$2='Tabla Parámetros'!$J$19,((($H$2/1000*'Tabla Parámetros'!$K$19)/30.4*C228)*1.0212^16),IF($E$2='Tabla Parámetros'!$J$20,($H$2/1000*'Tabla Parámetros'!$K$20)/30.4*C228)*1.0201^16)))+N228+O228)</f>
        <v>0</v>
      </c>
      <c r="K228" s="167">
        <f t="shared" si="40"/>
        <v>0</v>
      </c>
      <c r="L228" s="167">
        <f t="shared" si="47"/>
        <v>0</v>
      </c>
      <c r="M228" s="167">
        <f>IF(B228="","",IF(F228=0,0,IF(Simulador!$F$11='Tabla Parámetros'!$W$1,'Tabla Parámetros'!$W$28,IF(Simulador!$F$11='Tabla Parámetros'!$Y$1,'Tabla Parámetros'!$Y$12))))</f>
        <v>0</v>
      </c>
      <c r="N228" s="167">
        <f>IF(F228=0,0,IF(F228="","",IF(Simulador!$N$7='Tabla Parámetros'!$C$31,AportPat!L208,0)))</f>
        <v>0</v>
      </c>
      <c r="O228" s="167">
        <f>Simulador!O596</f>
        <v>0</v>
      </c>
      <c r="P228" s="167">
        <f t="shared" si="44"/>
        <v>0</v>
      </c>
      <c r="Q228" s="167">
        <f t="shared" si="48"/>
        <v>0</v>
      </c>
      <c r="T228" s="6"/>
      <c r="U228" s="6"/>
      <c r="V228" s="6"/>
      <c r="W228" s="29">
        <f t="shared" si="39"/>
        <v>0</v>
      </c>
    </row>
    <row r="229" spans="2:23" x14ac:dyDescent="0.3">
      <c r="B229" s="181">
        <f t="shared" si="41"/>
        <v>206</v>
      </c>
      <c r="C229" s="180">
        <f t="shared" si="42"/>
        <v>30.4</v>
      </c>
      <c r="D229" s="193">
        <f>IF(B229="","",'Tabla Parámetros'!$G$5)</f>
        <v>0.11799999999999999</v>
      </c>
      <c r="E229" s="167"/>
      <c r="F229" s="167">
        <f t="shared" si="45"/>
        <v>0</v>
      </c>
      <c r="G229" s="166"/>
      <c r="H229" s="167">
        <f t="shared" si="46"/>
        <v>0</v>
      </c>
      <c r="I229" s="167">
        <f t="shared" si="43"/>
        <v>0</v>
      </c>
      <c r="J229" s="167">
        <f>IF(C229="","",IF(F229=0,0,IF(C229&lt;='Tabla Parámetros'!$J$23,I229,IF($E$2='Tabla Parámetros'!$J$19,((($H$2/1000*'Tabla Parámetros'!$K$19)/30.4*C229)*1.0212^17),IF($E$2='Tabla Parámetros'!$J$20,($H$2/1000*'Tabla Parámetros'!$K$20)/30.4*C229)*1.0201^17)))+N229+O229)</f>
        <v>0</v>
      </c>
      <c r="K229" s="167">
        <f t="shared" si="40"/>
        <v>0</v>
      </c>
      <c r="L229" s="167">
        <f t="shared" si="47"/>
        <v>0</v>
      </c>
      <c r="M229" s="167">
        <f>IF(B229="","",IF(F229=0,0,IF(Simulador!$F$11='Tabla Parámetros'!$W$1,'Tabla Parámetros'!$W$28,IF(Simulador!$F$11='Tabla Parámetros'!$Y$1,'Tabla Parámetros'!$Y$12))))</f>
        <v>0</v>
      </c>
      <c r="N229" s="167">
        <f>IF(F229=0,0,IF(F229="","",IF(Simulador!$N$7='Tabla Parámetros'!$C$31,AportPat!L209,0)))</f>
        <v>0</v>
      </c>
      <c r="O229" s="167">
        <f>Simulador!O597</f>
        <v>0</v>
      </c>
      <c r="P229" s="167">
        <f t="shared" si="44"/>
        <v>0</v>
      </c>
      <c r="Q229" s="167">
        <f t="shared" si="48"/>
        <v>0</v>
      </c>
      <c r="T229" s="6"/>
      <c r="U229" s="6"/>
      <c r="V229" s="6"/>
      <c r="W229" s="29">
        <f t="shared" si="39"/>
        <v>0</v>
      </c>
    </row>
    <row r="230" spans="2:23" x14ac:dyDescent="0.3">
      <c r="B230" s="181">
        <f t="shared" si="41"/>
        <v>207</v>
      </c>
      <c r="C230" s="180">
        <f t="shared" si="42"/>
        <v>30.4</v>
      </c>
      <c r="D230" s="193">
        <f>IF(B230="","",'Tabla Parámetros'!$G$5)</f>
        <v>0.11799999999999999</v>
      </c>
      <c r="E230" s="167"/>
      <c r="F230" s="167">
        <f t="shared" si="45"/>
        <v>0</v>
      </c>
      <c r="G230" s="166"/>
      <c r="H230" s="167">
        <f t="shared" si="46"/>
        <v>0</v>
      </c>
      <c r="I230" s="167">
        <f t="shared" si="43"/>
        <v>0</v>
      </c>
      <c r="J230" s="167">
        <f>IF(C230="","",IF(F230=0,0,IF(C230&lt;='Tabla Parámetros'!$J$23,I230,IF($E$2='Tabla Parámetros'!$J$19,((($H$2/1000*'Tabla Parámetros'!$K$19)/30.4*C230)*1.0212^17),IF($E$2='Tabla Parámetros'!$J$20,($H$2/1000*'Tabla Parámetros'!$K$20)/30.4*C230)*1.0201^17)))+N230+O230)</f>
        <v>0</v>
      </c>
      <c r="K230" s="167">
        <f t="shared" si="40"/>
        <v>0</v>
      </c>
      <c r="L230" s="167">
        <f t="shared" si="47"/>
        <v>0</v>
      </c>
      <c r="M230" s="167">
        <f>IF(B230="","",IF(F230=0,0,IF(Simulador!$F$11='Tabla Parámetros'!$W$1,'Tabla Parámetros'!$W$28,IF(Simulador!$F$11='Tabla Parámetros'!$Y$1,'Tabla Parámetros'!$Y$12))))</f>
        <v>0</v>
      </c>
      <c r="N230" s="167">
        <f>IF(F230=0,0,IF(F230="","",IF(Simulador!$N$7='Tabla Parámetros'!$C$31,AportPat!L210,0)))</f>
        <v>0</v>
      </c>
      <c r="O230" s="167">
        <f>Simulador!O598</f>
        <v>0</v>
      </c>
      <c r="P230" s="167">
        <f t="shared" si="44"/>
        <v>0</v>
      </c>
      <c r="Q230" s="167">
        <f t="shared" si="48"/>
        <v>0</v>
      </c>
      <c r="T230" s="6"/>
      <c r="U230" s="6"/>
      <c r="V230" s="6"/>
      <c r="W230" s="29">
        <f t="shared" si="39"/>
        <v>0</v>
      </c>
    </row>
    <row r="231" spans="2:23" x14ac:dyDescent="0.3">
      <c r="B231" s="181">
        <f t="shared" si="41"/>
        <v>208</v>
      </c>
      <c r="C231" s="180">
        <f t="shared" si="42"/>
        <v>30.4</v>
      </c>
      <c r="D231" s="193">
        <f>IF(B231="","",'Tabla Parámetros'!$G$5)</f>
        <v>0.11799999999999999</v>
      </c>
      <c r="E231" s="167"/>
      <c r="F231" s="167">
        <f t="shared" si="45"/>
        <v>0</v>
      </c>
      <c r="G231" s="166"/>
      <c r="H231" s="167">
        <f t="shared" si="46"/>
        <v>0</v>
      </c>
      <c r="I231" s="167">
        <f t="shared" si="43"/>
        <v>0</v>
      </c>
      <c r="J231" s="167">
        <f>IF(C231="","",IF(F231=0,0,IF(C231&lt;='Tabla Parámetros'!$J$23,I231,IF($E$2='Tabla Parámetros'!$J$19,((($H$2/1000*'Tabla Parámetros'!$K$19)/30.4*C231)*1.0212^17),IF($E$2='Tabla Parámetros'!$J$20,($H$2/1000*'Tabla Parámetros'!$K$20)/30.4*C231)*1.0201^17)))+N231+O231)</f>
        <v>0</v>
      </c>
      <c r="K231" s="167">
        <f t="shared" si="40"/>
        <v>0</v>
      </c>
      <c r="L231" s="167">
        <f t="shared" si="47"/>
        <v>0</v>
      </c>
      <c r="M231" s="167">
        <f>IF(B231="","",IF(F231=0,0,IF(Simulador!$F$11='Tabla Parámetros'!$W$1,'Tabla Parámetros'!$W$28,IF(Simulador!$F$11='Tabla Parámetros'!$Y$1,'Tabla Parámetros'!$Y$12))))</f>
        <v>0</v>
      </c>
      <c r="N231" s="167">
        <f>IF(F231=0,0,IF(F231="","",IF(Simulador!$N$7='Tabla Parámetros'!$C$31,AportPat!L211,0)))</f>
        <v>0</v>
      </c>
      <c r="O231" s="167">
        <f>Simulador!O599</f>
        <v>0</v>
      </c>
      <c r="P231" s="167">
        <f t="shared" si="44"/>
        <v>0</v>
      </c>
      <c r="Q231" s="167">
        <f t="shared" si="48"/>
        <v>0</v>
      </c>
      <c r="T231" s="6"/>
      <c r="U231" s="6"/>
      <c r="V231" s="6"/>
      <c r="W231" s="29">
        <f t="shared" si="39"/>
        <v>0</v>
      </c>
    </row>
    <row r="232" spans="2:23" x14ac:dyDescent="0.3">
      <c r="B232" s="181">
        <f t="shared" si="41"/>
        <v>209</v>
      </c>
      <c r="C232" s="180">
        <f t="shared" si="42"/>
        <v>30.4</v>
      </c>
      <c r="D232" s="193">
        <f>IF(B232="","",'Tabla Parámetros'!$G$5)</f>
        <v>0.11799999999999999</v>
      </c>
      <c r="E232" s="167"/>
      <c r="F232" s="167">
        <f t="shared" si="45"/>
        <v>0</v>
      </c>
      <c r="G232" s="166"/>
      <c r="H232" s="167">
        <f t="shared" si="46"/>
        <v>0</v>
      </c>
      <c r="I232" s="167">
        <f t="shared" si="43"/>
        <v>0</v>
      </c>
      <c r="J232" s="167">
        <f>IF(C232="","",IF(F232=0,0,IF(C232&lt;='Tabla Parámetros'!$J$23,I232,IF($E$2='Tabla Parámetros'!$J$19,((($H$2/1000*'Tabla Parámetros'!$K$19)/30.4*C232)*1.0212^17),IF($E$2='Tabla Parámetros'!$J$20,($H$2/1000*'Tabla Parámetros'!$K$20)/30.4*C232)*1.0201^17)))+N232+O232)</f>
        <v>0</v>
      </c>
      <c r="K232" s="167">
        <f t="shared" si="40"/>
        <v>0</v>
      </c>
      <c r="L232" s="167">
        <f t="shared" si="47"/>
        <v>0</v>
      </c>
      <c r="M232" s="167">
        <f>IF(B232="","",IF(F232=0,0,IF(Simulador!$F$11='Tabla Parámetros'!$W$1,'Tabla Parámetros'!$W$28,IF(Simulador!$F$11='Tabla Parámetros'!$Y$1,'Tabla Parámetros'!$Y$12))))</f>
        <v>0</v>
      </c>
      <c r="N232" s="167">
        <f>IF(F232=0,0,IF(F232="","",IF(Simulador!$N$7='Tabla Parámetros'!$C$31,AportPat!L212,0)))</f>
        <v>0</v>
      </c>
      <c r="O232" s="167">
        <f>Simulador!O600</f>
        <v>0</v>
      </c>
      <c r="P232" s="167">
        <f t="shared" si="44"/>
        <v>0</v>
      </c>
      <c r="Q232" s="167">
        <f t="shared" si="48"/>
        <v>0</v>
      </c>
      <c r="T232" s="6"/>
      <c r="U232" s="6"/>
      <c r="V232" s="6"/>
      <c r="W232" s="29">
        <f t="shared" si="39"/>
        <v>0</v>
      </c>
    </row>
    <row r="233" spans="2:23" x14ac:dyDescent="0.3">
      <c r="B233" s="181">
        <f t="shared" si="41"/>
        <v>210</v>
      </c>
      <c r="C233" s="180">
        <f t="shared" si="42"/>
        <v>30.4</v>
      </c>
      <c r="D233" s="193">
        <f>IF(B233="","",'Tabla Parámetros'!$G$5)</f>
        <v>0.11799999999999999</v>
      </c>
      <c r="E233" s="167"/>
      <c r="F233" s="167">
        <f t="shared" si="45"/>
        <v>0</v>
      </c>
      <c r="G233" s="166"/>
      <c r="H233" s="167">
        <f t="shared" si="46"/>
        <v>0</v>
      </c>
      <c r="I233" s="167">
        <f t="shared" si="43"/>
        <v>0</v>
      </c>
      <c r="J233" s="167">
        <f>IF(C233="","",IF(F233=0,0,IF(C233&lt;='Tabla Parámetros'!$J$23,I233,IF($E$2='Tabla Parámetros'!$J$19,((($H$2/1000*'Tabla Parámetros'!$K$19)/30.4*C233)*1.0212^17),IF($E$2='Tabla Parámetros'!$J$20,($H$2/1000*'Tabla Parámetros'!$K$20)/30.4*C233)*1.0201^17)))+N233+O233)</f>
        <v>0</v>
      </c>
      <c r="K233" s="167">
        <f t="shared" si="40"/>
        <v>0</v>
      </c>
      <c r="L233" s="167">
        <f t="shared" si="47"/>
        <v>0</v>
      </c>
      <c r="M233" s="167">
        <f>IF(B233="","",IF(F233=0,0,IF(Simulador!$F$11='Tabla Parámetros'!$W$1,'Tabla Parámetros'!$W$28,IF(Simulador!$F$11='Tabla Parámetros'!$Y$1,'Tabla Parámetros'!$Y$12))))</f>
        <v>0</v>
      </c>
      <c r="N233" s="167">
        <f>IF(F233=0,0,IF(F233="","",IF(Simulador!$N$7='Tabla Parámetros'!$C$31,AportPat!L213,0)))</f>
        <v>0</v>
      </c>
      <c r="O233" s="167">
        <f>Simulador!O601</f>
        <v>0</v>
      </c>
      <c r="P233" s="167">
        <f t="shared" si="44"/>
        <v>0</v>
      </c>
      <c r="Q233" s="167">
        <f t="shared" si="48"/>
        <v>0</v>
      </c>
      <c r="T233" s="6"/>
      <c r="U233" s="6"/>
      <c r="V233" s="6"/>
      <c r="W233" s="29">
        <f t="shared" si="39"/>
        <v>0</v>
      </c>
    </row>
    <row r="234" spans="2:23" x14ac:dyDescent="0.3">
      <c r="B234" s="181">
        <f t="shared" si="41"/>
        <v>211</v>
      </c>
      <c r="C234" s="180">
        <f t="shared" si="42"/>
        <v>30.4</v>
      </c>
      <c r="D234" s="193">
        <f>IF(B234="","",'Tabla Parámetros'!$G$5)</f>
        <v>0.11799999999999999</v>
      </c>
      <c r="E234" s="167"/>
      <c r="F234" s="167">
        <f t="shared" si="45"/>
        <v>0</v>
      </c>
      <c r="G234" s="166"/>
      <c r="H234" s="167">
        <f t="shared" si="46"/>
        <v>0</v>
      </c>
      <c r="I234" s="167">
        <f t="shared" si="43"/>
        <v>0</v>
      </c>
      <c r="J234" s="167">
        <f>IF(C234="","",IF(F234=0,0,IF(C234&lt;='Tabla Parámetros'!$J$23,I234,IF($E$2='Tabla Parámetros'!$J$19,((($H$2/1000*'Tabla Parámetros'!$K$19)/30.4*C234)*1.0212^17),IF($E$2='Tabla Parámetros'!$J$20,($H$2/1000*'Tabla Parámetros'!$K$20)/30.4*C234)*1.0201^17)))+N234+O234)</f>
        <v>0</v>
      </c>
      <c r="K234" s="167">
        <f t="shared" si="40"/>
        <v>0</v>
      </c>
      <c r="L234" s="167">
        <f t="shared" si="47"/>
        <v>0</v>
      </c>
      <c r="M234" s="167">
        <f>IF(B234="","",IF(F234=0,0,IF(Simulador!$F$11='Tabla Parámetros'!$W$1,'Tabla Parámetros'!$W$28,IF(Simulador!$F$11='Tabla Parámetros'!$Y$1,'Tabla Parámetros'!$Y$12))))</f>
        <v>0</v>
      </c>
      <c r="N234" s="167">
        <f>IF(F234=0,0,IF(F234="","",IF(Simulador!$N$7='Tabla Parámetros'!$C$31,AportPat!L214,0)))</f>
        <v>0</v>
      </c>
      <c r="O234" s="167">
        <f>Simulador!O602</f>
        <v>0</v>
      </c>
      <c r="P234" s="167">
        <f t="shared" si="44"/>
        <v>0</v>
      </c>
      <c r="Q234" s="167">
        <f t="shared" si="48"/>
        <v>0</v>
      </c>
      <c r="T234" s="6"/>
      <c r="U234" s="6"/>
      <c r="V234" s="6"/>
      <c r="W234" s="29">
        <f t="shared" si="39"/>
        <v>0</v>
      </c>
    </row>
    <row r="235" spans="2:23" x14ac:dyDescent="0.3">
      <c r="B235" s="181">
        <f t="shared" si="41"/>
        <v>212</v>
      </c>
      <c r="C235" s="180">
        <f t="shared" si="42"/>
        <v>30.4</v>
      </c>
      <c r="D235" s="193">
        <f>IF(B235="","",'Tabla Parámetros'!$G$5)</f>
        <v>0.11799999999999999</v>
      </c>
      <c r="E235" s="167"/>
      <c r="F235" s="167">
        <f t="shared" si="45"/>
        <v>0</v>
      </c>
      <c r="G235" s="166"/>
      <c r="H235" s="167">
        <f t="shared" si="46"/>
        <v>0</v>
      </c>
      <c r="I235" s="167">
        <f t="shared" si="43"/>
        <v>0</v>
      </c>
      <c r="J235" s="167">
        <f>IF(C235="","",IF(F235=0,0,IF(C235&lt;='Tabla Parámetros'!$J$23,I235,IF($E$2='Tabla Parámetros'!$J$19,((($H$2/1000*'Tabla Parámetros'!$K$19)/30.4*C235)*1.0212^17),IF($E$2='Tabla Parámetros'!$J$20,($H$2/1000*'Tabla Parámetros'!$K$20)/30.4*C235)*1.0201^17)))+N235+O235)</f>
        <v>0</v>
      </c>
      <c r="K235" s="167">
        <f t="shared" si="40"/>
        <v>0</v>
      </c>
      <c r="L235" s="167">
        <f t="shared" si="47"/>
        <v>0</v>
      </c>
      <c r="M235" s="167">
        <f>IF(B235="","",IF(F235=0,0,IF(Simulador!$F$11='Tabla Parámetros'!$W$1,'Tabla Parámetros'!$W$28,IF(Simulador!$F$11='Tabla Parámetros'!$Y$1,'Tabla Parámetros'!$Y$12))))</f>
        <v>0</v>
      </c>
      <c r="N235" s="167">
        <f>IF(F235=0,0,IF(F235="","",IF(Simulador!$N$7='Tabla Parámetros'!$C$31,AportPat!L215,0)))</f>
        <v>0</v>
      </c>
      <c r="O235" s="167">
        <f>Simulador!O603</f>
        <v>0</v>
      </c>
      <c r="P235" s="167">
        <f t="shared" si="44"/>
        <v>0</v>
      </c>
      <c r="Q235" s="167">
        <f t="shared" si="48"/>
        <v>0</v>
      </c>
      <c r="T235" s="6"/>
      <c r="U235" s="6"/>
      <c r="V235" s="6"/>
      <c r="W235" s="29">
        <f t="shared" si="39"/>
        <v>0</v>
      </c>
    </row>
    <row r="236" spans="2:23" x14ac:dyDescent="0.3">
      <c r="B236" s="181">
        <f t="shared" si="41"/>
        <v>213</v>
      </c>
      <c r="C236" s="180">
        <f t="shared" si="42"/>
        <v>30.4</v>
      </c>
      <c r="D236" s="193">
        <f>IF(B236="","",'Tabla Parámetros'!$G$5)</f>
        <v>0.11799999999999999</v>
      </c>
      <c r="E236" s="167"/>
      <c r="F236" s="167">
        <f t="shared" si="45"/>
        <v>0</v>
      </c>
      <c r="G236" s="166"/>
      <c r="H236" s="167">
        <f t="shared" si="46"/>
        <v>0</v>
      </c>
      <c r="I236" s="167">
        <f t="shared" si="43"/>
        <v>0</v>
      </c>
      <c r="J236" s="167">
        <f>IF(C236="","",IF(F236=0,0,IF(C236&lt;='Tabla Parámetros'!$J$23,I236,IF($E$2='Tabla Parámetros'!$J$19,((($H$2/1000*'Tabla Parámetros'!$K$19)/30.4*C236)*1.0212^17),IF($E$2='Tabla Parámetros'!$J$20,($H$2/1000*'Tabla Parámetros'!$K$20)/30.4*C236)*1.0201^17)))+N236+O236)</f>
        <v>0</v>
      </c>
      <c r="K236" s="167">
        <f t="shared" si="40"/>
        <v>0</v>
      </c>
      <c r="L236" s="167">
        <f t="shared" si="47"/>
        <v>0</v>
      </c>
      <c r="M236" s="167">
        <f>IF(B236="","",IF(F236=0,0,IF(Simulador!$F$11='Tabla Parámetros'!$W$1,'Tabla Parámetros'!$W$28,IF(Simulador!$F$11='Tabla Parámetros'!$Y$1,'Tabla Parámetros'!$Y$12))))</f>
        <v>0</v>
      </c>
      <c r="N236" s="167">
        <f>IF(F236=0,0,IF(F236="","",IF(Simulador!$N$7='Tabla Parámetros'!$C$31,AportPat!L216,0)))</f>
        <v>0</v>
      </c>
      <c r="O236" s="167">
        <f>Simulador!O604</f>
        <v>0</v>
      </c>
      <c r="P236" s="167">
        <f t="shared" si="44"/>
        <v>0</v>
      </c>
      <c r="Q236" s="167">
        <f t="shared" si="48"/>
        <v>0</v>
      </c>
      <c r="T236" s="6"/>
      <c r="U236" s="6"/>
      <c r="V236" s="6"/>
      <c r="W236" s="29">
        <f t="shared" si="39"/>
        <v>0</v>
      </c>
    </row>
    <row r="237" spans="2:23" x14ac:dyDescent="0.3">
      <c r="B237" s="181">
        <f t="shared" si="41"/>
        <v>214</v>
      </c>
      <c r="C237" s="180">
        <f t="shared" si="42"/>
        <v>30.4</v>
      </c>
      <c r="D237" s="193">
        <f>IF(B237="","",'Tabla Parámetros'!$G$5)</f>
        <v>0.11799999999999999</v>
      </c>
      <c r="E237" s="167"/>
      <c r="F237" s="167">
        <f t="shared" si="45"/>
        <v>0</v>
      </c>
      <c r="G237" s="166"/>
      <c r="H237" s="167">
        <f t="shared" si="46"/>
        <v>0</v>
      </c>
      <c r="I237" s="167">
        <f t="shared" si="43"/>
        <v>0</v>
      </c>
      <c r="J237" s="167">
        <f>IF(C237="","",IF(F237=0,0,IF(C237&lt;='Tabla Parámetros'!$J$23,I237,IF($E$2='Tabla Parámetros'!$J$19,((($H$2/1000*'Tabla Parámetros'!$K$19)/30.4*C237)*1.0212^17),IF($E$2='Tabla Parámetros'!$J$20,($H$2/1000*'Tabla Parámetros'!$K$20)/30.4*C237)*1.0201^17)))+N237+O237)</f>
        <v>0</v>
      </c>
      <c r="K237" s="167">
        <f t="shared" si="40"/>
        <v>0</v>
      </c>
      <c r="L237" s="167">
        <f t="shared" si="47"/>
        <v>0</v>
      </c>
      <c r="M237" s="167">
        <f>IF(B237="","",IF(F237=0,0,IF(Simulador!$F$11='Tabla Parámetros'!$W$1,'Tabla Parámetros'!$W$28,IF(Simulador!$F$11='Tabla Parámetros'!$Y$1,'Tabla Parámetros'!$Y$12))))</f>
        <v>0</v>
      </c>
      <c r="N237" s="167">
        <f>IF(F237=0,0,IF(F237="","",IF(Simulador!$N$7='Tabla Parámetros'!$C$31,AportPat!L217,0)))</f>
        <v>0</v>
      </c>
      <c r="O237" s="167">
        <f>Simulador!O605</f>
        <v>0</v>
      </c>
      <c r="P237" s="167">
        <f t="shared" si="44"/>
        <v>0</v>
      </c>
      <c r="Q237" s="167">
        <f t="shared" si="48"/>
        <v>0</v>
      </c>
      <c r="T237" s="6"/>
      <c r="U237" s="6"/>
      <c r="V237" s="6"/>
      <c r="W237" s="29">
        <f t="shared" si="39"/>
        <v>0</v>
      </c>
    </row>
    <row r="238" spans="2:23" x14ac:dyDescent="0.3">
      <c r="B238" s="181">
        <f t="shared" si="41"/>
        <v>215</v>
      </c>
      <c r="C238" s="180">
        <f t="shared" si="42"/>
        <v>30.4</v>
      </c>
      <c r="D238" s="193">
        <f>IF(B238="","",'Tabla Parámetros'!$G$5)</f>
        <v>0.11799999999999999</v>
      </c>
      <c r="E238" s="167"/>
      <c r="F238" s="167">
        <f t="shared" si="45"/>
        <v>0</v>
      </c>
      <c r="G238" s="166"/>
      <c r="H238" s="167">
        <f t="shared" si="46"/>
        <v>0</v>
      </c>
      <c r="I238" s="167">
        <f t="shared" si="43"/>
        <v>0</v>
      </c>
      <c r="J238" s="167">
        <f>IF(C238="","",IF(F238=0,0,IF(C238&lt;='Tabla Parámetros'!$J$23,I238,IF($E$2='Tabla Parámetros'!$J$19,((($H$2/1000*'Tabla Parámetros'!$K$19)/30.4*C238)*1.0212^17),IF($E$2='Tabla Parámetros'!$J$20,($H$2/1000*'Tabla Parámetros'!$K$20)/30.4*C238)*1.0201^17)))+N238+O238)</f>
        <v>0</v>
      </c>
      <c r="K238" s="167">
        <f t="shared" si="40"/>
        <v>0</v>
      </c>
      <c r="L238" s="167">
        <f t="shared" si="47"/>
        <v>0</v>
      </c>
      <c r="M238" s="167">
        <f>IF(B238="","",IF(F238=0,0,IF(Simulador!$F$11='Tabla Parámetros'!$W$1,'Tabla Parámetros'!$W$28,IF(Simulador!$F$11='Tabla Parámetros'!$Y$1,'Tabla Parámetros'!$Y$12))))</f>
        <v>0</v>
      </c>
      <c r="N238" s="167">
        <f>IF(F238=0,0,IF(F238="","",IF(Simulador!$N$7='Tabla Parámetros'!$C$31,AportPat!L218,0)))</f>
        <v>0</v>
      </c>
      <c r="O238" s="167">
        <f>Simulador!O606</f>
        <v>0</v>
      </c>
      <c r="P238" s="167">
        <f t="shared" si="44"/>
        <v>0</v>
      </c>
      <c r="Q238" s="167">
        <f t="shared" si="48"/>
        <v>0</v>
      </c>
      <c r="T238" s="6"/>
      <c r="U238" s="6"/>
      <c r="V238" s="6"/>
      <c r="W238" s="29">
        <f t="shared" si="39"/>
        <v>0</v>
      </c>
    </row>
    <row r="239" spans="2:23" x14ac:dyDescent="0.3">
      <c r="B239" s="181">
        <f t="shared" si="41"/>
        <v>216</v>
      </c>
      <c r="C239" s="180">
        <f t="shared" si="42"/>
        <v>30.4</v>
      </c>
      <c r="D239" s="193">
        <f>IF(B239="","",'Tabla Parámetros'!$G$5)</f>
        <v>0.11799999999999999</v>
      </c>
      <c r="E239" s="167"/>
      <c r="F239" s="167">
        <f t="shared" si="45"/>
        <v>0</v>
      </c>
      <c r="G239" s="166"/>
      <c r="H239" s="167">
        <f t="shared" si="46"/>
        <v>0</v>
      </c>
      <c r="I239" s="167">
        <f t="shared" si="43"/>
        <v>0</v>
      </c>
      <c r="J239" s="167">
        <f>IF(C239="","",IF(F239=0,0,IF(C239&lt;='Tabla Parámetros'!$J$23,I239,IF($E$2='Tabla Parámetros'!$J$19,((($H$2/1000*'Tabla Parámetros'!$K$19)/30.4*C239)*1.0212^17),IF($E$2='Tabla Parámetros'!$J$20,($H$2/1000*'Tabla Parámetros'!$K$20)/30.4*C239)*1.0201^17)))+N239+O239)</f>
        <v>0</v>
      </c>
      <c r="K239" s="167">
        <f t="shared" si="40"/>
        <v>0</v>
      </c>
      <c r="L239" s="167">
        <f t="shared" si="47"/>
        <v>0</v>
      </c>
      <c r="M239" s="167">
        <f>IF(B239="","",IF(F239=0,0,IF(Simulador!$F$11='Tabla Parámetros'!$W$1,'Tabla Parámetros'!$W$28,IF(Simulador!$F$11='Tabla Parámetros'!$Y$1,'Tabla Parámetros'!$Y$12))))</f>
        <v>0</v>
      </c>
      <c r="N239" s="167">
        <f>IF(F239=0,0,IF(F239="","",IF(Simulador!$N$7='Tabla Parámetros'!$C$31,AportPat!L219,0)))</f>
        <v>0</v>
      </c>
      <c r="O239" s="167">
        <f>Simulador!O607</f>
        <v>0</v>
      </c>
      <c r="P239" s="167">
        <f t="shared" si="44"/>
        <v>0</v>
      </c>
      <c r="Q239" s="167">
        <f t="shared" si="48"/>
        <v>0</v>
      </c>
      <c r="T239" s="6"/>
      <c r="U239" s="6"/>
      <c r="V239" s="6"/>
      <c r="W239" s="29">
        <f t="shared" si="39"/>
        <v>0</v>
      </c>
    </row>
    <row r="240" spans="2:23" x14ac:dyDescent="0.3">
      <c r="B240" s="181">
        <f t="shared" si="41"/>
        <v>217</v>
      </c>
      <c r="C240" s="180">
        <f t="shared" si="42"/>
        <v>30.4</v>
      </c>
      <c r="D240" s="193">
        <f>IF(B240="","",'Tabla Parámetros'!$G$5)</f>
        <v>0.11799999999999999</v>
      </c>
      <c r="E240" s="167"/>
      <c r="F240" s="167">
        <f t="shared" si="45"/>
        <v>0</v>
      </c>
      <c r="G240" s="166"/>
      <c r="H240" s="167">
        <f t="shared" si="46"/>
        <v>0</v>
      </c>
      <c r="I240" s="167">
        <f t="shared" si="43"/>
        <v>0</v>
      </c>
      <c r="J240" s="167">
        <f>IF(C240="","",IF(F240=0,0,IF(C240&lt;='Tabla Parámetros'!$J$23,I240,IF($E$2='Tabla Parámetros'!$J$19,((($H$2/1000*'Tabla Parámetros'!$K$19)/30.4*C240)*1.0212^17),IF($E$2='Tabla Parámetros'!$J$20,($H$2/1000*'Tabla Parámetros'!$K$20)/30.4*C240)*1.0201^17)))+N240+O240)</f>
        <v>0</v>
      </c>
      <c r="K240" s="167">
        <f t="shared" si="40"/>
        <v>0</v>
      </c>
      <c r="L240" s="167">
        <f t="shared" si="47"/>
        <v>0</v>
      </c>
      <c r="M240" s="167">
        <f>IF(B240="","",IF(F240=0,0,IF(Simulador!$F$11='Tabla Parámetros'!$W$1,'Tabla Parámetros'!$W$28,IF(Simulador!$F$11='Tabla Parámetros'!$Y$1,'Tabla Parámetros'!$Y$12))))</f>
        <v>0</v>
      </c>
      <c r="N240" s="167">
        <f>IF(F240=0,0,IF(F240="","",IF(Simulador!$N$7='Tabla Parámetros'!$C$31,AportPat!L220,0)))</f>
        <v>0</v>
      </c>
      <c r="O240" s="167">
        <f>Simulador!O608</f>
        <v>0</v>
      </c>
      <c r="P240" s="167">
        <f t="shared" si="44"/>
        <v>0</v>
      </c>
      <c r="Q240" s="167">
        <f t="shared" si="48"/>
        <v>0</v>
      </c>
      <c r="T240" s="6"/>
      <c r="U240" s="6"/>
      <c r="V240" s="6"/>
      <c r="W240" s="29">
        <f t="shared" si="39"/>
        <v>0</v>
      </c>
    </row>
    <row r="241" spans="2:23" x14ac:dyDescent="0.3">
      <c r="B241" s="181">
        <f t="shared" si="41"/>
        <v>218</v>
      </c>
      <c r="C241" s="180">
        <f t="shared" si="42"/>
        <v>30.4</v>
      </c>
      <c r="D241" s="193">
        <f>IF(B241="","",'Tabla Parámetros'!$G$5)</f>
        <v>0.11799999999999999</v>
      </c>
      <c r="E241" s="167"/>
      <c r="F241" s="167">
        <f t="shared" si="45"/>
        <v>0</v>
      </c>
      <c r="G241" s="166"/>
      <c r="H241" s="167">
        <f t="shared" si="46"/>
        <v>0</v>
      </c>
      <c r="I241" s="167">
        <f t="shared" si="43"/>
        <v>0</v>
      </c>
      <c r="J241" s="167">
        <f>IF(C241="","",IF(F241=0,0,IF(C241&lt;='Tabla Parámetros'!$J$23,I241,IF($E$2='Tabla Parámetros'!$J$19,((($H$2/1000*'Tabla Parámetros'!$K$19)/30.4*C241)*1.0212^18),IF($E$2='Tabla Parámetros'!$J$20,($H$2/1000*'Tabla Parámetros'!$K$20)/30.4*C241)*1.0201^18)))+N241+O241)</f>
        <v>0</v>
      </c>
      <c r="K241" s="167">
        <f t="shared" si="40"/>
        <v>0</v>
      </c>
      <c r="L241" s="167">
        <f t="shared" si="47"/>
        <v>0</v>
      </c>
      <c r="M241" s="167">
        <f>IF(B241="","",IF(F241=0,0,IF(Simulador!$F$11='Tabla Parámetros'!$W$1,'Tabla Parámetros'!$W$28,IF(Simulador!$F$11='Tabla Parámetros'!$Y$1,'Tabla Parámetros'!$Y$12))))</f>
        <v>0</v>
      </c>
      <c r="N241" s="167">
        <f>IF(F241=0,0,IF(F241="","",IF(Simulador!$N$7='Tabla Parámetros'!$C$31,AportPat!L221,0)))</f>
        <v>0</v>
      </c>
      <c r="O241" s="167">
        <f>Simulador!O609</f>
        <v>0</v>
      </c>
      <c r="P241" s="167">
        <f t="shared" si="44"/>
        <v>0</v>
      </c>
      <c r="Q241" s="167">
        <f t="shared" si="48"/>
        <v>0</v>
      </c>
      <c r="T241" s="6"/>
      <c r="U241" s="6"/>
      <c r="V241" s="6"/>
      <c r="W241" s="29">
        <f t="shared" si="39"/>
        <v>0</v>
      </c>
    </row>
    <row r="242" spans="2:23" x14ac:dyDescent="0.3">
      <c r="B242" s="181">
        <f t="shared" si="41"/>
        <v>219</v>
      </c>
      <c r="C242" s="180">
        <f t="shared" si="42"/>
        <v>30.4</v>
      </c>
      <c r="D242" s="193">
        <f>IF(B242="","",'Tabla Parámetros'!$G$5)</f>
        <v>0.11799999999999999</v>
      </c>
      <c r="E242" s="167"/>
      <c r="F242" s="167">
        <f t="shared" si="45"/>
        <v>0</v>
      </c>
      <c r="G242" s="166"/>
      <c r="H242" s="167">
        <f t="shared" si="46"/>
        <v>0</v>
      </c>
      <c r="I242" s="167">
        <f t="shared" si="43"/>
        <v>0</v>
      </c>
      <c r="J242" s="167">
        <f>IF(C242="","",IF(F242=0,0,IF(C242&lt;='Tabla Parámetros'!$J$23,I242,IF($E$2='Tabla Parámetros'!$J$19,((($H$2/1000*'Tabla Parámetros'!$K$19)/30.4*C242)*1.0212^18),IF($E$2='Tabla Parámetros'!$J$20,($H$2/1000*'Tabla Parámetros'!$K$20)/30.4*C242)*1.0201^18)))+N242+O242)</f>
        <v>0</v>
      </c>
      <c r="K242" s="167">
        <f t="shared" si="40"/>
        <v>0</v>
      </c>
      <c r="L242" s="167">
        <f t="shared" si="47"/>
        <v>0</v>
      </c>
      <c r="M242" s="167">
        <f>IF(B242="","",IF(F242=0,0,IF(Simulador!$F$11='Tabla Parámetros'!$W$1,'Tabla Parámetros'!$W$28,IF(Simulador!$F$11='Tabla Parámetros'!$Y$1,'Tabla Parámetros'!$Y$12))))</f>
        <v>0</v>
      </c>
      <c r="N242" s="167">
        <f>IF(F242=0,0,IF(F242="","",IF(Simulador!$N$7='Tabla Parámetros'!$C$31,AportPat!L222,0)))</f>
        <v>0</v>
      </c>
      <c r="O242" s="167">
        <f>Simulador!O610</f>
        <v>0</v>
      </c>
      <c r="P242" s="167">
        <f t="shared" si="44"/>
        <v>0</v>
      </c>
      <c r="Q242" s="167">
        <f t="shared" si="48"/>
        <v>0</v>
      </c>
      <c r="T242" s="6"/>
      <c r="U242" s="6"/>
      <c r="V242" s="6"/>
      <c r="W242" s="29">
        <f t="shared" si="39"/>
        <v>0</v>
      </c>
    </row>
    <row r="243" spans="2:23" x14ac:dyDescent="0.3">
      <c r="B243" s="181">
        <f t="shared" si="41"/>
        <v>220</v>
      </c>
      <c r="C243" s="180">
        <f t="shared" si="42"/>
        <v>30.4</v>
      </c>
      <c r="D243" s="193">
        <f>IF(B243="","",'Tabla Parámetros'!$G$5)</f>
        <v>0.11799999999999999</v>
      </c>
      <c r="E243" s="167"/>
      <c r="F243" s="167">
        <f t="shared" si="45"/>
        <v>0</v>
      </c>
      <c r="G243" s="166"/>
      <c r="H243" s="167">
        <f t="shared" si="46"/>
        <v>0</v>
      </c>
      <c r="I243" s="167">
        <f t="shared" si="43"/>
        <v>0</v>
      </c>
      <c r="J243" s="167">
        <f>IF(C243="","",IF(F243=0,0,IF(C243&lt;='Tabla Parámetros'!$J$23,I243,IF($E$2='Tabla Parámetros'!$J$19,((($H$2/1000*'Tabla Parámetros'!$K$19)/30.4*C243)*1.0212^18),IF($E$2='Tabla Parámetros'!$J$20,($H$2/1000*'Tabla Parámetros'!$K$20)/30.4*C243)*1.0201^18)))+N243+O243)</f>
        <v>0</v>
      </c>
      <c r="K243" s="167">
        <f t="shared" si="40"/>
        <v>0</v>
      </c>
      <c r="L243" s="167">
        <f t="shared" si="47"/>
        <v>0</v>
      </c>
      <c r="M243" s="167">
        <f>IF(B243="","",IF(F243=0,0,IF(Simulador!$F$11='Tabla Parámetros'!$W$1,'Tabla Parámetros'!$W$28,IF(Simulador!$F$11='Tabla Parámetros'!$Y$1,'Tabla Parámetros'!$Y$12))))</f>
        <v>0</v>
      </c>
      <c r="N243" s="167">
        <f>IF(F243=0,0,IF(F243="","",IF(Simulador!$N$7='Tabla Parámetros'!$C$31,AportPat!L223,0)))</f>
        <v>0</v>
      </c>
      <c r="O243" s="167">
        <f>Simulador!O611</f>
        <v>0</v>
      </c>
      <c r="P243" s="167">
        <f t="shared" si="44"/>
        <v>0</v>
      </c>
      <c r="Q243" s="167">
        <f t="shared" si="48"/>
        <v>0</v>
      </c>
      <c r="T243" s="6"/>
      <c r="U243" s="6"/>
      <c r="V243" s="6"/>
      <c r="W243" s="29">
        <f t="shared" si="39"/>
        <v>0</v>
      </c>
    </row>
    <row r="244" spans="2:23" x14ac:dyDescent="0.3">
      <c r="B244" s="181">
        <f t="shared" si="41"/>
        <v>221</v>
      </c>
      <c r="C244" s="180">
        <f t="shared" si="42"/>
        <v>30.4</v>
      </c>
      <c r="D244" s="193">
        <f>IF(B244="","",'Tabla Parámetros'!$G$5)</f>
        <v>0.11799999999999999</v>
      </c>
      <c r="E244" s="167"/>
      <c r="F244" s="167">
        <f t="shared" si="45"/>
        <v>0</v>
      </c>
      <c r="G244" s="166"/>
      <c r="H244" s="167">
        <f t="shared" si="46"/>
        <v>0</v>
      </c>
      <c r="I244" s="167">
        <f t="shared" si="43"/>
        <v>0</v>
      </c>
      <c r="J244" s="167">
        <f>IF(C244="","",IF(F244=0,0,IF(C244&lt;='Tabla Parámetros'!$J$23,I244,IF($E$2='Tabla Parámetros'!$J$19,((($H$2/1000*'Tabla Parámetros'!$K$19)/30.4*C244)*1.0212^18),IF($E$2='Tabla Parámetros'!$J$20,($H$2/1000*'Tabla Parámetros'!$K$20)/30.4*C244)*1.0201^18)))+N244+O244)</f>
        <v>0</v>
      </c>
      <c r="K244" s="167">
        <f t="shared" si="40"/>
        <v>0</v>
      </c>
      <c r="L244" s="167">
        <f t="shared" si="47"/>
        <v>0</v>
      </c>
      <c r="M244" s="167">
        <f>IF(B244="","",IF(F244=0,0,IF(Simulador!$F$11='Tabla Parámetros'!$W$1,'Tabla Parámetros'!$W$28,IF(Simulador!$F$11='Tabla Parámetros'!$Y$1,'Tabla Parámetros'!$Y$12))))</f>
        <v>0</v>
      </c>
      <c r="N244" s="167">
        <f>IF(F244=0,0,IF(F244="","",IF(Simulador!$N$7='Tabla Parámetros'!$C$31,AportPat!L224,0)))</f>
        <v>0</v>
      </c>
      <c r="O244" s="167">
        <f>Simulador!O612</f>
        <v>0</v>
      </c>
      <c r="P244" s="167">
        <f t="shared" si="44"/>
        <v>0</v>
      </c>
      <c r="Q244" s="167">
        <f t="shared" si="48"/>
        <v>0</v>
      </c>
      <c r="T244" s="6"/>
      <c r="U244" s="6"/>
      <c r="V244" s="6"/>
      <c r="W244" s="29">
        <f t="shared" si="39"/>
        <v>0</v>
      </c>
    </row>
    <row r="245" spans="2:23" x14ac:dyDescent="0.3">
      <c r="B245" s="181">
        <f t="shared" si="41"/>
        <v>222</v>
      </c>
      <c r="C245" s="180">
        <f t="shared" si="42"/>
        <v>30.4</v>
      </c>
      <c r="D245" s="193">
        <f>IF(B245="","",'Tabla Parámetros'!$G$5)</f>
        <v>0.11799999999999999</v>
      </c>
      <c r="E245" s="167"/>
      <c r="F245" s="167">
        <f t="shared" si="45"/>
        <v>0</v>
      </c>
      <c r="G245" s="166"/>
      <c r="H245" s="167">
        <f t="shared" si="46"/>
        <v>0</v>
      </c>
      <c r="I245" s="167">
        <f t="shared" si="43"/>
        <v>0</v>
      </c>
      <c r="J245" s="167">
        <f>IF(C245="","",IF(F245=0,0,IF(C245&lt;='Tabla Parámetros'!$J$23,I245,IF($E$2='Tabla Parámetros'!$J$19,((($H$2/1000*'Tabla Parámetros'!$K$19)/30.4*C245)*1.0212^18),IF($E$2='Tabla Parámetros'!$J$20,($H$2/1000*'Tabla Parámetros'!$K$20)/30.4*C245)*1.0201^18)))+N245+O245)</f>
        <v>0</v>
      </c>
      <c r="K245" s="167">
        <f t="shared" si="40"/>
        <v>0</v>
      </c>
      <c r="L245" s="167">
        <f t="shared" si="47"/>
        <v>0</v>
      </c>
      <c r="M245" s="167">
        <f>IF(B245="","",IF(F245=0,0,IF(Simulador!$F$11='Tabla Parámetros'!$W$1,'Tabla Parámetros'!$W$28,IF(Simulador!$F$11='Tabla Parámetros'!$Y$1,'Tabla Parámetros'!$Y$12))))</f>
        <v>0</v>
      </c>
      <c r="N245" s="167">
        <f>IF(F245=0,0,IF(F245="","",IF(Simulador!$N$7='Tabla Parámetros'!$C$31,AportPat!L225,0)))</f>
        <v>0</v>
      </c>
      <c r="O245" s="167">
        <f>Simulador!O613</f>
        <v>0</v>
      </c>
      <c r="P245" s="167">
        <f t="shared" si="44"/>
        <v>0</v>
      </c>
      <c r="Q245" s="167">
        <f t="shared" si="48"/>
        <v>0</v>
      </c>
      <c r="T245" s="6"/>
      <c r="U245" s="6"/>
      <c r="V245" s="6"/>
      <c r="W245" s="29">
        <f t="shared" si="39"/>
        <v>0</v>
      </c>
    </row>
    <row r="246" spans="2:23" x14ac:dyDescent="0.3">
      <c r="B246" s="181">
        <f t="shared" si="41"/>
        <v>223</v>
      </c>
      <c r="C246" s="180">
        <f t="shared" si="42"/>
        <v>30.4</v>
      </c>
      <c r="D246" s="193">
        <f>IF(B246="","",'Tabla Parámetros'!$G$5)</f>
        <v>0.11799999999999999</v>
      </c>
      <c r="E246" s="167"/>
      <c r="F246" s="167">
        <f t="shared" si="45"/>
        <v>0</v>
      </c>
      <c r="G246" s="166"/>
      <c r="H246" s="167">
        <f t="shared" si="46"/>
        <v>0</v>
      </c>
      <c r="I246" s="167">
        <f t="shared" si="43"/>
        <v>0</v>
      </c>
      <c r="J246" s="167">
        <f>IF(C246="","",IF(F246=0,0,IF(C246&lt;='Tabla Parámetros'!$J$23,I246,IF($E$2='Tabla Parámetros'!$J$19,((($H$2/1000*'Tabla Parámetros'!$K$19)/30.4*C246)*1.0212^18),IF($E$2='Tabla Parámetros'!$J$20,($H$2/1000*'Tabla Parámetros'!$K$20)/30.4*C246)*1.0201^18)))+N246+O246)</f>
        <v>0</v>
      </c>
      <c r="K246" s="167">
        <f t="shared" si="40"/>
        <v>0</v>
      </c>
      <c r="L246" s="167">
        <f t="shared" si="47"/>
        <v>0</v>
      </c>
      <c r="M246" s="167">
        <f>IF(B246="","",IF(F246=0,0,IF(Simulador!$F$11='Tabla Parámetros'!$W$1,'Tabla Parámetros'!$W$28,IF(Simulador!$F$11='Tabla Parámetros'!$Y$1,'Tabla Parámetros'!$Y$12))))</f>
        <v>0</v>
      </c>
      <c r="N246" s="167">
        <f>IF(F246=0,0,IF(F246="","",IF(Simulador!$N$7='Tabla Parámetros'!$C$31,AportPat!L226,0)))</f>
        <v>0</v>
      </c>
      <c r="O246" s="167">
        <f>Simulador!O614</f>
        <v>0</v>
      </c>
      <c r="P246" s="167">
        <f t="shared" si="44"/>
        <v>0</v>
      </c>
      <c r="Q246" s="167">
        <f t="shared" si="48"/>
        <v>0</v>
      </c>
      <c r="T246" s="6"/>
      <c r="U246" s="6"/>
      <c r="V246" s="6"/>
      <c r="W246" s="29">
        <f t="shared" si="39"/>
        <v>0</v>
      </c>
    </row>
    <row r="247" spans="2:23" x14ac:dyDescent="0.3">
      <c r="B247" s="181">
        <f t="shared" si="41"/>
        <v>224</v>
      </c>
      <c r="C247" s="180">
        <f t="shared" si="42"/>
        <v>30.4</v>
      </c>
      <c r="D247" s="193">
        <f>IF(B247="","",'Tabla Parámetros'!$G$5)</f>
        <v>0.11799999999999999</v>
      </c>
      <c r="E247" s="167"/>
      <c r="F247" s="167">
        <f t="shared" si="45"/>
        <v>0</v>
      </c>
      <c r="G247" s="166"/>
      <c r="H247" s="167">
        <f t="shared" si="46"/>
        <v>0</v>
      </c>
      <c r="I247" s="167">
        <f t="shared" si="43"/>
        <v>0</v>
      </c>
      <c r="J247" s="167">
        <f>IF(C247="","",IF(F247=0,0,IF(C247&lt;='Tabla Parámetros'!$J$23,I247,IF($E$2='Tabla Parámetros'!$J$19,((($H$2/1000*'Tabla Parámetros'!$K$19)/30.4*C247)*1.0212^18),IF($E$2='Tabla Parámetros'!$J$20,($H$2/1000*'Tabla Parámetros'!$K$20)/30.4*C247)*1.0201^18)))+N247+O247)</f>
        <v>0</v>
      </c>
      <c r="K247" s="167">
        <f t="shared" si="40"/>
        <v>0</v>
      </c>
      <c r="L247" s="167">
        <f t="shared" si="47"/>
        <v>0</v>
      </c>
      <c r="M247" s="167">
        <f>IF(B247="","",IF(F247=0,0,IF(Simulador!$F$11='Tabla Parámetros'!$W$1,'Tabla Parámetros'!$W$28,IF(Simulador!$F$11='Tabla Parámetros'!$Y$1,'Tabla Parámetros'!$Y$12))))</f>
        <v>0</v>
      </c>
      <c r="N247" s="167">
        <f>IF(F247=0,0,IF(F247="","",IF(Simulador!$N$7='Tabla Parámetros'!$C$31,AportPat!L227,0)))</f>
        <v>0</v>
      </c>
      <c r="O247" s="167">
        <f>Simulador!O615</f>
        <v>0</v>
      </c>
      <c r="P247" s="167">
        <f t="shared" si="44"/>
        <v>0</v>
      </c>
      <c r="Q247" s="167">
        <f t="shared" si="48"/>
        <v>0</v>
      </c>
      <c r="T247" s="6"/>
      <c r="U247" s="6"/>
      <c r="V247" s="6"/>
      <c r="W247" s="29">
        <f t="shared" si="39"/>
        <v>0</v>
      </c>
    </row>
    <row r="248" spans="2:23" x14ac:dyDescent="0.3">
      <c r="B248" s="181">
        <f t="shared" si="41"/>
        <v>225</v>
      </c>
      <c r="C248" s="180">
        <f t="shared" si="42"/>
        <v>30.4</v>
      </c>
      <c r="D248" s="193">
        <f>IF(B248="","",'Tabla Parámetros'!$G$5)</f>
        <v>0.11799999999999999</v>
      </c>
      <c r="E248" s="167"/>
      <c r="F248" s="167">
        <f t="shared" si="45"/>
        <v>0</v>
      </c>
      <c r="G248" s="166"/>
      <c r="H248" s="167">
        <f t="shared" si="46"/>
        <v>0</v>
      </c>
      <c r="I248" s="167">
        <f t="shared" si="43"/>
        <v>0</v>
      </c>
      <c r="J248" s="167">
        <f>IF(C248="","",IF(F248=0,0,IF(C248&lt;='Tabla Parámetros'!$J$23,I248,IF($E$2='Tabla Parámetros'!$J$19,((($H$2/1000*'Tabla Parámetros'!$K$19)/30.4*C248)*1.0212^18),IF($E$2='Tabla Parámetros'!$J$20,($H$2/1000*'Tabla Parámetros'!$K$20)/30.4*C248)*1.0201^18)))+N248+O248)</f>
        <v>0</v>
      </c>
      <c r="K248" s="167">
        <f t="shared" si="40"/>
        <v>0</v>
      </c>
      <c r="L248" s="167">
        <f t="shared" si="47"/>
        <v>0</v>
      </c>
      <c r="M248" s="167">
        <f>IF(B248="","",IF(F248=0,0,IF(Simulador!$F$11='Tabla Parámetros'!$W$1,'Tabla Parámetros'!$W$28,IF(Simulador!$F$11='Tabla Parámetros'!$Y$1,'Tabla Parámetros'!$Y$12))))</f>
        <v>0</v>
      </c>
      <c r="N248" s="167">
        <f>IF(F248=0,0,IF(F248="","",IF(Simulador!$N$7='Tabla Parámetros'!$C$31,AportPat!L228,0)))</f>
        <v>0</v>
      </c>
      <c r="O248" s="167">
        <f>Simulador!O616</f>
        <v>0</v>
      </c>
      <c r="P248" s="167">
        <f t="shared" si="44"/>
        <v>0</v>
      </c>
      <c r="Q248" s="167">
        <f t="shared" si="48"/>
        <v>0</v>
      </c>
      <c r="T248" s="6"/>
      <c r="U248" s="6"/>
      <c r="V248" s="6"/>
      <c r="W248" s="29">
        <f t="shared" si="39"/>
        <v>0</v>
      </c>
    </row>
    <row r="249" spans="2:23" x14ac:dyDescent="0.3">
      <c r="B249" s="181">
        <f t="shared" si="41"/>
        <v>226</v>
      </c>
      <c r="C249" s="180">
        <f t="shared" si="42"/>
        <v>30.4</v>
      </c>
      <c r="D249" s="193">
        <f>IF(B249="","",'Tabla Parámetros'!$G$5)</f>
        <v>0.11799999999999999</v>
      </c>
      <c r="E249" s="167"/>
      <c r="F249" s="167">
        <f t="shared" si="45"/>
        <v>0</v>
      </c>
      <c r="G249" s="166"/>
      <c r="H249" s="167">
        <f t="shared" si="46"/>
        <v>0</v>
      </c>
      <c r="I249" s="167">
        <f t="shared" si="43"/>
        <v>0</v>
      </c>
      <c r="J249" s="167">
        <f>IF(C249="","",IF(F249=0,0,IF(C249&lt;='Tabla Parámetros'!$J$23,I249,IF($E$2='Tabla Parámetros'!$J$19,((($H$2/1000*'Tabla Parámetros'!$K$19)/30.4*C249)*1.0212^18),IF($E$2='Tabla Parámetros'!$J$20,($H$2/1000*'Tabla Parámetros'!$K$20)/30.4*C249)*1.0201^18)))+N249+O249)</f>
        <v>0</v>
      </c>
      <c r="K249" s="167">
        <f t="shared" si="40"/>
        <v>0</v>
      </c>
      <c r="L249" s="167">
        <f t="shared" si="47"/>
        <v>0</v>
      </c>
      <c r="M249" s="167">
        <f>IF(B249="","",IF(F249=0,0,IF(Simulador!$F$11='Tabla Parámetros'!$W$1,'Tabla Parámetros'!$W$28,IF(Simulador!$F$11='Tabla Parámetros'!$Y$1,'Tabla Parámetros'!$Y$12))))</f>
        <v>0</v>
      </c>
      <c r="N249" s="167">
        <f>IF(F249=0,0,IF(F249="","",IF(Simulador!$N$7='Tabla Parámetros'!$C$31,AportPat!L229,0)))</f>
        <v>0</v>
      </c>
      <c r="O249" s="167">
        <f>Simulador!O617</f>
        <v>0</v>
      </c>
      <c r="P249" s="167">
        <f t="shared" si="44"/>
        <v>0</v>
      </c>
      <c r="Q249" s="167">
        <f t="shared" si="48"/>
        <v>0</v>
      </c>
      <c r="W249" s="29">
        <f t="shared" si="39"/>
        <v>0</v>
      </c>
    </row>
    <row r="250" spans="2:23" x14ac:dyDescent="0.3">
      <c r="B250" s="181">
        <f t="shared" si="41"/>
        <v>227</v>
      </c>
      <c r="C250" s="180">
        <f t="shared" si="42"/>
        <v>30.4</v>
      </c>
      <c r="D250" s="193">
        <f>IF(B250="","",'Tabla Parámetros'!$G$5)</f>
        <v>0.11799999999999999</v>
      </c>
      <c r="E250" s="167"/>
      <c r="F250" s="167">
        <f t="shared" si="45"/>
        <v>0</v>
      </c>
      <c r="G250" s="166"/>
      <c r="H250" s="167">
        <f t="shared" si="46"/>
        <v>0</v>
      </c>
      <c r="I250" s="167">
        <f t="shared" si="43"/>
        <v>0</v>
      </c>
      <c r="J250" s="167">
        <f>IF(C250="","",IF(F250=0,0,IF(C250&lt;='Tabla Parámetros'!$J$23,I250,IF($E$2='Tabla Parámetros'!$J$19,((($H$2/1000*'Tabla Parámetros'!$K$19)/30.4*C250)*1.0212^18),IF($E$2='Tabla Parámetros'!$J$20,($H$2/1000*'Tabla Parámetros'!$K$20)/30.4*C250)*1.0201^18)))+N250+O250)</f>
        <v>0</v>
      </c>
      <c r="K250" s="167">
        <f t="shared" si="40"/>
        <v>0</v>
      </c>
      <c r="L250" s="167">
        <f t="shared" si="47"/>
        <v>0</v>
      </c>
      <c r="M250" s="167">
        <f>IF(B250="","",IF(F250=0,0,IF(Simulador!$F$11='Tabla Parámetros'!$W$1,'Tabla Parámetros'!$W$28,IF(Simulador!$F$11='Tabla Parámetros'!$Y$1,'Tabla Parámetros'!$Y$12))))</f>
        <v>0</v>
      </c>
      <c r="N250" s="167">
        <f>IF(F250=0,0,IF(F250="","",IF(Simulador!$N$7='Tabla Parámetros'!$C$31,AportPat!L230,0)))</f>
        <v>0</v>
      </c>
      <c r="O250" s="167">
        <f>Simulador!O618</f>
        <v>0</v>
      </c>
      <c r="P250" s="167">
        <f t="shared" si="44"/>
        <v>0</v>
      </c>
      <c r="Q250" s="167">
        <f t="shared" si="48"/>
        <v>0</v>
      </c>
      <c r="W250" s="29">
        <f t="shared" si="39"/>
        <v>0</v>
      </c>
    </row>
    <row r="251" spans="2:23" x14ac:dyDescent="0.3">
      <c r="B251" s="181">
        <f t="shared" si="41"/>
        <v>228</v>
      </c>
      <c r="C251" s="180">
        <f t="shared" si="42"/>
        <v>30.4</v>
      </c>
      <c r="D251" s="193">
        <f>IF(B251="","",'Tabla Parámetros'!$G$5)</f>
        <v>0.11799999999999999</v>
      </c>
      <c r="E251" s="167"/>
      <c r="F251" s="167">
        <f t="shared" si="45"/>
        <v>0</v>
      </c>
      <c r="G251" s="166"/>
      <c r="H251" s="167">
        <f t="shared" si="46"/>
        <v>0</v>
      </c>
      <c r="I251" s="167">
        <f t="shared" si="43"/>
        <v>0</v>
      </c>
      <c r="J251" s="167">
        <f>IF(C251="","",IF(F251=0,0,IF(C251&lt;='Tabla Parámetros'!$J$23,I251,IF($E$2='Tabla Parámetros'!$J$19,((($H$2/1000*'Tabla Parámetros'!$K$19)/30.4*C251)*1.0212^18),IF($E$2='Tabla Parámetros'!$J$20,($H$2/1000*'Tabla Parámetros'!$K$20)/30.4*C251)*1.0201^18)))+N251+O251)</f>
        <v>0</v>
      </c>
      <c r="K251" s="167">
        <f t="shared" si="40"/>
        <v>0</v>
      </c>
      <c r="L251" s="167">
        <f t="shared" si="47"/>
        <v>0</v>
      </c>
      <c r="M251" s="167">
        <f>IF(B251="","",IF(F251=0,0,IF(Simulador!$F$11='Tabla Parámetros'!$W$1,'Tabla Parámetros'!$W$28,IF(Simulador!$F$11='Tabla Parámetros'!$Y$1,'Tabla Parámetros'!$Y$12))))</f>
        <v>0</v>
      </c>
      <c r="N251" s="167">
        <f>IF(F251=0,0,IF(F251="","",IF(Simulador!$N$7='Tabla Parámetros'!$C$31,AportPat!L231,0)))</f>
        <v>0</v>
      </c>
      <c r="O251" s="167">
        <f>Simulador!O619</f>
        <v>0</v>
      </c>
      <c r="P251" s="167">
        <f t="shared" si="44"/>
        <v>0</v>
      </c>
      <c r="Q251" s="167">
        <f t="shared" si="48"/>
        <v>0</v>
      </c>
      <c r="W251" s="29">
        <f t="shared" si="39"/>
        <v>0</v>
      </c>
    </row>
    <row r="252" spans="2:23" x14ac:dyDescent="0.3">
      <c r="B252" s="181">
        <f t="shared" si="41"/>
        <v>229</v>
      </c>
      <c r="C252" s="180">
        <f t="shared" si="42"/>
        <v>30.4</v>
      </c>
      <c r="D252" s="193">
        <f>IF(B252="","",'Tabla Parámetros'!$G$5)</f>
        <v>0.11799999999999999</v>
      </c>
      <c r="E252" s="167"/>
      <c r="F252" s="167">
        <f t="shared" si="45"/>
        <v>0</v>
      </c>
      <c r="G252" s="166"/>
      <c r="H252" s="167">
        <f t="shared" si="46"/>
        <v>0</v>
      </c>
      <c r="I252" s="167">
        <f t="shared" si="43"/>
        <v>0</v>
      </c>
      <c r="J252" s="167">
        <f>IF(C252="","",IF(F252=0,0,IF(C252&lt;='Tabla Parámetros'!$J$23,I252,IF($E$2='Tabla Parámetros'!$J$19,((($H$2/1000*'Tabla Parámetros'!$K$19)/30.4*C252)*1.0212^18),IF($E$2='Tabla Parámetros'!$J$20,($H$2/1000*'Tabla Parámetros'!$K$20)/30.4*C252)*1.0201^18)))+N252+O252)</f>
        <v>0</v>
      </c>
      <c r="K252" s="167">
        <f t="shared" si="40"/>
        <v>0</v>
      </c>
      <c r="L252" s="167">
        <f t="shared" si="47"/>
        <v>0</v>
      </c>
      <c r="M252" s="167">
        <f>IF(B252="","",IF(F252=0,0,IF(Simulador!$F$11='Tabla Parámetros'!$W$1,'Tabla Parámetros'!$W$28,IF(Simulador!$F$11='Tabla Parámetros'!$Y$1,'Tabla Parámetros'!$Y$12))))</f>
        <v>0</v>
      </c>
      <c r="N252" s="167">
        <f>IF(F252=0,0,IF(F252="","",IF(Simulador!$N$7='Tabla Parámetros'!$C$31,AportPat!L232,0)))</f>
        <v>0</v>
      </c>
      <c r="O252" s="167">
        <f>Simulador!O620</f>
        <v>0</v>
      </c>
      <c r="P252" s="167">
        <f t="shared" si="44"/>
        <v>0</v>
      </c>
      <c r="Q252" s="167">
        <f t="shared" si="48"/>
        <v>0</v>
      </c>
      <c r="W252" s="29">
        <f t="shared" si="39"/>
        <v>0</v>
      </c>
    </row>
    <row r="253" spans="2:23" x14ac:dyDescent="0.3">
      <c r="B253" s="181">
        <f t="shared" si="41"/>
        <v>230</v>
      </c>
      <c r="C253" s="180">
        <f t="shared" si="42"/>
        <v>30.4</v>
      </c>
      <c r="D253" s="193">
        <f>IF(B253="","",'Tabla Parámetros'!$G$5)</f>
        <v>0.11799999999999999</v>
      </c>
      <c r="E253" s="167"/>
      <c r="F253" s="167">
        <f t="shared" si="45"/>
        <v>0</v>
      </c>
      <c r="G253" s="166"/>
      <c r="H253" s="167">
        <f t="shared" si="46"/>
        <v>0</v>
      </c>
      <c r="I253" s="167">
        <f t="shared" si="43"/>
        <v>0</v>
      </c>
      <c r="J253" s="167">
        <f>IF(C253="","",IF(F253=0,0,IF(C253&lt;='Tabla Parámetros'!$J$23,I253,IF($E$2='Tabla Parámetros'!$J$19,((($H$2/1000*'Tabla Parámetros'!$K$19)/30.4*C253)*1.0212^19),IF($E$2='Tabla Parámetros'!$J$20,($H$2/1000*'Tabla Parámetros'!$K$20)/30.4*C253)*1.0201^19)))+N253+O253)</f>
        <v>0</v>
      </c>
      <c r="K253" s="167">
        <f t="shared" si="40"/>
        <v>0</v>
      </c>
      <c r="L253" s="167">
        <f t="shared" si="47"/>
        <v>0</v>
      </c>
      <c r="M253" s="167">
        <f>IF(B253="","",IF(F253=0,0,IF(Simulador!$F$11='Tabla Parámetros'!$W$1,'Tabla Parámetros'!$W$28,IF(Simulador!$F$11='Tabla Parámetros'!$Y$1,'Tabla Parámetros'!$Y$12))))</f>
        <v>0</v>
      </c>
      <c r="N253" s="167">
        <f>IF(F253=0,0,IF(F253="","",IF(Simulador!$N$7='Tabla Parámetros'!$C$31,AportPat!L233,0)))</f>
        <v>0</v>
      </c>
      <c r="O253" s="167">
        <f>Simulador!O621</f>
        <v>0</v>
      </c>
      <c r="P253" s="167">
        <f t="shared" si="44"/>
        <v>0</v>
      </c>
      <c r="Q253" s="167">
        <f t="shared" si="48"/>
        <v>0</v>
      </c>
      <c r="W253" s="29">
        <f t="shared" si="39"/>
        <v>0</v>
      </c>
    </row>
    <row r="254" spans="2:23" x14ac:dyDescent="0.3">
      <c r="B254" s="181">
        <f t="shared" si="41"/>
        <v>231</v>
      </c>
      <c r="C254" s="180">
        <f t="shared" si="42"/>
        <v>30.4</v>
      </c>
      <c r="D254" s="193">
        <f>IF(B254="","",'Tabla Parámetros'!$G$5)</f>
        <v>0.11799999999999999</v>
      </c>
      <c r="E254" s="167"/>
      <c r="F254" s="167">
        <f t="shared" si="45"/>
        <v>0</v>
      </c>
      <c r="G254" s="166"/>
      <c r="H254" s="167">
        <f t="shared" si="46"/>
        <v>0</v>
      </c>
      <c r="I254" s="167">
        <f t="shared" si="43"/>
        <v>0</v>
      </c>
      <c r="J254" s="167">
        <f>IF(C254="","",IF(F254=0,0,IF(C254&lt;='Tabla Parámetros'!$J$23,I254,IF($E$2='Tabla Parámetros'!$J$19,((($H$2/1000*'Tabla Parámetros'!$K$19)/30.4*C254)*1.0212^19),IF($E$2='Tabla Parámetros'!$J$20,($H$2/1000*'Tabla Parámetros'!$K$20)/30.4*C254)*1.0201^19)))+N254+O254)</f>
        <v>0</v>
      </c>
      <c r="K254" s="167">
        <f t="shared" si="40"/>
        <v>0</v>
      </c>
      <c r="L254" s="167">
        <f t="shared" si="47"/>
        <v>0</v>
      </c>
      <c r="M254" s="167">
        <f>IF(B254="","",IF(F254=0,0,IF(Simulador!$F$11='Tabla Parámetros'!$W$1,'Tabla Parámetros'!$W$28,IF(Simulador!$F$11='Tabla Parámetros'!$Y$1,'Tabla Parámetros'!$Y$12))))</f>
        <v>0</v>
      </c>
      <c r="N254" s="167">
        <f>IF(F254=0,0,IF(F254="","",IF(Simulador!$N$7='Tabla Parámetros'!$C$31,AportPat!L234,0)))</f>
        <v>0</v>
      </c>
      <c r="O254" s="167">
        <f>Simulador!O622</f>
        <v>0</v>
      </c>
      <c r="P254" s="167">
        <f t="shared" si="44"/>
        <v>0</v>
      </c>
      <c r="Q254" s="167">
        <f t="shared" si="48"/>
        <v>0</v>
      </c>
      <c r="W254" s="29">
        <f t="shared" si="39"/>
        <v>0</v>
      </c>
    </row>
    <row r="255" spans="2:23" x14ac:dyDescent="0.3">
      <c r="B255" s="181">
        <f t="shared" si="41"/>
        <v>232</v>
      </c>
      <c r="C255" s="180">
        <f t="shared" si="42"/>
        <v>30.4</v>
      </c>
      <c r="D255" s="193">
        <f>IF(B255="","",'Tabla Parámetros'!$G$5)</f>
        <v>0.11799999999999999</v>
      </c>
      <c r="E255" s="167"/>
      <c r="F255" s="167">
        <f t="shared" si="45"/>
        <v>0</v>
      </c>
      <c r="G255" s="166"/>
      <c r="H255" s="167">
        <f t="shared" si="46"/>
        <v>0</v>
      </c>
      <c r="I255" s="167">
        <f t="shared" si="43"/>
        <v>0</v>
      </c>
      <c r="J255" s="167">
        <f>IF(C255="","",IF(F255=0,0,IF(C255&lt;='Tabla Parámetros'!$J$23,I255,IF($E$2='Tabla Parámetros'!$J$19,((($H$2/1000*'Tabla Parámetros'!$K$19)/30.4*C255)*1.0212^19),IF($E$2='Tabla Parámetros'!$J$20,($H$2/1000*'Tabla Parámetros'!$K$20)/30.4*C255)*1.0201^19)))+N255+O255)</f>
        <v>0</v>
      </c>
      <c r="K255" s="167">
        <f t="shared" si="40"/>
        <v>0</v>
      </c>
      <c r="L255" s="167">
        <f t="shared" si="47"/>
        <v>0</v>
      </c>
      <c r="M255" s="167">
        <f>IF(B255="","",IF(F255=0,0,IF(Simulador!$F$11='Tabla Parámetros'!$W$1,'Tabla Parámetros'!$W$28,IF(Simulador!$F$11='Tabla Parámetros'!$Y$1,'Tabla Parámetros'!$Y$12))))</f>
        <v>0</v>
      </c>
      <c r="N255" s="167">
        <f>IF(F255=0,0,IF(F255="","",IF(Simulador!$N$7='Tabla Parámetros'!$C$31,AportPat!L235,0)))</f>
        <v>0</v>
      </c>
      <c r="O255" s="167">
        <f>Simulador!O623</f>
        <v>0</v>
      </c>
      <c r="P255" s="167">
        <f t="shared" si="44"/>
        <v>0</v>
      </c>
      <c r="Q255" s="167">
        <f t="shared" si="48"/>
        <v>0</v>
      </c>
      <c r="W255" s="29">
        <f t="shared" si="39"/>
        <v>0</v>
      </c>
    </row>
    <row r="256" spans="2:23" x14ac:dyDescent="0.3">
      <c r="B256" s="181">
        <f t="shared" si="41"/>
        <v>233</v>
      </c>
      <c r="C256" s="180">
        <f t="shared" si="42"/>
        <v>30.4</v>
      </c>
      <c r="D256" s="193">
        <f>IF(B256="","",'Tabla Parámetros'!$G$5)</f>
        <v>0.11799999999999999</v>
      </c>
      <c r="E256" s="167"/>
      <c r="F256" s="167">
        <f t="shared" si="45"/>
        <v>0</v>
      </c>
      <c r="G256" s="166"/>
      <c r="H256" s="167">
        <f t="shared" si="46"/>
        <v>0</v>
      </c>
      <c r="I256" s="167">
        <f t="shared" si="43"/>
        <v>0</v>
      </c>
      <c r="J256" s="167">
        <f>IF(C256="","",IF(F256=0,0,IF(C256&lt;='Tabla Parámetros'!$J$23,I256,IF($E$2='Tabla Parámetros'!$J$19,((($H$2/1000*'Tabla Parámetros'!$K$19)/30.4*C256)*1.0212^19),IF($E$2='Tabla Parámetros'!$J$20,($H$2/1000*'Tabla Parámetros'!$K$20)/30.4*C256)*1.0201^19)))+N256+O256)</f>
        <v>0</v>
      </c>
      <c r="K256" s="167">
        <f t="shared" si="40"/>
        <v>0</v>
      </c>
      <c r="L256" s="167">
        <f t="shared" si="47"/>
        <v>0</v>
      </c>
      <c r="M256" s="167">
        <f>IF(B256="","",IF(F256=0,0,IF(Simulador!$F$11='Tabla Parámetros'!$W$1,'Tabla Parámetros'!$W$28,IF(Simulador!$F$11='Tabla Parámetros'!$Y$1,'Tabla Parámetros'!$Y$12))))</f>
        <v>0</v>
      </c>
      <c r="N256" s="167">
        <f>IF(F256=0,0,IF(F256="","",IF(Simulador!$N$7='Tabla Parámetros'!$C$31,AportPat!L236,0)))</f>
        <v>0</v>
      </c>
      <c r="O256" s="167">
        <f>Simulador!O624</f>
        <v>0</v>
      </c>
      <c r="P256" s="167">
        <f t="shared" si="44"/>
        <v>0</v>
      </c>
      <c r="Q256" s="167">
        <f t="shared" si="48"/>
        <v>0</v>
      </c>
      <c r="W256" s="29">
        <f t="shared" si="39"/>
        <v>0</v>
      </c>
    </row>
    <row r="257" spans="2:23" x14ac:dyDescent="0.3">
      <c r="B257" s="181">
        <f t="shared" si="41"/>
        <v>234</v>
      </c>
      <c r="C257" s="180">
        <f t="shared" si="42"/>
        <v>30.4</v>
      </c>
      <c r="D257" s="193">
        <f>IF(B257="","",'Tabla Parámetros'!$G$5)</f>
        <v>0.11799999999999999</v>
      </c>
      <c r="E257" s="167"/>
      <c r="F257" s="167">
        <f t="shared" si="45"/>
        <v>0</v>
      </c>
      <c r="G257" s="166"/>
      <c r="H257" s="167">
        <f t="shared" si="46"/>
        <v>0</v>
      </c>
      <c r="I257" s="167">
        <f t="shared" si="43"/>
        <v>0</v>
      </c>
      <c r="J257" s="167">
        <f>IF(C257="","",IF(F257=0,0,IF(C257&lt;='Tabla Parámetros'!$J$23,I257,IF($E$2='Tabla Parámetros'!$J$19,((($H$2/1000*'Tabla Parámetros'!$K$19)/30.4*C257)*1.0212^19),IF($E$2='Tabla Parámetros'!$J$20,($H$2/1000*'Tabla Parámetros'!$K$20)/30.4*C257)*1.0201^19)))+N257+O257)</f>
        <v>0</v>
      </c>
      <c r="K257" s="167">
        <f t="shared" si="40"/>
        <v>0</v>
      </c>
      <c r="L257" s="167">
        <f t="shared" si="47"/>
        <v>0</v>
      </c>
      <c r="M257" s="167">
        <f>IF(B257="","",IF(F257=0,0,IF(Simulador!$F$11='Tabla Parámetros'!$W$1,'Tabla Parámetros'!$W$28,IF(Simulador!$F$11='Tabla Parámetros'!$Y$1,'Tabla Parámetros'!$Y$12))))</f>
        <v>0</v>
      </c>
      <c r="N257" s="167">
        <f>IF(F257=0,0,IF(F257="","",IF(Simulador!$N$7='Tabla Parámetros'!$C$31,AportPat!L237,0)))</f>
        <v>0</v>
      </c>
      <c r="O257" s="167">
        <f>Simulador!O625</f>
        <v>0</v>
      </c>
      <c r="P257" s="167">
        <f t="shared" si="44"/>
        <v>0</v>
      </c>
      <c r="Q257" s="167">
        <f t="shared" si="48"/>
        <v>0</v>
      </c>
      <c r="W257" s="29">
        <f t="shared" si="39"/>
        <v>0</v>
      </c>
    </row>
    <row r="258" spans="2:23" x14ac:dyDescent="0.3">
      <c r="B258" s="181">
        <f t="shared" si="41"/>
        <v>235</v>
      </c>
      <c r="C258" s="180">
        <f t="shared" si="42"/>
        <v>30.4</v>
      </c>
      <c r="D258" s="193">
        <f>IF(B258="","",'Tabla Parámetros'!$G$5)</f>
        <v>0.11799999999999999</v>
      </c>
      <c r="E258" s="167"/>
      <c r="F258" s="167">
        <f t="shared" si="45"/>
        <v>0</v>
      </c>
      <c r="G258" s="166"/>
      <c r="H258" s="167">
        <f t="shared" si="46"/>
        <v>0</v>
      </c>
      <c r="I258" s="167">
        <f t="shared" si="43"/>
        <v>0</v>
      </c>
      <c r="J258" s="167">
        <f>IF(C258="","",IF(F258=0,0,IF(C258&lt;='Tabla Parámetros'!$J$23,I258,IF($E$2='Tabla Parámetros'!$J$19,((($H$2/1000*'Tabla Parámetros'!$K$19)/30.4*C258)*1.0212^19),IF($E$2='Tabla Parámetros'!$J$20,($H$2/1000*'Tabla Parámetros'!$K$20)/30.4*C258)*1.0201^19)))+N258+O258)</f>
        <v>0</v>
      </c>
      <c r="K258" s="167">
        <f t="shared" si="40"/>
        <v>0</v>
      </c>
      <c r="L258" s="167">
        <f t="shared" si="47"/>
        <v>0</v>
      </c>
      <c r="M258" s="167">
        <f>IF(B258="","",IF(F258=0,0,IF(Simulador!$F$11='Tabla Parámetros'!$W$1,'Tabla Parámetros'!$W$28,IF(Simulador!$F$11='Tabla Parámetros'!$Y$1,'Tabla Parámetros'!$Y$12))))</f>
        <v>0</v>
      </c>
      <c r="N258" s="167">
        <f>IF(F258=0,0,IF(F258="","",IF(Simulador!$N$7='Tabla Parámetros'!$C$31,AportPat!L238,0)))</f>
        <v>0</v>
      </c>
      <c r="O258" s="167">
        <f>Simulador!O626</f>
        <v>0</v>
      </c>
      <c r="P258" s="167">
        <f t="shared" si="44"/>
        <v>0</v>
      </c>
      <c r="Q258" s="167">
        <f t="shared" si="48"/>
        <v>0</v>
      </c>
      <c r="W258" s="29">
        <f t="shared" si="39"/>
        <v>0</v>
      </c>
    </row>
    <row r="259" spans="2:23" x14ac:dyDescent="0.3">
      <c r="B259" s="181">
        <f t="shared" si="41"/>
        <v>236</v>
      </c>
      <c r="C259" s="180">
        <f t="shared" si="42"/>
        <v>30.4</v>
      </c>
      <c r="D259" s="193">
        <f>IF(B259="","",'Tabla Parámetros'!$G$5)</f>
        <v>0.11799999999999999</v>
      </c>
      <c r="E259" s="167"/>
      <c r="F259" s="167">
        <f t="shared" si="45"/>
        <v>0</v>
      </c>
      <c r="G259" s="166"/>
      <c r="H259" s="167">
        <f t="shared" si="46"/>
        <v>0</v>
      </c>
      <c r="I259" s="167">
        <f t="shared" si="43"/>
        <v>0</v>
      </c>
      <c r="J259" s="167">
        <f>IF(C259="","",IF(F259=0,0,IF(C259&lt;='Tabla Parámetros'!$J$23,I259,IF($E$2='Tabla Parámetros'!$J$19,((($H$2/1000*'Tabla Parámetros'!$K$19)/30.4*C259)*1.0212^19),IF($E$2='Tabla Parámetros'!$J$20,($H$2/1000*'Tabla Parámetros'!$K$20)/30.4*C259)*1.0201^19)))+N259+O259)</f>
        <v>0</v>
      </c>
      <c r="K259" s="167">
        <f t="shared" si="40"/>
        <v>0</v>
      </c>
      <c r="L259" s="167">
        <f t="shared" si="47"/>
        <v>0</v>
      </c>
      <c r="M259" s="167">
        <f>IF(B259="","",IF(F259=0,0,IF(Simulador!$F$11='Tabla Parámetros'!$W$1,'Tabla Parámetros'!$W$28,IF(Simulador!$F$11='Tabla Parámetros'!$Y$1,'Tabla Parámetros'!$Y$12))))</f>
        <v>0</v>
      </c>
      <c r="N259" s="167">
        <f>IF(F259=0,0,IF(F259="","",IF(Simulador!$N$7='Tabla Parámetros'!$C$31,AportPat!L239,0)))</f>
        <v>0</v>
      </c>
      <c r="O259" s="167">
        <f>Simulador!O627</f>
        <v>0</v>
      </c>
      <c r="P259" s="167">
        <f t="shared" si="44"/>
        <v>0</v>
      </c>
      <c r="Q259" s="167">
        <f t="shared" si="48"/>
        <v>0</v>
      </c>
      <c r="W259" s="29">
        <f t="shared" si="39"/>
        <v>0</v>
      </c>
    </row>
    <row r="260" spans="2:23" x14ac:dyDescent="0.3">
      <c r="B260" s="181">
        <f t="shared" si="41"/>
        <v>237</v>
      </c>
      <c r="C260" s="180">
        <f t="shared" si="42"/>
        <v>30.4</v>
      </c>
      <c r="D260" s="193">
        <f>IF(B260="","",'Tabla Parámetros'!$G$5)</f>
        <v>0.11799999999999999</v>
      </c>
      <c r="E260" s="167"/>
      <c r="F260" s="167">
        <f t="shared" si="45"/>
        <v>0</v>
      </c>
      <c r="G260" s="166"/>
      <c r="H260" s="167">
        <f t="shared" si="46"/>
        <v>0</v>
      </c>
      <c r="I260" s="167">
        <f t="shared" si="43"/>
        <v>0</v>
      </c>
      <c r="J260" s="167">
        <f>IF(C260="","",IF(F260=0,0,IF(C260&lt;='Tabla Parámetros'!$J$23,I260,IF($E$2='Tabla Parámetros'!$J$19,((($H$2/1000*'Tabla Parámetros'!$K$19)/30.4*C260)*1.0212^19),IF($E$2='Tabla Parámetros'!$J$20,($H$2/1000*'Tabla Parámetros'!$K$20)/30.4*C260)*1.0201^19)))+N260+O260)</f>
        <v>0</v>
      </c>
      <c r="K260" s="167">
        <f t="shared" si="40"/>
        <v>0</v>
      </c>
      <c r="L260" s="167">
        <f t="shared" si="47"/>
        <v>0</v>
      </c>
      <c r="M260" s="167">
        <f>IF(B260="","",IF(F260=0,0,IF(Simulador!$F$11='Tabla Parámetros'!$W$1,'Tabla Parámetros'!$W$28,IF(Simulador!$F$11='Tabla Parámetros'!$Y$1,'Tabla Parámetros'!$Y$12))))</f>
        <v>0</v>
      </c>
      <c r="N260" s="167">
        <f>IF(F260=0,0,IF(F260="","",IF(Simulador!$N$7='Tabla Parámetros'!$C$31,AportPat!L240,0)))</f>
        <v>0</v>
      </c>
      <c r="O260" s="167">
        <f>Simulador!O628</f>
        <v>0</v>
      </c>
      <c r="P260" s="167">
        <f t="shared" si="44"/>
        <v>0</v>
      </c>
      <c r="Q260" s="167">
        <f t="shared" si="48"/>
        <v>0</v>
      </c>
      <c r="W260" s="29">
        <f t="shared" ref="W260:W261" si="49">P262</f>
        <v>0</v>
      </c>
    </row>
    <row r="261" spans="2:23" x14ac:dyDescent="0.3">
      <c r="B261" s="181">
        <f t="shared" si="41"/>
        <v>238</v>
      </c>
      <c r="C261" s="180">
        <f t="shared" si="42"/>
        <v>30.4</v>
      </c>
      <c r="D261" s="193">
        <f>IF(B261="","",'Tabla Parámetros'!$G$5)</f>
        <v>0.11799999999999999</v>
      </c>
      <c r="E261" s="167"/>
      <c r="F261" s="167">
        <f t="shared" si="45"/>
        <v>0</v>
      </c>
      <c r="G261" s="166"/>
      <c r="H261" s="167">
        <f t="shared" si="46"/>
        <v>0</v>
      </c>
      <c r="I261" s="167">
        <f t="shared" si="43"/>
        <v>0</v>
      </c>
      <c r="J261" s="167">
        <f>IF(C261="","",IF(F261=0,0,IF(C261&lt;='Tabla Parámetros'!$J$23,I261,IF($E$2='Tabla Parámetros'!$J$19,((($H$2/1000*'Tabla Parámetros'!$K$19)/30.4*C261)*1.0212^19),IF($E$2='Tabla Parámetros'!$J$20,($H$2/1000*'Tabla Parámetros'!$K$20)/30.4*C261)*1.0201^19)))+N261+O261)</f>
        <v>0</v>
      </c>
      <c r="K261" s="167">
        <f t="shared" si="40"/>
        <v>0</v>
      </c>
      <c r="L261" s="167">
        <f t="shared" si="47"/>
        <v>0</v>
      </c>
      <c r="M261" s="167">
        <f>IF(B261="","",IF(F261=0,0,IF(Simulador!$F$11='Tabla Parámetros'!$W$1,'Tabla Parámetros'!$W$28,IF(Simulador!$F$11='Tabla Parámetros'!$Y$1,'Tabla Parámetros'!$Y$12))))</f>
        <v>0</v>
      </c>
      <c r="N261" s="167">
        <f>IF(F261=0,0,IF(F261="","",IF(Simulador!$N$7='Tabla Parámetros'!$C$31,AportPat!L241,0)))</f>
        <v>0</v>
      </c>
      <c r="O261" s="167">
        <f>Simulador!O629</f>
        <v>0</v>
      </c>
      <c r="P261" s="167">
        <f t="shared" si="44"/>
        <v>0</v>
      </c>
      <c r="Q261" s="167">
        <f t="shared" si="48"/>
        <v>0</v>
      </c>
      <c r="W261" s="29">
        <f t="shared" si="49"/>
        <v>0</v>
      </c>
    </row>
    <row r="262" spans="2:23" x14ac:dyDescent="0.3">
      <c r="B262" s="181">
        <f t="shared" si="41"/>
        <v>239</v>
      </c>
      <c r="C262" s="180">
        <f t="shared" si="42"/>
        <v>30.4</v>
      </c>
      <c r="D262" s="193">
        <f>IF(B262="","",'Tabla Parámetros'!$G$5)</f>
        <v>0.11799999999999999</v>
      </c>
      <c r="E262" s="167"/>
      <c r="F262" s="167">
        <f t="shared" si="45"/>
        <v>0</v>
      </c>
      <c r="G262" s="166"/>
      <c r="H262" s="167">
        <f t="shared" si="46"/>
        <v>0</v>
      </c>
      <c r="I262" s="167">
        <f t="shared" si="43"/>
        <v>0</v>
      </c>
      <c r="J262" s="167">
        <f>IF(C262="","",IF(F262=0,0,IF(C262&lt;='Tabla Parámetros'!$J$23,I262,IF($E$2='Tabla Parámetros'!$J$19,((($H$2/1000*'Tabla Parámetros'!$K$19)/30.4*C262)*1.0212^19),IF($E$2='Tabla Parámetros'!$J$20,($H$2/1000*'Tabla Parámetros'!$K$20)/30.4*C262)*1.0201^19)))+N262+O262)</f>
        <v>0</v>
      </c>
      <c r="K262" s="167">
        <f t="shared" si="40"/>
        <v>0</v>
      </c>
      <c r="L262" s="167">
        <f t="shared" si="47"/>
        <v>0</v>
      </c>
      <c r="M262" s="167">
        <f>IF(B262="","",IF(F262=0,0,IF(Simulador!$F$11='Tabla Parámetros'!$W$1,'Tabla Parámetros'!$W$28,IF(Simulador!$F$11='Tabla Parámetros'!$Y$1,'Tabla Parámetros'!$Y$12))))</f>
        <v>0</v>
      </c>
      <c r="N262" s="167">
        <f>IF(F262=0,0,IF(F262="","",IF(Simulador!$N$7='Tabla Parámetros'!$C$31,AportPat!L242,0)))</f>
        <v>0</v>
      </c>
      <c r="O262" s="167">
        <f>Simulador!O630</f>
        <v>0</v>
      </c>
      <c r="P262" s="167">
        <f t="shared" si="44"/>
        <v>0</v>
      </c>
      <c r="Q262" s="167">
        <f t="shared" si="48"/>
        <v>0</v>
      </c>
      <c r="W262" s="29"/>
    </row>
    <row r="263" spans="2:23" x14ac:dyDescent="0.3">
      <c r="B263" s="181">
        <f t="shared" si="41"/>
        <v>240</v>
      </c>
      <c r="C263" s="180">
        <f t="shared" si="42"/>
        <v>30.4</v>
      </c>
      <c r="D263" s="193">
        <f>IF(B263="","",'Tabla Parámetros'!$G$5)</f>
        <v>0.11799999999999999</v>
      </c>
      <c r="E263" s="167"/>
      <c r="F263" s="167">
        <f t="shared" si="45"/>
        <v>0</v>
      </c>
      <c r="G263" s="166"/>
      <c r="H263" s="167">
        <f t="shared" si="46"/>
        <v>0</v>
      </c>
      <c r="I263" s="167">
        <f t="shared" si="43"/>
        <v>0</v>
      </c>
      <c r="J263" s="167">
        <f>IF(C263="","",IF(F263=0,0,IF(C263&lt;='Tabla Parámetros'!$J$23,I263,IF($E$2='Tabla Parámetros'!$J$19,((($H$2/1000*'Tabla Parámetros'!$K$19)/30.4*C263)*1.0212^19),IF($E$2='Tabla Parámetros'!$J$20,($H$2/1000*'Tabla Parámetros'!$K$20)/30.4*C263)*1.0201^19)))+N263+O263)</f>
        <v>0</v>
      </c>
      <c r="K263" s="167">
        <f t="shared" ref="K263" si="50">F263*$I$2</f>
        <v>0</v>
      </c>
      <c r="L263" s="167">
        <f t="shared" si="47"/>
        <v>0</v>
      </c>
      <c r="M263" s="167">
        <f>IF(B263="","",IF(F263=0,0,IF(Simulador!$F$11='Tabla Parámetros'!$W$1,'Tabla Parámetros'!$W$28,IF(Simulador!$F$11='Tabla Parámetros'!$Y$1,'Tabla Parámetros'!$Y$12))))</f>
        <v>0</v>
      </c>
      <c r="N263" s="167">
        <f>IF(F263=0,0,IF(F263="","",IF(Simulador!$N$7='Tabla Parámetros'!$C$31,AportPat!L243,0)))</f>
        <v>0</v>
      </c>
      <c r="O263" s="167">
        <f>Simulador!O631</f>
        <v>0</v>
      </c>
      <c r="P263" s="167">
        <f t="shared" si="44"/>
        <v>0</v>
      </c>
      <c r="Q263" s="167">
        <f t="shared" si="48"/>
        <v>0</v>
      </c>
      <c r="W263" s="29"/>
    </row>
    <row r="264" spans="2:23" ht="12.5" thickBot="1" x14ac:dyDescent="0.35">
      <c r="B264" s="186"/>
      <c r="C264" s="186"/>
      <c r="D264" s="186"/>
      <c r="E264" s="186"/>
      <c r="F264" s="186"/>
      <c r="G264" s="186"/>
      <c r="H264" s="186"/>
      <c r="I264" s="186"/>
      <c r="J264" s="186"/>
      <c r="K264" s="186"/>
      <c r="L264" s="186"/>
      <c r="M264" s="186"/>
      <c r="N264" s="186"/>
      <c r="O264" s="186"/>
      <c r="P264" s="186"/>
      <c r="Q264" s="186"/>
    </row>
    <row r="265" spans="2:23" ht="13" thickTop="1" thickBot="1" x14ac:dyDescent="0.35">
      <c r="B265" s="187"/>
      <c r="C265" s="187"/>
      <c r="D265" s="187"/>
      <c r="E265" s="187"/>
      <c r="F265" s="187"/>
      <c r="G265" s="187"/>
      <c r="H265" s="188">
        <f t="shared" ref="H265:P265" si="51">SUM(H25:H263)</f>
        <v>0</v>
      </c>
      <c r="I265" s="188">
        <f t="shared" si="51"/>
        <v>0</v>
      </c>
      <c r="J265" s="188">
        <f t="shared" si="51"/>
        <v>0</v>
      </c>
      <c r="K265" s="188">
        <f t="shared" si="51"/>
        <v>0</v>
      </c>
      <c r="L265" s="188">
        <f t="shared" si="51"/>
        <v>0</v>
      </c>
      <c r="M265" s="188">
        <f t="shared" si="51"/>
        <v>0</v>
      </c>
      <c r="N265" s="188">
        <f t="shared" si="51"/>
        <v>0</v>
      </c>
      <c r="O265" s="188">
        <f t="shared" si="51"/>
        <v>0</v>
      </c>
      <c r="P265" s="188">
        <f t="shared" si="51"/>
        <v>0</v>
      </c>
      <c r="Q265" s="188"/>
    </row>
    <row r="266" spans="2:23" ht="12.5" thickTop="1" x14ac:dyDescent="0.3"/>
  </sheetData>
  <conditionalFormatting sqref="B4:Q4">
    <cfRule type="containsBlanks" dxfId="9" priority="3">
      <formula>LEN(TRIM(B4))=0</formula>
    </cfRule>
  </conditionalFormatting>
  <conditionalFormatting sqref="P5:P17">
    <cfRule type="cellIs" dxfId="8" priority="2" operator="lessThan">
      <formula>0</formula>
    </cfRule>
  </conditionalFormatting>
  <conditionalFormatting sqref="P18:P23">
    <cfRule type="cellIs" dxfId="7" priority="1" operator="lessThan">
      <formula>0</formula>
    </cfRule>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8"/>
  <dimension ref="B1:AA260"/>
  <sheetViews>
    <sheetView showGridLines="0" topLeftCell="C1" workbookViewId="0">
      <selection activeCell="K10" sqref="K10"/>
    </sheetView>
  </sheetViews>
  <sheetFormatPr baseColWidth="10" defaultColWidth="11.453125" defaultRowHeight="12" x14ac:dyDescent="0.3"/>
  <cols>
    <col min="1" max="1" width="3.7265625" style="82" customWidth="1"/>
    <col min="2" max="2" width="6.1796875" style="82" customWidth="1"/>
    <col min="3" max="3" width="4.7265625" style="82" bestFit="1" customWidth="1"/>
    <col min="4" max="4" width="11.54296875" style="82" bestFit="1" customWidth="1"/>
    <col min="5" max="5" width="11.26953125" style="82" bestFit="1" customWidth="1"/>
    <col min="6" max="6" width="12" style="82" bestFit="1" customWidth="1"/>
    <col min="7" max="7" width="9.7265625" style="82" bestFit="1" customWidth="1"/>
    <col min="8" max="8" width="12" style="82" bestFit="1" customWidth="1"/>
    <col min="9" max="9" width="11.7265625" style="82" customWidth="1"/>
    <col min="10" max="13" width="11.54296875" style="82" bestFit="1" customWidth="1"/>
    <col min="14" max="15" width="11.453125" style="82"/>
    <col min="16" max="16" width="11.54296875" style="82" bestFit="1" customWidth="1"/>
    <col min="17" max="17" width="12.54296875" style="82" bestFit="1" customWidth="1"/>
    <col min="18" max="20" width="11.453125" style="82"/>
    <col min="21" max="21" width="11.7265625" style="82" bestFit="1" customWidth="1"/>
    <col min="22" max="16384" width="11.453125" style="82"/>
  </cols>
  <sheetData>
    <row r="1" spans="2:27" x14ac:dyDescent="0.3">
      <c r="D1" s="82" t="s">
        <v>23</v>
      </c>
      <c r="E1" s="190">
        <f>Simulador!F62</f>
        <v>0.11</v>
      </c>
      <c r="G1" s="101" t="s">
        <v>204</v>
      </c>
      <c r="H1" s="101" t="str">
        <f>Simulador!N9</f>
        <v>Básico</v>
      </c>
      <c r="I1" s="101" t="s">
        <v>207</v>
      </c>
      <c r="J1" s="101" t="s">
        <v>208</v>
      </c>
      <c r="K1" s="82" t="s">
        <v>442</v>
      </c>
      <c r="L1" s="260">
        <f>IF(Simulador!$K$13="No",Simulador!$N$13,IF(Simulador!$K$13="Si",Simulador!$O$13,))</f>
        <v>2448600</v>
      </c>
      <c r="T1" s="6"/>
      <c r="U1" s="6"/>
      <c r="V1" s="6"/>
      <c r="W1" s="35" t="s">
        <v>140</v>
      </c>
    </row>
    <row r="2" spans="2:27" x14ac:dyDescent="0.3">
      <c r="D2" s="82" t="s">
        <v>194</v>
      </c>
      <c r="E2" s="82">
        <f>Simulador!F19</f>
        <v>240</v>
      </c>
      <c r="G2" s="101" t="s">
        <v>197</v>
      </c>
      <c r="H2" s="96">
        <f>IF($M$2='Tabla Parámetros'!$N$10,Simulador!$H$48+Simulador!$L$46,IF($M$2='Tabla Parámetros'!$N$11,Simulador!$H$48,))</f>
        <v>1000000</v>
      </c>
      <c r="I2" s="101">
        <f>IF(H1='Tabla Parámetros'!N4,'Tabla Parámetros'!R5,IF(Simulador!N9='Tabla Parámetros'!N3,'Tabla Parámetros'!R10))</f>
        <v>0</v>
      </c>
      <c r="J2" s="101">
        <f>IF(Simulador!N9='Tabla Parámetros'!N4,'Tabla Parámetros'!S5,IF(Simulador!N9='Tabla Parámetros'!N3,'Tabla Parámetros'!T10))</f>
        <v>0</v>
      </c>
      <c r="M2" s="353" t="str">
        <f>Simulador!$N$17</f>
        <v>NO</v>
      </c>
      <c r="T2" s="32" t="s">
        <v>135</v>
      </c>
      <c r="U2" s="34">
        <f>H2</f>
        <v>1000000</v>
      </c>
      <c r="V2" s="6"/>
      <c r="W2" s="195">
        <f>-U2+'CAT Flujo Cero'!$C$9</f>
        <v>-1000000</v>
      </c>
      <c r="AA2" s="82" t="s">
        <v>0</v>
      </c>
    </row>
    <row r="3" spans="2:27" ht="12.5" thickBot="1" x14ac:dyDescent="0.35">
      <c r="H3" s="96">
        <f>Simulador!$H$48</f>
        <v>1000000</v>
      </c>
      <c r="T3" s="32" t="s">
        <v>136</v>
      </c>
      <c r="U3" s="14">
        <f>E1</f>
        <v>0.11</v>
      </c>
      <c r="V3" s="6"/>
      <c r="W3" s="29">
        <f>-E5+G5+I5+K5+(L5/1.16)+M5+'CAT Flujo Cero'!$C$9</f>
        <v>0</v>
      </c>
      <c r="Z3" s="82" t="s">
        <v>12</v>
      </c>
      <c r="AA3" s="82">
        <v>4</v>
      </c>
    </row>
    <row r="4" spans="2:27" ht="36.5" thickBot="1" x14ac:dyDescent="0.35">
      <c r="B4" s="168" t="s">
        <v>16</v>
      </c>
      <c r="C4" s="169" t="s">
        <v>29</v>
      </c>
      <c r="D4" s="169" t="s">
        <v>23</v>
      </c>
      <c r="E4" s="169" t="s">
        <v>0</v>
      </c>
      <c r="F4" s="169" t="s">
        <v>325</v>
      </c>
      <c r="G4" s="169" t="s">
        <v>324</v>
      </c>
      <c r="H4" s="169" t="s">
        <v>31</v>
      </c>
      <c r="I4" s="169" t="s">
        <v>37</v>
      </c>
      <c r="J4" s="169" t="s">
        <v>202</v>
      </c>
      <c r="K4" s="169" t="s">
        <v>20</v>
      </c>
      <c r="L4" s="169" t="s">
        <v>32</v>
      </c>
      <c r="M4" s="169" t="s">
        <v>33</v>
      </c>
      <c r="N4" s="169" t="s">
        <v>6</v>
      </c>
      <c r="O4" s="169" t="s">
        <v>34</v>
      </c>
      <c r="P4" s="169" t="s">
        <v>35</v>
      </c>
      <c r="Q4" s="170" t="s">
        <v>36</v>
      </c>
      <c r="T4" s="32" t="s">
        <v>137</v>
      </c>
      <c r="U4" s="14" t="e">
        <f>IRR(W3:W255,0)</f>
        <v>#NUM!</v>
      </c>
      <c r="V4" s="6"/>
      <c r="W4" s="29">
        <f>-E6+G6+I6+K6+(L6/1.16)+M6</f>
        <v>299</v>
      </c>
      <c r="Z4" s="82" t="s">
        <v>327</v>
      </c>
      <c r="AA4" s="82">
        <v>12</v>
      </c>
    </row>
    <row r="5" spans="2:27" x14ac:dyDescent="0.3">
      <c r="B5" s="179">
        <v>0</v>
      </c>
      <c r="C5" s="180"/>
      <c r="D5" s="165"/>
      <c r="E5" s="167">
        <f>IF(Simulador!$F$9=$Z$3,$H$3/4,IF(Simulador!$F$9=$Z$4,$H$3/12,IF(Simulador!$F$9=$Z$5,$H$3/2,)))</f>
        <v>0</v>
      </c>
      <c r="F5" s="167">
        <f>IF($M$2="SI",Simulador!$L$46,0)</f>
        <v>0</v>
      </c>
      <c r="G5" s="167">
        <f>E5*'Tabla Parámetros'!$U$10</f>
        <v>0</v>
      </c>
      <c r="H5" s="167">
        <v>0</v>
      </c>
      <c r="I5" s="167">
        <v>0</v>
      </c>
      <c r="J5" s="167">
        <v>0</v>
      </c>
      <c r="K5" s="167">
        <v>0</v>
      </c>
      <c r="L5" s="167">
        <v>0</v>
      </c>
      <c r="M5" s="167">
        <v>0</v>
      </c>
      <c r="N5" s="172"/>
      <c r="O5" s="172"/>
      <c r="P5" s="167">
        <f>-E5+G5+J5+K5+(L5/1.16)+M5+'CAT Flujo Cero'!Flujo_Cero_Parcial</f>
        <v>0</v>
      </c>
      <c r="Q5" s="178"/>
      <c r="T5" s="32" t="s">
        <v>138</v>
      </c>
      <c r="U5" s="36" t="e">
        <f>U4*12</f>
        <v>#NUM!</v>
      </c>
      <c r="V5" s="6"/>
      <c r="W5" s="29">
        <f t="shared" ref="W5:W15" si="0">-E7+G7+I7+K7+(L7/1.16)+M7</f>
        <v>299</v>
      </c>
      <c r="Z5" s="82" t="s">
        <v>328</v>
      </c>
      <c r="AA5" s="82">
        <v>2</v>
      </c>
    </row>
    <row r="6" spans="2:27" x14ac:dyDescent="0.3">
      <c r="B6" s="181">
        <v>1</v>
      </c>
      <c r="C6" s="182">
        <v>30.4</v>
      </c>
      <c r="D6" s="191">
        <f>$E$1</f>
        <v>0.11</v>
      </c>
      <c r="E6" s="177">
        <f>IF(Simulador!$F$9='Tabla Construcción Fijos CAT'!$AA$2,0,IF(Simulador!$F$9='Tabla Construcción Fijos CAT'!$AA$3,'Tabla Construcción Fijos CAT'!$I$3/12,IF(Simulador!$F$9='Tabla Construcción Fijos CAT'!$AA$4,0,)))</f>
        <v>0</v>
      </c>
      <c r="F6" s="177">
        <f>E5+F5</f>
        <v>0</v>
      </c>
      <c r="G6" s="177">
        <f>E6*'Tabla Parámetros'!$U$10</f>
        <v>0</v>
      </c>
      <c r="H6" s="167">
        <v>0</v>
      </c>
      <c r="I6" s="167">
        <f>(($E$1/360)*30.4)*F6</f>
        <v>0</v>
      </c>
      <c r="J6" s="167">
        <v>0</v>
      </c>
      <c r="K6" s="167">
        <f>F6*$I$2</f>
        <v>0</v>
      </c>
      <c r="L6" s="167">
        <f>$L$1*$J$2</f>
        <v>0</v>
      </c>
      <c r="M6" s="167">
        <f>IF(Simulador!$F$11='Tabla Parámetros'!$W$1,'Tabla Parámetros'!$W$28,IF(Simulador!$F$11='Tabla Parámetros'!$Y$1,'Tabla Parámetros'!$Y$12))</f>
        <v>299</v>
      </c>
      <c r="N6" s="172"/>
      <c r="O6" s="172"/>
      <c r="P6" s="167">
        <f>SUM(G6:O6)-E6</f>
        <v>299</v>
      </c>
      <c r="Q6" s="167"/>
      <c r="T6" s="33" t="s">
        <v>139</v>
      </c>
      <c r="U6" s="36" t="e">
        <f>EFFECT(U5,12)</f>
        <v>#NUM!</v>
      </c>
      <c r="V6" s="6"/>
      <c r="W6" s="29">
        <f t="shared" si="0"/>
        <v>299</v>
      </c>
    </row>
    <row r="7" spans="2:27" x14ac:dyDescent="0.3">
      <c r="B7" s="179">
        <v>2</v>
      </c>
      <c r="C7" s="180">
        <v>30.4</v>
      </c>
      <c r="D7" s="192">
        <f t="shared" ref="D7:D17" si="1">$E$1</f>
        <v>0.11</v>
      </c>
      <c r="E7" s="167">
        <f>IF(Simulador!$F$9='Tabla Construcción Fijos CAT'!$AA$2,0,IF(Simulador!$F$9='Tabla Construcción Fijos CAT'!$AA$3,'Tabla Construcción Fijos CAT'!$I$3/12,IF(Simulador!$F$9='Tabla Construcción Fijos CAT'!$AA$4,0,)))</f>
        <v>0</v>
      </c>
      <c r="F7" s="167">
        <f>E6+F6</f>
        <v>0</v>
      </c>
      <c r="G7" s="167">
        <f>E7*'Tabla Parámetros'!$U$10</f>
        <v>0</v>
      </c>
      <c r="H7" s="167">
        <v>0</v>
      </c>
      <c r="I7" s="167">
        <f t="shared" ref="I7:I17" si="2">(($E$1/360)*30.4)*F7</f>
        <v>0</v>
      </c>
      <c r="J7" s="167">
        <v>0</v>
      </c>
      <c r="K7" s="167">
        <f t="shared" ref="K7:K70" si="3">F7*$I$2</f>
        <v>0</v>
      </c>
      <c r="L7" s="167">
        <f t="shared" ref="L7:L17" si="4">$L$1*$J$2</f>
        <v>0</v>
      </c>
      <c r="M7" s="167">
        <f>IF(Simulador!$F$11='Tabla Parámetros'!$W$1,'Tabla Parámetros'!$W$28,IF(Simulador!$F$11='Tabla Parámetros'!$Y$1,'Tabla Parámetros'!$Y$12))</f>
        <v>299</v>
      </c>
      <c r="N7" s="172"/>
      <c r="O7" s="172"/>
      <c r="P7" s="167">
        <f t="shared" ref="P7:P17" si="5">SUM(G7:O7)-E7</f>
        <v>299</v>
      </c>
      <c r="Q7" s="167"/>
      <c r="T7" s="37"/>
      <c r="U7" s="38"/>
      <c r="V7" s="6"/>
      <c r="W7" s="29">
        <f t="shared" si="0"/>
        <v>299</v>
      </c>
    </row>
    <row r="8" spans="2:27" x14ac:dyDescent="0.3">
      <c r="B8" s="179">
        <v>3</v>
      </c>
      <c r="C8" s="180">
        <v>30.4</v>
      </c>
      <c r="D8" s="192">
        <f t="shared" si="1"/>
        <v>0.11</v>
      </c>
      <c r="E8" s="167">
        <f>IF(Simulador!$F$9='Tabla Construcción Fijos CAT'!$AA$2,0,IF(Simulador!$F$9='Tabla Construcción Fijos CAT'!$AA$3,'Tabla Construcción Fijos CAT'!$I$3/12,IF(Simulador!$F$9='Tabla Construcción Fijos CAT'!$AA$4,0,)))</f>
        <v>0</v>
      </c>
      <c r="F8" s="167">
        <f>E7+F7</f>
        <v>0</v>
      </c>
      <c r="G8" s="167">
        <f>E8*'Tabla Parámetros'!$U$10</f>
        <v>0</v>
      </c>
      <c r="H8" s="167">
        <v>0</v>
      </c>
      <c r="I8" s="167">
        <f t="shared" si="2"/>
        <v>0</v>
      </c>
      <c r="J8" s="167">
        <v>0</v>
      </c>
      <c r="K8" s="167">
        <f t="shared" si="3"/>
        <v>0</v>
      </c>
      <c r="L8" s="167">
        <f t="shared" si="4"/>
        <v>0</v>
      </c>
      <c r="M8" s="167">
        <f>IF(Simulador!$F$11='Tabla Parámetros'!$W$1,'Tabla Parámetros'!$W$28,IF(Simulador!$F$11='Tabla Parámetros'!$Y$1,'Tabla Parámetros'!$Y$12))</f>
        <v>299</v>
      </c>
      <c r="N8" s="172"/>
      <c r="O8" s="172"/>
      <c r="P8" s="167">
        <f t="shared" si="5"/>
        <v>299</v>
      </c>
      <c r="Q8" s="167"/>
      <c r="T8" s="6"/>
      <c r="U8" s="6"/>
      <c r="V8" s="6"/>
      <c r="W8" s="29">
        <f t="shared" si="0"/>
        <v>299</v>
      </c>
    </row>
    <row r="9" spans="2:27" x14ac:dyDescent="0.3">
      <c r="B9" s="179">
        <v>4</v>
      </c>
      <c r="C9" s="180">
        <v>30.4</v>
      </c>
      <c r="D9" s="192">
        <f t="shared" si="1"/>
        <v>0.11</v>
      </c>
      <c r="E9" s="167">
        <f>IF(Simulador!$F$9='Tabla Construcción Fijos CAT'!$AA$2,'Tabla Construcción Fijos CAT'!$I$3/4,IF(Simulador!$F$9='Tabla Construcción Fijos CAT'!$AA$3,'Tabla Construcción Fijos CAT'!$I$3/12,IF(Simulador!$F$9='Tabla Construcción Fijos CAT'!$AA$4,0,)))</f>
        <v>0</v>
      </c>
      <c r="F9" s="167">
        <f>E8+F8</f>
        <v>0</v>
      </c>
      <c r="G9" s="167">
        <f>E9*'Tabla Parámetros'!$U$10</f>
        <v>0</v>
      </c>
      <c r="H9" s="167">
        <v>0</v>
      </c>
      <c r="I9" s="167">
        <f t="shared" si="2"/>
        <v>0</v>
      </c>
      <c r="J9" s="167">
        <v>0</v>
      </c>
      <c r="K9" s="167">
        <f t="shared" si="3"/>
        <v>0</v>
      </c>
      <c r="L9" s="167">
        <f t="shared" si="4"/>
        <v>0</v>
      </c>
      <c r="M9" s="167">
        <f>IF(Simulador!$F$11='Tabla Parámetros'!$W$1,'Tabla Parámetros'!$W$28,IF(Simulador!$F$11='Tabla Parámetros'!$Y$1,'Tabla Parámetros'!$Y$12))</f>
        <v>299</v>
      </c>
      <c r="N9" s="172"/>
      <c r="O9" s="172"/>
      <c r="P9" s="167">
        <f t="shared" si="5"/>
        <v>299</v>
      </c>
      <c r="Q9" s="167"/>
      <c r="T9" s="6"/>
      <c r="U9" s="6"/>
      <c r="V9" s="6"/>
      <c r="W9" s="29">
        <f t="shared" si="0"/>
        <v>299</v>
      </c>
    </row>
    <row r="10" spans="2:27" x14ac:dyDescent="0.3">
      <c r="B10" s="181">
        <v>5</v>
      </c>
      <c r="C10" s="180">
        <v>30.4</v>
      </c>
      <c r="D10" s="193">
        <f t="shared" si="1"/>
        <v>0.11</v>
      </c>
      <c r="E10" s="167">
        <f>IF(Simulador!$F$9='Tabla Construcción Fijos CAT'!$AA$2,0,IF(Simulador!$F$9='Tabla Construcción Fijos CAT'!$AA$3,'Tabla Construcción Fijos CAT'!$I$3/12,IF(Simulador!$F$9='Tabla Construcción Fijos CAT'!$AA$4,0,)))</f>
        <v>0</v>
      </c>
      <c r="F10" s="167">
        <f t="shared" ref="F10:F17" si="6">E9+F9</f>
        <v>0</v>
      </c>
      <c r="G10" s="167">
        <f>E10*'Tabla Parámetros'!$U$10</f>
        <v>0</v>
      </c>
      <c r="H10" s="167">
        <v>0</v>
      </c>
      <c r="I10" s="167">
        <f t="shared" si="2"/>
        <v>0</v>
      </c>
      <c r="J10" s="167">
        <v>0</v>
      </c>
      <c r="K10" s="167">
        <f t="shared" si="3"/>
        <v>0</v>
      </c>
      <c r="L10" s="167">
        <f t="shared" si="4"/>
        <v>0</v>
      </c>
      <c r="M10" s="167">
        <f>IF(Simulador!$F$11='Tabla Parámetros'!$W$1,'Tabla Parámetros'!$W$28,IF(Simulador!$F$11='Tabla Parámetros'!$Y$1,'Tabla Parámetros'!$Y$12))</f>
        <v>299</v>
      </c>
      <c r="N10" s="172"/>
      <c r="O10" s="172"/>
      <c r="P10" s="167">
        <f t="shared" si="5"/>
        <v>299</v>
      </c>
      <c r="Q10" s="167"/>
      <c r="T10" s="6"/>
      <c r="U10" s="6"/>
      <c r="V10" s="6"/>
      <c r="W10" s="29">
        <f t="shared" si="0"/>
        <v>299</v>
      </c>
    </row>
    <row r="11" spans="2:27" x14ac:dyDescent="0.3">
      <c r="B11" s="181">
        <v>6</v>
      </c>
      <c r="C11" s="180">
        <v>30.4</v>
      </c>
      <c r="D11" s="193">
        <f t="shared" si="1"/>
        <v>0.11</v>
      </c>
      <c r="E11" s="167">
        <f>IF(Simulador!$F$9='Tabla Construcción Fijos CAT'!$AA$2,0,IF(Simulador!$F$9='Tabla Construcción Fijos CAT'!$AA$3,'Tabla Construcción Fijos CAT'!$I$3/12,IF(Simulador!$F$9='Tabla Construcción Fijos CAT'!$AA$4,'Tabla Construcción Fijos CAT'!$I$3/2,)))</f>
        <v>0</v>
      </c>
      <c r="F11" s="167">
        <f t="shared" si="6"/>
        <v>0</v>
      </c>
      <c r="G11" s="167">
        <f>E11*'Tabla Parámetros'!$U$10</f>
        <v>0</v>
      </c>
      <c r="H11" s="167">
        <v>0</v>
      </c>
      <c r="I11" s="167">
        <f t="shared" si="2"/>
        <v>0</v>
      </c>
      <c r="J11" s="167">
        <v>0</v>
      </c>
      <c r="K11" s="167">
        <f t="shared" si="3"/>
        <v>0</v>
      </c>
      <c r="L11" s="167">
        <f t="shared" si="4"/>
        <v>0</v>
      </c>
      <c r="M11" s="167">
        <f>IF(Simulador!$F$11='Tabla Parámetros'!$W$1,'Tabla Parámetros'!$W$28,IF(Simulador!$F$11='Tabla Parámetros'!$Y$1,'Tabla Parámetros'!$Y$12))</f>
        <v>299</v>
      </c>
      <c r="N11" s="172"/>
      <c r="O11" s="172"/>
      <c r="P11" s="167">
        <f t="shared" si="5"/>
        <v>299</v>
      </c>
      <c r="Q11" s="167"/>
      <c r="T11" s="6"/>
      <c r="U11" s="6"/>
      <c r="V11" s="6"/>
      <c r="W11" s="29">
        <f t="shared" si="0"/>
        <v>299</v>
      </c>
    </row>
    <row r="12" spans="2:27" x14ac:dyDescent="0.3">
      <c r="B12" s="179">
        <v>7</v>
      </c>
      <c r="C12" s="180">
        <v>30.4</v>
      </c>
      <c r="D12" s="193">
        <f t="shared" si="1"/>
        <v>0.11</v>
      </c>
      <c r="E12" s="167">
        <f>IF(Simulador!$F$9='Tabla Construcción Fijos CAT'!$AA$2,0,IF(Simulador!$F$9='Tabla Construcción Fijos CAT'!$AA$3,'Tabla Construcción Fijos CAT'!$I$3/12,IF(Simulador!$F$9='Tabla Construcción Fijos CAT'!$AA$4,0,)))</f>
        <v>0</v>
      </c>
      <c r="F12" s="167">
        <f t="shared" si="6"/>
        <v>0</v>
      </c>
      <c r="G12" s="167">
        <f>E12*'Tabla Parámetros'!$U$10</f>
        <v>0</v>
      </c>
      <c r="H12" s="167">
        <v>0</v>
      </c>
      <c r="I12" s="167">
        <f t="shared" si="2"/>
        <v>0</v>
      </c>
      <c r="J12" s="167">
        <v>0</v>
      </c>
      <c r="K12" s="167">
        <f t="shared" si="3"/>
        <v>0</v>
      </c>
      <c r="L12" s="167">
        <f t="shared" si="4"/>
        <v>0</v>
      </c>
      <c r="M12" s="167">
        <f>IF(Simulador!$F$11='Tabla Parámetros'!$W$1,'Tabla Parámetros'!$W$28,IF(Simulador!$F$11='Tabla Parámetros'!$Y$1,'Tabla Parámetros'!$Y$12))</f>
        <v>299</v>
      </c>
      <c r="N12" s="172"/>
      <c r="O12" s="172"/>
      <c r="P12" s="167">
        <f t="shared" si="5"/>
        <v>299</v>
      </c>
      <c r="Q12" s="167"/>
      <c r="T12" s="6"/>
      <c r="U12" s="6"/>
      <c r="V12" s="6"/>
      <c r="W12" s="29">
        <f t="shared" si="0"/>
        <v>299</v>
      </c>
    </row>
    <row r="13" spans="2:27" x14ac:dyDescent="0.3">
      <c r="B13" s="179">
        <v>8</v>
      </c>
      <c r="C13" s="180">
        <v>30.4</v>
      </c>
      <c r="D13" s="193">
        <f t="shared" si="1"/>
        <v>0.11</v>
      </c>
      <c r="E13" s="167">
        <f>IF(Simulador!$F$9='Tabla Construcción Fijos CAT'!$AA$2,'Tabla Construcción Fijos CAT'!$I$3/4,IF(Simulador!$F$9='Tabla Construcción Fijos CAT'!$AA$3,'Tabla Construcción Fijos CAT'!$I$3/12,IF(Simulador!$F$9='Tabla Construcción Fijos CAT'!$AA$4,0,)))</f>
        <v>0</v>
      </c>
      <c r="F13" s="167">
        <f t="shared" si="6"/>
        <v>0</v>
      </c>
      <c r="G13" s="167">
        <f>E13*'Tabla Parámetros'!$U$10</f>
        <v>0</v>
      </c>
      <c r="H13" s="167">
        <v>0</v>
      </c>
      <c r="I13" s="167">
        <f t="shared" si="2"/>
        <v>0</v>
      </c>
      <c r="J13" s="167">
        <v>0</v>
      </c>
      <c r="K13" s="167">
        <f t="shared" si="3"/>
        <v>0</v>
      </c>
      <c r="L13" s="167">
        <f t="shared" si="4"/>
        <v>0</v>
      </c>
      <c r="M13" s="167">
        <f>IF(Simulador!$F$11='Tabla Parámetros'!$W$1,'Tabla Parámetros'!$W$28,IF(Simulador!$F$11='Tabla Parámetros'!$Y$1,'Tabla Parámetros'!$Y$12))</f>
        <v>299</v>
      </c>
      <c r="N13" s="172"/>
      <c r="O13" s="172"/>
      <c r="P13" s="167">
        <f t="shared" si="5"/>
        <v>299</v>
      </c>
      <c r="Q13" s="167"/>
      <c r="T13" s="6"/>
      <c r="U13" s="6"/>
      <c r="V13" s="6"/>
      <c r="W13" s="29">
        <f t="shared" si="0"/>
        <v>299</v>
      </c>
    </row>
    <row r="14" spans="2:27" x14ac:dyDescent="0.3">
      <c r="B14" s="179">
        <v>9</v>
      </c>
      <c r="C14" s="180">
        <v>30.4</v>
      </c>
      <c r="D14" s="193">
        <f t="shared" si="1"/>
        <v>0.11</v>
      </c>
      <c r="E14" s="167">
        <f>IF(Simulador!$F$9='Tabla Construcción Fijos CAT'!$AA$2,0,IF(Simulador!$F$9='Tabla Construcción Fijos CAT'!$AA$3,'Tabla Construcción Fijos CAT'!$I$3/12,IF(Simulador!$F$9='Tabla Construcción Fijos CAT'!$AA$4,0,)))</f>
        <v>0</v>
      </c>
      <c r="F14" s="167">
        <f t="shared" si="6"/>
        <v>0</v>
      </c>
      <c r="G14" s="167">
        <f>E14*'Tabla Parámetros'!$U$10</f>
        <v>0</v>
      </c>
      <c r="H14" s="167">
        <v>0</v>
      </c>
      <c r="I14" s="167">
        <f t="shared" si="2"/>
        <v>0</v>
      </c>
      <c r="J14" s="167">
        <v>0</v>
      </c>
      <c r="K14" s="167">
        <f t="shared" si="3"/>
        <v>0</v>
      </c>
      <c r="L14" s="167">
        <f t="shared" si="4"/>
        <v>0</v>
      </c>
      <c r="M14" s="167">
        <f>IF(Simulador!$F$11='Tabla Parámetros'!$W$1,'Tabla Parámetros'!$W$28,IF(Simulador!$F$11='Tabla Parámetros'!$Y$1,'Tabla Parámetros'!$Y$12))</f>
        <v>299</v>
      </c>
      <c r="N14" s="172"/>
      <c r="O14" s="172"/>
      <c r="P14" s="167">
        <f t="shared" si="5"/>
        <v>299</v>
      </c>
      <c r="Q14" s="167"/>
      <c r="T14" s="6"/>
      <c r="U14" s="6"/>
      <c r="V14" s="6"/>
      <c r="W14" s="29">
        <f t="shared" si="0"/>
        <v>299</v>
      </c>
    </row>
    <row r="15" spans="2:27" x14ac:dyDescent="0.3">
      <c r="B15" s="181">
        <v>10</v>
      </c>
      <c r="C15" s="180">
        <v>30.4</v>
      </c>
      <c r="D15" s="193">
        <f t="shared" si="1"/>
        <v>0.11</v>
      </c>
      <c r="E15" s="167">
        <f>IF(Simulador!$F$9='Tabla Construcción Fijos CAT'!$AA$2,0,IF(Simulador!$F$9='Tabla Construcción Fijos CAT'!$AA$3,'Tabla Construcción Fijos CAT'!$I$3/12,IF(Simulador!$F$9='Tabla Construcción Fijos CAT'!$AA$4,0,)))</f>
        <v>0</v>
      </c>
      <c r="F15" s="167">
        <f t="shared" si="6"/>
        <v>0</v>
      </c>
      <c r="G15" s="167">
        <f>E15*'Tabla Parámetros'!$U$10</f>
        <v>0</v>
      </c>
      <c r="H15" s="167">
        <v>0</v>
      </c>
      <c r="I15" s="167">
        <f t="shared" si="2"/>
        <v>0</v>
      </c>
      <c r="J15" s="167">
        <v>0</v>
      </c>
      <c r="K15" s="167">
        <f t="shared" si="3"/>
        <v>0</v>
      </c>
      <c r="L15" s="167">
        <f t="shared" si="4"/>
        <v>0</v>
      </c>
      <c r="M15" s="167">
        <f>IF(Simulador!$F$11='Tabla Parámetros'!$W$1,'Tabla Parámetros'!$W$28,IF(Simulador!$F$11='Tabla Parámetros'!$Y$1,'Tabla Parámetros'!$Y$12))</f>
        <v>299</v>
      </c>
      <c r="N15" s="172"/>
      <c r="O15" s="172"/>
      <c r="P15" s="167">
        <f t="shared" si="5"/>
        <v>299</v>
      </c>
      <c r="Q15" s="167"/>
      <c r="T15" s="6"/>
      <c r="U15" s="6"/>
      <c r="V15" s="6"/>
      <c r="W15" s="29">
        <f t="shared" si="0"/>
        <v>299</v>
      </c>
    </row>
    <row r="16" spans="2:27" x14ac:dyDescent="0.3">
      <c r="B16" s="181">
        <v>11</v>
      </c>
      <c r="C16" s="180">
        <v>30.4</v>
      </c>
      <c r="D16" s="193">
        <f t="shared" si="1"/>
        <v>0.11</v>
      </c>
      <c r="E16" s="167">
        <f>IF(Simulador!$F$9='Tabla Construcción Fijos CAT'!$AA$2,0,IF(Simulador!$F$9='Tabla Construcción Fijos CAT'!$AA$3,'Tabla Construcción Fijos CAT'!$I$3/12,IF(Simulador!$F$9='Tabla Construcción Fijos CAT'!$AA$4,0,)))</f>
        <v>0</v>
      </c>
      <c r="F16" s="167">
        <f t="shared" si="6"/>
        <v>0</v>
      </c>
      <c r="G16" s="167">
        <f>E16*'Tabla Parámetros'!$U$10</f>
        <v>0</v>
      </c>
      <c r="H16" s="167">
        <v>0</v>
      </c>
      <c r="I16" s="167">
        <f t="shared" si="2"/>
        <v>0</v>
      </c>
      <c r="J16" s="167">
        <v>0</v>
      </c>
      <c r="K16" s="167">
        <f t="shared" si="3"/>
        <v>0</v>
      </c>
      <c r="L16" s="167">
        <f t="shared" si="4"/>
        <v>0</v>
      </c>
      <c r="M16" s="167">
        <f>IF(Simulador!$F$11='Tabla Parámetros'!$W$1,'Tabla Parámetros'!$W$28,IF(Simulador!$F$11='Tabla Parámetros'!$Y$1,'Tabla Parámetros'!$Y$12))</f>
        <v>299</v>
      </c>
      <c r="N16" s="172"/>
      <c r="O16" s="172"/>
      <c r="P16" s="167">
        <f t="shared" si="5"/>
        <v>299</v>
      </c>
      <c r="Q16" s="167"/>
      <c r="T16" s="6"/>
      <c r="U16" s="6"/>
      <c r="V16" s="6"/>
      <c r="W16" s="29">
        <f>P18</f>
        <v>0</v>
      </c>
    </row>
    <row r="17" spans="2:23" x14ac:dyDescent="0.3">
      <c r="B17" s="179">
        <v>12</v>
      </c>
      <c r="C17" s="180">
        <v>30.4</v>
      </c>
      <c r="D17" s="193">
        <f t="shared" si="1"/>
        <v>0.11</v>
      </c>
      <c r="E17" s="167">
        <f>IF(Simulador!$F$9='Tabla Construcción Fijos CAT'!$AA$2,'Tabla Construcción Fijos CAT'!$I$3/4,IF(Simulador!$F$9='Tabla Construcción Fijos CAT'!$AA$3,0,IF(Simulador!$F$9='Tabla Construcción Fijos CAT'!$AA$4,0,)))</f>
        <v>0</v>
      </c>
      <c r="F17" s="167">
        <f t="shared" si="6"/>
        <v>0</v>
      </c>
      <c r="G17" s="167">
        <f>E17*'Tabla Parámetros'!$U$10</f>
        <v>0</v>
      </c>
      <c r="H17" s="167">
        <v>0</v>
      </c>
      <c r="I17" s="167">
        <f t="shared" si="2"/>
        <v>0</v>
      </c>
      <c r="J17" s="167">
        <v>0</v>
      </c>
      <c r="K17" s="167">
        <f t="shared" si="3"/>
        <v>0</v>
      </c>
      <c r="L17" s="167">
        <f t="shared" si="4"/>
        <v>0</v>
      </c>
      <c r="M17" s="167">
        <f>IF(Simulador!$F$11='Tabla Parámetros'!$W$1,'Tabla Parámetros'!$W$28,IF(Simulador!$F$11='Tabla Parámetros'!$Y$1,'Tabla Parámetros'!$Y$12))</f>
        <v>299</v>
      </c>
      <c r="N17" s="172"/>
      <c r="O17" s="172"/>
      <c r="P17" s="167">
        <f t="shared" si="5"/>
        <v>299</v>
      </c>
      <c r="Q17" s="167"/>
      <c r="T17" s="6"/>
      <c r="U17" s="6"/>
      <c r="V17" s="6"/>
      <c r="W17" s="29">
        <f t="shared" ref="W17:W80" si="7">P19</f>
        <v>0</v>
      </c>
    </row>
    <row r="18" spans="2:23" x14ac:dyDescent="0.3">
      <c r="B18" s="183">
        <v>1</v>
      </c>
      <c r="C18" s="184">
        <v>30.4</v>
      </c>
      <c r="D18" s="194">
        <f>IF(B18="","",$E$1)</f>
        <v>0.11</v>
      </c>
      <c r="E18" s="174"/>
      <c r="F18" s="174">
        <f>IF(($E$17+$F$17)&gt;$H$2,"ERROR",$E$17+F17)</f>
        <v>0</v>
      </c>
      <c r="G18" s="172"/>
      <c r="H18" s="172">
        <f>IF(OR($B18="",$B18&lt;=1),0,IF($B18=$E$2,$F18,IF(($J18-$I18+$N18)&gt;$F18,$F18,$J18-$I18+$N18)))</f>
        <v>0</v>
      </c>
      <c r="I18" s="172">
        <f t="shared" ref="I18" si="8">IF(B18="",0,((D18/360)*30.4)*F18)</f>
        <v>0</v>
      </c>
      <c r="J18" s="172">
        <f>IF(C18="","",IF(F18=0,0,IF(C18&gt;'Tabla Parámetros'!$J$23,I18,IF($E$2='Tabla Parámetros'!$J$19,($H$2/1000*'Tabla Parámetros'!$K$19)/30.4*C18,IF($E$2='Tabla Parámetros'!$J$20,($H$2/1000*'Tabla Parámetros'!$K$20)/30.4*C18)))))+N18+O18</f>
        <v>0</v>
      </c>
      <c r="K18" s="172">
        <f t="shared" si="3"/>
        <v>0</v>
      </c>
      <c r="L18" s="172">
        <f>IF(B17="","",IF(F18=0,0,$L$1*$J$2))</f>
        <v>0</v>
      </c>
      <c r="M18" s="172">
        <f>IF(B17="","",IF(F18=0,0,IF(Simulador!$F$11='Tabla Parámetros'!$W$1,'Tabla Parámetros'!$W$28,IF(Simulador!$F$11='Tabla Parámetros'!$Y$1,'Tabla Parámetros'!$Y$12))))</f>
        <v>0</v>
      </c>
      <c r="N18" s="172"/>
      <c r="O18" s="172"/>
      <c r="P18" s="172">
        <f>IF(F18="","",IF(F18=0,0,J18+K18+(L18/1.16))+M18)</f>
        <v>0</v>
      </c>
      <c r="Q18" s="172">
        <f>F18-H18</f>
        <v>0</v>
      </c>
      <c r="T18" s="6"/>
      <c r="U18" s="6"/>
      <c r="V18" s="6"/>
      <c r="W18" s="29">
        <f t="shared" si="7"/>
        <v>0</v>
      </c>
    </row>
    <row r="19" spans="2:23" x14ac:dyDescent="0.3">
      <c r="B19" s="181">
        <f t="shared" ref="B19:B82" si="9">IF(B18=$E$2,"",IF(B18="","",B18+1))</f>
        <v>2</v>
      </c>
      <c r="C19" s="180">
        <f>IF(B18="","",30.4)</f>
        <v>30.4</v>
      </c>
      <c r="D19" s="192">
        <f>IF(B19="","",$E$1)</f>
        <v>0.11</v>
      </c>
      <c r="E19" s="167"/>
      <c r="F19" s="167">
        <f>IF(B19="","",F18-H18)</f>
        <v>0</v>
      </c>
      <c r="G19" s="166"/>
      <c r="H19" s="167">
        <f>IF($B19="","",IF($B19=$E$2,$F19,IF(($J19-$I19+$N19)&gt;$F19,$F19,$J19-$I19)))</f>
        <v>0</v>
      </c>
      <c r="I19" s="167">
        <f t="shared" ref="I19:I82" si="10">IF(B19="","",((D19/360)*30.4)*F19)</f>
        <v>0</v>
      </c>
      <c r="J19" s="167">
        <f>IF(C19="","",IF(F19=0,0,IF(C19&lt;='Tabla Parámetros'!$J$23,I19,IF($E$2='Tabla Parámetros'!$J$19,($H$2/1000*'Tabla Parámetros'!$K$19)/30.4*C19,IF($E$2='Tabla Parámetros'!$J$20,($H$2/1000*'Tabla Parámetros'!$K$20)/30.4*C19)))))+N19+O19</f>
        <v>0</v>
      </c>
      <c r="K19" s="167">
        <f t="shared" si="3"/>
        <v>0</v>
      </c>
      <c r="L19" s="167">
        <f t="shared" ref="L19:L82" si="11">IF(B18="","",IF(F19=0,0,$L$1*$J$2))</f>
        <v>0</v>
      </c>
      <c r="M19" s="167">
        <f>IF(B19="","",IF(F19=0,0,IF(Simulador!$F$11='Tabla Parámetros'!$W$1,'Tabla Parámetros'!$W$28,IF(Simulador!$F$11='Tabla Parámetros'!$Y$1,'Tabla Parámetros'!$Y$12))))</f>
        <v>0</v>
      </c>
      <c r="N19" s="167"/>
      <c r="O19" s="167"/>
      <c r="P19" s="172">
        <f t="shared" ref="P19:P81" si="12">IF(F19="","",IF(F19=0,0,J19+K19+(L19/1.16))+M19)</f>
        <v>0</v>
      </c>
      <c r="Q19" s="178">
        <f>F19-H19</f>
        <v>0</v>
      </c>
      <c r="T19" s="6"/>
      <c r="U19" s="6"/>
      <c r="V19" s="6"/>
      <c r="W19" s="29">
        <f t="shared" si="7"/>
        <v>0</v>
      </c>
    </row>
    <row r="20" spans="2:23" x14ac:dyDescent="0.3">
      <c r="B20" s="181">
        <f t="shared" si="9"/>
        <v>3</v>
      </c>
      <c r="C20" s="180">
        <f>IF(B19="","",30.4)</f>
        <v>30.4</v>
      </c>
      <c r="D20" s="193">
        <f t="shared" ref="D20:D54" si="13">IF(B20="","",$E$1)</f>
        <v>0.11</v>
      </c>
      <c r="E20" s="167"/>
      <c r="F20" s="167">
        <f t="shared" ref="F20:F83" si="14">IF(B20="","",F19-H19)</f>
        <v>0</v>
      </c>
      <c r="G20" s="166"/>
      <c r="H20" s="167">
        <f t="shared" ref="H20:H83" si="15">IF($B20="","",IF($B20=$E$2,$F20,IF(($J20-$I20+$N20)&gt;$F20,$F20,$J20-$I20)))</f>
        <v>0</v>
      </c>
      <c r="I20" s="167">
        <f t="shared" si="10"/>
        <v>0</v>
      </c>
      <c r="J20" s="167">
        <f>IF(C20="","",IF(F20=0,0,IF(C20&lt;='Tabla Parámetros'!$J$23,I20,IF($E$2='Tabla Parámetros'!$J$19,($H$2/1000*'Tabla Parámetros'!$K$19)/30.4*C20,IF($E$2='Tabla Parámetros'!$J$20,($H$2/1000*'Tabla Parámetros'!$K$20)/30.4*C20)))))+N20+O20</f>
        <v>0</v>
      </c>
      <c r="K20" s="167">
        <f t="shared" si="3"/>
        <v>0</v>
      </c>
      <c r="L20" s="167">
        <f t="shared" si="11"/>
        <v>0</v>
      </c>
      <c r="M20" s="167">
        <f>IF(B20="","",IF(F20=0,0,IF(Simulador!$F$11='Tabla Parámetros'!$W$1,'Tabla Parámetros'!$W$28,IF(Simulador!$F$11='Tabla Parámetros'!$Y$1,'Tabla Parámetros'!$Y$12))))</f>
        <v>0</v>
      </c>
      <c r="N20" s="167"/>
      <c r="O20" s="167"/>
      <c r="P20" s="172">
        <f t="shared" si="12"/>
        <v>0</v>
      </c>
      <c r="Q20" s="167">
        <f>IF(B20="","",F20-H20)</f>
        <v>0</v>
      </c>
      <c r="T20" s="6"/>
      <c r="U20" s="6"/>
      <c r="V20" s="6"/>
      <c r="W20" s="29">
        <f t="shared" si="7"/>
        <v>0</v>
      </c>
    </row>
    <row r="21" spans="2:23" x14ac:dyDescent="0.3">
      <c r="B21" s="181">
        <f t="shared" si="9"/>
        <v>4</v>
      </c>
      <c r="C21" s="180">
        <f t="shared" ref="C21:C84" si="16">IF(B20="","",30.4)</f>
        <v>30.4</v>
      </c>
      <c r="D21" s="193">
        <f t="shared" si="13"/>
        <v>0.11</v>
      </c>
      <c r="E21" s="167"/>
      <c r="F21" s="167">
        <f t="shared" si="14"/>
        <v>0</v>
      </c>
      <c r="G21" s="166"/>
      <c r="H21" s="167">
        <f t="shared" si="15"/>
        <v>0</v>
      </c>
      <c r="I21" s="167">
        <f t="shared" si="10"/>
        <v>0</v>
      </c>
      <c r="J21" s="167">
        <f>IF(C21="","",IF(F21=0,0,IF(C21&lt;='Tabla Parámetros'!$J$23,I21,IF($E$2='Tabla Parámetros'!$J$19,($H$2/1000*'Tabla Parámetros'!$K$19)/30.4*C21,IF($E$2='Tabla Parámetros'!$J$20,($H$2/1000*'Tabla Parámetros'!$K$20)/30.4*C21)))))+N21+O21</f>
        <v>0</v>
      </c>
      <c r="K21" s="167">
        <f t="shared" si="3"/>
        <v>0</v>
      </c>
      <c r="L21" s="167">
        <f t="shared" si="11"/>
        <v>0</v>
      </c>
      <c r="M21" s="167">
        <f>IF(B21="","",IF(F21=0,0,IF(Simulador!$F$11='Tabla Parámetros'!$W$1,'Tabla Parámetros'!$W$28,IF(Simulador!$F$11='Tabla Parámetros'!$Y$1,'Tabla Parámetros'!$Y$12))))</f>
        <v>0</v>
      </c>
      <c r="N21" s="167"/>
      <c r="O21" s="167"/>
      <c r="P21" s="172">
        <f t="shared" si="12"/>
        <v>0</v>
      </c>
      <c r="Q21" s="167">
        <f t="shared" ref="Q21:Q84" si="17">IF(B21="","",F21-H21)</f>
        <v>0</v>
      </c>
      <c r="T21" s="6"/>
      <c r="U21" s="6"/>
      <c r="V21" s="6"/>
      <c r="W21" s="29">
        <f t="shared" si="7"/>
        <v>0</v>
      </c>
    </row>
    <row r="22" spans="2:23" x14ac:dyDescent="0.3">
      <c r="B22" s="181">
        <f t="shared" si="9"/>
        <v>5</v>
      </c>
      <c r="C22" s="180">
        <f t="shared" si="16"/>
        <v>30.4</v>
      </c>
      <c r="D22" s="193">
        <f t="shared" si="13"/>
        <v>0.11</v>
      </c>
      <c r="E22" s="167"/>
      <c r="F22" s="167">
        <f t="shared" si="14"/>
        <v>0</v>
      </c>
      <c r="G22" s="166"/>
      <c r="H22" s="167">
        <f t="shared" si="15"/>
        <v>0</v>
      </c>
      <c r="I22" s="167">
        <f t="shared" si="10"/>
        <v>0</v>
      </c>
      <c r="J22" s="167">
        <f>IF(C22="","",IF(F22=0,0,IF(C22&lt;='Tabla Parámetros'!$J$23,I22,IF($E$2='Tabla Parámetros'!$J$19,($H$2/1000*'Tabla Parámetros'!$K$19)/30.4*C22,IF($E$2='Tabla Parámetros'!$J$20,($H$2/1000*'Tabla Parámetros'!$K$20)/30.4*C22)))))+N22+O22</f>
        <v>0</v>
      </c>
      <c r="K22" s="167">
        <f t="shared" si="3"/>
        <v>0</v>
      </c>
      <c r="L22" s="167">
        <f t="shared" si="11"/>
        <v>0</v>
      </c>
      <c r="M22" s="167">
        <f>IF(B22="","",IF(F22=0,0,IF(Simulador!$F$11='Tabla Parámetros'!$W$1,'Tabla Parámetros'!$W$28,IF(Simulador!$F$11='Tabla Parámetros'!$Y$1,'Tabla Parámetros'!$Y$12))))</f>
        <v>0</v>
      </c>
      <c r="N22" s="167"/>
      <c r="O22" s="167"/>
      <c r="P22" s="172">
        <f t="shared" si="12"/>
        <v>0</v>
      </c>
      <c r="Q22" s="167">
        <f t="shared" si="17"/>
        <v>0</v>
      </c>
      <c r="T22" s="6"/>
      <c r="U22" s="6"/>
      <c r="V22" s="6"/>
      <c r="W22" s="29">
        <f t="shared" si="7"/>
        <v>0</v>
      </c>
    </row>
    <row r="23" spans="2:23" x14ac:dyDescent="0.3">
      <c r="B23" s="181">
        <f t="shared" si="9"/>
        <v>6</v>
      </c>
      <c r="C23" s="180">
        <f t="shared" si="16"/>
        <v>30.4</v>
      </c>
      <c r="D23" s="193">
        <f t="shared" si="13"/>
        <v>0.11</v>
      </c>
      <c r="E23" s="167"/>
      <c r="F23" s="167">
        <f t="shared" si="14"/>
        <v>0</v>
      </c>
      <c r="G23" s="166"/>
      <c r="H23" s="167">
        <f t="shared" si="15"/>
        <v>0</v>
      </c>
      <c r="I23" s="167">
        <f t="shared" si="10"/>
        <v>0</v>
      </c>
      <c r="J23" s="167">
        <f>IF(C23="","",IF(F23=0,0,IF(C23&lt;='Tabla Parámetros'!$J$23,I23,IF($E$2='Tabla Parámetros'!$J$19,($H$2/1000*'Tabla Parámetros'!$K$19)/30.4*C23,IF($E$2='Tabla Parámetros'!$J$20,($H$2/1000*'Tabla Parámetros'!$K$20)/30.4*C23)))))+N23+O23</f>
        <v>0</v>
      </c>
      <c r="K23" s="167">
        <f t="shared" si="3"/>
        <v>0</v>
      </c>
      <c r="L23" s="167">
        <f t="shared" si="11"/>
        <v>0</v>
      </c>
      <c r="M23" s="167">
        <f>IF(B23="","",IF(F23=0,0,IF(Simulador!$F$11='Tabla Parámetros'!$W$1,'Tabla Parámetros'!$W$28,IF(Simulador!$F$11='Tabla Parámetros'!$Y$1,'Tabla Parámetros'!$Y$12))))</f>
        <v>0</v>
      </c>
      <c r="N23" s="167"/>
      <c r="O23" s="167"/>
      <c r="P23" s="172">
        <f t="shared" si="12"/>
        <v>0</v>
      </c>
      <c r="Q23" s="167">
        <f t="shared" si="17"/>
        <v>0</v>
      </c>
      <c r="T23" s="6"/>
      <c r="U23" s="6"/>
      <c r="V23" s="6"/>
      <c r="W23" s="29">
        <f t="shared" si="7"/>
        <v>0</v>
      </c>
    </row>
    <row r="24" spans="2:23" x14ac:dyDescent="0.3">
      <c r="B24" s="181">
        <f t="shared" si="9"/>
        <v>7</v>
      </c>
      <c r="C24" s="180">
        <f t="shared" si="16"/>
        <v>30.4</v>
      </c>
      <c r="D24" s="193">
        <f t="shared" si="13"/>
        <v>0.11</v>
      </c>
      <c r="E24" s="167"/>
      <c r="F24" s="167">
        <f t="shared" si="14"/>
        <v>0</v>
      </c>
      <c r="G24" s="166"/>
      <c r="H24" s="167">
        <f t="shared" si="15"/>
        <v>0</v>
      </c>
      <c r="I24" s="167">
        <f t="shared" si="10"/>
        <v>0</v>
      </c>
      <c r="J24" s="167">
        <f>IF(C24="","",IF(F24=0,0,IF(C24&lt;='Tabla Parámetros'!$J$23,I24,IF($E$2='Tabla Parámetros'!$J$19,($H$2/1000*'Tabla Parámetros'!$K$19)/30.4*C24,IF($E$2='Tabla Parámetros'!$J$20,($H$2/1000*'Tabla Parámetros'!$K$20)/30.4*C24)))))+N24+O24</f>
        <v>0</v>
      </c>
      <c r="K24" s="167">
        <f t="shared" si="3"/>
        <v>0</v>
      </c>
      <c r="L24" s="167">
        <f t="shared" si="11"/>
        <v>0</v>
      </c>
      <c r="M24" s="167">
        <f>IF(B24="","",IF(F24=0,0,IF(Simulador!$F$11='Tabla Parámetros'!$W$1,'Tabla Parámetros'!$W$28,IF(Simulador!$F$11='Tabla Parámetros'!$Y$1,'Tabla Parámetros'!$Y$12))))</f>
        <v>0</v>
      </c>
      <c r="N24" s="167"/>
      <c r="O24" s="167"/>
      <c r="P24" s="172">
        <f t="shared" si="12"/>
        <v>0</v>
      </c>
      <c r="Q24" s="167">
        <f t="shared" si="17"/>
        <v>0</v>
      </c>
      <c r="T24" s="6"/>
      <c r="U24" s="6"/>
      <c r="V24" s="6"/>
      <c r="W24" s="29">
        <f t="shared" si="7"/>
        <v>0</v>
      </c>
    </row>
    <row r="25" spans="2:23" x14ac:dyDescent="0.3">
      <c r="B25" s="181">
        <f t="shared" si="9"/>
        <v>8</v>
      </c>
      <c r="C25" s="180">
        <f t="shared" si="16"/>
        <v>30.4</v>
      </c>
      <c r="D25" s="193">
        <f t="shared" si="13"/>
        <v>0.11</v>
      </c>
      <c r="E25" s="167"/>
      <c r="F25" s="167">
        <f t="shared" si="14"/>
        <v>0</v>
      </c>
      <c r="G25" s="166"/>
      <c r="H25" s="167">
        <f t="shared" si="15"/>
        <v>0</v>
      </c>
      <c r="I25" s="167">
        <f t="shared" si="10"/>
        <v>0</v>
      </c>
      <c r="J25" s="167">
        <f>IF(C25="","",IF(F25=0,0,IF(C25&lt;='Tabla Parámetros'!$J$23,I25,IF($E$2='Tabla Parámetros'!$J$19,($H$2/1000*'Tabla Parámetros'!$K$19)/30.4*C25,IF($E$2='Tabla Parámetros'!$J$20,($H$2/1000*'Tabla Parámetros'!$K$20)/30.4*C25)))))+N25+O25</f>
        <v>0</v>
      </c>
      <c r="K25" s="167">
        <f t="shared" si="3"/>
        <v>0</v>
      </c>
      <c r="L25" s="167">
        <f t="shared" si="11"/>
        <v>0</v>
      </c>
      <c r="M25" s="167">
        <f>IF(B25="","",IF(F25=0,0,IF(Simulador!$F$11='Tabla Parámetros'!$W$1,'Tabla Parámetros'!$W$28,IF(Simulador!$F$11='Tabla Parámetros'!$Y$1,'Tabla Parámetros'!$Y$12))))</f>
        <v>0</v>
      </c>
      <c r="N25" s="167"/>
      <c r="O25" s="167"/>
      <c r="P25" s="172">
        <f t="shared" si="12"/>
        <v>0</v>
      </c>
      <c r="Q25" s="167">
        <f t="shared" si="17"/>
        <v>0</v>
      </c>
      <c r="T25" s="6"/>
      <c r="U25" s="6"/>
      <c r="V25" s="6"/>
      <c r="W25" s="29">
        <f t="shared" si="7"/>
        <v>0</v>
      </c>
    </row>
    <row r="26" spans="2:23" x14ac:dyDescent="0.3">
      <c r="B26" s="181">
        <f t="shared" si="9"/>
        <v>9</v>
      </c>
      <c r="C26" s="180">
        <f t="shared" si="16"/>
        <v>30.4</v>
      </c>
      <c r="D26" s="193">
        <f t="shared" si="13"/>
        <v>0.11</v>
      </c>
      <c r="E26" s="167"/>
      <c r="F26" s="167">
        <f t="shared" si="14"/>
        <v>0</v>
      </c>
      <c r="G26" s="166"/>
      <c r="H26" s="167">
        <f t="shared" si="15"/>
        <v>0</v>
      </c>
      <c r="I26" s="167">
        <f t="shared" si="10"/>
        <v>0</v>
      </c>
      <c r="J26" s="167">
        <f>IF(C26="","",IF(F26=0,0,IF(C26&lt;='Tabla Parámetros'!$J$23,I26,IF($E$2='Tabla Parámetros'!$J$19,($H$2/1000*'Tabla Parámetros'!$K$19)/30.4*C26,IF($E$2='Tabla Parámetros'!$J$20,($H$2/1000*'Tabla Parámetros'!$K$20)/30.4*C26)))))+N26+O26</f>
        <v>0</v>
      </c>
      <c r="K26" s="167">
        <f t="shared" si="3"/>
        <v>0</v>
      </c>
      <c r="L26" s="167">
        <f t="shared" si="11"/>
        <v>0</v>
      </c>
      <c r="M26" s="167">
        <f>IF(B26="","",IF(F26=0,0,IF(Simulador!$F$11='Tabla Parámetros'!$W$1,'Tabla Parámetros'!$W$28,IF(Simulador!$F$11='Tabla Parámetros'!$Y$1,'Tabla Parámetros'!$Y$12))))</f>
        <v>0</v>
      </c>
      <c r="N26" s="167"/>
      <c r="O26" s="167"/>
      <c r="P26" s="172">
        <f t="shared" si="12"/>
        <v>0</v>
      </c>
      <c r="Q26" s="167">
        <f t="shared" si="17"/>
        <v>0</v>
      </c>
      <c r="T26" s="6"/>
      <c r="U26" s="6"/>
      <c r="V26" s="6"/>
      <c r="W26" s="29">
        <f t="shared" si="7"/>
        <v>0</v>
      </c>
    </row>
    <row r="27" spans="2:23" x14ac:dyDescent="0.3">
      <c r="B27" s="181">
        <f t="shared" si="9"/>
        <v>10</v>
      </c>
      <c r="C27" s="180">
        <f t="shared" si="16"/>
        <v>30.4</v>
      </c>
      <c r="D27" s="193">
        <f t="shared" si="13"/>
        <v>0.11</v>
      </c>
      <c r="E27" s="167"/>
      <c r="F27" s="167">
        <f t="shared" si="14"/>
        <v>0</v>
      </c>
      <c r="G27" s="166"/>
      <c r="H27" s="167">
        <f t="shared" si="15"/>
        <v>0</v>
      </c>
      <c r="I27" s="167">
        <f t="shared" si="10"/>
        <v>0</v>
      </c>
      <c r="J27" s="167">
        <f>IF(C27="","",IF(F27=0,0,IF(C27&lt;='Tabla Parámetros'!$J$23,I27,IF($E$2='Tabla Parámetros'!$J$19,($H$2/1000*'Tabla Parámetros'!$K$19)/30.4*C27,IF($E$2='Tabla Parámetros'!$J$20,($H$2/1000*'Tabla Parámetros'!$K$20)/30.4*C27)))))+N27+O27</f>
        <v>0</v>
      </c>
      <c r="K27" s="167">
        <f t="shared" si="3"/>
        <v>0</v>
      </c>
      <c r="L27" s="167">
        <f t="shared" si="11"/>
        <v>0</v>
      </c>
      <c r="M27" s="167">
        <f>IF(B27="","",IF(F27=0,0,IF(Simulador!$F$11='Tabla Parámetros'!$W$1,'Tabla Parámetros'!$W$28,IF(Simulador!$F$11='Tabla Parámetros'!$Y$1,'Tabla Parámetros'!$Y$12))))</f>
        <v>0</v>
      </c>
      <c r="N27" s="167"/>
      <c r="O27" s="167"/>
      <c r="P27" s="172">
        <f t="shared" si="12"/>
        <v>0</v>
      </c>
      <c r="Q27" s="167">
        <f t="shared" si="17"/>
        <v>0</v>
      </c>
      <c r="T27" s="6"/>
      <c r="U27" s="6"/>
      <c r="V27" s="6"/>
      <c r="W27" s="29">
        <f t="shared" si="7"/>
        <v>0</v>
      </c>
    </row>
    <row r="28" spans="2:23" x14ac:dyDescent="0.3">
      <c r="B28" s="181">
        <f t="shared" si="9"/>
        <v>11</v>
      </c>
      <c r="C28" s="180">
        <f t="shared" si="16"/>
        <v>30.4</v>
      </c>
      <c r="D28" s="193">
        <f t="shared" si="13"/>
        <v>0.11</v>
      </c>
      <c r="E28" s="167"/>
      <c r="F28" s="167">
        <f t="shared" si="14"/>
        <v>0</v>
      </c>
      <c r="G28" s="166"/>
      <c r="H28" s="167">
        <f t="shared" si="15"/>
        <v>0</v>
      </c>
      <c r="I28" s="167">
        <f t="shared" si="10"/>
        <v>0</v>
      </c>
      <c r="J28" s="167">
        <f>IF(C28="","",IF(F28=0,0,IF(C28&lt;='Tabla Parámetros'!$J$23,I28,IF($E$2='Tabla Parámetros'!$J$19,($H$2/1000*'Tabla Parámetros'!$K$19)/30.4*C28,IF($E$2='Tabla Parámetros'!$J$20,($H$2/1000*'Tabla Parámetros'!$K$20)/30.4*C28)))))+N28+O28</f>
        <v>0</v>
      </c>
      <c r="K28" s="167">
        <f t="shared" si="3"/>
        <v>0</v>
      </c>
      <c r="L28" s="167">
        <f t="shared" si="11"/>
        <v>0</v>
      </c>
      <c r="M28" s="167">
        <f>IF(B28="","",IF(F28=0,0,IF(Simulador!$F$11='Tabla Parámetros'!$W$1,'Tabla Parámetros'!$W$28,IF(Simulador!$F$11='Tabla Parámetros'!$Y$1,'Tabla Parámetros'!$Y$12))))</f>
        <v>0</v>
      </c>
      <c r="N28" s="167"/>
      <c r="O28" s="167"/>
      <c r="P28" s="172">
        <f t="shared" si="12"/>
        <v>0</v>
      </c>
      <c r="Q28" s="167">
        <f t="shared" si="17"/>
        <v>0</v>
      </c>
      <c r="T28" s="6"/>
      <c r="U28" s="6"/>
      <c r="V28" s="6"/>
      <c r="W28" s="29">
        <f t="shared" si="7"/>
        <v>0</v>
      </c>
    </row>
    <row r="29" spans="2:23" x14ac:dyDescent="0.3">
      <c r="B29" s="181">
        <f t="shared" si="9"/>
        <v>12</v>
      </c>
      <c r="C29" s="180">
        <f t="shared" si="16"/>
        <v>30.4</v>
      </c>
      <c r="D29" s="193">
        <f t="shared" si="13"/>
        <v>0.11</v>
      </c>
      <c r="E29" s="167"/>
      <c r="F29" s="167">
        <f t="shared" si="14"/>
        <v>0</v>
      </c>
      <c r="G29" s="166"/>
      <c r="H29" s="167">
        <f t="shared" si="15"/>
        <v>0</v>
      </c>
      <c r="I29" s="167">
        <f t="shared" si="10"/>
        <v>0</v>
      </c>
      <c r="J29" s="167">
        <f>IF(C29="","",IF(F29=0,0,IF(C29&lt;='Tabla Parámetros'!$J$23,I29,IF($E$2='Tabla Parámetros'!$J$19,($H$2/1000*'Tabla Parámetros'!$K$19)/30.4*C29,IF($E$2='Tabla Parámetros'!$J$20,($H$2/1000*'Tabla Parámetros'!$K$20)/30.4*C29)))))+N29+O29</f>
        <v>0</v>
      </c>
      <c r="K29" s="167">
        <f t="shared" si="3"/>
        <v>0</v>
      </c>
      <c r="L29" s="167">
        <f t="shared" si="11"/>
        <v>0</v>
      </c>
      <c r="M29" s="167">
        <f>IF(B29="","",IF(F29=0,0,IF(Simulador!$F$11='Tabla Parámetros'!$W$1,'Tabla Parámetros'!$W$28,IF(Simulador!$F$11='Tabla Parámetros'!$Y$1,'Tabla Parámetros'!$Y$12))))</f>
        <v>0</v>
      </c>
      <c r="N29" s="167"/>
      <c r="O29" s="167"/>
      <c r="P29" s="172">
        <f t="shared" si="12"/>
        <v>0</v>
      </c>
      <c r="Q29" s="167">
        <f t="shared" si="17"/>
        <v>0</v>
      </c>
      <c r="T29" s="6"/>
      <c r="U29" s="6"/>
      <c r="V29" s="6"/>
      <c r="W29" s="29">
        <f t="shared" si="7"/>
        <v>0</v>
      </c>
    </row>
    <row r="30" spans="2:23" x14ac:dyDescent="0.3">
      <c r="B30" s="181">
        <f t="shared" si="9"/>
        <v>13</v>
      </c>
      <c r="C30" s="180">
        <f t="shared" si="16"/>
        <v>30.4</v>
      </c>
      <c r="D30" s="193">
        <f t="shared" si="13"/>
        <v>0.11</v>
      </c>
      <c r="E30" s="167"/>
      <c r="F30" s="167">
        <f t="shared" si="14"/>
        <v>0</v>
      </c>
      <c r="G30" s="166"/>
      <c r="H30" s="167">
        <f t="shared" si="15"/>
        <v>0</v>
      </c>
      <c r="I30" s="167">
        <f t="shared" si="10"/>
        <v>0</v>
      </c>
      <c r="J30" s="167">
        <f>IF(C30="","",IF(F30=0,0,IF(C30&lt;='Tabla Parámetros'!$J$23,I30,IF($E$2='Tabla Parámetros'!$J$19,($H$2/1000*'Tabla Parámetros'!$K$19)/30.4*C30,IF($E$2='Tabla Parámetros'!$J$20,($H$2/1000*'Tabla Parámetros'!$K$20)/30.4*C30)))))+N30+O30</f>
        <v>0</v>
      </c>
      <c r="K30" s="167">
        <f t="shared" si="3"/>
        <v>0</v>
      </c>
      <c r="L30" s="167">
        <f t="shared" si="11"/>
        <v>0</v>
      </c>
      <c r="M30" s="167">
        <f>IF(B30="","",IF(F30=0,0,IF(Simulador!$F$11='Tabla Parámetros'!$W$1,'Tabla Parámetros'!$W$28,IF(Simulador!$F$11='Tabla Parámetros'!$Y$1,'Tabla Parámetros'!$Y$12))))</f>
        <v>0</v>
      </c>
      <c r="N30" s="167"/>
      <c r="O30" s="167"/>
      <c r="P30" s="172">
        <f t="shared" si="12"/>
        <v>0</v>
      </c>
      <c r="Q30" s="167">
        <f t="shared" si="17"/>
        <v>0</v>
      </c>
      <c r="T30" s="6"/>
      <c r="U30" s="6"/>
      <c r="V30" s="6"/>
      <c r="W30" s="29">
        <f t="shared" si="7"/>
        <v>0</v>
      </c>
    </row>
    <row r="31" spans="2:23" x14ac:dyDescent="0.3">
      <c r="B31" s="181">
        <f t="shared" si="9"/>
        <v>14</v>
      </c>
      <c r="C31" s="180">
        <f t="shared" si="16"/>
        <v>30.4</v>
      </c>
      <c r="D31" s="193">
        <f t="shared" si="13"/>
        <v>0.11</v>
      </c>
      <c r="E31" s="167"/>
      <c r="F31" s="167">
        <f t="shared" si="14"/>
        <v>0</v>
      </c>
      <c r="G31" s="166"/>
      <c r="H31" s="167">
        <f t="shared" si="15"/>
        <v>0</v>
      </c>
      <c r="I31" s="167">
        <f t="shared" si="10"/>
        <v>0</v>
      </c>
      <c r="J31" s="167">
        <f>IF(C31="","",IF(F31=0,0,IF(C31&lt;='Tabla Parámetros'!$J$23,I31,IF($E$2='Tabla Parámetros'!$J$19,(($H$2/1000*'Tabla Parámetros'!$K$19)/30.4*C31)*1.0212,IF($E$2='Tabla Parámetros'!$J$20,($H$2/1000*'Tabla Parámetros'!$K$20)/30.4*C31)*1.0201))))+N31+O31</f>
        <v>0</v>
      </c>
      <c r="K31" s="167">
        <f t="shared" si="3"/>
        <v>0</v>
      </c>
      <c r="L31" s="167">
        <f t="shared" si="11"/>
        <v>0</v>
      </c>
      <c r="M31" s="167">
        <f>IF(B31="","",IF(F31=0,0,IF(Simulador!$F$11='Tabla Parámetros'!$W$1,'Tabla Parámetros'!$W$28,IF(Simulador!$F$11='Tabla Parámetros'!$Y$1,'Tabla Parámetros'!$Y$12))))</f>
        <v>0</v>
      </c>
      <c r="N31" s="167"/>
      <c r="O31" s="167"/>
      <c r="P31" s="172">
        <f t="shared" si="12"/>
        <v>0</v>
      </c>
      <c r="Q31" s="167">
        <f t="shared" si="17"/>
        <v>0</v>
      </c>
      <c r="T31" s="6"/>
      <c r="U31" s="6"/>
      <c r="V31" s="6"/>
      <c r="W31" s="29">
        <f t="shared" si="7"/>
        <v>0</v>
      </c>
    </row>
    <row r="32" spans="2:23" x14ac:dyDescent="0.3">
      <c r="B32" s="181">
        <f t="shared" si="9"/>
        <v>15</v>
      </c>
      <c r="C32" s="180">
        <f t="shared" si="16"/>
        <v>30.4</v>
      </c>
      <c r="D32" s="193">
        <f t="shared" si="13"/>
        <v>0.11</v>
      </c>
      <c r="E32" s="167"/>
      <c r="F32" s="167">
        <f t="shared" si="14"/>
        <v>0</v>
      </c>
      <c r="G32" s="166"/>
      <c r="H32" s="167">
        <f t="shared" si="15"/>
        <v>0</v>
      </c>
      <c r="I32" s="167">
        <f t="shared" si="10"/>
        <v>0</v>
      </c>
      <c r="J32" s="167">
        <f>IF(C32="","",IF(F32=0,0,IF(C32&lt;='Tabla Parámetros'!$J$23,I32,IF($E$2='Tabla Parámetros'!$J$19,(($H$2/1000*'Tabla Parámetros'!$K$19)/30.4*C32)*1.0212,IF($E$2='Tabla Parámetros'!$J$20,($H$2/1000*'Tabla Parámetros'!$K$20)/30.4*C32)*1.0201))))+N32+O32</f>
        <v>0</v>
      </c>
      <c r="K32" s="167">
        <f t="shared" si="3"/>
        <v>0</v>
      </c>
      <c r="L32" s="167">
        <f t="shared" si="11"/>
        <v>0</v>
      </c>
      <c r="M32" s="167">
        <f>IF(B32="","",IF(F32=0,0,IF(Simulador!$F$11='Tabla Parámetros'!$W$1,'Tabla Parámetros'!$W$28,IF(Simulador!$F$11='Tabla Parámetros'!$Y$1,'Tabla Parámetros'!$Y$12))))</f>
        <v>0</v>
      </c>
      <c r="N32" s="167"/>
      <c r="O32" s="167"/>
      <c r="P32" s="172">
        <f t="shared" si="12"/>
        <v>0</v>
      </c>
      <c r="Q32" s="167">
        <f t="shared" si="17"/>
        <v>0</v>
      </c>
      <c r="T32" s="6"/>
      <c r="U32" s="6"/>
      <c r="V32" s="6"/>
      <c r="W32" s="29">
        <f t="shared" si="7"/>
        <v>0</v>
      </c>
    </row>
    <row r="33" spans="2:23" x14ac:dyDescent="0.3">
      <c r="B33" s="181">
        <f t="shared" si="9"/>
        <v>16</v>
      </c>
      <c r="C33" s="180">
        <f t="shared" si="16"/>
        <v>30.4</v>
      </c>
      <c r="D33" s="193">
        <f t="shared" si="13"/>
        <v>0.11</v>
      </c>
      <c r="E33" s="167"/>
      <c r="F33" s="167">
        <f t="shared" si="14"/>
        <v>0</v>
      </c>
      <c r="G33" s="166"/>
      <c r="H33" s="167">
        <f t="shared" si="15"/>
        <v>0</v>
      </c>
      <c r="I33" s="167">
        <f t="shared" si="10"/>
        <v>0</v>
      </c>
      <c r="J33" s="167">
        <f>IF(C33="","",IF(F33=0,0,IF(C33&lt;='Tabla Parámetros'!$J$23,I33,IF($E$2='Tabla Parámetros'!$J$19,(($H$2/1000*'Tabla Parámetros'!$K$19)/30.4*C33)*1.0212,IF($E$2='Tabla Parámetros'!$J$20,($H$2/1000*'Tabla Parámetros'!$K$20)/30.4*C33)*1.0201))))+N33+O33</f>
        <v>0</v>
      </c>
      <c r="K33" s="167">
        <f t="shared" si="3"/>
        <v>0</v>
      </c>
      <c r="L33" s="167">
        <f t="shared" si="11"/>
        <v>0</v>
      </c>
      <c r="M33" s="167">
        <f>IF(B33="","",IF(F33=0,0,IF(Simulador!$F$11='Tabla Parámetros'!$W$1,'Tabla Parámetros'!$W$28,IF(Simulador!$F$11='Tabla Parámetros'!$Y$1,'Tabla Parámetros'!$Y$12))))</f>
        <v>0</v>
      </c>
      <c r="N33" s="167"/>
      <c r="O33" s="167"/>
      <c r="P33" s="172">
        <f t="shared" si="12"/>
        <v>0</v>
      </c>
      <c r="Q33" s="167">
        <f t="shared" si="17"/>
        <v>0</v>
      </c>
      <c r="T33" s="6"/>
      <c r="U33" s="6"/>
      <c r="V33" s="6"/>
      <c r="W33" s="29">
        <f t="shared" si="7"/>
        <v>0</v>
      </c>
    </row>
    <row r="34" spans="2:23" x14ac:dyDescent="0.3">
      <c r="B34" s="181">
        <f t="shared" si="9"/>
        <v>17</v>
      </c>
      <c r="C34" s="180">
        <f t="shared" si="16"/>
        <v>30.4</v>
      </c>
      <c r="D34" s="193">
        <f t="shared" si="13"/>
        <v>0.11</v>
      </c>
      <c r="E34" s="167"/>
      <c r="F34" s="167">
        <f t="shared" si="14"/>
        <v>0</v>
      </c>
      <c r="G34" s="166"/>
      <c r="H34" s="167">
        <f t="shared" si="15"/>
        <v>0</v>
      </c>
      <c r="I34" s="167">
        <f t="shared" si="10"/>
        <v>0</v>
      </c>
      <c r="J34" s="167">
        <f>IF(C34="","",IF(F34=0,0,IF(C34&lt;='Tabla Parámetros'!$J$23,I34,IF($E$2='Tabla Parámetros'!$J$19,(($H$2/1000*'Tabla Parámetros'!$K$19)/30.4*C34)*1.0212,IF($E$2='Tabla Parámetros'!$J$20,($H$2/1000*'Tabla Parámetros'!$K$20)/30.4*C34)*1.0201))))+N34+O34</f>
        <v>0</v>
      </c>
      <c r="K34" s="167">
        <f t="shared" si="3"/>
        <v>0</v>
      </c>
      <c r="L34" s="167">
        <f t="shared" si="11"/>
        <v>0</v>
      </c>
      <c r="M34" s="167">
        <f>IF(B34="","",IF(F34=0,0,IF(Simulador!$F$11='Tabla Parámetros'!$W$1,'Tabla Parámetros'!$W$28,IF(Simulador!$F$11='Tabla Parámetros'!$Y$1,'Tabla Parámetros'!$Y$12))))</f>
        <v>0</v>
      </c>
      <c r="N34" s="167"/>
      <c r="O34" s="167"/>
      <c r="P34" s="172">
        <f t="shared" si="12"/>
        <v>0</v>
      </c>
      <c r="Q34" s="167">
        <f t="shared" si="17"/>
        <v>0</v>
      </c>
      <c r="T34" s="6"/>
      <c r="U34" s="6"/>
      <c r="V34" s="6"/>
      <c r="W34" s="29">
        <f t="shared" si="7"/>
        <v>0</v>
      </c>
    </row>
    <row r="35" spans="2:23" x14ac:dyDescent="0.3">
      <c r="B35" s="181">
        <f t="shared" si="9"/>
        <v>18</v>
      </c>
      <c r="C35" s="180">
        <f t="shared" si="16"/>
        <v>30.4</v>
      </c>
      <c r="D35" s="193">
        <f t="shared" si="13"/>
        <v>0.11</v>
      </c>
      <c r="E35" s="167"/>
      <c r="F35" s="167">
        <f t="shared" si="14"/>
        <v>0</v>
      </c>
      <c r="G35" s="166"/>
      <c r="H35" s="167">
        <f t="shared" si="15"/>
        <v>0</v>
      </c>
      <c r="I35" s="167">
        <f t="shared" si="10"/>
        <v>0</v>
      </c>
      <c r="J35" s="167">
        <f>IF(C35="","",IF(F35=0,0,IF(C35&lt;='Tabla Parámetros'!$J$23,I35,IF($E$2='Tabla Parámetros'!$J$19,(($H$2/1000*'Tabla Parámetros'!$K$19)/30.4*C35)*1.0212,IF($E$2='Tabla Parámetros'!$J$20,($H$2/1000*'Tabla Parámetros'!$K$20)/30.4*C35)*1.0201))))+N35+O35</f>
        <v>0</v>
      </c>
      <c r="K35" s="167">
        <f t="shared" si="3"/>
        <v>0</v>
      </c>
      <c r="L35" s="167">
        <f t="shared" si="11"/>
        <v>0</v>
      </c>
      <c r="M35" s="167">
        <f>IF(B35="","",IF(F35=0,0,IF(Simulador!$F$11='Tabla Parámetros'!$W$1,'Tabla Parámetros'!$W$28,IF(Simulador!$F$11='Tabla Parámetros'!$Y$1,'Tabla Parámetros'!$Y$12))))</f>
        <v>0</v>
      </c>
      <c r="N35" s="167"/>
      <c r="O35" s="167"/>
      <c r="P35" s="172">
        <f t="shared" si="12"/>
        <v>0</v>
      </c>
      <c r="Q35" s="167">
        <f t="shared" si="17"/>
        <v>0</v>
      </c>
      <c r="T35" s="6"/>
      <c r="U35" s="6"/>
      <c r="V35" s="6"/>
      <c r="W35" s="29">
        <f t="shared" si="7"/>
        <v>0</v>
      </c>
    </row>
    <row r="36" spans="2:23" x14ac:dyDescent="0.3">
      <c r="B36" s="181">
        <f t="shared" si="9"/>
        <v>19</v>
      </c>
      <c r="C36" s="180">
        <f t="shared" si="16"/>
        <v>30.4</v>
      </c>
      <c r="D36" s="193">
        <f t="shared" si="13"/>
        <v>0.11</v>
      </c>
      <c r="E36" s="167"/>
      <c r="F36" s="167">
        <f t="shared" si="14"/>
        <v>0</v>
      </c>
      <c r="G36" s="166"/>
      <c r="H36" s="167">
        <f t="shared" si="15"/>
        <v>0</v>
      </c>
      <c r="I36" s="167">
        <f t="shared" si="10"/>
        <v>0</v>
      </c>
      <c r="J36" s="167">
        <f>IF(C36="","",IF(F36=0,0,IF(C36&lt;='Tabla Parámetros'!$J$23,I36,IF($E$2='Tabla Parámetros'!$J$19,(($H$2/1000*'Tabla Parámetros'!$K$19)/30.4*C36)*1.0212,IF($E$2='Tabla Parámetros'!$J$20,($H$2/1000*'Tabla Parámetros'!$K$20)/30.4*C36)*1.0201))))+N36+O36</f>
        <v>0</v>
      </c>
      <c r="K36" s="167">
        <f t="shared" si="3"/>
        <v>0</v>
      </c>
      <c r="L36" s="167">
        <f t="shared" si="11"/>
        <v>0</v>
      </c>
      <c r="M36" s="167">
        <f>IF(B36="","",IF(F36=0,0,IF(Simulador!$F$11='Tabla Parámetros'!$W$1,'Tabla Parámetros'!$W$28,IF(Simulador!$F$11='Tabla Parámetros'!$Y$1,'Tabla Parámetros'!$Y$12))))</f>
        <v>0</v>
      </c>
      <c r="N36" s="167"/>
      <c r="O36" s="167"/>
      <c r="P36" s="172">
        <f t="shared" si="12"/>
        <v>0</v>
      </c>
      <c r="Q36" s="167">
        <f t="shared" si="17"/>
        <v>0</v>
      </c>
      <c r="T36" s="6"/>
      <c r="U36" s="6"/>
      <c r="V36" s="6"/>
      <c r="W36" s="29">
        <f t="shared" si="7"/>
        <v>0</v>
      </c>
    </row>
    <row r="37" spans="2:23" x14ac:dyDescent="0.3">
      <c r="B37" s="181">
        <f t="shared" si="9"/>
        <v>20</v>
      </c>
      <c r="C37" s="180">
        <f t="shared" si="16"/>
        <v>30.4</v>
      </c>
      <c r="D37" s="193">
        <f t="shared" si="13"/>
        <v>0.11</v>
      </c>
      <c r="E37" s="167"/>
      <c r="F37" s="167">
        <f t="shared" si="14"/>
        <v>0</v>
      </c>
      <c r="G37" s="166"/>
      <c r="H37" s="167">
        <f t="shared" si="15"/>
        <v>0</v>
      </c>
      <c r="I37" s="167">
        <f t="shared" si="10"/>
        <v>0</v>
      </c>
      <c r="J37" s="167">
        <f>IF(C37="","",IF(F37=0,0,IF(C37&lt;='Tabla Parámetros'!$J$23,I37,IF($E$2='Tabla Parámetros'!$J$19,(($H$2/1000*'Tabla Parámetros'!$K$19)/30.4*C37)*1.0212,IF($E$2='Tabla Parámetros'!$J$20,($H$2/1000*'Tabla Parámetros'!$K$20)/30.4*C37)*1.0201))))+N37+O37</f>
        <v>0</v>
      </c>
      <c r="K37" s="167">
        <f t="shared" si="3"/>
        <v>0</v>
      </c>
      <c r="L37" s="167">
        <f t="shared" si="11"/>
        <v>0</v>
      </c>
      <c r="M37" s="167">
        <f>IF(B37="","",IF(F37=0,0,IF(Simulador!$F$11='Tabla Parámetros'!$W$1,'Tabla Parámetros'!$W$28,IF(Simulador!$F$11='Tabla Parámetros'!$Y$1,'Tabla Parámetros'!$Y$12))))</f>
        <v>0</v>
      </c>
      <c r="N37" s="167"/>
      <c r="O37" s="167"/>
      <c r="P37" s="172">
        <f t="shared" si="12"/>
        <v>0</v>
      </c>
      <c r="Q37" s="167">
        <f t="shared" si="17"/>
        <v>0</v>
      </c>
      <c r="T37" s="6"/>
      <c r="U37" s="6"/>
      <c r="V37" s="6"/>
      <c r="W37" s="29">
        <f t="shared" si="7"/>
        <v>0</v>
      </c>
    </row>
    <row r="38" spans="2:23" x14ac:dyDescent="0.3">
      <c r="B38" s="181">
        <f t="shared" si="9"/>
        <v>21</v>
      </c>
      <c r="C38" s="180">
        <f t="shared" si="16"/>
        <v>30.4</v>
      </c>
      <c r="D38" s="193">
        <f t="shared" si="13"/>
        <v>0.11</v>
      </c>
      <c r="E38" s="167"/>
      <c r="F38" s="167">
        <f t="shared" si="14"/>
        <v>0</v>
      </c>
      <c r="G38" s="166"/>
      <c r="H38" s="167">
        <f t="shared" si="15"/>
        <v>0</v>
      </c>
      <c r="I38" s="167">
        <f t="shared" si="10"/>
        <v>0</v>
      </c>
      <c r="J38" s="167">
        <f>IF(C38="","",IF(F38=0,0,IF(C38&lt;='Tabla Parámetros'!$J$23,I38,IF($E$2='Tabla Parámetros'!$J$19,(($H$2/1000*'Tabla Parámetros'!$K$19)/30.4*C38)*1.0212,IF($E$2='Tabla Parámetros'!$J$20,($H$2/1000*'Tabla Parámetros'!$K$20)/30.4*C38)*1.0201))))+N38+O38</f>
        <v>0</v>
      </c>
      <c r="K38" s="167">
        <f t="shared" si="3"/>
        <v>0</v>
      </c>
      <c r="L38" s="167">
        <f t="shared" si="11"/>
        <v>0</v>
      </c>
      <c r="M38" s="167">
        <f>IF(B38="","",IF(F38=0,0,IF(Simulador!$F$11='Tabla Parámetros'!$W$1,'Tabla Parámetros'!$W$28,IF(Simulador!$F$11='Tabla Parámetros'!$Y$1,'Tabla Parámetros'!$Y$12))))</f>
        <v>0</v>
      </c>
      <c r="N38" s="167"/>
      <c r="O38" s="167"/>
      <c r="P38" s="172">
        <f t="shared" si="12"/>
        <v>0</v>
      </c>
      <c r="Q38" s="167">
        <f t="shared" si="17"/>
        <v>0</v>
      </c>
      <c r="T38" s="6"/>
      <c r="U38" s="6"/>
      <c r="V38" s="6"/>
      <c r="W38" s="29">
        <f t="shared" si="7"/>
        <v>0</v>
      </c>
    </row>
    <row r="39" spans="2:23" x14ac:dyDescent="0.3">
      <c r="B39" s="181">
        <f t="shared" si="9"/>
        <v>22</v>
      </c>
      <c r="C39" s="180">
        <f t="shared" si="16"/>
        <v>30.4</v>
      </c>
      <c r="D39" s="193">
        <f t="shared" si="13"/>
        <v>0.11</v>
      </c>
      <c r="E39" s="167"/>
      <c r="F39" s="167">
        <f t="shared" si="14"/>
        <v>0</v>
      </c>
      <c r="G39" s="166"/>
      <c r="H39" s="167">
        <f t="shared" si="15"/>
        <v>0</v>
      </c>
      <c r="I39" s="167">
        <f t="shared" si="10"/>
        <v>0</v>
      </c>
      <c r="J39" s="167">
        <f>IF(C39="","",IF(F39=0,0,IF(C39&lt;='Tabla Parámetros'!$J$23,I39,IF($E$2='Tabla Parámetros'!$J$19,(($H$2/1000*'Tabla Parámetros'!$K$19)/30.4*C39)*1.0212,IF($E$2='Tabla Parámetros'!$J$20,($H$2/1000*'Tabla Parámetros'!$K$20)/30.4*C39)*1.0201))))+N39+O39</f>
        <v>0</v>
      </c>
      <c r="K39" s="167">
        <f t="shared" si="3"/>
        <v>0</v>
      </c>
      <c r="L39" s="167">
        <f t="shared" si="11"/>
        <v>0</v>
      </c>
      <c r="M39" s="167">
        <f>IF(B39="","",IF(F39=0,0,IF(Simulador!$F$11='Tabla Parámetros'!$W$1,'Tabla Parámetros'!$W$28,IF(Simulador!$F$11='Tabla Parámetros'!$Y$1,'Tabla Parámetros'!$Y$12))))</f>
        <v>0</v>
      </c>
      <c r="N39" s="167"/>
      <c r="O39" s="167"/>
      <c r="P39" s="172">
        <f t="shared" si="12"/>
        <v>0</v>
      </c>
      <c r="Q39" s="167">
        <f t="shared" si="17"/>
        <v>0</v>
      </c>
      <c r="T39" s="6"/>
      <c r="U39" s="6"/>
      <c r="V39" s="6"/>
      <c r="W39" s="29">
        <f t="shared" si="7"/>
        <v>0</v>
      </c>
    </row>
    <row r="40" spans="2:23" x14ac:dyDescent="0.3">
      <c r="B40" s="181">
        <f t="shared" si="9"/>
        <v>23</v>
      </c>
      <c r="C40" s="180">
        <f t="shared" si="16"/>
        <v>30.4</v>
      </c>
      <c r="D40" s="193">
        <f t="shared" si="13"/>
        <v>0.11</v>
      </c>
      <c r="E40" s="167"/>
      <c r="F40" s="167">
        <f t="shared" si="14"/>
        <v>0</v>
      </c>
      <c r="G40" s="166"/>
      <c r="H40" s="167">
        <f t="shared" si="15"/>
        <v>0</v>
      </c>
      <c r="I40" s="167">
        <f t="shared" si="10"/>
        <v>0</v>
      </c>
      <c r="J40" s="167">
        <f>IF(C40="","",IF(F40=0,0,IF(C40&lt;='Tabla Parámetros'!$J$23,I40,IF($E$2='Tabla Parámetros'!$J$19,(($H$2/1000*'Tabla Parámetros'!$K$19)/30.4*C40)*1.0212,IF($E$2='Tabla Parámetros'!$J$20,($H$2/1000*'Tabla Parámetros'!$K$20)/30.4*C40)*1.0201))))+N40+O40</f>
        <v>0</v>
      </c>
      <c r="K40" s="167">
        <f t="shared" si="3"/>
        <v>0</v>
      </c>
      <c r="L40" s="167">
        <f t="shared" si="11"/>
        <v>0</v>
      </c>
      <c r="M40" s="167">
        <f>IF(B40="","",IF(F40=0,0,IF(Simulador!$F$11='Tabla Parámetros'!$W$1,'Tabla Parámetros'!$W$28,IF(Simulador!$F$11='Tabla Parámetros'!$Y$1,'Tabla Parámetros'!$Y$12))))</f>
        <v>0</v>
      </c>
      <c r="N40" s="167"/>
      <c r="O40" s="167"/>
      <c r="P40" s="172">
        <f t="shared" si="12"/>
        <v>0</v>
      </c>
      <c r="Q40" s="167">
        <f t="shared" si="17"/>
        <v>0</v>
      </c>
      <c r="T40" s="6"/>
      <c r="U40" s="6"/>
      <c r="V40" s="6"/>
      <c r="W40" s="29">
        <f t="shared" si="7"/>
        <v>0</v>
      </c>
    </row>
    <row r="41" spans="2:23" x14ac:dyDescent="0.3">
      <c r="B41" s="181">
        <f t="shared" si="9"/>
        <v>24</v>
      </c>
      <c r="C41" s="180">
        <f t="shared" si="16"/>
        <v>30.4</v>
      </c>
      <c r="D41" s="193">
        <f t="shared" si="13"/>
        <v>0.11</v>
      </c>
      <c r="E41" s="167"/>
      <c r="F41" s="167">
        <f t="shared" si="14"/>
        <v>0</v>
      </c>
      <c r="G41" s="166"/>
      <c r="H41" s="167">
        <f t="shared" si="15"/>
        <v>0</v>
      </c>
      <c r="I41" s="167">
        <f t="shared" si="10"/>
        <v>0</v>
      </c>
      <c r="J41" s="167">
        <f>IF(C41="","",IF(F41=0,0,IF(C41&lt;='Tabla Parámetros'!$J$23,I41,IF($E$2='Tabla Parámetros'!$J$19,(($H$2/1000*'Tabla Parámetros'!$K$19)/30.4*C41)*1.0212,IF($E$2='Tabla Parámetros'!$J$20,($H$2/1000*'Tabla Parámetros'!$K$20)/30.4*C41)*1.0201))))+N41+O41</f>
        <v>0</v>
      </c>
      <c r="K41" s="167">
        <f t="shared" si="3"/>
        <v>0</v>
      </c>
      <c r="L41" s="167">
        <f t="shared" si="11"/>
        <v>0</v>
      </c>
      <c r="M41" s="167">
        <f>IF(B41="","",IF(F41=0,0,IF(Simulador!$F$11='Tabla Parámetros'!$W$1,'Tabla Parámetros'!$W$28,IF(Simulador!$F$11='Tabla Parámetros'!$Y$1,'Tabla Parámetros'!$Y$12))))</f>
        <v>0</v>
      </c>
      <c r="N41" s="167"/>
      <c r="O41" s="167"/>
      <c r="P41" s="172">
        <f t="shared" si="12"/>
        <v>0</v>
      </c>
      <c r="Q41" s="167">
        <f t="shared" si="17"/>
        <v>0</v>
      </c>
      <c r="T41" s="6"/>
      <c r="U41" s="6"/>
      <c r="V41" s="6"/>
      <c r="W41" s="29">
        <f t="shared" si="7"/>
        <v>0</v>
      </c>
    </row>
    <row r="42" spans="2:23" x14ac:dyDescent="0.3">
      <c r="B42" s="181">
        <f t="shared" si="9"/>
        <v>25</v>
      </c>
      <c r="C42" s="180">
        <f t="shared" si="16"/>
        <v>30.4</v>
      </c>
      <c r="D42" s="193">
        <f t="shared" si="13"/>
        <v>0.11</v>
      </c>
      <c r="E42" s="167"/>
      <c r="F42" s="167">
        <f t="shared" si="14"/>
        <v>0</v>
      </c>
      <c r="G42" s="166"/>
      <c r="H42" s="167">
        <f t="shared" si="15"/>
        <v>0</v>
      </c>
      <c r="I42" s="167">
        <f t="shared" si="10"/>
        <v>0</v>
      </c>
      <c r="J42" s="167">
        <f>IF(C42="","",IF(F42=0,0,IF(C42&lt;='Tabla Parámetros'!$J$23,I42,IF($E$2='Tabla Parámetros'!$J$19,(($H$2/1000*'Tabla Parámetros'!$K$19)/30.4*C42)*1.0212,IF($E$2='Tabla Parámetros'!$J$20,($H$2/1000*'Tabla Parámetros'!$K$20)/30.4*C42)*1.0201))))+N42+O42</f>
        <v>0</v>
      </c>
      <c r="K42" s="167">
        <f t="shared" si="3"/>
        <v>0</v>
      </c>
      <c r="L42" s="167">
        <f t="shared" si="11"/>
        <v>0</v>
      </c>
      <c r="M42" s="167">
        <f>IF(B42="","",IF(F42=0,0,IF(Simulador!$F$11='Tabla Parámetros'!$W$1,'Tabla Parámetros'!$W$28,IF(Simulador!$F$11='Tabla Parámetros'!$Y$1,'Tabla Parámetros'!$Y$12))))</f>
        <v>0</v>
      </c>
      <c r="N42" s="167"/>
      <c r="O42" s="167"/>
      <c r="P42" s="172">
        <f t="shared" si="12"/>
        <v>0</v>
      </c>
      <c r="Q42" s="167">
        <f t="shared" si="17"/>
        <v>0</v>
      </c>
      <c r="T42" s="6"/>
      <c r="U42" s="6"/>
      <c r="V42" s="6"/>
      <c r="W42" s="29">
        <f t="shared" si="7"/>
        <v>0</v>
      </c>
    </row>
    <row r="43" spans="2:23" x14ac:dyDescent="0.3">
      <c r="B43" s="181">
        <f t="shared" si="9"/>
        <v>26</v>
      </c>
      <c r="C43" s="180">
        <f t="shared" si="16"/>
        <v>30.4</v>
      </c>
      <c r="D43" s="193">
        <f t="shared" si="13"/>
        <v>0.11</v>
      </c>
      <c r="E43" s="167"/>
      <c r="F43" s="167">
        <f t="shared" si="14"/>
        <v>0</v>
      </c>
      <c r="G43" s="166"/>
      <c r="H43" s="167">
        <f t="shared" si="15"/>
        <v>0</v>
      </c>
      <c r="I43" s="167">
        <f t="shared" si="10"/>
        <v>0</v>
      </c>
      <c r="J43" s="167">
        <f>IF(C43="","",IF(F43=0,0,IF(C43&lt;='Tabla Parámetros'!$J$23,I43,IF($E$2='Tabla Parámetros'!$J$19,((($H$2/1000*'Tabla Parámetros'!$K$19)/30.4*C43*1.0212)*1.0212),IF($E$2='Tabla Parámetros'!$J$20,($H$2/1000*'Tabla Parámetros'!$K$20)/30.4*C43)*1.0201)*1.0201)))+N43+O43</f>
        <v>0</v>
      </c>
      <c r="K43" s="167">
        <f t="shared" si="3"/>
        <v>0</v>
      </c>
      <c r="L43" s="167">
        <f t="shared" si="11"/>
        <v>0</v>
      </c>
      <c r="M43" s="167">
        <f>IF(B43="","",IF(F43=0,0,IF(Simulador!$F$11='Tabla Parámetros'!$W$1,'Tabla Parámetros'!$W$28,IF(Simulador!$F$11='Tabla Parámetros'!$Y$1,'Tabla Parámetros'!$Y$12))))</f>
        <v>0</v>
      </c>
      <c r="N43" s="167"/>
      <c r="O43" s="167"/>
      <c r="P43" s="172">
        <f t="shared" si="12"/>
        <v>0</v>
      </c>
      <c r="Q43" s="167">
        <f t="shared" si="17"/>
        <v>0</v>
      </c>
      <c r="T43" s="6"/>
      <c r="U43" s="6"/>
      <c r="V43" s="6"/>
      <c r="W43" s="29">
        <f t="shared" si="7"/>
        <v>0</v>
      </c>
    </row>
    <row r="44" spans="2:23" x14ac:dyDescent="0.3">
      <c r="B44" s="181">
        <f t="shared" si="9"/>
        <v>27</v>
      </c>
      <c r="C44" s="180">
        <f t="shared" si="16"/>
        <v>30.4</v>
      </c>
      <c r="D44" s="193">
        <f t="shared" si="13"/>
        <v>0.11</v>
      </c>
      <c r="E44" s="167"/>
      <c r="F44" s="167">
        <f t="shared" si="14"/>
        <v>0</v>
      </c>
      <c r="G44" s="166"/>
      <c r="H44" s="167">
        <f t="shared" si="15"/>
        <v>0</v>
      </c>
      <c r="I44" s="167">
        <f t="shared" si="10"/>
        <v>0</v>
      </c>
      <c r="J44" s="167">
        <f>IF(C44="","",IF(F44=0,0,IF(C44&lt;='Tabla Parámetros'!$J$23,I44,IF($E$2='Tabla Parámetros'!$J$19,((($H$2/1000*'Tabla Parámetros'!$K$19)/30.4*C44*1.0212)*1.0212),IF($E$2='Tabla Parámetros'!$J$20,($H$2/1000*'Tabla Parámetros'!$K$20)/30.4*C44)*1.0201)*1.0201)))+N44+O44</f>
        <v>0</v>
      </c>
      <c r="K44" s="167">
        <f t="shared" si="3"/>
        <v>0</v>
      </c>
      <c r="L44" s="167">
        <f t="shared" si="11"/>
        <v>0</v>
      </c>
      <c r="M44" s="167">
        <f>IF(B44="","",IF(F44=0,0,IF(Simulador!$F$11='Tabla Parámetros'!$W$1,'Tabla Parámetros'!$W$28,IF(Simulador!$F$11='Tabla Parámetros'!$Y$1,'Tabla Parámetros'!$Y$12))))</f>
        <v>0</v>
      </c>
      <c r="N44" s="167"/>
      <c r="O44" s="167"/>
      <c r="P44" s="172">
        <f t="shared" si="12"/>
        <v>0</v>
      </c>
      <c r="Q44" s="167">
        <f t="shared" si="17"/>
        <v>0</v>
      </c>
      <c r="T44" s="6"/>
      <c r="U44" s="6"/>
      <c r="V44" s="6"/>
      <c r="W44" s="29">
        <f t="shared" si="7"/>
        <v>0</v>
      </c>
    </row>
    <row r="45" spans="2:23" x14ac:dyDescent="0.3">
      <c r="B45" s="181">
        <f t="shared" si="9"/>
        <v>28</v>
      </c>
      <c r="C45" s="180">
        <f t="shared" si="16"/>
        <v>30.4</v>
      </c>
      <c r="D45" s="193">
        <f t="shared" si="13"/>
        <v>0.11</v>
      </c>
      <c r="E45" s="167"/>
      <c r="F45" s="167">
        <f t="shared" si="14"/>
        <v>0</v>
      </c>
      <c r="G45" s="166"/>
      <c r="H45" s="167">
        <f t="shared" si="15"/>
        <v>0</v>
      </c>
      <c r="I45" s="167">
        <f t="shared" si="10"/>
        <v>0</v>
      </c>
      <c r="J45" s="167">
        <f>IF(C45="","",IF(F45=0,0,IF(C45&lt;='Tabla Parámetros'!$J$23,I45,IF($E$2='Tabla Parámetros'!$J$19,((($H$2/1000*'Tabla Parámetros'!$K$19)/30.4*C45*1.0212)*1.0212),IF($E$2='Tabla Parámetros'!$J$20,($H$2/1000*'Tabla Parámetros'!$K$20)/30.4*C45)*1.0201)*1.0201)))+N45+O45</f>
        <v>0</v>
      </c>
      <c r="K45" s="167">
        <f t="shared" si="3"/>
        <v>0</v>
      </c>
      <c r="L45" s="167">
        <f t="shared" si="11"/>
        <v>0</v>
      </c>
      <c r="M45" s="167">
        <f>IF(B45="","",IF(F45=0,0,IF(Simulador!$F$11='Tabla Parámetros'!$W$1,'Tabla Parámetros'!$W$28,IF(Simulador!$F$11='Tabla Parámetros'!$Y$1,'Tabla Parámetros'!$Y$12))))</f>
        <v>0</v>
      </c>
      <c r="N45" s="167"/>
      <c r="O45" s="167"/>
      <c r="P45" s="172">
        <f t="shared" si="12"/>
        <v>0</v>
      </c>
      <c r="Q45" s="167">
        <f t="shared" si="17"/>
        <v>0</v>
      </c>
      <c r="T45" s="6"/>
      <c r="U45" s="6"/>
      <c r="V45" s="6"/>
      <c r="W45" s="29">
        <f t="shared" si="7"/>
        <v>0</v>
      </c>
    </row>
    <row r="46" spans="2:23" x14ac:dyDescent="0.3">
      <c r="B46" s="181">
        <f t="shared" si="9"/>
        <v>29</v>
      </c>
      <c r="C46" s="180">
        <f t="shared" si="16"/>
        <v>30.4</v>
      </c>
      <c r="D46" s="193">
        <f t="shared" si="13"/>
        <v>0.11</v>
      </c>
      <c r="E46" s="167"/>
      <c r="F46" s="167">
        <f t="shared" si="14"/>
        <v>0</v>
      </c>
      <c r="G46" s="166"/>
      <c r="H46" s="167">
        <f t="shared" si="15"/>
        <v>0</v>
      </c>
      <c r="I46" s="167">
        <f t="shared" si="10"/>
        <v>0</v>
      </c>
      <c r="J46" s="167">
        <f>IF(C46="","",IF(F46=0,0,IF(C46&lt;='Tabla Parámetros'!$J$23,I46,IF($E$2='Tabla Parámetros'!$J$19,((($H$2/1000*'Tabla Parámetros'!$K$19)/30.4*C46*1.0212)*1.0212),IF($E$2='Tabla Parámetros'!$J$20,($H$2/1000*'Tabla Parámetros'!$K$20)/30.4*C46)*1.0201)*1.0201)))+N46+O46</f>
        <v>0</v>
      </c>
      <c r="K46" s="167">
        <f t="shared" si="3"/>
        <v>0</v>
      </c>
      <c r="L46" s="167">
        <f t="shared" si="11"/>
        <v>0</v>
      </c>
      <c r="M46" s="167">
        <f>IF(B46="","",IF(F46=0,0,IF(Simulador!$F$11='Tabla Parámetros'!$W$1,'Tabla Parámetros'!$W$28,IF(Simulador!$F$11='Tabla Parámetros'!$Y$1,'Tabla Parámetros'!$Y$12))))</f>
        <v>0</v>
      </c>
      <c r="N46" s="167"/>
      <c r="O46" s="167"/>
      <c r="P46" s="172">
        <f t="shared" si="12"/>
        <v>0</v>
      </c>
      <c r="Q46" s="167">
        <f t="shared" si="17"/>
        <v>0</v>
      </c>
      <c r="T46" s="6"/>
      <c r="U46" s="6"/>
      <c r="V46" s="6"/>
      <c r="W46" s="29">
        <f t="shared" si="7"/>
        <v>0</v>
      </c>
    </row>
    <row r="47" spans="2:23" x14ac:dyDescent="0.3">
      <c r="B47" s="181">
        <f t="shared" si="9"/>
        <v>30</v>
      </c>
      <c r="C47" s="180">
        <f t="shared" si="16"/>
        <v>30.4</v>
      </c>
      <c r="D47" s="193">
        <f t="shared" si="13"/>
        <v>0.11</v>
      </c>
      <c r="E47" s="167"/>
      <c r="F47" s="167">
        <f t="shared" si="14"/>
        <v>0</v>
      </c>
      <c r="G47" s="166"/>
      <c r="H47" s="167">
        <f t="shared" si="15"/>
        <v>0</v>
      </c>
      <c r="I47" s="167">
        <f t="shared" si="10"/>
        <v>0</v>
      </c>
      <c r="J47" s="167">
        <f>IF(C47="","",IF(F47=0,0,IF(C47&lt;='Tabla Parámetros'!$J$23,I47,IF($E$2='Tabla Parámetros'!$J$19,((($H$2/1000*'Tabla Parámetros'!$K$19)/30.4*C47*1.0212)*1.0212),IF($E$2='Tabla Parámetros'!$J$20,($H$2/1000*'Tabla Parámetros'!$K$20)/30.4*C47)*1.0201)*1.0201)))+N47+O47</f>
        <v>0</v>
      </c>
      <c r="K47" s="167">
        <f t="shared" si="3"/>
        <v>0</v>
      </c>
      <c r="L47" s="167">
        <f t="shared" si="11"/>
        <v>0</v>
      </c>
      <c r="M47" s="167">
        <f>IF(B47="","",IF(F47=0,0,IF(Simulador!$F$11='Tabla Parámetros'!$W$1,'Tabla Parámetros'!$W$28,IF(Simulador!$F$11='Tabla Parámetros'!$Y$1,'Tabla Parámetros'!$Y$12))))</f>
        <v>0</v>
      </c>
      <c r="N47" s="167"/>
      <c r="O47" s="167"/>
      <c r="P47" s="172">
        <f t="shared" si="12"/>
        <v>0</v>
      </c>
      <c r="Q47" s="167">
        <f t="shared" si="17"/>
        <v>0</v>
      </c>
      <c r="T47" s="6"/>
      <c r="U47" s="6"/>
      <c r="V47" s="6"/>
      <c r="W47" s="29">
        <f t="shared" si="7"/>
        <v>0</v>
      </c>
    </row>
    <row r="48" spans="2:23" x14ac:dyDescent="0.3">
      <c r="B48" s="181">
        <f t="shared" si="9"/>
        <v>31</v>
      </c>
      <c r="C48" s="180">
        <f t="shared" si="16"/>
        <v>30.4</v>
      </c>
      <c r="D48" s="193">
        <f t="shared" si="13"/>
        <v>0.11</v>
      </c>
      <c r="E48" s="167"/>
      <c r="F48" s="167">
        <f t="shared" si="14"/>
        <v>0</v>
      </c>
      <c r="G48" s="166"/>
      <c r="H48" s="167">
        <f t="shared" si="15"/>
        <v>0</v>
      </c>
      <c r="I48" s="167">
        <f t="shared" si="10"/>
        <v>0</v>
      </c>
      <c r="J48" s="167">
        <f>IF(C48="","",IF(F48=0,0,IF(C48&lt;='Tabla Parámetros'!$J$23,I48,IF($E$2='Tabla Parámetros'!$J$19,((($H$2/1000*'Tabla Parámetros'!$K$19)/30.4*C48*1.0212)*1.0212),IF($E$2='Tabla Parámetros'!$J$20,($H$2/1000*'Tabla Parámetros'!$K$20)/30.4*C48)*1.0201)*1.0201)))+N48+O48</f>
        <v>0</v>
      </c>
      <c r="K48" s="167">
        <f t="shared" si="3"/>
        <v>0</v>
      </c>
      <c r="L48" s="167">
        <f t="shared" si="11"/>
        <v>0</v>
      </c>
      <c r="M48" s="167">
        <f>IF(B48="","",IF(F48=0,0,IF(Simulador!$F$11='Tabla Parámetros'!$W$1,'Tabla Parámetros'!$W$28,IF(Simulador!$F$11='Tabla Parámetros'!$Y$1,'Tabla Parámetros'!$Y$12))))</f>
        <v>0</v>
      </c>
      <c r="N48" s="167"/>
      <c r="O48" s="167"/>
      <c r="P48" s="172">
        <f t="shared" si="12"/>
        <v>0</v>
      </c>
      <c r="Q48" s="167">
        <f t="shared" si="17"/>
        <v>0</v>
      </c>
      <c r="T48" s="6"/>
      <c r="U48" s="6"/>
      <c r="V48" s="6"/>
      <c r="W48" s="29">
        <f t="shared" si="7"/>
        <v>0</v>
      </c>
    </row>
    <row r="49" spans="2:23" x14ac:dyDescent="0.3">
      <c r="B49" s="181">
        <f t="shared" si="9"/>
        <v>32</v>
      </c>
      <c r="C49" s="180">
        <f t="shared" si="16"/>
        <v>30.4</v>
      </c>
      <c r="D49" s="193">
        <f t="shared" si="13"/>
        <v>0.11</v>
      </c>
      <c r="E49" s="167"/>
      <c r="F49" s="167">
        <f t="shared" si="14"/>
        <v>0</v>
      </c>
      <c r="G49" s="166"/>
      <c r="H49" s="167">
        <f t="shared" si="15"/>
        <v>0</v>
      </c>
      <c r="I49" s="167">
        <f t="shared" si="10"/>
        <v>0</v>
      </c>
      <c r="J49" s="167">
        <f>IF(C49="","",IF(F49=0,0,IF(C49&lt;='Tabla Parámetros'!$J$23,I49,IF($E$2='Tabla Parámetros'!$J$19,((($H$2/1000*'Tabla Parámetros'!$K$19)/30.4*C49*1.0212)*1.0212),IF($E$2='Tabla Parámetros'!$J$20,($H$2/1000*'Tabla Parámetros'!$K$20)/30.4*C49)*1.0201)*1.0201)))+N49+O49</f>
        <v>0</v>
      </c>
      <c r="K49" s="167">
        <f t="shared" si="3"/>
        <v>0</v>
      </c>
      <c r="L49" s="167">
        <f t="shared" si="11"/>
        <v>0</v>
      </c>
      <c r="M49" s="167">
        <f>IF(B49="","",IF(F49=0,0,IF(Simulador!$F$11='Tabla Parámetros'!$W$1,'Tabla Parámetros'!$W$28,IF(Simulador!$F$11='Tabla Parámetros'!$Y$1,'Tabla Parámetros'!$Y$12))))</f>
        <v>0</v>
      </c>
      <c r="N49" s="167"/>
      <c r="O49" s="167"/>
      <c r="P49" s="172">
        <f t="shared" si="12"/>
        <v>0</v>
      </c>
      <c r="Q49" s="167">
        <f t="shared" si="17"/>
        <v>0</v>
      </c>
      <c r="T49" s="6"/>
      <c r="U49" s="6"/>
      <c r="V49" s="6"/>
      <c r="W49" s="29">
        <f t="shared" si="7"/>
        <v>0</v>
      </c>
    </row>
    <row r="50" spans="2:23" x14ac:dyDescent="0.3">
      <c r="B50" s="181">
        <f t="shared" si="9"/>
        <v>33</v>
      </c>
      <c r="C50" s="180">
        <f t="shared" si="16"/>
        <v>30.4</v>
      </c>
      <c r="D50" s="193">
        <f t="shared" si="13"/>
        <v>0.11</v>
      </c>
      <c r="E50" s="167"/>
      <c r="F50" s="167">
        <f t="shared" si="14"/>
        <v>0</v>
      </c>
      <c r="G50" s="166"/>
      <c r="H50" s="167">
        <f t="shared" si="15"/>
        <v>0</v>
      </c>
      <c r="I50" s="167">
        <f t="shared" si="10"/>
        <v>0</v>
      </c>
      <c r="J50" s="167">
        <f>IF(C50="","",IF(F50=0,0,IF(C50&lt;='Tabla Parámetros'!$J$23,I50,IF($E$2='Tabla Parámetros'!$J$19,((($H$2/1000*'Tabla Parámetros'!$K$19)/30.4*C50*1.0212)*1.0212),IF($E$2='Tabla Parámetros'!$J$20,($H$2/1000*'Tabla Parámetros'!$K$20)/30.4*C50)*1.0201)*1.0201)))+N50+O50</f>
        <v>0</v>
      </c>
      <c r="K50" s="167">
        <f t="shared" si="3"/>
        <v>0</v>
      </c>
      <c r="L50" s="167">
        <f t="shared" si="11"/>
        <v>0</v>
      </c>
      <c r="M50" s="167">
        <f>IF(B50="","",IF(F50=0,0,IF(Simulador!$F$11='Tabla Parámetros'!$W$1,'Tabla Parámetros'!$W$28,IF(Simulador!$F$11='Tabla Parámetros'!$Y$1,'Tabla Parámetros'!$Y$12))))</f>
        <v>0</v>
      </c>
      <c r="N50" s="167"/>
      <c r="O50" s="167"/>
      <c r="P50" s="172">
        <f t="shared" si="12"/>
        <v>0</v>
      </c>
      <c r="Q50" s="167">
        <f t="shared" si="17"/>
        <v>0</v>
      </c>
      <c r="T50" s="6"/>
      <c r="U50" s="6"/>
      <c r="V50" s="6"/>
      <c r="W50" s="29">
        <f t="shared" si="7"/>
        <v>0</v>
      </c>
    </row>
    <row r="51" spans="2:23" x14ac:dyDescent="0.3">
      <c r="B51" s="181">
        <f t="shared" si="9"/>
        <v>34</v>
      </c>
      <c r="C51" s="180">
        <f t="shared" si="16"/>
        <v>30.4</v>
      </c>
      <c r="D51" s="193">
        <f t="shared" si="13"/>
        <v>0.11</v>
      </c>
      <c r="E51" s="167"/>
      <c r="F51" s="167">
        <f t="shared" si="14"/>
        <v>0</v>
      </c>
      <c r="G51" s="166"/>
      <c r="H51" s="167">
        <f t="shared" si="15"/>
        <v>0</v>
      </c>
      <c r="I51" s="167">
        <f t="shared" si="10"/>
        <v>0</v>
      </c>
      <c r="J51" s="167">
        <f>IF(C51="","",IF(F51=0,0,IF(C51&lt;='Tabla Parámetros'!$J$23,I51,IF($E$2='Tabla Parámetros'!$J$19,((($H$2/1000*'Tabla Parámetros'!$K$19)/30.4*C51*1.0212)*1.0212),IF($E$2='Tabla Parámetros'!$J$20,($H$2/1000*'Tabla Parámetros'!$K$20)/30.4*C51)*1.0201)*1.0201)))+N51+O51</f>
        <v>0</v>
      </c>
      <c r="K51" s="167">
        <f t="shared" si="3"/>
        <v>0</v>
      </c>
      <c r="L51" s="167">
        <f t="shared" si="11"/>
        <v>0</v>
      </c>
      <c r="M51" s="167">
        <f>IF(B51="","",IF(F51=0,0,IF(Simulador!$F$11='Tabla Parámetros'!$W$1,'Tabla Parámetros'!$W$28,IF(Simulador!$F$11='Tabla Parámetros'!$Y$1,'Tabla Parámetros'!$Y$12))))</f>
        <v>0</v>
      </c>
      <c r="N51" s="167"/>
      <c r="O51" s="167"/>
      <c r="P51" s="172">
        <f t="shared" si="12"/>
        <v>0</v>
      </c>
      <c r="Q51" s="167">
        <f t="shared" si="17"/>
        <v>0</v>
      </c>
      <c r="T51" s="6"/>
      <c r="U51" s="6"/>
      <c r="V51" s="6"/>
      <c r="W51" s="29">
        <f t="shared" si="7"/>
        <v>0</v>
      </c>
    </row>
    <row r="52" spans="2:23" x14ac:dyDescent="0.3">
      <c r="B52" s="181">
        <f t="shared" si="9"/>
        <v>35</v>
      </c>
      <c r="C52" s="180">
        <f t="shared" si="16"/>
        <v>30.4</v>
      </c>
      <c r="D52" s="193">
        <f t="shared" si="13"/>
        <v>0.11</v>
      </c>
      <c r="E52" s="167"/>
      <c r="F52" s="167">
        <f t="shared" si="14"/>
        <v>0</v>
      </c>
      <c r="G52" s="166"/>
      <c r="H52" s="167">
        <f t="shared" si="15"/>
        <v>0</v>
      </c>
      <c r="I52" s="167">
        <f t="shared" si="10"/>
        <v>0</v>
      </c>
      <c r="J52" s="167">
        <f>IF(C52="","",IF(F52=0,0,IF(C52&lt;='Tabla Parámetros'!$J$23,I52,IF($E$2='Tabla Parámetros'!$J$19,((($H$2/1000*'Tabla Parámetros'!$K$19)/30.4*C52*1.0212)*1.0212),IF($E$2='Tabla Parámetros'!$J$20,($H$2/1000*'Tabla Parámetros'!$K$20)/30.4*C52)*1.0201)*1.0201)))+N52+O52</f>
        <v>0</v>
      </c>
      <c r="K52" s="167">
        <f t="shared" si="3"/>
        <v>0</v>
      </c>
      <c r="L52" s="167">
        <f t="shared" si="11"/>
        <v>0</v>
      </c>
      <c r="M52" s="167">
        <f>IF(B52="","",IF(F52=0,0,IF(Simulador!$F$11='Tabla Parámetros'!$W$1,'Tabla Parámetros'!$W$28,IF(Simulador!$F$11='Tabla Parámetros'!$Y$1,'Tabla Parámetros'!$Y$12))))</f>
        <v>0</v>
      </c>
      <c r="N52" s="167"/>
      <c r="O52" s="167"/>
      <c r="P52" s="172">
        <f t="shared" si="12"/>
        <v>0</v>
      </c>
      <c r="Q52" s="167">
        <f t="shared" si="17"/>
        <v>0</v>
      </c>
      <c r="T52" s="6"/>
      <c r="U52" s="6"/>
      <c r="V52" s="6"/>
      <c r="W52" s="29">
        <f t="shared" si="7"/>
        <v>0</v>
      </c>
    </row>
    <row r="53" spans="2:23" x14ac:dyDescent="0.3">
      <c r="B53" s="181">
        <f t="shared" si="9"/>
        <v>36</v>
      </c>
      <c r="C53" s="180">
        <f t="shared" si="16"/>
        <v>30.4</v>
      </c>
      <c r="D53" s="193">
        <f t="shared" si="13"/>
        <v>0.11</v>
      </c>
      <c r="E53" s="167"/>
      <c r="F53" s="167">
        <f t="shared" si="14"/>
        <v>0</v>
      </c>
      <c r="G53" s="166"/>
      <c r="H53" s="167">
        <f t="shared" si="15"/>
        <v>0</v>
      </c>
      <c r="I53" s="167">
        <f t="shared" si="10"/>
        <v>0</v>
      </c>
      <c r="J53" s="167">
        <f>IF(C53="","",IF(F53=0,0,IF(C53&lt;='Tabla Parámetros'!$J$23,I53,IF($E$2='Tabla Parámetros'!$J$19,((($H$2/1000*'Tabla Parámetros'!$K$19)/30.4*C53*1.0212)*1.0212),IF($E$2='Tabla Parámetros'!$J$20,($H$2/1000*'Tabla Parámetros'!$K$20)/30.4*C53)*1.0201)*1.0201)))+N53+O53</f>
        <v>0</v>
      </c>
      <c r="K53" s="167">
        <f t="shared" si="3"/>
        <v>0</v>
      </c>
      <c r="L53" s="167">
        <f t="shared" si="11"/>
        <v>0</v>
      </c>
      <c r="M53" s="167">
        <f>IF(B53="","",IF(F53=0,0,IF(Simulador!$F$11='Tabla Parámetros'!$W$1,'Tabla Parámetros'!$W$28,IF(Simulador!$F$11='Tabla Parámetros'!$Y$1,'Tabla Parámetros'!$Y$12))))</f>
        <v>0</v>
      </c>
      <c r="N53" s="167"/>
      <c r="O53" s="167"/>
      <c r="P53" s="172">
        <f t="shared" si="12"/>
        <v>0</v>
      </c>
      <c r="Q53" s="167">
        <f t="shared" si="17"/>
        <v>0</v>
      </c>
      <c r="T53" s="6"/>
      <c r="U53" s="6"/>
      <c r="V53" s="6"/>
      <c r="W53" s="29">
        <f t="shared" si="7"/>
        <v>0</v>
      </c>
    </row>
    <row r="54" spans="2:23" x14ac:dyDescent="0.3">
      <c r="B54" s="181">
        <f t="shared" si="9"/>
        <v>37</v>
      </c>
      <c r="C54" s="180">
        <f t="shared" si="16"/>
        <v>30.4</v>
      </c>
      <c r="D54" s="193">
        <f t="shared" si="13"/>
        <v>0.11</v>
      </c>
      <c r="E54" s="167"/>
      <c r="F54" s="167">
        <f t="shared" si="14"/>
        <v>0</v>
      </c>
      <c r="G54" s="166"/>
      <c r="H54" s="167">
        <f t="shared" si="15"/>
        <v>0</v>
      </c>
      <c r="I54" s="167">
        <f t="shared" si="10"/>
        <v>0</v>
      </c>
      <c r="J54" s="167">
        <f>IF(C54="","",IF(F54=0,0,IF(C54&lt;='Tabla Parámetros'!$J$23,I54,IF($E$2='Tabla Parámetros'!$J$19,((($H$2/1000*'Tabla Parámetros'!$K$19)/30.4*C54*1.0212)*1.0212),IF($E$2='Tabla Parámetros'!$J$20,($H$2/1000*'Tabla Parámetros'!$K$20)/30.4*C54)*1.0201)*1.0201)))+N54+O54</f>
        <v>0</v>
      </c>
      <c r="K54" s="167">
        <f t="shared" si="3"/>
        <v>0</v>
      </c>
      <c r="L54" s="167">
        <f t="shared" si="11"/>
        <v>0</v>
      </c>
      <c r="M54" s="167">
        <f>IF(B54="","",IF(F54=0,0,IF(Simulador!$F$11='Tabla Parámetros'!$W$1,'Tabla Parámetros'!$W$28,IF(Simulador!$F$11='Tabla Parámetros'!$Y$1,'Tabla Parámetros'!$Y$12))))</f>
        <v>0</v>
      </c>
      <c r="N54" s="167"/>
      <c r="O54" s="167"/>
      <c r="P54" s="172">
        <f t="shared" si="12"/>
        <v>0</v>
      </c>
      <c r="Q54" s="167">
        <f t="shared" si="17"/>
        <v>0</v>
      </c>
      <c r="T54" s="6"/>
      <c r="U54" s="6"/>
      <c r="V54" s="6"/>
      <c r="W54" s="29">
        <f t="shared" si="7"/>
        <v>0</v>
      </c>
    </row>
    <row r="55" spans="2:23" x14ac:dyDescent="0.3">
      <c r="B55" s="181">
        <f t="shared" si="9"/>
        <v>38</v>
      </c>
      <c r="C55" s="180">
        <f t="shared" si="16"/>
        <v>30.4</v>
      </c>
      <c r="D55" s="193">
        <f>IF(B55="","",'Tabla Parámetros'!$G$4)</f>
        <v>0.11550000000000001</v>
      </c>
      <c r="E55" s="167"/>
      <c r="F55" s="167">
        <f t="shared" si="14"/>
        <v>0</v>
      </c>
      <c r="G55" s="166"/>
      <c r="H55" s="167">
        <f t="shared" si="15"/>
        <v>0</v>
      </c>
      <c r="I55" s="167">
        <f t="shared" si="10"/>
        <v>0</v>
      </c>
      <c r="J55" s="167">
        <f>IF(C55="","",IF(F55=0,0,IF(C55&lt;='Tabla Parámetros'!$J$23,I55,IF($E$2='Tabla Parámetros'!$J$19,((($H$2/1000*'Tabla Parámetros'!$K$19)/30.4*C55)*1.0212^3),IF($E$2='Tabla Parámetros'!$J$20,($H$2/1000*'Tabla Parámetros'!$K$20)/30.4*C55)*1.0201^3)))+N55+O55)</f>
        <v>0</v>
      </c>
      <c r="K55" s="167">
        <f t="shared" si="3"/>
        <v>0</v>
      </c>
      <c r="L55" s="167">
        <f t="shared" si="11"/>
        <v>0</v>
      </c>
      <c r="M55" s="167">
        <f>IF(B55="","",IF(F55=0,0,IF(Simulador!$F$11='Tabla Parámetros'!$W$1,'Tabla Parámetros'!$W$28,IF(Simulador!$F$11='Tabla Parámetros'!$Y$1,'Tabla Parámetros'!$Y$12))))</f>
        <v>0</v>
      </c>
      <c r="N55" s="167"/>
      <c r="O55" s="167"/>
      <c r="P55" s="172">
        <f t="shared" si="12"/>
        <v>0</v>
      </c>
      <c r="Q55" s="167">
        <f t="shared" si="17"/>
        <v>0</v>
      </c>
      <c r="T55" s="6"/>
      <c r="U55" s="6"/>
      <c r="V55" s="6"/>
      <c r="W55" s="29">
        <f t="shared" si="7"/>
        <v>0</v>
      </c>
    </row>
    <row r="56" spans="2:23" x14ac:dyDescent="0.3">
      <c r="B56" s="181">
        <f t="shared" si="9"/>
        <v>39</v>
      </c>
      <c r="C56" s="180">
        <f t="shared" si="16"/>
        <v>30.4</v>
      </c>
      <c r="D56" s="193">
        <f>IF(B56="","",'Tabla Parámetros'!$G$4)</f>
        <v>0.11550000000000001</v>
      </c>
      <c r="E56" s="167"/>
      <c r="F56" s="167">
        <f t="shared" si="14"/>
        <v>0</v>
      </c>
      <c r="G56" s="166"/>
      <c r="H56" s="167">
        <f t="shared" si="15"/>
        <v>0</v>
      </c>
      <c r="I56" s="167">
        <f t="shared" si="10"/>
        <v>0</v>
      </c>
      <c r="J56" s="167">
        <f>IF(C56="","",IF(F56=0,0,IF(C56&lt;='Tabla Parámetros'!$J$23,I56,IF($E$2='Tabla Parámetros'!$J$19,((($H$2/1000*'Tabla Parámetros'!$K$19)/30.4*C56)*1.0212^3),IF($E$2='Tabla Parámetros'!$J$20,($H$2/1000*'Tabla Parámetros'!$K$20)/30.4*C56)*1.0201^3)))+N56+O56)</f>
        <v>0</v>
      </c>
      <c r="K56" s="167">
        <f t="shared" si="3"/>
        <v>0</v>
      </c>
      <c r="L56" s="167">
        <f t="shared" si="11"/>
        <v>0</v>
      </c>
      <c r="M56" s="167">
        <f>IF(B56="","",IF(F56=0,0,IF(Simulador!$F$11='Tabla Parámetros'!$W$1,'Tabla Parámetros'!$W$28,IF(Simulador!$F$11='Tabla Parámetros'!$Y$1,'Tabla Parámetros'!$Y$12))))</f>
        <v>0</v>
      </c>
      <c r="N56" s="167"/>
      <c r="O56" s="167"/>
      <c r="P56" s="172">
        <f t="shared" si="12"/>
        <v>0</v>
      </c>
      <c r="Q56" s="167">
        <f t="shared" si="17"/>
        <v>0</v>
      </c>
      <c r="T56" s="6"/>
      <c r="U56" s="6"/>
      <c r="V56" s="6"/>
      <c r="W56" s="29">
        <f t="shared" si="7"/>
        <v>0</v>
      </c>
    </row>
    <row r="57" spans="2:23" x14ac:dyDescent="0.3">
      <c r="B57" s="181">
        <f t="shared" si="9"/>
        <v>40</v>
      </c>
      <c r="C57" s="180">
        <f t="shared" si="16"/>
        <v>30.4</v>
      </c>
      <c r="D57" s="193">
        <f>IF(B57="","",'Tabla Parámetros'!$G$4)</f>
        <v>0.11550000000000001</v>
      </c>
      <c r="E57" s="167"/>
      <c r="F57" s="167">
        <f t="shared" si="14"/>
        <v>0</v>
      </c>
      <c r="G57" s="166"/>
      <c r="H57" s="167">
        <f t="shared" si="15"/>
        <v>0</v>
      </c>
      <c r="I57" s="167">
        <f t="shared" si="10"/>
        <v>0</v>
      </c>
      <c r="J57" s="167">
        <f>IF(C57="","",IF(F57=0,0,IF(C57&lt;='Tabla Parámetros'!$J$23,I57,IF($E$2='Tabla Parámetros'!$J$19,((($H$2/1000*'Tabla Parámetros'!$K$19)/30.4*C57)*1.0212^3),IF($E$2='Tabla Parámetros'!$J$20,($H$2/1000*'Tabla Parámetros'!$K$20)/30.4*C57)*1.0201^3)))+N57+O57)</f>
        <v>0</v>
      </c>
      <c r="K57" s="167">
        <f t="shared" si="3"/>
        <v>0</v>
      </c>
      <c r="L57" s="167">
        <f t="shared" si="11"/>
        <v>0</v>
      </c>
      <c r="M57" s="167">
        <f>IF(B57="","",IF(F57=0,0,IF(Simulador!$F$11='Tabla Parámetros'!$W$1,'Tabla Parámetros'!$W$28,IF(Simulador!$F$11='Tabla Parámetros'!$Y$1,'Tabla Parámetros'!$Y$12))))</f>
        <v>0</v>
      </c>
      <c r="N57" s="167"/>
      <c r="O57" s="167"/>
      <c r="P57" s="172">
        <f t="shared" si="12"/>
        <v>0</v>
      </c>
      <c r="Q57" s="167">
        <f t="shared" si="17"/>
        <v>0</v>
      </c>
      <c r="T57" s="6"/>
      <c r="U57" s="6"/>
      <c r="V57" s="6"/>
      <c r="W57" s="29">
        <f t="shared" si="7"/>
        <v>0</v>
      </c>
    </row>
    <row r="58" spans="2:23" x14ac:dyDescent="0.3">
      <c r="B58" s="181">
        <f t="shared" si="9"/>
        <v>41</v>
      </c>
      <c r="C58" s="180">
        <f t="shared" si="16"/>
        <v>30.4</v>
      </c>
      <c r="D58" s="193">
        <f>IF(B58="","",'Tabla Parámetros'!$G$4)</f>
        <v>0.11550000000000001</v>
      </c>
      <c r="E58" s="167"/>
      <c r="F58" s="167">
        <f t="shared" si="14"/>
        <v>0</v>
      </c>
      <c r="G58" s="166"/>
      <c r="H58" s="167">
        <f t="shared" si="15"/>
        <v>0</v>
      </c>
      <c r="I58" s="167">
        <f t="shared" si="10"/>
        <v>0</v>
      </c>
      <c r="J58" s="167">
        <f>IF(C58="","",IF(F58=0,0,IF(C58&lt;='Tabla Parámetros'!$J$23,I58,IF($E$2='Tabla Parámetros'!$J$19,((($H$2/1000*'Tabla Parámetros'!$K$19)/30.4*C58)*1.0212^3),IF($E$2='Tabla Parámetros'!$J$20,($H$2/1000*'Tabla Parámetros'!$K$20)/30.4*C58)*1.0201^3)))+N58+O58)</f>
        <v>0</v>
      </c>
      <c r="K58" s="167">
        <f t="shared" si="3"/>
        <v>0</v>
      </c>
      <c r="L58" s="167">
        <f t="shared" si="11"/>
        <v>0</v>
      </c>
      <c r="M58" s="167">
        <f>IF(B58="","",IF(F58=0,0,IF(Simulador!$F$11='Tabla Parámetros'!$W$1,'Tabla Parámetros'!$W$28,IF(Simulador!$F$11='Tabla Parámetros'!$Y$1,'Tabla Parámetros'!$Y$12))))</f>
        <v>0</v>
      </c>
      <c r="N58" s="167"/>
      <c r="O58" s="167"/>
      <c r="P58" s="172">
        <f t="shared" si="12"/>
        <v>0</v>
      </c>
      <c r="Q58" s="167">
        <f t="shared" si="17"/>
        <v>0</v>
      </c>
      <c r="T58" s="6"/>
      <c r="U58" s="6"/>
      <c r="V58" s="6"/>
      <c r="W58" s="29">
        <f t="shared" si="7"/>
        <v>0</v>
      </c>
    </row>
    <row r="59" spans="2:23" x14ac:dyDescent="0.3">
      <c r="B59" s="181">
        <f t="shared" si="9"/>
        <v>42</v>
      </c>
      <c r="C59" s="180">
        <f t="shared" si="16"/>
        <v>30.4</v>
      </c>
      <c r="D59" s="193">
        <f>IF(B59="","",'Tabla Parámetros'!$G$4)</f>
        <v>0.11550000000000001</v>
      </c>
      <c r="E59" s="167"/>
      <c r="F59" s="167">
        <f t="shared" si="14"/>
        <v>0</v>
      </c>
      <c r="G59" s="166"/>
      <c r="H59" s="167">
        <f t="shared" si="15"/>
        <v>0</v>
      </c>
      <c r="I59" s="167">
        <f t="shared" si="10"/>
        <v>0</v>
      </c>
      <c r="J59" s="167">
        <f>IF(C59="","",IF(F59=0,0,IF(C59&lt;='Tabla Parámetros'!$J$23,I59,IF($E$2='Tabla Parámetros'!$J$19,((($H$2/1000*'Tabla Parámetros'!$K$19)/30.4*C59)*1.0212^3),IF($E$2='Tabla Parámetros'!$J$20,($H$2/1000*'Tabla Parámetros'!$K$20)/30.4*C59)*1.0201^3)))+N59+O59)</f>
        <v>0</v>
      </c>
      <c r="K59" s="167">
        <f t="shared" si="3"/>
        <v>0</v>
      </c>
      <c r="L59" s="167">
        <f t="shared" si="11"/>
        <v>0</v>
      </c>
      <c r="M59" s="167">
        <f>IF(B59="","",IF(F59=0,0,IF(Simulador!$F$11='Tabla Parámetros'!$W$1,'Tabla Parámetros'!$W$28,IF(Simulador!$F$11='Tabla Parámetros'!$Y$1,'Tabla Parámetros'!$Y$12))))</f>
        <v>0</v>
      </c>
      <c r="N59" s="167"/>
      <c r="O59" s="167"/>
      <c r="P59" s="172">
        <f t="shared" si="12"/>
        <v>0</v>
      </c>
      <c r="Q59" s="167">
        <f t="shared" si="17"/>
        <v>0</v>
      </c>
      <c r="T59" s="6"/>
      <c r="U59" s="6"/>
      <c r="V59" s="6"/>
      <c r="W59" s="29">
        <f t="shared" si="7"/>
        <v>0</v>
      </c>
    </row>
    <row r="60" spans="2:23" x14ac:dyDescent="0.3">
      <c r="B60" s="181">
        <f t="shared" si="9"/>
        <v>43</v>
      </c>
      <c r="C60" s="180">
        <f t="shared" si="16"/>
        <v>30.4</v>
      </c>
      <c r="D60" s="193">
        <f>IF(B60="","",'Tabla Parámetros'!$G$4)</f>
        <v>0.11550000000000001</v>
      </c>
      <c r="E60" s="167"/>
      <c r="F60" s="167">
        <f t="shared" si="14"/>
        <v>0</v>
      </c>
      <c r="G60" s="166"/>
      <c r="H60" s="167">
        <f t="shared" si="15"/>
        <v>0</v>
      </c>
      <c r="I60" s="167">
        <f t="shared" si="10"/>
        <v>0</v>
      </c>
      <c r="J60" s="167">
        <f>IF(C60="","",IF(F60=0,0,IF(C60&lt;='Tabla Parámetros'!$J$23,I60,IF($E$2='Tabla Parámetros'!$J$19,((($H$2/1000*'Tabla Parámetros'!$K$19)/30.4*C60)*1.0212^3),IF($E$2='Tabla Parámetros'!$J$20,($H$2/1000*'Tabla Parámetros'!$K$20)/30.4*C60)*1.0201^3)))+N60+O60)</f>
        <v>0</v>
      </c>
      <c r="K60" s="167">
        <f t="shared" si="3"/>
        <v>0</v>
      </c>
      <c r="L60" s="167">
        <f t="shared" si="11"/>
        <v>0</v>
      </c>
      <c r="M60" s="167">
        <f>IF(B60="","",IF(F60=0,0,IF(Simulador!$F$11='Tabla Parámetros'!$W$1,'Tabla Parámetros'!$W$28,IF(Simulador!$F$11='Tabla Parámetros'!$Y$1,'Tabla Parámetros'!$Y$12))))</f>
        <v>0</v>
      </c>
      <c r="N60" s="167"/>
      <c r="O60" s="167"/>
      <c r="P60" s="172">
        <f t="shared" si="12"/>
        <v>0</v>
      </c>
      <c r="Q60" s="167">
        <f t="shared" si="17"/>
        <v>0</v>
      </c>
      <c r="T60" s="6"/>
      <c r="U60" s="6"/>
      <c r="V60" s="6"/>
      <c r="W60" s="29">
        <f t="shared" si="7"/>
        <v>0</v>
      </c>
    </row>
    <row r="61" spans="2:23" x14ac:dyDescent="0.3">
      <c r="B61" s="181">
        <f t="shared" si="9"/>
        <v>44</v>
      </c>
      <c r="C61" s="180">
        <f t="shared" si="16"/>
        <v>30.4</v>
      </c>
      <c r="D61" s="193">
        <f>IF(B61="","",'Tabla Parámetros'!$G$4)</f>
        <v>0.11550000000000001</v>
      </c>
      <c r="E61" s="167"/>
      <c r="F61" s="167">
        <f t="shared" si="14"/>
        <v>0</v>
      </c>
      <c r="G61" s="166"/>
      <c r="H61" s="167">
        <f t="shared" si="15"/>
        <v>0</v>
      </c>
      <c r="I61" s="167">
        <f t="shared" si="10"/>
        <v>0</v>
      </c>
      <c r="J61" s="167">
        <f>IF(C61="","",IF(F61=0,0,IF(C61&lt;='Tabla Parámetros'!$J$23,I61,IF($E$2='Tabla Parámetros'!$J$19,((($H$2/1000*'Tabla Parámetros'!$K$19)/30.4*C61)*1.0212^3),IF($E$2='Tabla Parámetros'!$J$20,($H$2/1000*'Tabla Parámetros'!$K$20)/30.4*C61)*1.0201^3)))+N61+O61)</f>
        <v>0</v>
      </c>
      <c r="K61" s="167">
        <f t="shared" si="3"/>
        <v>0</v>
      </c>
      <c r="L61" s="167">
        <f t="shared" si="11"/>
        <v>0</v>
      </c>
      <c r="M61" s="167">
        <f>IF(B61="","",IF(F61=0,0,IF(Simulador!$F$11='Tabla Parámetros'!$W$1,'Tabla Parámetros'!$W$28,IF(Simulador!$F$11='Tabla Parámetros'!$Y$1,'Tabla Parámetros'!$Y$12))))</f>
        <v>0</v>
      </c>
      <c r="N61" s="167"/>
      <c r="O61" s="167"/>
      <c r="P61" s="172">
        <f t="shared" si="12"/>
        <v>0</v>
      </c>
      <c r="Q61" s="167">
        <f t="shared" si="17"/>
        <v>0</v>
      </c>
      <c r="T61" s="6"/>
      <c r="U61" s="6"/>
      <c r="V61" s="6"/>
      <c r="W61" s="29">
        <f t="shared" si="7"/>
        <v>0</v>
      </c>
    </row>
    <row r="62" spans="2:23" x14ac:dyDescent="0.3">
      <c r="B62" s="181">
        <f t="shared" si="9"/>
        <v>45</v>
      </c>
      <c r="C62" s="180">
        <f t="shared" si="16"/>
        <v>30.4</v>
      </c>
      <c r="D62" s="193">
        <f>IF(B62="","",'Tabla Parámetros'!$G$4)</f>
        <v>0.11550000000000001</v>
      </c>
      <c r="E62" s="167"/>
      <c r="F62" s="167">
        <f t="shared" si="14"/>
        <v>0</v>
      </c>
      <c r="G62" s="166"/>
      <c r="H62" s="167">
        <f t="shared" si="15"/>
        <v>0</v>
      </c>
      <c r="I62" s="167">
        <f t="shared" si="10"/>
        <v>0</v>
      </c>
      <c r="J62" s="167">
        <f>IF(C62="","",IF(F62=0,0,IF(C62&lt;='Tabla Parámetros'!$J$23,I62,IF($E$2='Tabla Parámetros'!$J$19,((($H$2/1000*'Tabla Parámetros'!$K$19)/30.4*C62)*1.0212^3),IF($E$2='Tabla Parámetros'!$J$20,($H$2/1000*'Tabla Parámetros'!$K$20)/30.4*C62)*1.0201^3)))+N62+O62)</f>
        <v>0</v>
      </c>
      <c r="K62" s="167">
        <f t="shared" si="3"/>
        <v>0</v>
      </c>
      <c r="L62" s="167">
        <f t="shared" si="11"/>
        <v>0</v>
      </c>
      <c r="M62" s="167">
        <f>IF(B62="","",IF(F62=0,0,IF(Simulador!$F$11='Tabla Parámetros'!$W$1,'Tabla Parámetros'!$W$28,IF(Simulador!$F$11='Tabla Parámetros'!$Y$1,'Tabla Parámetros'!$Y$12))))</f>
        <v>0</v>
      </c>
      <c r="N62" s="167"/>
      <c r="O62" s="167"/>
      <c r="P62" s="172">
        <f t="shared" si="12"/>
        <v>0</v>
      </c>
      <c r="Q62" s="167">
        <f t="shared" si="17"/>
        <v>0</v>
      </c>
      <c r="T62" s="6"/>
      <c r="U62" s="6"/>
      <c r="V62" s="6"/>
      <c r="W62" s="29">
        <f t="shared" si="7"/>
        <v>0</v>
      </c>
    </row>
    <row r="63" spans="2:23" x14ac:dyDescent="0.3">
      <c r="B63" s="181">
        <f t="shared" si="9"/>
        <v>46</v>
      </c>
      <c r="C63" s="180">
        <f t="shared" si="16"/>
        <v>30.4</v>
      </c>
      <c r="D63" s="193">
        <f>IF(B63="","",'Tabla Parámetros'!$G$4)</f>
        <v>0.11550000000000001</v>
      </c>
      <c r="E63" s="167"/>
      <c r="F63" s="167">
        <f t="shared" si="14"/>
        <v>0</v>
      </c>
      <c r="G63" s="166"/>
      <c r="H63" s="167">
        <f t="shared" si="15"/>
        <v>0</v>
      </c>
      <c r="I63" s="167">
        <f t="shared" si="10"/>
        <v>0</v>
      </c>
      <c r="J63" s="167">
        <f>IF(C63="","",IF(F63=0,0,IF(C63&lt;='Tabla Parámetros'!$J$23,I63,IF($E$2='Tabla Parámetros'!$J$19,((($H$2/1000*'Tabla Parámetros'!$K$19)/30.4*C63)*1.0212^3),IF($E$2='Tabla Parámetros'!$J$20,($H$2/1000*'Tabla Parámetros'!$K$20)/30.4*C63)*1.0201^3)))+N63+O63)</f>
        <v>0</v>
      </c>
      <c r="K63" s="167">
        <f t="shared" si="3"/>
        <v>0</v>
      </c>
      <c r="L63" s="167">
        <f t="shared" si="11"/>
        <v>0</v>
      </c>
      <c r="M63" s="167">
        <f>IF(B63="","",IF(F63=0,0,IF(Simulador!$F$11='Tabla Parámetros'!$W$1,'Tabla Parámetros'!$W$28,IF(Simulador!$F$11='Tabla Parámetros'!$Y$1,'Tabla Parámetros'!$Y$12))))</f>
        <v>0</v>
      </c>
      <c r="N63" s="167"/>
      <c r="O63" s="167"/>
      <c r="P63" s="172">
        <f t="shared" si="12"/>
        <v>0</v>
      </c>
      <c r="Q63" s="167">
        <f t="shared" si="17"/>
        <v>0</v>
      </c>
      <c r="T63" s="6"/>
      <c r="U63" s="6"/>
      <c r="V63" s="6"/>
      <c r="W63" s="29">
        <f t="shared" si="7"/>
        <v>0</v>
      </c>
    </row>
    <row r="64" spans="2:23" x14ac:dyDescent="0.3">
      <c r="B64" s="181">
        <f t="shared" si="9"/>
        <v>47</v>
      </c>
      <c r="C64" s="180">
        <f t="shared" si="16"/>
        <v>30.4</v>
      </c>
      <c r="D64" s="193">
        <f>IF(B64="","",'Tabla Parámetros'!$G$4)</f>
        <v>0.11550000000000001</v>
      </c>
      <c r="E64" s="167"/>
      <c r="F64" s="167">
        <f t="shared" si="14"/>
        <v>0</v>
      </c>
      <c r="G64" s="166"/>
      <c r="H64" s="167">
        <f t="shared" si="15"/>
        <v>0</v>
      </c>
      <c r="I64" s="167">
        <f t="shared" si="10"/>
        <v>0</v>
      </c>
      <c r="J64" s="167">
        <f>IF(C64="","",IF(F64=0,0,IF(C64&lt;='Tabla Parámetros'!$J$23,I64,IF($E$2='Tabla Parámetros'!$J$19,((($H$2/1000*'Tabla Parámetros'!$K$19)/30.4*C64)*1.0212^3),IF($E$2='Tabla Parámetros'!$J$20,($H$2/1000*'Tabla Parámetros'!$K$20)/30.4*C64)*1.0201^3)))+N64+O64)</f>
        <v>0</v>
      </c>
      <c r="K64" s="167">
        <f t="shared" si="3"/>
        <v>0</v>
      </c>
      <c r="L64" s="167">
        <f t="shared" si="11"/>
        <v>0</v>
      </c>
      <c r="M64" s="167">
        <f>IF(B64="","",IF(F64=0,0,IF(Simulador!$F$11='Tabla Parámetros'!$W$1,'Tabla Parámetros'!$W$28,IF(Simulador!$F$11='Tabla Parámetros'!$Y$1,'Tabla Parámetros'!$Y$12))))</f>
        <v>0</v>
      </c>
      <c r="N64" s="167"/>
      <c r="O64" s="167"/>
      <c r="P64" s="172">
        <f t="shared" si="12"/>
        <v>0</v>
      </c>
      <c r="Q64" s="167">
        <f t="shared" si="17"/>
        <v>0</v>
      </c>
      <c r="T64" s="6"/>
      <c r="U64" s="6"/>
      <c r="V64" s="6"/>
      <c r="W64" s="29">
        <f t="shared" si="7"/>
        <v>0</v>
      </c>
    </row>
    <row r="65" spans="2:23" x14ac:dyDescent="0.3">
      <c r="B65" s="181">
        <f t="shared" si="9"/>
        <v>48</v>
      </c>
      <c r="C65" s="180">
        <f t="shared" si="16"/>
        <v>30.4</v>
      </c>
      <c r="D65" s="193">
        <f>IF(B65="","",'Tabla Parámetros'!$G$4)</f>
        <v>0.11550000000000001</v>
      </c>
      <c r="E65" s="167"/>
      <c r="F65" s="167">
        <f t="shared" si="14"/>
        <v>0</v>
      </c>
      <c r="G65" s="166"/>
      <c r="H65" s="167">
        <f t="shared" si="15"/>
        <v>0</v>
      </c>
      <c r="I65" s="167">
        <f t="shared" si="10"/>
        <v>0</v>
      </c>
      <c r="J65" s="167">
        <f>IF(C65="","",IF(F65=0,0,IF(C65&lt;='Tabla Parámetros'!$J$23,I65,IF($E$2='Tabla Parámetros'!$J$19,((($H$2/1000*'Tabla Parámetros'!$K$19)/30.4*C65)*1.0212^3),IF($E$2='Tabla Parámetros'!$J$20,($H$2/1000*'Tabla Parámetros'!$K$20)/30.4*C65)*1.0201^3)))+N65+O65)</f>
        <v>0</v>
      </c>
      <c r="K65" s="167">
        <f t="shared" si="3"/>
        <v>0</v>
      </c>
      <c r="L65" s="167">
        <f t="shared" si="11"/>
        <v>0</v>
      </c>
      <c r="M65" s="167">
        <f>IF(B65="","",IF(F65=0,0,IF(Simulador!$F$11='Tabla Parámetros'!$W$1,'Tabla Parámetros'!$W$28,IF(Simulador!$F$11='Tabla Parámetros'!$Y$1,'Tabla Parámetros'!$Y$12))))</f>
        <v>0</v>
      </c>
      <c r="N65" s="167"/>
      <c r="O65" s="167"/>
      <c r="P65" s="172">
        <f t="shared" si="12"/>
        <v>0</v>
      </c>
      <c r="Q65" s="167">
        <f t="shared" si="17"/>
        <v>0</v>
      </c>
      <c r="T65" s="6"/>
      <c r="U65" s="6"/>
      <c r="V65" s="6"/>
      <c r="W65" s="29">
        <f t="shared" si="7"/>
        <v>0</v>
      </c>
    </row>
    <row r="66" spans="2:23" x14ac:dyDescent="0.3">
      <c r="B66" s="181">
        <f t="shared" si="9"/>
        <v>49</v>
      </c>
      <c r="C66" s="180">
        <f t="shared" si="16"/>
        <v>30.4</v>
      </c>
      <c r="D66" s="193">
        <f>IF(B66="","",'Tabla Parámetros'!$G$4)</f>
        <v>0.11550000000000001</v>
      </c>
      <c r="E66" s="167"/>
      <c r="F66" s="167">
        <f t="shared" si="14"/>
        <v>0</v>
      </c>
      <c r="G66" s="166"/>
      <c r="H66" s="167">
        <f t="shared" si="15"/>
        <v>0</v>
      </c>
      <c r="I66" s="167">
        <f t="shared" si="10"/>
        <v>0</v>
      </c>
      <c r="J66" s="167">
        <f>IF(C66="","",IF(F66=0,0,IF(C66&lt;='Tabla Parámetros'!$J$23,I66,IF($E$2='Tabla Parámetros'!$J$19,((($H$2/1000*'Tabla Parámetros'!$K$19)/30.4*C66)*1.0212^3),IF($E$2='Tabla Parámetros'!$J$20,($H$2/1000*'Tabla Parámetros'!$K$20)/30.4*C66)*1.0201^3)))+N66+O66)</f>
        <v>0</v>
      </c>
      <c r="K66" s="167">
        <f t="shared" si="3"/>
        <v>0</v>
      </c>
      <c r="L66" s="167">
        <f t="shared" si="11"/>
        <v>0</v>
      </c>
      <c r="M66" s="167">
        <f>IF(B66="","",IF(F66=0,0,IF(Simulador!$F$11='Tabla Parámetros'!$W$1,'Tabla Parámetros'!$W$28,IF(Simulador!$F$11='Tabla Parámetros'!$Y$1,'Tabla Parámetros'!$Y$12))))</f>
        <v>0</v>
      </c>
      <c r="N66" s="167"/>
      <c r="O66" s="167"/>
      <c r="P66" s="172">
        <f t="shared" si="12"/>
        <v>0</v>
      </c>
      <c r="Q66" s="167">
        <f t="shared" si="17"/>
        <v>0</v>
      </c>
      <c r="T66" s="6"/>
      <c r="U66" s="6"/>
      <c r="V66" s="6"/>
      <c r="W66" s="29">
        <f t="shared" si="7"/>
        <v>0</v>
      </c>
    </row>
    <row r="67" spans="2:23" x14ac:dyDescent="0.3">
      <c r="B67" s="181">
        <f t="shared" si="9"/>
        <v>50</v>
      </c>
      <c r="C67" s="180">
        <f t="shared" si="16"/>
        <v>30.4</v>
      </c>
      <c r="D67" s="193">
        <f>IF(B67="","",'Tabla Parámetros'!$G$4)</f>
        <v>0.11550000000000001</v>
      </c>
      <c r="E67" s="167"/>
      <c r="F67" s="167">
        <f t="shared" si="14"/>
        <v>0</v>
      </c>
      <c r="G67" s="166"/>
      <c r="H67" s="167">
        <f t="shared" si="15"/>
        <v>0</v>
      </c>
      <c r="I67" s="167">
        <f t="shared" si="10"/>
        <v>0</v>
      </c>
      <c r="J67" s="167">
        <f>IF(C67="","",IF(F67=0,0,IF(C67&lt;='Tabla Parámetros'!$J$23,I67,IF($E$2='Tabla Parámetros'!$J$19,((($H$2/1000*'Tabla Parámetros'!$K$19)/30.4*C67)*1.0212^4),IF($E$2='Tabla Parámetros'!$J$20,($H$2/1000*'Tabla Parámetros'!$K$20)/30.4*C67)*1.0201^4)))+N67+O67)</f>
        <v>0</v>
      </c>
      <c r="K67" s="167">
        <f t="shared" si="3"/>
        <v>0</v>
      </c>
      <c r="L67" s="167">
        <f t="shared" si="11"/>
        <v>0</v>
      </c>
      <c r="M67" s="167">
        <f>IF(B67="","",IF(F67=0,0,IF(Simulador!$F$11='Tabla Parámetros'!$W$1,'Tabla Parámetros'!$W$28,IF(Simulador!$F$11='Tabla Parámetros'!$Y$1,'Tabla Parámetros'!$Y$12))))</f>
        <v>0</v>
      </c>
      <c r="N67" s="167"/>
      <c r="O67" s="167"/>
      <c r="P67" s="172">
        <f t="shared" si="12"/>
        <v>0</v>
      </c>
      <c r="Q67" s="167">
        <f t="shared" si="17"/>
        <v>0</v>
      </c>
      <c r="T67" s="6"/>
      <c r="U67" s="6"/>
      <c r="V67" s="6"/>
      <c r="W67" s="29">
        <f t="shared" si="7"/>
        <v>0</v>
      </c>
    </row>
    <row r="68" spans="2:23" x14ac:dyDescent="0.3">
      <c r="B68" s="181">
        <f t="shared" si="9"/>
        <v>51</v>
      </c>
      <c r="C68" s="180">
        <f t="shared" si="16"/>
        <v>30.4</v>
      </c>
      <c r="D68" s="193">
        <f>IF(B68="","",'Tabla Parámetros'!$G$4)</f>
        <v>0.11550000000000001</v>
      </c>
      <c r="E68" s="167"/>
      <c r="F68" s="167">
        <f t="shared" si="14"/>
        <v>0</v>
      </c>
      <c r="G68" s="166"/>
      <c r="H68" s="167">
        <f t="shared" si="15"/>
        <v>0</v>
      </c>
      <c r="I68" s="167">
        <f t="shared" si="10"/>
        <v>0</v>
      </c>
      <c r="J68" s="167">
        <f>IF(C68="","",IF(F68=0,0,IF(C68&lt;='Tabla Parámetros'!$J$23,I68,IF($E$2='Tabla Parámetros'!$J$19,((($H$2/1000*'Tabla Parámetros'!$K$19)/30.4*C68)*1.0212^4),IF($E$2='Tabla Parámetros'!$J$20,($H$2/1000*'Tabla Parámetros'!$K$20)/30.4*C68)*1.0201^4)))+N68+O68)</f>
        <v>0</v>
      </c>
      <c r="K68" s="167">
        <f t="shared" si="3"/>
        <v>0</v>
      </c>
      <c r="L68" s="167">
        <f t="shared" si="11"/>
        <v>0</v>
      </c>
      <c r="M68" s="167">
        <f>IF(B68="","",IF(F68=0,0,IF(Simulador!$F$11='Tabla Parámetros'!$W$1,'Tabla Parámetros'!$W$28,IF(Simulador!$F$11='Tabla Parámetros'!$Y$1,'Tabla Parámetros'!$Y$12))))</f>
        <v>0</v>
      </c>
      <c r="N68" s="167"/>
      <c r="O68" s="167"/>
      <c r="P68" s="172">
        <f t="shared" si="12"/>
        <v>0</v>
      </c>
      <c r="Q68" s="167">
        <f t="shared" si="17"/>
        <v>0</v>
      </c>
      <c r="T68" s="6"/>
      <c r="U68" s="6"/>
      <c r="V68" s="6"/>
      <c r="W68" s="29">
        <f t="shared" si="7"/>
        <v>0</v>
      </c>
    </row>
    <row r="69" spans="2:23" x14ac:dyDescent="0.3">
      <c r="B69" s="181">
        <f t="shared" si="9"/>
        <v>52</v>
      </c>
      <c r="C69" s="180">
        <f t="shared" si="16"/>
        <v>30.4</v>
      </c>
      <c r="D69" s="193">
        <f>IF(B69="","",'Tabla Parámetros'!$G$4)</f>
        <v>0.11550000000000001</v>
      </c>
      <c r="E69" s="167"/>
      <c r="F69" s="167">
        <f t="shared" si="14"/>
        <v>0</v>
      </c>
      <c r="G69" s="166"/>
      <c r="H69" s="167">
        <f t="shared" si="15"/>
        <v>0</v>
      </c>
      <c r="I69" s="167">
        <f t="shared" si="10"/>
        <v>0</v>
      </c>
      <c r="J69" s="167">
        <f>IF(C69="","",IF(F69=0,0,IF(C69&lt;='Tabla Parámetros'!$J$23,I69,IF($E$2='Tabla Parámetros'!$J$19,((($H$2/1000*'Tabla Parámetros'!$K$19)/30.4*C69)*1.0212^4),IF($E$2='Tabla Parámetros'!$J$20,($H$2/1000*'Tabla Parámetros'!$K$20)/30.4*C69)*1.0201^4)))+N69+O69)</f>
        <v>0</v>
      </c>
      <c r="K69" s="167">
        <f t="shared" si="3"/>
        <v>0</v>
      </c>
      <c r="L69" s="167">
        <f t="shared" si="11"/>
        <v>0</v>
      </c>
      <c r="M69" s="167">
        <f>IF(B69="","",IF(F69=0,0,IF(Simulador!$F$11='Tabla Parámetros'!$W$1,'Tabla Parámetros'!$W$28,IF(Simulador!$F$11='Tabla Parámetros'!$Y$1,'Tabla Parámetros'!$Y$12))))</f>
        <v>0</v>
      </c>
      <c r="N69" s="167"/>
      <c r="O69" s="167"/>
      <c r="P69" s="172">
        <f t="shared" si="12"/>
        <v>0</v>
      </c>
      <c r="Q69" s="167">
        <f t="shared" si="17"/>
        <v>0</v>
      </c>
      <c r="T69" s="6"/>
      <c r="U69" s="6"/>
      <c r="V69" s="6"/>
      <c r="W69" s="29">
        <f t="shared" si="7"/>
        <v>0</v>
      </c>
    </row>
    <row r="70" spans="2:23" x14ac:dyDescent="0.3">
      <c r="B70" s="181">
        <f t="shared" si="9"/>
        <v>53</v>
      </c>
      <c r="C70" s="180">
        <f t="shared" si="16"/>
        <v>30.4</v>
      </c>
      <c r="D70" s="193">
        <f>IF(B70="","",'Tabla Parámetros'!$G$4)</f>
        <v>0.11550000000000001</v>
      </c>
      <c r="E70" s="167"/>
      <c r="F70" s="167">
        <f t="shared" si="14"/>
        <v>0</v>
      </c>
      <c r="G70" s="166"/>
      <c r="H70" s="167">
        <f t="shared" si="15"/>
        <v>0</v>
      </c>
      <c r="I70" s="167">
        <f t="shared" si="10"/>
        <v>0</v>
      </c>
      <c r="J70" s="167">
        <f>IF(C70="","",IF(F70=0,0,IF(C70&lt;='Tabla Parámetros'!$J$23,I70,IF($E$2='Tabla Parámetros'!$J$19,((($H$2/1000*'Tabla Parámetros'!$K$19)/30.4*C70)*1.0212^4),IF($E$2='Tabla Parámetros'!$J$20,($H$2/1000*'Tabla Parámetros'!$K$20)/30.4*C70)*1.0201^4)))+N70+O70)</f>
        <v>0</v>
      </c>
      <c r="K70" s="167">
        <f t="shared" si="3"/>
        <v>0</v>
      </c>
      <c r="L70" s="167">
        <f t="shared" si="11"/>
        <v>0</v>
      </c>
      <c r="M70" s="167">
        <f>IF(B70="","",IF(F70=0,0,IF(Simulador!$F$11='Tabla Parámetros'!$W$1,'Tabla Parámetros'!$W$28,IF(Simulador!$F$11='Tabla Parámetros'!$Y$1,'Tabla Parámetros'!$Y$12))))</f>
        <v>0</v>
      </c>
      <c r="N70" s="167"/>
      <c r="O70" s="167"/>
      <c r="P70" s="172">
        <f t="shared" si="12"/>
        <v>0</v>
      </c>
      <c r="Q70" s="167">
        <f t="shared" si="17"/>
        <v>0</v>
      </c>
      <c r="T70" s="6"/>
      <c r="U70" s="6"/>
      <c r="V70" s="6"/>
      <c r="W70" s="29">
        <f t="shared" si="7"/>
        <v>0</v>
      </c>
    </row>
    <row r="71" spans="2:23" x14ac:dyDescent="0.3">
      <c r="B71" s="181">
        <f t="shared" si="9"/>
        <v>54</v>
      </c>
      <c r="C71" s="180">
        <f t="shared" si="16"/>
        <v>30.4</v>
      </c>
      <c r="D71" s="193">
        <f>IF(B71="","",'Tabla Parámetros'!$G$4)</f>
        <v>0.11550000000000001</v>
      </c>
      <c r="E71" s="167"/>
      <c r="F71" s="167">
        <f t="shared" si="14"/>
        <v>0</v>
      </c>
      <c r="G71" s="166"/>
      <c r="H71" s="167">
        <f t="shared" si="15"/>
        <v>0</v>
      </c>
      <c r="I71" s="167">
        <f t="shared" si="10"/>
        <v>0</v>
      </c>
      <c r="J71" s="167">
        <f>IF(C71="","",IF(F71=0,0,IF(C71&lt;='Tabla Parámetros'!$J$23,I71,IF($E$2='Tabla Parámetros'!$J$19,((($H$2/1000*'Tabla Parámetros'!$K$19)/30.4*C71)*1.0212^4),IF($E$2='Tabla Parámetros'!$J$20,($H$2/1000*'Tabla Parámetros'!$K$20)/30.4*C71)*1.0201^4)))+N71+O71)</f>
        <v>0</v>
      </c>
      <c r="K71" s="167">
        <f t="shared" ref="K71:K134" si="18">F71*$I$2</f>
        <v>0</v>
      </c>
      <c r="L71" s="167">
        <f t="shared" si="11"/>
        <v>0</v>
      </c>
      <c r="M71" s="167">
        <f>IF(B71="","",IF(F71=0,0,IF(Simulador!$F$11='Tabla Parámetros'!$W$1,'Tabla Parámetros'!$W$28,IF(Simulador!$F$11='Tabla Parámetros'!$Y$1,'Tabla Parámetros'!$Y$12))))</f>
        <v>0</v>
      </c>
      <c r="N71" s="167"/>
      <c r="O71" s="167"/>
      <c r="P71" s="172">
        <f t="shared" si="12"/>
        <v>0</v>
      </c>
      <c r="Q71" s="167">
        <f t="shared" si="17"/>
        <v>0</v>
      </c>
      <c r="T71" s="6"/>
      <c r="U71" s="6"/>
      <c r="V71" s="6"/>
      <c r="W71" s="29">
        <f t="shared" si="7"/>
        <v>0</v>
      </c>
    </row>
    <row r="72" spans="2:23" x14ac:dyDescent="0.3">
      <c r="B72" s="181">
        <f t="shared" si="9"/>
        <v>55</v>
      </c>
      <c r="C72" s="180">
        <f t="shared" si="16"/>
        <v>30.4</v>
      </c>
      <c r="D72" s="193">
        <f>IF(B72="","",'Tabla Parámetros'!$G$4)</f>
        <v>0.11550000000000001</v>
      </c>
      <c r="E72" s="167"/>
      <c r="F72" s="167">
        <f t="shared" si="14"/>
        <v>0</v>
      </c>
      <c r="G72" s="166"/>
      <c r="H72" s="167">
        <f t="shared" si="15"/>
        <v>0</v>
      </c>
      <c r="I72" s="167">
        <f t="shared" si="10"/>
        <v>0</v>
      </c>
      <c r="J72" s="167">
        <f>IF(C72="","",IF(F72=0,0,IF(C72&lt;='Tabla Parámetros'!$J$23,I72,IF($E$2='Tabla Parámetros'!$J$19,((($H$2/1000*'Tabla Parámetros'!$K$19)/30.4*C72)*1.0212^4),IF($E$2='Tabla Parámetros'!$J$20,($H$2/1000*'Tabla Parámetros'!$K$20)/30.4*C72)*1.0201^4)))+N72+O72)</f>
        <v>0</v>
      </c>
      <c r="K72" s="167">
        <f t="shared" si="18"/>
        <v>0</v>
      </c>
      <c r="L72" s="167">
        <f t="shared" si="11"/>
        <v>0</v>
      </c>
      <c r="M72" s="167">
        <f>IF(B72="","",IF(F72=0,0,IF(Simulador!$F$11='Tabla Parámetros'!$W$1,'Tabla Parámetros'!$W$28,IF(Simulador!$F$11='Tabla Parámetros'!$Y$1,'Tabla Parámetros'!$Y$12))))</f>
        <v>0</v>
      </c>
      <c r="N72" s="167"/>
      <c r="O72" s="167"/>
      <c r="P72" s="172">
        <f t="shared" si="12"/>
        <v>0</v>
      </c>
      <c r="Q72" s="167">
        <f t="shared" si="17"/>
        <v>0</v>
      </c>
      <c r="T72" s="6"/>
      <c r="U72" s="6"/>
      <c r="V72" s="6"/>
      <c r="W72" s="29">
        <f t="shared" si="7"/>
        <v>0</v>
      </c>
    </row>
    <row r="73" spans="2:23" x14ac:dyDescent="0.3">
      <c r="B73" s="181">
        <f t="shared" si="9"/>
        <v>56</v>
      </c>
      <c r="C73" s="180">
        <f t="shared" si="16"/>
        <v>30.4</v>
      </c>
      <c r="D73" s="193">
        <f>IF(B73="","",'Tabla Parámetros'!$G$4)</f>
        <v>0.11550000000000001</v>
      </c>
      <c r="E73" s="167"/>
      <c r="F73" s="167">
        <f t="shared" si="14"/>
        <v>0</v>
      </c>
      <c r="G73" s="166"/>
      <c r="H73" s="167">
        <f t="shared" si="15"/>
        <v>0</v>
      </c>
      <c r="I73" s="167">
        <f t="shared" si="10"/>
        <v>0</v>
      </c>
      <c r="J73" s="167">
        <f>IF(C73="","",IF(F73=0,0,IF(C73&lt;='Tabla Parámetros'!$J$23,I73,IF($E$2='Tabla Parámetros'!$J$19,((($H$2/1000*'Tabla Parámetros'!$K$19)/30.4*C73)*1.0212^4),IF($E$2='Tabla Parámetros'!$J$20,($H$2/1000*'Tabla Parámetros'!$K$20)/30.4*C73)*1.0201^4)))+N73+O73)</f>
        <v>0</v>
      </c>
      <c r="K73" s="167">
        <f t="shared" si="18"/>
        <v>0</v>
      </c>
      <c r="L73" s="167">
        <f t="shared" si="11"/>
        <v>0</v>
      </c>
      <c r="M73" s="167">
        <f>IF(B73="","",IF(F73=0,0,IF(Simulador!$F$11='Tabla Parámetros'!$W$1,'Tabla Parámetros'!$W$28,IF(Simulador!$F$11='Tabla Parámetros'!$Y$1,'Tabla Parámetros'!$Y$12))))</f>
        <v>0</v>
      </c>
      <c r="N73" s="167"/>
      <c r="O73" s="167"/>
      <c r="P73" s="172">
        <f t="shared" si="12"/>
        <v>0</v>
      </c>
      <c r="Q73" s="167">
        <f t="shared" si="17"/>
        <v>0</v>
      </c>
      <c r="T73" s="6"/>
      <c r="U73" s="6"/>
      <c r="V73" s="6"/>
      <c r="W73" s="29">
        <f t="shared" si="7"/>
        <v>0</v>
      </c>
    </row>
    <row r="74" spans="2:23" x14ac:dyDescent="0.3">
      <c r="B74" s="181">
        <f t="shared" si="9"/>
        <v>57</v>
      </c>
      <c r="C74" s="180">
        <f t="shared" si="16"/>
        <v>30.4</v>
      </c>
      <c r="D74" s="193">
        <f>IF(B74="","",'Tabla Parámetros'!$G$4)</f>
        <v>0.11550000000000001</v>
      </c>
      <c r="E74" s="167"/>
      <c r="F74" s="167">
        <f t="shared" si="14"/>
        <v>0</v>
      </c>
      <c r="G74" s="166"/>
      <c r="H74" s="167">
        <f t="shared" si="15"/>
        <v>0</v>
      </c>
      <c r="I74" s="167">
        <f t="shared" si="10"/>
        <v>0</v>
      </c>
      <c r="J74" s="167">
        <f>IF(C74="","",IF(F74=0,0,IF(C74&lt;='Tabla Parámetros'!$J$23,I74,IF($E$2='Tabla Parámetros'!$J$19,((($H$2/1000*'Tabla Parámetros'!$K$19)/30.4*C74)*1.0212^4),IF($E$2='Tabla Parámetros'!$J$20,($H$2/1000*'Tabla Parámetros'!$K$20)/30.4*C74)*1.0201^4)))+N74+O74)</f>
        <v>0</v>
      </c>
      <c r="K74" s="167">
        <f t="shared" si="18"/>
        <v>0</v>
      </c>
      <c r="L74" s="167">
        <f t="shared" si="11"/>
        <v>0</v>
      </c>
      <c r="M74" s="167">
        <f>IF(B74="","",IF(F74=0,0,IF(Simulador!$F$11='Tabla Parámetros'!$W$1,'Tabla Parámetros'!$W$28,IF(Simulador!$F$11='Tabla Parámetros'!$Y$1,'Tabla Parámetros'!$Y$12))))</f>
        <v>0</v>
      </c>
      <c r="N74" s="167"/>
      <c r="O74" s="167"/>
      <c r="P74" s="172">
        <f t="shared" si="12"/>
        <v>0</v>
      </c>
      <c r="Q74" s="167">
        <f t="shared" si="17"/>
        <v>0</v>
      </c>
      <c r="T74" s="6"/>
      <c r="U74" s="6"/>
      <c r="V74" s="6"/>
      <c r="W74" s="29">
        <f t="shared" si="7"/>
        <v>0</v>
      </c>
    </row>
    <row r="75" spans="2:23" x14ac:dyDescent="0.3">
      <c r="B75" s="181">
        <f t="shared" si="9"/>
        <v>58</v>
      </c>
      <c r="C75" s="180">
        <f t="shared" si="16"/>
        <v>30.4</v>
      </c>
      <c r="D75" s="193">
        <f>IF(B75="","",'Tabla Parámetros'!$G$4)</f>
        <v>0.11550000000000001</v>
      </c>
      <c r="E75" s="167"/>
      <c r="F75" s="167">
        <f t="shared" si="14"/>
        <v>0</v>
      </c>
      <c r="G75" s="166"/>
      <c r="H75" s="167">
        <f t="shared" si="15"/>
        <v>0</v>
      </c>
      <c r="I75" s="167">
        <f t="shared" si="10"/>
        <v>0</v>
      </c>
      <c r="J75" s="167">
        <f>IF(C75="","",IF(F75=0,0,IF(C75&lt;='Tabla Parámetros'!$J$23,I75,IF($E$2='Tabla Parámetros'!$J$19,((($H$2/1000*'Tabla Parámetros'!$K$19)/30.4*C75)*1.0212^4),IF($E$2='Tabla Parámetros'!$J$20,($H$2/1000*'Tabla Parámetros'!$K$20)/30.4*C75)*1.0201^4)))+N75+O75)</f>
        <v>0</v>
      </c>
      <c r="K75" s="167">
        <f t="shared" si="18"/>
        <v>0</v>
      </c>
      <c r="L75" s="167">
        <f t="shared" si="11"/>
        <v>0</v>
      </c>
      <c r="M75" s="167">
        <f>IF(B75="","",IF(F75=0,0,IF(Simulador!$F$11='Tabla Parámetros'!$W$1,'Tabla Parámetros'!$W$28,IF(Simulador!$F$11='Tabla Parámetros'!$Y$1,'Tabla Parámetros'!$Y$12))))</f>
        <v>0</v>
      </c>
      <c r="N75" s="167"/>
      <c r="O75" s="167"/>
      <c r="P75" s="172">
        <f t="shared" si="12"/>
        <v>0</v>
      </c>
      <c r="Q75" s="167">
        <f t="shared" si="17"/>
        <v>0</v>
      </c>
      <c r="T75" s="6"/>
      <c r="U75" s="6"/>
      <c r="V75" s="6"/>
      <c r="W75" s="29">
        <f t="shared" si="7"/>
        <v>0</v>
      </c>
    </row>
    <row r="76" spans="2:23" x14ac:dyDescent="0.3">
      <c r="B76" s="181">
        <f t="shared" si="9"/>
        <v>59</v>
      </c>
      <c r="C76" s="180">
        <f t="shared" si="16"/>
        <v>30.4</v>
      </c>
      <c r="D76" s="193">
        <f>IF(B76="","",'Tabla Parámetros'!$G$4)</f>
        <v>0.11550000000000001</v>
      </c>
      <c r="E76" s="167"/>
      <c r="F76" s="167">
        <f t="shared" si="14"/>
        <v>0</v>
      </c>
      <c r="G76" s="166"/>
      <c r="H76" s="167">
        <f t="shared" si="15"/>
        <v>0</v>
      </c>
      <c r="I76" s="167">
        <f t="shared" si="10"/>
        <v>0</v>
      </c>
      <c r="J76" s="167">
        <f>IF(C76="","",IF(F76=0,0,IF(C76&lt;='Tabla Parámetros'!$J$23,I76,IF($E$2='Tabla Parámetros'!$J$19,((($H$2/1000*'Tabla Parámetros'!$K$19)/30.4*C76)*1.0212^4),IF($E$2='Tabla Parámetros'!$J$20,($H$2/1000*'Tabla Parámetros'!$K$20)/30.4*C76)*1.0201^4)))+N76+O76)</f>
        <v>0</v>
      </c>
      <c r="K76" s="167">
        <f t="shared" si="18"/>
        <v>0</v>
      </c>
      <c r="L76" s="167">
        <f t="shared" si="11"/>
        <v>0</v>
      </c>
      <c r="M76" s="167">
        <f>IF(B76="","",IF(F76=0,0,IF(Simulador!$F$11='Tabla Parámetros'!$W$1,'Tabla Parámetros'!$W$28,IF(Simulador!$F$11='Tabla Parámetros'!$Y$1,'Tabla Parámetros'!$Y$12))))</f>
        <v>0</v>
      </c>
      <c r="N76" s="167"/>
      <c r="O76" s="167"/>
      <c r="P76" s="172">
        <f t="shared" si="12"/>
        <v>0</v>
      </c>
      <c r="Q76" s="167">
        <f t="shared" si="17"/>
        <v>0</v>
      </c>
      <c r="T76" s="6"/>
      <c r="U76" s="6"/>
      <c r="V76" s="6"/>
      <c r="W76" s="29">
        <f t="shared" si="7"/>
        <v>0</v>
      </c>
    </row>
    <row r="77" spans="2:23" x14ac:dyDescent="0.3">
      <c r="B77" s="181">
        <f t="shared" si="9"/>
        <v>60</v>
      </c>
      <c r="C77" s="180">
        <f t="shared" si="16"/>
        <v>30.4</v>
      </c>
      <c r="D77" s="193">
        <f>IF(B77="","",'Tabla Parámetros'!$G$4)</f>
        <v>0.11550000000000001</v>
      </c>
      <c r="E77" s="167"/>
      <c r="F77" s="167">
        <f t="shared" si="14"/>
        <v>0</v>
      </c>
      <c r="G77" s="166"/>
      <c r="H77" s="167">
        <f t="shared" si="15"/>
        <v>0</v>
      </c>
      <c r="I77" s="167">
        <f t="shared" si="10"/>
        <v>0</v>
      </c>
      <c r="J77" s="167">
        <f>IF(C77="","",IF(F77=0,0,IF(C77&lt;='Tabla Parámetros'!$J$23,I77,IF($E$2='Tabla Parámetros'!$J$19,((($H$2/1000*'Tabla Parámetros'!$K$19)/30.4*C77)*1.0212^4),IF($E$2='Tabla Parámetros'!$J$20,($H$2/1000*'Tabla Parámetros'!$K$20)/30.4*C77)*1.0201^4)))+N77+O77)</f>
        <v>0</v>
      </c>
      <c r="K77" s="167">
        <f t="shared" si="18"/>
        <v>0</v>
      </c>
      <c r="L77" s="167">
        <f t="shared" si="11"/>
        <v>0</v>
      </c>
      <c r="M77" s="167">
        <f>IF(B77="","",IF(F77=0,0,IF(Simulador!$F$11='Tabla Parámetros'!$W$1,'Tabla Parámetros'!$W$28,IF(Simulador!$F$11='Tabla Parámetros'!$Y$1,'Tabla Parámetros'!$Y$12))))</f>
        <v>0</v>
      </c>
      <c r="N77" s="167"/>
      <c r="O77" s="167"/>
      <c r="P77" s="172">
        <f t="shared" si="12"/>
        <v>0</v>
      </c>
      <c r="Q77" s="167">
        <f t="shared" si="17"/>
        <v>0</v>
      </c>
      <c r="T77" s="6"/>
      <c r="U77" s="6"/>
      <c r="V77" s="6"/>
      <c r="W77" s="29">
        <f t="shared" si="7"/>
        <v>0</v>
      </c>
    </row>
    <row r="78" spans="2:23" x14ac:dyDescent="0.3">
      <c r="B78" s="181">
        <f t="shared" si="9"/>
        <v>61</v>
      </c>
      <c r="C78" s="180">
        <f t="shared" si="16"/>
        <v>30.4</v>
      </c>
      <c r="D78" s="193">
        <f>IF(B78="","",'Tabla Parámetros'!$G$4)</f>
        <v>0.11550000000000001</v>
      </c>
      <c r="E78" s="167"/>
      <c r="F78" s="167">
        <f t="shared" si="14"/>
        <v>0</v>
      </c>
      <c r="G78" s="166"/>
      <c r="H78" s="167">
        <f t="shared" si="15"/>
        <v>0</v>
      </c>
      <c r="I78" s="167">
        <f t="shared" si="10"/>
        <v>0</v>
      </c>
      <c r="J78" s="167">
        <f>IF(C78="","",IF(F78=0,0,IF(C78&lt;='Tabla Parámetros'!$J$23,I78,IF($E$2='Tabla Parámetros'!$J$19,((($H$2/1000*'Tabla Parámetros'!$K$19)/30.4*C78)*1.0212^4),IF($E$2='Tabla Parámetros'!$J$20,($H$2/1000*'Tabla Parámetros'!$K$20)/30.4*C78)*1.0201^4)))+N78+O78)</f>
        <v>0</v>
      </c>
      <c r="K78" s="167">
        <f t="shared" si="18"/>
        <v>0</v>
      </c>
      <c r="L78" s="167">
        <f t="shared" si="11"/>
        <v>0</v>
      </c>
      <c r="M78" s="167">
        <f>IF(B78="","",IF(F78=0,0,IF(Simulador!$F$11='Tabla Parámetros'!$W$1,'Tabla Parámetros'!$W$28,IF(Simulador!$F$11='Tabla Parámetros'!$Y$1,'Tabla Parámetros'!$Y$12))))</f>
        <v>0</v>
      </c>
      <c r="N78" s="167"/>
      <c r="O78" s="167"/>
      <c r="P78" s="172">
        <f t="shared" si="12"/>
        <v>0</v>
      </c>
      <c r="Q78" s="167">
        <f t="shared" si="17"/>
        <v>0</v>
      </c>
      <c r="T78" s="6"/>
      <c r="U78" s="6"/>
      <c r="V78" s="6"/>
      <c r="W78" s="29">
        <f t="shared" si="7"/>
        <v>0</v>
      </c>
    </row>
    <row r="79" spans="2:23" x14ac:dyDescent="0.3">
      <c r="B79" s="181">
        <f t="shared" si="9"/>
        <v>62</v>
      </c>
      <c r="C79" s="180">
        <f t="shared" si="16"/>
        <v>30.4</v>
      </c>
      <c r="D79" s="193">
        <f>IF(B79="","",'Tabla Parámetros'!$G$4)</f>
        <v>0.11550000000000001</v>
      </c>
      <c r="E79" s="167"/>
      <c r="F79" s="167">
        <f t="shared" si="14"/>
        <v>0</v>
      </c>
      <c r="G79" s="166"/>
      <c r="H79" s="167">
        <f t="shared" si="15"/>
        <v>0</v>
      </c>
      <c r="I79" s="167">
        <f t="shared" si="10"/>
        <v>0</v>
      </c>
      <c r="J79" s="167">
        <f>IF(C79="","",IF(F79=0,0,IF(C79&lt;='Tabla Parámetros'!$J$23,I79,IF($E$2='Tabla Parámetros'!$J$19,((($H$2/1000*'Tabla Parámetros'!$K$19)/30.4*C79)*1.0212^5),IF($E$2='Tabla Parámetros'!$J$20,($H$2/1000*'Tabla Parámetros'!$K$20)/30.4*C79)*1.0201^5)))+N79+O79)</f>
        <v>0</v>
      </c>
      <c r="K79" s="167">
        <f t="shared" si="18"/>
        <v>0</v>
      </c>
      <c r="L79" s="167">
        <f t="shared" si="11"/>
        <v>0</v>
      </c>
      <c r="M79" s="167">
        <f>IF(B79="","",IF(F79=0,0,IF(Simulador!$F$11='Tabla Parámetros'!$W$1,'Tabla Parámetros'!$W$28,IF(Simulador!$F$11='Tabla Parámetros'!$Y$1,'Tabla Parámetros'!$Y$12))))</f>
        <v>0</v>
      </c>
      <c r="N79" s="167"/>
      <c r="O79" s="167"/>
      <c r="P79" s="172">
        <f t="shared" si="12"/>
        <v>0</v>
      </c>
      <c r="Q79" s="167">
        <f t="shared" si="17"/>
        <v>0</v>
      </c>
      <c r="T79" s="6"/>
      <c r="U79" s="6"/>
      <c r="V79" s="6"/>
      <c r="W79" s="29">
        <f t="shared" si="7"/>
        <v>0</v>
      </c>
    </row>
    <row r="80" spans="2:23" x14ac:dyDescent="0.3">
      <c r="B80" s="181">
        <f t="shared" si="9"/>
        <v>63</v>
      </c>
      <c r="C80" s="180">
        <f t="shared" si="16"/>
        <v>30.4</v>
      </c>
      <c r="D80" s="193">
        <f>IF(B80="","",'Tabla Parámetros'!$G$4)</f>
        <v>0.11550000000000001</v>
      </c>
      <c r="E80" s="167"/>
      <c r="F80" s="167">
        <f t="shared" si="14"/>
        <v>0</v>
      </c>
      <c r="G80" s="166"/>
      <c r="H80" s="167">
        <f t="shared" si="15"/>
        <v>0</v>
      </c>
      <c r="I80" s="167">
        <f t="shared" si="10"/>
        <v>0</v>
      </c>
      <c r="J80" s="167">
        <f>IF(C80="","",IF(F80=0,0,IF(C80&lt;='Tabla Parámetros'!$J$23,I80,IF($E$2='Tabla Parámetros'!$J$19,((($H$2/1000*'Tabla Parámetros'!$K$19)/30.4*C80)*1.0212^5),IF($E$2='Tabla Parámetros'!$J$20,($H$2/1000*'Tabla Parámetros'!$K$20)/30.4*C80)*1.0201^5)))+N80+O80)</f>
        <v>0</v>
      </c>
      <c r="K80" s="167">
        <f t="shared" si="18"/>
        <v>0</v>
      </c>
      <c r="L80" s="167">
        <f t="shared" si="11"/>
        <v>0</v>
      </c>
      <c r="M80" s="167">
        <f>IF(B80="","",IF(F80=0,0,IF(Simulador!$F$11='Tabla Parámetros'!$W$1,'Tabla Parámetros'!$W$28,IF(Simulador!$F$11='Tabla Parámetros'!$Y$1,'Tabla Parámetros'!$Y$12))))</f>
        <v>0</v>
      </c>
      <c r="N80" s="167"/>
      <c r="O80" s="167"/>
      <c r="P80" s="172">
        <f t="shared" si="12"/>
        <v>0</v>
      </c>
      <c r="Q80" s="167">
        <f t="shared" si="17"/>
        <v>0</v>
      </c>
      <c r="T80" s="6"/>
      <c r="U80" s="6"/>
      <c r="V80" s="6"/>
      <c r="W80" s="29">
        <f t="shared" si="7"/>
        <v>0</v>
      </c>
    </row>
    <row r="81" spans="2:23" x14ac:dyDescent="0.3">
      <c r="B81" s="181">
        <f t="shared" si="9"/>
        <v>64</v>
      </c>
      <c r="C81" s="180">
        <f t="shared" si="16"/>
        <v>30.4</v>
      </c>
      <c r="D81" s="193">
        <f>IF(B81="","",'Tabla Parámetros'!$G$4)</f>
        <v>0.11550000000000001</v>
      </c>
      <c r="E81" s="167"/>
      <c r="F81" s="167">
        <f t="shared" si="14"/>
        <v>0</v>
      </c>
      <c r="G81" s="166"/>
      <c r="H81" s="167">
        <f t="shared" si="15"/>
        <v>0</v>
      </c>
      <c r="I81" s="167">
        <f t="shared" si="10"/>
        <v>0</v>
      </c>
      <c r="J81" s="167">
        <f>IF(C81="","",IF(F81=0,0,IF(C81&lt;='Tabla Parámetros'!$J$23,I81,IF($E$2='Tabla Parámetros'!$J$19,((($H$2/1000*'Tabla Parámetros'!$K$19)/30.4*C81)*1.0212^5),IF($E$2='Tabla Parámetros'!$J$20,($H$2/1000*'Tabla Parámetros'!$K$20)/30.4*C81)*1.0201^5)))+N81+O81)</f>
        <v>0</v>
      </c>
      <c r="K81" s="167">
        <f t="shared" si="18"/>
        <v>0</v>
      </c>
      <c r="L81" s="167">
        <f t="shared" si="11"/>
        <v>0</v>
      </c>
      <c r="M81" s="167">
        <f>IF(B81="","",IF(F81=0,0,IF(Simulador!$F$11='Tabla Parámetros'!$W$1,'Tabla Parámetros'!$W$28,IF(Simulador!$F$11='Tabla Parámetros'!$Y$1,'Tabla Parámetros'!$Y$12))))</f>
        <v>0</v>
      </c>
      <c r="N81" s="167"/>
      <c r="O81" s="167"/>
      <c r="P81" s="172">
        <f t="shared" si="12"/>
        <v>0</v>
      </c>
      <c r="Q81" s="167">
        <f t="shared" si="17"/>
        <v>0</v>
      </c>
      <c r="T81" s="6"/>
      <c r="U81" s="6"/>
      <c r="V81" s="6"/>
      <c r="W81" s="29">
        <f t="shared" ref="W81:W144" si="19">P83</f>
        <v>0</v>
      </c>
    </row>
    <row r="82" spans="2:23" x14ac:dyDescent="0.3">
      <c r="B82" s="181">
        <f t="shared" si="9"/>
        <v>65</v>
      </c>
      <c r="C82" s="180">
        <f t="shared" si="16"/>
        <v>30.4</v>
      </c>
      <c r="D82" s="193">
        <f>IF(B82="","",'Tabla Parámetros'!$G$4)</f>
        <v>0.11550000000000001</v>
      </c>
      <c r="E82" s="167"/>
      <c r="F82" s="167">
        <f t="shared" si="14"/>
        <v>0</v>
      </c>
      <c r="G82" s="166"/>
      <c r="H82" s="167">
        <f t="shared" si="15"/>
        <v>0</v>
      </c>
      <c r="I82" s="167">
        <f t="shared" si="10"/>
        <v>0</v>
      </c>
      <c r="J82" s="167">
        <f>IF(C82="","",IF(F82=0,0,IF(C82&lt;='Tabla Parámetros'!$J$23,I82,IF($E$2='Tabla Parámetros'!$J$19,((($H$2/1000*'Tabla Parámetros'!$K$19)/30.4*C82)*1.0212^5),IF($E$2='Tabla Parámetros'!$J$20,($H$2/1000*'Tabla Parámetros'!$K$20)/30.4*C82)*1.0201^5)))+N82+O82)</f>
        <v>0</v>
      </c>
      <c r="K82" s="167">
        <f t="shared" si="18"/>
        <v>0</v>
      </c>
      <c r="L82" s="167">
        <f t="shared" si="11"/>
        <v>0</v>
      </c>
      <c r="M82" s="167">
        <f>IF(B82="","",IF(F82=0,0,IF(Simulador!$F$11='Tabla Parámetros'!$W$1,'Tabla Parámetros'!$W$28,IF(Simulador!$F$11='Tabla Parámetros'!$Y$1,'Tabla Parámetros'!$Y$12))))</f>
        <v>0</v>
      </c>
      <c r="N82" s="167"/>
      <c r="O82" s="167"/>
      <c r="P82" s="172">
        <f t="shared" ref="P82:P145" si="20">IF(F82="","",IF(F82=0,0,J82+K82+(L82/1.16))+M82)</f>
        <v>0</v>
      </c>
      <c r="Q82" s="167">
        <f t="shared" si="17"/>
        <v>0</v>
      </c>
      <c r="T82" s="6"/>
      <c r="U82" s="6"/>
      <c r="V82" s="6"/>
      <c r="W82" s="29">
        <f t="shared" si="19"/>
        <v>0</v>
      </c>
    </row>
    <row r="83" spans="2:23" x14ac:dyDescent="0.3">
      <c r="B83" s="181">
        <f t="shared" ref="B83:B146" si="21">IF(B82=$E$2,"",IF(B82="","",B82+1))</f>
        <v>66</v>
      </c>
      <c r="C83" s="180">
        <f t="shared" si="16"/>
        <v>30.4</v>
      </c>
      <c r="D83" s="193">
        <f>IF(B83="","",'Tabla Parámetros'!$G$4)</f>
        <v>0.11550000000000001</v>
      </c>
      <c r="E83" s="167"/>
      <c r="F83" s="167">
        <f t="shared" si="14"/>
        <v>0</v>
      </c>
      <c r="G83" s="166"/>
      <c r="H83" s="167">
        <f t="shared" si="15"/>
        <v>0</v>
      </c>
      <c r="I83" s="167">
        <f t="shared" ref="I83:I146" si="22">IF(B83="","",((D83/360)*30.4)*F83)</f>
        <v>0</v>
      </c>
      <c r="J83" s="167">
        <f>IF(C83="","",IF(F83=0,0,IF(C83&lt;='Tabla Parámetros'!$J$23,I83,IF($E$2='Tabla Parámetros'!$J$19,((($H$2/1000*'Tabla Parámetros'!$K$19)/30.4*C83)*1.0212^5),IF($E$2='Tabla Parámetros'!$J$20,($H$2/1000*'Tabla Parámetros'!$K$20)/30.4*C83)*1.0201^5)))+N83+O83)</f>
        <v>0</v>
      </c>
      <c r="K83" s="167">
        <f t="shared" si="18"/>
        <v>0</v>
      </c>
      <c r="L83" s="167">
        <f t="shared" ref="L83:L146" si="23">IF(B82="","",IF(F83=0,0,$L$1*$J$2))</f>
        <v>0</v>
      </c>
      <c r="M83" s="167">
        <f>IF(B83="","",IF(F83=0,0,IF(Simulador!$F$11='Tabla Parámetros'!$W$1,'Tabla Parámetros'!$W$28,IF(Simulador!$F$11='Tabla Parámetros'!$Y$1,'Tabla Parámetros'!$Y$12))))</f>
        <v>0</v>
      </c>
      <c r="N83" s="167"/>
      <c r="O83" s="167"/>
      <c r="P83" s="172">
        <f t="shared" si="20"/>
        <v>0</v>
      </c>
      <c r="Q83" s="167">
        <f t="shared" si="17"/>
        <v>0</v>
      </c>
      <c r="T83" s="6"/>
      <c r="U83" s="6"/>
      <c r="V83" s="6"/>
      <c r="W83" s="29">
        <f t="shared" si="19"/>
        <v>0</v>
      </c>
    </row>
    <row r="84" spans="2:23" x14ac:dyDescent="0.3">
      <c r="B84" s="181">
        <f t="shared" si="21"/>
        <v>67</v>
      </c>
      <c r="C84" s="180">
        <f t="shared" si="16"/>
        <v>30.4</v>
      </c>
      <c r="D84" s="193">
        <f>IF(B84="","",'Tabla Parámetros'!$G$4)</f>
        <v>0.11550000000000001</v>
      </c>
      <c r="E84" s="167"/>
      <c r="F84" s="167">
        <f t="shared" ref="F84:F147" si="24">IF(B84="","",F83-H83)</f>
        <v>0</v>
      </c>
      <c r="G84" s="166"/>
      <c r="H84" s="167">
        <f t="shared" ref="H84:H147" si="25">IF($B84="","",IF($B84=$E$2,$F84,IF(($J84-$I84+$N84)&gt;$F84,$F84,$J84-$I84)))</f>
        <v>0</v>
      </c>
      <c r="I84" s="167">
        <f t="shared" si="22"/>
        <v>0</v>
      </c>
      <c r="J84" s="167">
        <f>IF(C84="","",IF(F84=0,0,IF(C84&lt;='Tabla Parámetros'!$J$23,I84,IF($E$2='Tabla Parámetros'!$J$19,((($H$2/1000*'Tabla Parámetros'!$K$19)/30.4*C84)*1.0212^5),IF($E$2='Tabla Parámetros'!$J$20,($H$2/1000*'Tabla Parámetros'!$K$20)/30.4*C84)*1.0201^5)))+N84+O84)</f>
        <v>0</v>
      </c>
      <c r="K84" s="167">
        <f t="shared" si="18"/>
        <v>0</v>
      </c>
      <c r="L84" s="167">
        <f t="shared" si="23"/>
        <v>0</v>
      </c>
      <c r="M84" s="167">
        <f>IF(B84="","",IF(F84=0,0,IF(Simulador!$F$11='Tabla Parámetros'!$W$1,'Tabla Parámetros'!$W$28,IF(Simulador!$F$11='Tabla Parámetros'!$Y$1,'Tabla Parámetros'!$Y$12))))</f>
        <v>0</v>
      </c>
      <c r="N84" s="167"/>
      <c r="O84" s="167"/>
      <c r="P84" s="172">
        <f t="shared" si="20"/>
        <v>0</v>
      </c>
      <c r="Q84" s="167">
        <f t="shared" si="17"/>
        <v>0</v>
      </c>
      <c r="T84" s="6"/>
      <c r="U84" s="6"/>
      <c r="V84" s="6"/>
      <c r="W84" s="29">
        <f t="shared" si="19"/>
        <v>0</v>
      </c>
    </row>
    <row r="85" spans="2:23" x14ac:dyDescent="0.3">
      <c r="B85" s="181">
        <f t="shared" si="21"/>
        <v>68</v>
      </c>
      <c r="C85" s="180">
        <f t="shared" ref="C85:C148" si="26">IF(B84="","",30.4)</f>
        <v>30.4</v>
      </c>
      <c r="D85" s="193">
        <f>IF(B85="","",'Tabla Parámetros'!$G$4)</f>
        <v>0.11550000000000001</v>
      </c>
      <c r="E85" s="167"/>
      <c r="F85" s="167">
        <f t="shared" si="24"/>
        <v>0</v>
      </c>
      <c r="G85" s="166"/>
      <c r="H85" s="167">
        <f t="shared" si="25"/>
        <v>0</v>
      </c>
      <c r="I85" s="167">
        <f t="shared" si="22"/>
        <v>0</v>
      </c>
      <c r="J85" s="167">
        <f>IF(C85="","",IF(F85=0,0,IF(C85&lt;='Tabla Parámetros'!$J$23,I85,IF($E$2='Tabla Parámetros'!$J$19,((($H$2/1000*'Tabla Parámetros'!$K$19)/30.4*C85)*1.0212^5),IF($E$2='Tabla Parámetros'!$J$20,($H$2/1000*'Tabla Parámetros'!$K$20)/30.4*C85)*1.0201^5)))+N85+O85)</f>
        <v>0</v>
      </c>
      <c r="K85" s="167">
        <f t="shared" si="18"/>
        <v>0</v>
      </c>
      <c r="L85" s="167">
        <f t="shared" si="23"/>
        <v>0</v>
      </c>
      <c r="M85" s="167">
        <f>IF(B85="","",IF(F85=0,0,IF(Simulador!$F$11='Tabla Parámetros'!$W$1,'Tabla Parámetros'!$W$28,IF(Simulador!$F$11='Tabla Parámetros'!$Y$1,'Tabla Parámetros'!$Y$12))))</f>
        <v>0</v>
      </c>
      <c r="N85" s="167"/>
      <c r="O85" s="167"/>
      <c r="P85" s="172">
        <f t="shared" si="20"/>
        <v>0</v>
      </c>
      <c r="Q85" s="167">
        <f t="shared" ref="Q85:Q148" si="27">IF(B85="","",F85-H85)</f>
        <v>0</v>
      </c>
      <c r="T85" s="6"/>
      <c r="U85" s="6"/>
      <c r="V85" s="6"/>
      <c r="W85" s="29">
        <f t="shared" si="19"/>
        <v>0</v>
      </c>
    </row>
    <row r="86" spans="2:23" x14ac:dyDescent="0.3">
      <c r="B86" s="181">
        <f t="shared" si="21"/>
        <v>69</v>
      </c>
      <c r="C86" s="180">
        <f t="shared" si="26"/>
        <v>30.4</v>
      </c>
      <c r="D86" s="193">
        <f>IF(B86="","",'Tabla Parámetros'!$G$4)</f>
        <v>0.11550000000000001</v>
      </c>
      <c r="E86" s="167"/>
      <c r="F86" s="167">
        <f t="shared" si="24"/>
        <v>0</v>
      </c>
      <c r="G86" s="166"/>
      <c r="H86" s="167">
        <f t="shared" si="25"/>
        <v>0</v>
      </c>
      <c r="I86" s="167">
        <f t="shared" si="22"/>
        <v>0</v>
      </c>
      <c r="J86" s="167">
        <f>IF(C86="","",IF(F86=0,0,IF(C86&lt;='Tabla Parámetros'!$J$23,I86,IF($E$2='Tabla Parámetros'!$J$19,((($H$2/1000*'Tabla Parámetros'!$K$19)/30.4*C86)*1.0212^5),IF($E$2='Tabla Parámetros'!$J$20,($H$2/1000*'Tabla Parámetros'!$K$20)/30.4*C86)*1.0201^5)))+N86+O86)</f>
        <v>0</v>
      </c>
      <c r="K86" s="167">
        <f t="shared" si="18"/>
        <v>0</v>
      </c>
      <c r="L86" s="167">
        <f t="shared" si="23"/>
        <v>0</v>
      </c>
      <c r="M86" s="167">
        <f>IF(B86="","",IF(F86=0,0,IF(Simulador!$F$11='Tabla Parámetros'!$W$1,'Tabla Parámetros'!$W$28,IF(Simulador!$F$11='Tabla Parámetros'!$Y$1,'Tabla Parámetros'!$Y$12))))</f>
        <v>0</v>
      </c>
      <c r="N86" s="167"/>
      <c r="O86" s="167"/>
      <c r="P86" s="172">
        <f t="shared" si="20"/>
        <v>0</v>
      </c>
      <c r="Q86" s="167">
        <f t="shared" si="27"/>
        <v>0</v>
      </c>
      <c r="T86" s="6"/>
      <c r="U86" s="6"/>
      <c r="V86" s="6"/>
      <c r="W86" s="29">
        <f t="shared" si="19"/>
        <v>0</v>
      </c>
    </row>
    <row r="87" spans="2:23" x14ac:dyDescent="0.3">
      <c r="B87" s="181">
        <f t="shared" si="21"/>
        <v>70</v>
      </c>
      <c r="C87" s="180">
        <f t="shared" si="26"/>
        <v>30.4</v>
      </c>
      <c r="D87" s="193">
        <f>IF(B87="","",'Tabla Parámetros'!$G$4)</f>
        <v>0.11550000000000001</v>
      </c>
      <c r="E87" s="167"/>
      <c r="F87" s="167">
        <f t="shared" si="24"/>
        <v>0</v>
      </c>
      <c r="G87" s="166"/>
      <c r="H87" s="167">
        <f t="shared" si="25"/>
        <v>0</v>
      </c>
      <c r="I87" s="167">
        <f t="shared" si="22"/>
        <v>0</v>
      </c>
      <c r="J87" s="167">
        <f>IF(C87="","",IF(F87=0,0,IF(C87&lt;='Tabla Parámetros'!$J$23,I87,IF($E$2='Tabla Parámetros'!$J$19,((($H$2/1000*'Tabla Parámetros'!$K$19)/30.4*C87)*1.0212^5),IF($E$2='Tabla Parámetros'!$J$20,($H$2/1000*'Tabla Parámetros'!$K$20)/30.4*C87)*1.0201^5)))+N87+O87)</f>
        <v>0</v>
      </c>
      <c r="K87" s="167">
        <f t="shared" si="18"/>
        <v>0</v>
      </c>
      <c r="L87" s="167">
        <f t="shared" si="23"/>
        <v>0</v>
      </c>
      <c r="M87" s="167">
        <f>IF(B87="","",IF(F87=0,0,IF(Simulador!$F$11='Tabla Parámetros'!$W$1,'Tabla Parámetros'!$W$28,IF(Simulador!$F$11='Tabla Parámetros'!$Y$1,'Tabla Parámetros'!$Y$12))))</f>
        <v>0</v>
      </c>
      <c r="N87" s="167"/>
      <c r="O87" s="167"/>
      <c r="P87" s="172">
        <f t="shared" si="20"/>
        <v>0</v>
      </c>
      <c r="Q87" s="167">
        <f t="shared" si="27"/>
        <v>0</v>
      </c>
      <c r="T87" s="6"/>
      <c r="U87" s="6"/>
      <c r="V87" s="6"/>
      <c r="W87" s="29">
        <f t="shared" si="19"/>
        <v>0</v>
      </c>
    </row>
    <row r="88" spans="2:23" x14ac:dyDescent="0.3">
      <c r="B88" s="181">
        <f t="shared" si="21"/>
        <v>71</v>
      </c>
      <c r="C88" s="180">
        <f t="shared" si="26"/>
        <v>30.4</v>
      </c>
      <c r="D88" s="193">
        <f>IF(B88="","",'Tabla Parámetros'!$G$4)</f>
        <v>0.11550000000000001</v>
      </c>
      <c r="E88" s="167"/>
      <c r="F88" s="167">
        <f t="shared" si="24"/>
        <v>0</v>
      </c>
      <c r="G88" s="166"/>
      <c r="H88" s="167">
        <f t="shared" si="25"/>
        <v>0</v>
      </c>
      <c r="I88" s="167">
        <f t="shared" si="22"/>
        <v>0</v>
      </c>
      <c r="J88" s="167">
        <f>IF(C88="","",IF(F88=0,0,IF(C88&lt;='Tabla Parámetros'!$J$23,I88,IF($E$2='Tabla Parámetros'!$J$19,((($H$2/1000*'Tabla Parámetros'!$K$19)/30.4*C88)*1.0212^5),IF($E$2='Tabla Parámetros'!$J$20,($H$2/1000*'Tabla Parámetros'!$K$20)/30.4*C88)*1.0201^5)))+N88+O88)</f>
        <v>0</v>
      </c>
      <c r="K88" s="167">
        <f t="shared" si="18"/>
        <v>0</v>
      </c>
      <c r="L88" s="167">
        <f t="shared" si="23"/>
        <v>0</v>
      </c>
      <c r="M88" s="167">
        <f>IF(B88="","",IF(F88=0,0,IF(Simulador!$F$11='Tabla Parámetros'!$W$1,'Tabla Parámetros'!$W$28,IF(Simulador!$F$11='Tabla Parámetros'!$Y$1,'Tabla Parámetros'!$Y$12))))</f>
        <v>0</v>
      </c>
      <c r="N88" s="167"/>
      <c r="O88" s="167"/>
      <c r="P88" s="172">
        <f t="shared" si="20"/>
        <v>0</v>
      </c>
      <c r="Q88" s="167">
        <f t="shared" si="27"/>
        <v>0</v>
      </c>
      <c r="T88" s="6"/>
      <c r="U88" s="6"/>
      <c r="V88" s="6"/>
      <c r="W88" s="29">
        <f t="shared" si="19"/>
        <v>0</v>
      </c>
    </row>
    <row r="89" spans="2:23" x14ac:dyDescent="0.3">
      <c r="B89" s="181">
        <f t="shared" si="21"/>
        <v>72</v>
      </c>
      <c r="C89" s="180">
        <f t="shared" si="26"/>
        <v>30.4</v>
      </c>
      <c r="D89" s="193">
        <f>IF(B89="","",'Tabla Parámetros'!$G$4)</f>
        <v>0.11550000000000001</v>
      </c>
      <c r="E89" s="167"/>
      <c r="F89" s="167">
        <f t="shared" si="24"/>
        <v>0</v>
      </c>
      <c r="G89" s="166"/>
      <c r="H89" s="167">
        <f t="shared" si="25"/>
        <v>0</v>
      </c>
      <c r="I89" s="167">
        <f t="shared" si="22"/>
        <v>0</v>
      </c>
      <c r="J89" s="167">
        <f>IF(C89="","",IF(F89=0,0,IF(C89&lt;='Tabla Parámetros'!$J$23,I89,IF($E$2='Tabla Parámetros'!$J$19,((($H$2/1000*'Tabla Parámetros'!$K$19)/30.4*C89)*1.0212^5),IF($E$2='Tabla Parámetros'!$J$20,($H$2/1000*'Tabla Parámetros'!$K$20)/30.4*C89)*1.0201^5)))+N89+O89)</f>
        <v>0</v>
      </c>
      <c r="K89" s="167">
        <f t="shared" si="18"/>
        <v>0</v>
      </c>
      <c r="L89" s="167">
        <f t="shared" si="23"/>
        <v>0</v>
      </c>
      <c r="M89" s="167">
        <f>IF(B89="","",IF(F89=0,0,IF(Simulador!$F$11='Tabla Parámetros'!$W$1,'Tabla Parámetros'!$W$28,IF(Simulador!$F$11='Tabla Parámetros'!$Y$1,'Tabla Parámetros'!$Y$12))))</f>
        <v>0</v>
      </c>
      <c r="N89" s="167"/>
      <c r="O89" s="167"/>
      <c r="P89" s="172">
        <f t="shared" si="20"/>
        <v>0</v>
      </c>
      <c r="Q89" s="167">
        <f t="shared" si="27"/>
        <v>0</v>
      </c>
      <c r="T89" s="6"/>
      <c r="U89" s="6"/>
      <c r="V89" s="6"/>
      <c r="W89" s="29">
        <f t="shared" si="19"/>
        <v>0</v>
      </c>
    </row>
    <row r="90" spans="2:23" x14ac:dyDescent="0.3">
      <c r="B90" s="181">
        <f t="shared" si="21"/>
        <v>73</v>
      </c>
      <c r="C90" s="180">
        <f t="shared" si="26"/>
        <v>30.4</v>
      </c>
      <c r="D90" s="193">
        <f>IF(B90="","",'Tabla Parámetros'!$G$4)</f>
        <v>0.11550000000000001</v>
      </c>
      <c r="E90" s="167"/>
      <c r="F90" s="167">
        <f t="shared" si="24"/>
        <v>0</v>
      </c>
      <c r="G90" s="166"/>
      <c r="H90" s="167">
        <f t="shared" si="25"/>
        <v>0</v>
      </c>
      <c r="I90" s="167">
        <f t="shared" si="22"/>
        <v>0</v>
      </c>
      <c r="J90" s="167">
        <f>IF(C90="","",IF(F90=0,0,IF(C90&lt;='Tabla Parámetros'!$J$23,I90,IF($E$2='Tabla Parámetros'!$J$19,((($H$2/1000*'Tabla Parámetros'!$K$19)/30.4*C90)*1.0212^5),IF($E$2='Tabla Parámetros'!$J$20,($H$2/1000*'Tabla Parámetros'!$K$20)/30.4*C90)*1.0201^5)))+N90+O90)</f>
        <v>0</v>
      </c>
      <c r="K90" s="167">
        <f t="shared" si="18"/>
        <v>0</v>
      </c>
      <c r="L90" s="167">
        <f t="shared" si="23"/>
        <v>0</v>
      </c>
      <c r="M90" s="167">
        <f>IF(B90="","",IF(F90=0,0,IF(Simulador!$F$11='Tabla Parámetros'!$W$1,'Tabla Parámetros'!$W$28,IF(Simulador!$F$11='Tabla Parámetros'!$Y$1,'Tabla Parámetros'!$Y$12))))</f>
        <v>0</v>
      </c>
      <c r="N90" s="167"/>
      <c r="O90" s="167"/>
      <c r="P90" s="172">
        <f t="shared" si="20"/>
        <v>0</v>
      </c>
      <c r="Q90" s="167">
        <f t="shared" si="27"/>
        <v>0</v>
      </c>
      <c r="T90" s="6"/>
      <c r="U90" s="6"/>
      <c r="V90" s="6"/>
      <c r="W90" s="29">
        <f t="shared" si="19"/>
        <v>0</v>
      </c>
    </row>
    <row r="91" spans="2:23" x14ac:dyDescent="0.3">
      <c r="B91" s="181">
        <f t="shared" si="21"/>
        <v>74</v>
      </c>
      <c r="C91" s="180">
        <f t="shared" si="26"/>
        <v>30.4</v>
      </c>
      <c r="D91" s="193">
        <f>IF(B91="","",'Tabla Parámetros'!$G$5)</f>
        <v>0.11799999999999999</v>
      </c>
      <c r="E91" s="167"/>
      <c r="F91" s="167">
        <f t="shared" si="24"/>
        <v>0</v>
      </c>
      <c r="G91" s="166"/>
      <c r="H91" s="167">
        <f t="shared" si="25"/>
        <v>0</v>
      </c>
      <c r="I91" s="167">
        <f t="shared" si="22"/>
        <v>0</v>
      </c>
      <c r="J91" s="167">
        <f>IF(C91="","",IF(F91=0,0,IF(C91&lt;='Tabla Parámetros'!$J$23,I91,IF($E$2='Tabla Parámetros'!$J$19,((($H$2/1000*'Tabla Parámetros'!$K$19)/30.4*C91)*1.0212^6),IF($E$2='Tabla Parámetros'!$J$20,($H$2/1000*'Tabla Parámetros'!$K$20)/30.4*C91)*1.0201^6)))+N91+O91)</f>
        <v>0</v>
      </c>
      <c r="K91" s="167">
        <f t="shared" si="18"/>
        <v>0</v>
      </c>
      <c r="L91" s="167">
        <f t="shared" si="23"/>
        <v>0</v>
      </c>
      <c r="M91" s="167">
        <f>IF(B91="","",IF(F91=0,0,IF(Simulador!$F$11='Tabla Parámetros'!$W$1,'Tabla Parámetros'!$W$28,IF(Simulador!$F$11='Tabla Parámetros'!$Y$1,'Tabla Parámetros'!$Y$12))))</f>
        <v>0</v>
      </c>
      <c r="N91" s="167"/>
      <c r="O91" s="167"/>
      <c r="P91" s="172">
        <f t="shared" si="20"/>
        <v>0</v>
      </c>
      <c r="Q91" s="167">
        <f t="shared" si="27"/>
        <v>0</v>
      </c>
      <c r="T91" s="6"/>
      <c r="U91" s="6"/>
      <c r="V91" s="6"/>
      <c r="W91" s="29">
        <f t="shared" si="19"/>
        <v>0</v>
      </c>
    </row>
    <row r="92" spans="2:23" x14ac:dyDescent="0.3">
      <c r="B92" s="181">
        <f t="shared" si="21"/>
        <v>75</v>
      </c>
      <c r="C92" s="180">
        <f t="shared" si="26"/>
        <v>30.4</v>
      </c>
      <c r="D92" s="193">
        <f>IF(B92="","",'Tabla Parámetros'!$G$5)</f>
        <v>0.11799999999999999</v>
      </c>
      <c r="E92" s="167"/>
      <c r="F92" s="167">
        <f t="shared" si="24"/>
        <v>0</v>
      </c>
      <c r="G92" s="166"/>
      <c r="H92" s="167">
        <f t="shared" si="25"/>
        <v>0</v>
      </c>
      <c r="I92" s="167">
        <f t="shared" si="22"/>
        <v>0</v>
      </c>
      <c r="J92" s="167">
        <f>IF(C92="","",IF(F92=0,0,IF(C92&lt;='Tabla Parámetros'!$J$23,I92,IF($E$2='Tabla Parámetros'!$J$19,((($H$2/1000*'Tabla Parámetros'!$K$19)/30.4*C92)*1.0212^6),IF($E$2='Tabla Parámetros'!$J$20,($H$2/1000*'Tabla Parámetros'!$K$20)/30.4*C92)*1.0201^6)))+N92+O92)</f>
        <v>0</v>
      </c>
      <c r="K92" s="167">
        <f t="shared" si="18"/>
        <v>0</v>
      </c>
      <c r="L92" s="167">
        <f t="shared" si="23"/>
        <v>0</v>
      </c>
      <c r="M92" s="167">
        <f>IF(B92="","",IF(F92=0,0,IF(Simulador!$F$11='Tabla Parámetros'!$W$1,'Tabla Parámetros'!$W$28,IF(Simulador!$F$11='Tabla Parámetros'!$Y$1,'Tabla Parámetros'!$Y$12))))</f>
        <v>0</v>
      </c>
      <c r="N92" s="167"/>
      <c r="O92" s="167"/>
      <c r="P92" s="172">
        <f t="shared" si="20"/>
        <v>0</v>
      </c>
      <c r="Q92" s="167">
        <f t="shared" si="27"/>
        <v>0</v>
      </c>
      <c r="T92" s="6"/>
      <c r="U92" s="6"/>
      <c r="V92" s="6"/>
      <c r="W92" s="29">
        <f t="shared" si="19"/>
        <v>0</v>
      </c>
    </row>
    <row r="93" spans="2:23" x14ac:dyDescent="0.3">
      <c r="B93" s="181">
        <f t="shared" si="21"/>
        <v>76</v>
      </c>
      <c r="C93" s="180">
        <f t="shared" si="26"/>
        <v>30.4</v>
      </c>
      <c r="D93" s="193">
        <f>IF(B93="","",'Tabla Parámetros'!$G$5)</f>
        <v>0.11799999999999999</v>
      </c>
      <c r="E93" s="167"/>
      <c r="F93" s="167">
        <f t="shared" si="24"/>
        <v>0</v>
      </c>
      <c r="G93" s="166"/>
      <c r="H93" s="167">
        <f t="shared" si="25"/>
        <v>0</v>
      </c>
      <c r="I93" s="167">
        <f t="shared" si="22"/>
        <v>0</v>
      </c>
      <c r="J93" s="167">
        <f>IF(C93="","",IF(F93=0,0,IF(C93&lt;='Tabla Parámetros'!$J$23,I93,IF($E$2='Tabla Parámetros'!$J$19,((($H$2/1000*'Tabla Parámetros'!$K$19)/30.4*C93)*1.0212^6),IF($E$2='Tabla Parámetros'!$J$20,($H$2/1000*'Tabla Parámetros'!$K$20)/30.4*C93)*1.0201^6)))+N93+O93)</f>
        <v>0</v>
      </c>
      <c r="K93" s="167">
        <f t="shared" si="18"/>
        <v>0</v>
      </c>
      <c r="L93" s="167">
        <f t="shared" si="23"/>
        <v>0</v>
      </c>
      <c r="M93" s="167">
        <f>IF(B93="","",IF(F93=0,0,IF(Simulador!$F$11='Tabla Parámetros'!$W$1,'Tabla Parámetros'!$W$28,IF(Simulador!$F$11='Tabla Parámetros'!$Y$1,'Tabla Parámetros'!$Y$12))))</f>
        <v>0</v>
      </c>
      <c r="N93" s="167"/>
      <c r="O93" s="167"/>
      <c r="P93" s="172">
        <f t="shared" si="20"/>
        <v>0</v>
      </c>
      <c r="Q93" s="167">
        <f t="shared" si="27"/>
        <v>0</v>
      </c>
      <c r="T93" s="6"/>
      <c r="U93" s="6"/>
      <c r="V93" s="6"/>
      <c r="W93" s="29">
        <f t="shared" si="19"/>
        <v>0</v>
      </c>
    </row>
    <row r="94" spans="2:23" x14ac:dyDescent="0.3">
      <c r="B94" s="181">
        <f t="shared" si="21"/>
        <v>77</v>
      </c>
      <c r="C94" s="180">
        <f t="shared" si="26"/>
        <v>30.4</v>
      </c>
      <c r="D94" s="193">
        <f>IF(B94="","",'Tabla Parámetros'!$G$5)</f>
        <v>0.11799999999999999</v>
      </c>
      <c r="E94" s="167"/>
      <c r="F94" s="167">
        <f t="shared" si="24"/>
        <v>0</v>
      </c>
      <c r="G94" s="166"/>
      <c r="H94" s="167">
        <f t="shared" si="25"/>
        <v>0</v>
      </c>
      <c r="I94" s="167">
        <f t="shared" si="22"/>
        <v>0</v>
      </c>
      <c r="J94" s="167">
        <f>IF(C94="","",IF(F94=0,0,IF(C94&lt;='Tabla Parámetros'!$J$23,I94,IF($E$2='Tabla Parámetros'!$J$19,((($H$2/1000*'Tabla Parámetros'!$K$19)/30.4*C94)*1.0212^6),IF($E$2='Tabla Parámetros'!$J$20,($H$2/1000*'Tabla Parámetros'!$K$20)/30.4*C94)*1.0201^6)))+N94+O94)</f>
        <v>0</v>
      </c>
      <c r="K94" s="167">
        <f t="shared" si="18"/>
        <v>0</v>
      </c>
      <c r="L94" s="167">
        <f t="shared" si="23"/>
        <v>0</v>
      </c>
      <c r="M94" s="167">
        <f>IF(B94="","",IF(F94=0,0,IF(Simulador!$F$11='Tabla Parámetros'!$W$1,'Tabla Parámetros'!$W$28,IF(Simulador!$F$11='Tabla Parámetros'!$Y$1,'Tabla Parámetros'!$Y$12))))</f>
        <v>0</v>
      </c>
      <c r="N94" s="167"/>
      <c r="O94" s="167"/>
      <c r="P94" s="172">
        <f t="shared" si="20"/>
        <v>0</v>
      </c>
      <c r="Q94" s="167">
        <f t="shared" si="27"/>
        <v>0</v>
      </c>
      <c r="T94" s="6"/>
      <c r="U94" s="6"/>
      <c r="V94" s="6"/>
      <c r="W94" s="29">
        <f t="shared" si="19"/>
        <v>0</v>
      </c>
    </row>
    <row r="95" spans="2:23" x14ac:dyDescent="0.3">
      <c r="B95" s="181">
        <f t="shared" si="21"/>
        <v>78</v>
      </c>
      <c r="C95" s="180">
        <f t="shared" si="26"/>
        <v>30.4</v>
      </c>
      <c r="D95" s="193">
        <f>IF(B95="","",'Tabla Parámetros'!$G$5)</f>
        <v>0.11799999999999999</v>
      </c>
      <c r="E95" s="167"/>
      <c r="F95" s="167">
        <f t="shared" si="24"/>
        <v>0</v>
      </c>
      <c r="G95" s="166"/>
      <c r="H95" s="167">
        <f t="shared" si="25"/>
        <v>0</v>
      </c>
      <c r="I95" s="167">
        <f t="shared" si="22"/>
        <v>0</v>
      </c>
      <c r="J95" s="167">
        <f>IF(C95="","",IF(F95=0,0,IF(C95&lt;='Tabla Parámetros'!$J$23,I95,IF($E$2='Tabla Parámetros'!$J$19,((($H$2/1000*'Tabla Parámetros'!$K$19)/30.4*C95)*1.0212^6),IF($E$2='Tabla Parámetros'!$J$20,($H$2/1000*'Tabla Parámetros'!$K$20)/30.4*C95)*1.0201^6)))+N95+O95)</f>
        <v>0</v>
      </c>
      <c r="K95" s="167">
        <f t="shared" si="18"/>
        <v>0</v>
      </c>
      <c r="L95" s="167">
        <f t="shared" si="23"/>
        <v>0</v>
      </c>
      <c r="M95" s="167">
        <f>IF(B95="","",IF(F95=0,0,IF(Simulador!$F$11='Tabla Parámetros'!$W$1,'Tabla Parámetros'!$W$28,IF(Simulador!$F$11='Tabla Parámetros'!$Y$1,'Tabla Parámetros'!$Y$12))))</f>
        <v>0</v>
      </c>
      <c r="N95" s="167"/>
      <c r="O95" s="167"/>
      <c r="P95" s="172">
        <f t="shared" si="20"/>
        <v>0</v>
      </c>
      <c r="Q95" s="167">
        <f t="shared" si="27"/>
        <v>0</v>
      </c>
      <c r="T95" s="6"/>
      <c r="U95" s="6"/>
      <c r="V95" s="6"/>
      <c r="W95" s="29">
        <f t="shared" si="19"/>
        <v>0</v>
      </c>
    </row>
    <row r="96" spans="2:23" x14ac:dyDescent="0.3">
      <c r="B96" s="181">
        <f t="shared" si="21"/>
        <v>79</v>
      </c>
      <c r="C96" s="180">
        <f t="shared" si="26"/>
        <v>30.4</v>
      </c>
      <c r="D96" s="193">
        <f>IF(B96="","",'Tabla Parámetros'!$G$5)</f>
        <v>0.11799999999999999</v>
      </c>
      <c r="E96" s="167"/>
      <c r="F96" s="167">
        <f t="shared" si="24"/>
        <v>0</v>
      </c>
      <c r="G96" s="166"/>
      <c r="H96" s="167">
        <f t="shared" si="25"/>
        <v>0</v>
      </c>
      <c r="I96" s="167">
        <f t="shared" si="22"/>
        <v>0</v>
      </c>
      <c r="J96" s="167">
        <f>IF(C96="","",IF(F96=0,0,IF(C96&lt;='Tabla Parámetros'!$J$23,I96,IF($E$2='Tabla Parámetros'!$J$19,((($H$2/1000*'Tabla Parámetros'!$K$19)/30.4*C96)*1.0212^6),IF($E$2='Tabla Parámetros'!$J$20,($H$2/1000*'Tabla Parámetros'!$K$20)/30.4*C96)*1.0201^6)))+N96+O96)</f>
        <v>0</v>
      </c>
      <c r="K96" s="167">
        <f t="shared" si="18"/>
        <v>0</v>
      </c>
      <c r="L96" s="167">
        <f t="shared" si="23"/>
        <v>0</v>
      </c>
      <c r="M96" s="167">
        <f>IF(B96="","",IF(F96=0,0,IF(Simulador!$F$11='Tabla Parámetros'!$W$1,'Tabla Parámetros'!$W$28,IF(Simulador!$F$11='Tabla Parámetros'!$Y$1,'Tabla Parámetros'!$Y$12))))</f>
        <v>0</v>
      </c>
      <c r="N96" s="167"/>
      <c r="O96" s="167"/>
      <c r="P96" s="172">
        <f t="shared" si="20"/>
        <v>0</v>
      </c>
      <c r="Q96" s="167">
        <f t="shared" si="27"/>
        <v>0</v>
      </c>
      <c r="T96" s="6"/>
      <c r="U96" s="6"/>
      <c r="V96" s="6"/>
      <c r="W96" s="29">
        <f t="shared" si="19"/>
        <v>0</v>
      </c>
    </row>
    <row r="97" spans="2:23" x14ac:dyDescent="0.3">
      <c r="B97" s="181">
        <f t="shared" si="21"/>
        <v>80</v>
      </c>
      <c r="C97" s="180">
        <f t="shared" si="26"/>
        <v>30.4</v>
      </c>
      <c r="D97" s="193">
        <f>IF(B97="","",'Tabla Parámetros'!$G$5)</f>
        <v>0.11799999999999999</v>
      </c>
      <c r="E97" s="167"/>
      <c r="F97" s="167">
        <f t="shared" si="24"/>
        <v>0</v>
      </c>
      <c r="G97" s="166"/>
      <c r="H97" s="167">
        <f t="shared" si="25"/>
        <v>0</v>
      </c>
      <c r="I97" s="167">
        <f t="shared" si="22"/>
        <v>0</v>
      </c>
      <c r="J97" s="167">
        <f>IF(C97="","",IF(F97=0,0,IF(C97&lt;='Tabla Parámetros'!$J$23,I97,IF($E$2='Tabla Parámetros'!$J$19,((($H$2/1000*'Tabla Parámetros'!$K$19)/30.4*C97)*1.0212^6),IF($E$2='Tabla Parámetros'!$J$20,($H$2/1000*'Tabla Parámetros'!$K$20)/30.4*C97)*1.0201^6)))+N97+O97)</f>
        <v>0</v>
      </c>
      <c r="K97" s="167">
        <f t="shared" si="18"/>
        <v>0</v>
      </c>
      <c r="L97" s="167">
        <f t="shared" si="23"/>
        <v>0</v>
      </c>
      <c r="M97" s="167">
        <f>IF(B97="","",IF(F97=0,0,IF(Simulador!$F$11='Tabla Parámetros'!$W$1,'Tabla Parámetros'!$W$28,IF(Simulador!$F$11='Tabla Parámetros'!$Y$1,'Tabla Parámetros'!$Y$12))))</f>
        <v>0</v>
      </c>
      <c r="N97" s="167"/>
      <c r="O97" s="167"/>
      <c r="P97" s="172">
        <f t="shared" si="20"/>
        <v>0</v>
      </c>
      <c r="Q97" s="167">
        <f t="shared" si="27"/>
        <v>0</v>
      </c>
      <c r="T97" s="6"/>
      <c r="U97" s="6"/>
      <c r="V97" s="6"/>
      <c r="W97" s="29">
        <f t="shared" si="19"/>
        <v>0</v>
      </c>
    </row>
    <row r="98" spans="2:23" x14ac:dyDescent="0.3">
      <c r="B98" s="181">
        <f t="shared" si="21"/>
        <v>81</v>
      </c>
      <c r="C98" s="180">
        <f t="shared" si="26"/>
        <v>30.4</v>
      </c>
      <c r="D98" s="193">
        <f>IF(B98="","",'Tabla Parámetros'!$G$5)</f>
        <v>0.11799999999999999</v>
      </c>
      <c r="E98" s="167"/>
      <c r="F98" s="167">
        <f t="shared" si="24"/>
        <v>0</v>
      </c>
      <c r="G98" s="166"/>
      <c r="H98" s="167">
        <f t="shared" si="25"/>
        <v>0</v>
      </c>
      <c r="I98" s="167">
        <f t="shared" si="22"/>
        <v>0</v>
      </c>
      <c r="J98" s="167">
        <f>IF(C98="","",IF(F98=0,0,IF(C98&lt;='Tabla Parámetros'!$J$23,I98,IF($E$2='Tabla Parámetros'!$J$19,((($H$2/1000*'Tabla Parámetros'!$K$19)/30.4*C98)*1.0212^6),IF($E$2='Tabla Parámetros'!$J$20,($H$2/1000*'Tabla Parámetros'!$K$20)/30.4*C98)*1.0201^6)))+N98+O98)</f>
        <v>0</v>
      </c>
      <c r="K98" s="167">
        <f t="shared" si="18"/>
        <v>0</v>
      </c>
      <c r="L98" s="167">
        <f t="shared" si="23"/>
        <v>0</v>
      </c>
      <c r="M98" s="167">
        <f>IF(B98="","",IF(F98=0,0,IF(Simulador!$F$11='Tabla Parámetros'!$W$1,'Tabla Parámetros'!$W$28,IF(Simulador!$F$11='Tabla Parámetros'!$Y$1,'Tabla Parámetros'!$Y$12))))</f>
        <v>0</v>
      </c>
      <c r="N98" s="167"/>
      <c r="O98" s="167"/>
      <c r="P98" s="172">
        <f t="shared" si="20"/>
        <v>0</v>
      </c>
      <c r="Q98" s="167">
        <f t="shared" si="27"/>
        <v>0</v>
      </c>
      <c r="T98" s="6"/>
      <c r="U98" s="6"/>
      <c r="V98" s="6"/>
      <c r="W98" s="29">
        <f t="shared" si="19"/>
        <v>0</v>
      </c>
    </row>
    <row r="99" spans="2:23" x14ac:dyDescent="0.3">
      <c r="B99" s="181">
        <f t="shared" si="21"/>
        <v>82</v>
      </c>
      <c r="C99" s="180">
        <f t="shared" si="26"/>
        <v>30.4</v>
      </c>
      <c r="D99" s="193">
        <f>IF(B99="","",'Tabla Parámetros'!$G$5)</f>
        <v>0.11799999999999999</v>
      </c>
      <c r="E99" s="167"/>
      <c r="F99" s="167">
        <f t="shared" si="24"/>
        <v>0</v>
      </c>
      <c r="G99" s="166"/>
      <c r="H99" s="167">
        <f t="shared" si="25"/>
        <v>0</v>
      </c>
      <c r="I99" s="167">
        <f t="shared" si="22"/>
        <v>0</v>
      </c>
      <c r="J99" s="167">
        <f>IF(C99="","",IF(F99=0,0,IF(C99&lt;='Tabla Parámetros'!$J$23,I99,IF($E$2='Tabla Parámetros'!$J$19,((($H$2/1000*'Tabla Parámetros'!$K$19)/30.4*C99)*1.0212^6),IF($E$2='Tabla Parámetros'!$J$20,($H$2/1000*'Tabla Parámetros'!$K$20)/30.4*C99)*1.0201^6)))+N99+O99)</f>
        <v>0</v>
      </c>
      <c r="K99" s="167">
        <f t="shared" si="18"/>
        <v>0</v>
      </c>
      <c r="L99" s="167">
        <f t="shared" si="23"/>
        <v>0</v>
      </c>
      <c r="M99" s="167">
        <f>IF(B99="","",IF(F99=0,0,IF(Simulador!$F$11='Tabla Parámetros'!$W$1,'Tabla Parámetros'!$W$28,IF(Simulador!$F$11='Tabla Parámetros'!$Y$1,'Tabla Parámetros'!$Y$12))))</f>
        <v>0</v>
      </c>
      <c r="N99" s="167"/>
      <c r="O99" s="167"/>
      <c r="P99" s="172">
        <f t="shared" si="20"/>
        <v>0</v>
      </c>
      <c r="Q99" s="167">
        <f t="shared" si="27"/>
        <v>0</v>
      </c>
      <c r="T99" s="6"/>
      <c r="U99" s="6"/>
      <c r="V99" s="6"/>
      <c r="W99" s="29">
        <f t="shared" si="19"/>
        <v>0</v>
      </c>
    </row>
    <row r="100" spans="2:23" x14ac:dyDescent="0.3">
      <c r="B100" s="181">
        <f t="shared" si="21"/>
        <v>83</v>
      </c>
      <c r="C100" s="180">
        <f t="shared" si="26"/>
        <v>30.4</v>
      </c>
      <c r="D100" s="193">
        <f>IF(B100="","",'Tabla Parámetros'!$G$5)</f>
        <v>0.11799999999999999</v>
      </c>
      <c r="E100" s="167"/>
      <c r="F100" s="167">
        <f t="shared" si="24"/>
        <v>0</v>
      </c>
      <c r="G100" s="166"/>
      <c r="H100" s="167">
        <f t="shared" si="25"/>
        <v>0</v>
      </c>
      <c r="I100" s="167">
        <f t="shared" si="22"/>
        <v>0</v>
      </c>
      <c r="J100" s="167">
        <f>IF(C100="","",IF(F100=0,0,IF(C100&lt;='Tabla Parámetros'!$J$23,I100,IF($E$2='Tabla Parámetros'!$J$19,((($H$2/1000*'Tabla Parámetros'!$K$19)/30.4*C100)*1.0212^6),IF($E$2='Tabla Parámetros'!$J$20,($H$2/1000*'Tabla Parámetros'!$K$20)/30.4*C100)*1.0201^6)))+N100+O100)</f>
        <v>0</v>
      </c>
      <c r="K100" s="167">
        <f t="shared" si="18"/>
        <v>0</v>
      </c>
      <c r="L100" s="167">
        <f t="shared" si="23"/>
        <v>0</v>
      </c>
      <c r="M100" s="167">
        <f>IF(B100="","",IF(F100=0,0,IF(Simulador!$F$11='Tabla Parámetros'!$W$1,'Tabla Parámetros'!$W$28,IF(Simulador!$F$11='Tabla Parámetros'!$Y$1,'Tabla Parámetros'!$Y$12))))</f>
        <v>0</v>
      </c>
      <c r="N100" s="167"/>
      <c r="O100" s="167"/>
      <c r="P100" s="172">
        <f t="shared" si="20"/>
        <v>0</v>
      </c>
      <c r="Q100" s="167">
        <f t="shared" si="27"/>
        <v>0</v>
      </c>
      <c r="T100" s="6"/>
      <c r="U100" s="6"/>
      <c r="V100" s="6"/>
      <c r="W100" s="29">
        <f t="shared" si="19"/>
        <v>0</v>
      </c>
    </row>
    <row r="101" spans="2:23" x14ac:dyDescent="0.3">
      <c r="B101" s="181">
        <f t="shared" si="21"/>
        <v>84</v>
      </c>
      <c r="C101" s="180">
        <f t="shared" si="26"/>
        <v>30.4</v>
      </c>
      <c r="D101" s="193">
        <f>IF(B101="","",'Tabla Parámetros'!$G$5)</f>
        <v>0.11799999999999999</v>
      </c>
      <c r="E101" s="167"/>
      <c r="F101" s="167">
        <f t="shared" si="24"/>
        <v>0</v>
      </c>
      <c r="G101" s="166"/>
      <c r="H101" s="167">
        <f t="shared" si="25"/>
        <v>0</v>
      </c>
      <c r="I101" s="167">
        <f t="shared" si="22"/>
        <v>0</v>
      </c>
      <c r="J101" s="167">
        <f>IF(C101="","",IF(F101=0,0,IF(C101&lt;='Tabla Parámetros'!$J$23,I101,IF($E$2='Tabla Parámetros'!$J$19,((($H$2/1000*'Tabla Parámetros'!$K$19)/30.4*C101)*1.0212^6),IF($E$2='Tabla Parámetros'!$J$20,($H$2/1000*'Tabla Parámetros'!$K$20)/30.4*C101)*1.0201^6)))+N101+O101)</f>
        <v>0</v>
      </c>
      <c r="K101" s="167">
        <f t="shared" si="18"/>
        <v>0</v>
      </c>
      <c r="L101" s="167">
        <f t="shared" si="23"/>
        <v>0</v>
      </c>
      <c r="M101" s="167">
        <f>IF(B101="","",IF(F101=0,0,IF(Simulador!$F$11='Tabla Parámetros'!$W$1,'Tabla Parámetros'!$W$28,IF(Simulador!$F$11='Tabla Parámetros'!$Y$1,'Tabla Parámetros'!$Y$12))))</f>
        <v>0</v>
      </c>
      <c r="N101" s="167"/>
      <c r="O101" s="167"/>
      <c r="P101" s="172">
        <f t="shared" si="20"/>
        <v>0</v>
      </c>
      <c r="Q101" s="167">
        <f t="shared" si="27"/>
        <v>0</v>
      </c>
      <c r="T101" s="6"/>
      <c r="U101" s="6"/>
      <c r="V101" s="6"/>
      <c r="W101" s="29">
        <f t="shared" si="19"/>
        <v>0</v>
      </c>
    </row>
    <row r="102" spans="2:23" x14ac:dyDescent="0.3">
      <c r="B102" s="181">
        <f t="shared" si="21"/>
        <v>85</v>
      </c>
      <c r="C102" s="180">
        <f t="shared" si="26"/>
        <v>30.4</v>
      </c>
      <c r="D102" s="193">
        <f>IF(B102="","",'Tabla Parámetros'!$G$5)</f>
        <v>0.11799999999999999</v>
      </c>
      <c r="E102" s="167"/>
      <c r="F102" s="167">
        <f t="shared" si="24"/>
        <v>0</v>
      </c>
      <c r="G102" s="166"/>
      <c r="H102" s="167">
        <f t="shared" si="25"/>
        <v>0</v>
      </c>
      <c r="I102" s="167">
        <f t="shared" si="22"/>
        <v>0</v>
      </c>
      <c r="J102" s="167">
        <f>IF(C102="","",IF(F102=0,0,IF(C102&lt;='Tabla Parámetros'!$J$23,I102,IF($E$2='Tabla Parámetros'!$J$19,((($H$2/1000*'Tabla Parámetros'!$K$19)/30.4*C102)*1.0212^6),IF($E$2='Tabla Parámetros'!$J$20,($H$2/1000*'Tabla Parámetros'!$K$20)/30.4*C102)*1.0201^6)))+N102+O102)</f>
        <v>0</v>
      </c>
      <c r="K102" s="167">
        <f t="shared" si="18"/>
        <v>0</v>
      </c>
      <c r="L102" s="167">
        <f t="shared" si="23"/>
        <v>0</v>
      </c>
      <c r="M102" s="167">
        <f>IF(B102="","",IF(F102=0,0,IF(Simulador!$F$11='Tabla Parámetros'!$W$1,'Tabla Parámetros'!$W$28,IF(Simulador!$F$11='Tabla Parámetros'!$Y$1,'Tabla Parámetros'!$Y$12))))</f>
        <v>0</v>
      </c>
      <c r="N102" s="167"/>
      <c r="O102" s="167"/>
      <c r="P102" s="172">
        <f t="shared" si="20"/>
        <v>0</v>
      </c>
      <c r="Q102" s="167">
        <f t="shared" si="27"/>
        <v>0</v>
      </c>
      <c r="T102" s="6"/>
      <c r="U102" s="6"/>
      <c r="V102" s="6"/>
      <c r="W102" s="29">
        <f t="shared" si="19"/>
        <v>0</v>
      </c>
    </row>
    <row r="103" spans="2:23" x14ac:dyDescent="0.3">
      <c r="B103" s="181">
        <f t="shared" si="21"/>
        <v>86</v>
      </c>
      <c r="C103" s="180">
        <f t="shared" si="26"/>
        <v>30.4</v>
      </c>
      <c r="D103" s="193">
        <f>IF(B103="","",'Tabla Parámetros'!$G$5)</f>
        <v>0.11799999999999999</v>
      </c>
      <c r="E103" s="167"/>
      <c r="F103" s="167">
        <f t="shared" si="24"/>
        <v>0</v>
      </c>
      <c r="G103" s="166"/>
      <c r="H103" s="167">
        <f t="shared" si="25"/>
        <v>0</v>
      </c>
      <c r="I103" s="167">
        <f t="shared" si="22"/>
        <v>0</v>
      </c>
      <c r="J103" s="167">
        <f>IF(C103="","",IF(F103=0,0,IF(C103&lt;='Tabla Parámetros'!$J$23,I103,IF($E$2='Tabla Parámetros'!$J$19,((($H$2/1000*'Tabla Parámetros'!$K$19)/30.4*C103)*1.0212^7),IF($E$2='Tabla Parámetros'!$J$20,($H$2/1000*'Tabla Parámetros'!$K$20)/30.4*C103)*1.0201^7)))+N103+O103)</f>
        <v>0</v>
      </c>
      <c r="K103" s="167">
        <f t="shared" si="18"/>
        <v>0</v>
      </c>
      <c r="L103" s="167">
        <f t="shared" si="23"/>
        <v>0</v>
      </c>
      <c r="M103" s="167">
        <f>IF(B103="","",IF(F103=0,0,IF(Simulador!$F$11='Tabla Parámetros'!$W$1,'Tabla Parámetros'!$W$28,IF(Simulador!$F$11='Tabla Parámetros'!$Y$1,'Tabla Parámetros'!$Y$12))))</f>
        <v>0</v>
      </c>
      <c r="N103" s="167"/>
      <c r="O103" s="167"/>
      <c r="P103" s="172">
        <f t="shared" si="20"/>
        <v>0</v>
      </c>
      <c r="Q103" s="167">
        <f t="shared" si="27"/>
        <v>0</v>
      </c>
      <c r="T103" s="6"/>
      <c r="U103" s="6"/>
      <c r="V103" s="6"/>
      <c r="W103" s="29">
        <f t="shared" si="19"/>
        <v>0</v>
      </c>
    </row>
    <row r="104" spans="2:23" x14ac:dyDescent="0.3">
      <c r="B104" s="181">
        <f t="shared" si="21"/>
        <v>87</v>
      </c>
      <c r="C104" s="180">
        <f t="shared" si="26"/>
        <v>30.4</v>
      </c>
      <c r="D104" s="193">
        <f>IF(B104="","",'Tabla Parámetros'!$G$5)</f>
        <v>0.11799999999999999</v>
      </c>
      <c r="E104" s="167"/>
      <c r="F104" s="167">
        <f t="shared" si="24"/>
        <v>0</v>
      </c>
      <c r="G104" s="166"/>
      <c r="H104" s="167">
        <f t="shared" si="25"/>
        <v>0</v>
      </c>
      <c r="I104" s="167">
        <f t="shared" si="22"/>
        <v>0</v>
      </c>
      <c r="J104" s="167">
        <f>IF(C104="","",IF(F104=0,0,IF(C104&lt;='Tabla Parámetros'!$J$23,I104,IF($E$2='Tabla Parámetros'!$J$19,((($H$2/1000*'Tabla Parámetros'!$K$19)/30.4*C104)*1.0212^7),IF($E$2='Tabla Parámetros'!$J$20,($H$2/1000*'Tabla Parámetros'!$K$20)/30.4*C104)*1.0201^7)))+N104+O104)</f>
        <v>0</v>
      </c>
      <c r="K104" s="167">
        <f t="shared" si="18"/>
        <v>0</v>
      </c>
      <c r="L104" s="167">
        <f t="shared" si="23"/>
        <v>0</v>
      </c>
      <c r="M104" s="167">
        <f>IF(B104="","",IF(F104=0,0,IF(Simulador!$F$11='Tabla Parámetros'!$W$1,'Tabla Parámetros'!$W$28,IF(Simulador!$F$11='Tabla Parámetros'!$Y$1,'Tabla Parámetros'!$Y$12))))</f>
        <v>0</v>
      </c>
      <c r="N104" s="167"/>
      <c r="O104" s="167"/>
      <c r="P104" s="172">
        <f t="shared" si="20"/>
        <v>0</v>
      </c>
      <c r="Q104" s="167">
        <f t="shared" si="27"/>
        <v>0</v>
      </c>
      <c r="T104" s="6"/>
      <c r="U104" s="6"/>
      <c r="V104" s="6"/>
      <c r="W104" s="29">
        <f t="shared" si="19"/>
        <v>0</v>
      </c>
    </row>
    <row r="105" spans="2:23" x14ac:dyDescent="0.3">
      <c r="B105" s="181">
        <f t="shared" si="21"/>
        <v>88</v>
      </c>
      <c r="C105" s="180">
        <f t="shared" si="26"/>
        <v>30.4</v>
      </c>
      <c r="D105" s="193">
        <f>IF(B105="","",'Tabla Parámetros'!$G$5)</f>
        <v>0.11799999999999999</v>
      </c>
      <c r="E105" s="167"/>
      <c r="F105" s="167">
        <f t="shared" si="24"/>
        <v>0</v>
      </c>
      <c r="G105" s="166"/>
      <c r="H105" s="167">
        <f t="shared" si="25"/>
        <v>0</v>
      </c>
      <c r="I105" s="167">
        <f t="shared" si="22"/>
        <v>0</v>
      </c>
      <c r="J105" s="167">
        <f>IF(C105="","",IF(F105=0,0,IF(C105&lt;='Tabla Parámetros'!$J$23,I105,IF($E$2='Tabla Parámetros'!$J$19,((($H$2/1000*'Tabla Parámetros'!$K$19)/30.4*C105)*1.0212^7),IF($E$2='Tabla Parámetros'!$J$20,($H$2/1000*'Tabla Parámetros'!$K$20)/30.4*C105)*1.0201^7)))+N105+O105)</f>
        <v>0</v>
      </c>
      <c r="K105" s="167">
        <f t="shared" si="18"/>
        <v>0</v>
      </c>
      <c r="L105" s="167">
        <f t="shared" si="23"/>
        <v>0</v>
      </c>
      <c r="M105" s="167">
        <f>IF(B105="","",IF(F105=0,0,IF(Simulador!$F$11='Tabla Parámetros'!$W$1,'Tabla Parámetros'!$W$28,IF(Simulador!$F$11='Tabla Parámetros'!$Y$1,'Tabla Parámetros'!$Y$12))))</f>
        <v>0</v>
      </c>
      <c r="N105" s="167"/>
      <c r="O105" s="167"/>
      <c r="P105" s="172">
        <f t="shared" si="20"/>
        <v>0</v>
      </c>
      <c r="Q105" s="167">
        <f t="shared" si="27"/>
        <v>0</v>
      </c>
      <c r="T105" s="6"/>
      <c r="U105" s="6"/>
      <c r="V105" s="6"/>
      <c r="W105" s="29">
        <f t="shared" si="19"/>
        <v>0</v>
      </c>
    </row>
    <row r="106" spans="2:23" x14ac:dyDescent="0.3">
      <c r="B106" s="181">
        <f t="shared" si="21"/>
        <v>89</v>
      </c>
      <c r="C106" s="180">
        <f t="shared" si="26"/>
        <v>30.4</v>
      </c>
      <c r="D106" s="193">
        <f>IF(B106="","",'Tabla Parámetros'!$G$5)</f>
        <v>0.11799999999999999</v>
      </c>
      <c r="E106" s="167"/>
      <c r="F106" s="167">
        <f t="shared" si="24"/>
        <v>0</v>
      </c>
      <c r="G106" s="166"/>
      <c r="H106" s="167">
        <f t="shared" si="25"/>
        <v>0</v>
      </c>
      <c r="I106" s="167">
        <f t="shared" si="22"/>
        <v>0</v>
      </c>
      <c r="J106" s="167">
        <f>IF(C106="","",IF(F106=0,0,IF(C106&lt;='Tabla Parámetros'!$J$23,I106,IF($E$2='Tabla Parámetros'!$J$19,((($H$2/1000*'Tabla Parámetros'!$K$19)/30.4*C106)*1.0212^7),IF($E$2='Tabla Parámetros'!$J$20,($H$2/1000*'Tabla Parámetros'!$K$20)/30.4*C106)*1.0201^7)))+N106+O106)</f>
        <v>0</v>
      </c>
      <c r="K106" s="167">
        <f t="shared" si="18"/>
        <v>0</v>
      </c>
      <c r="L106" s="167">
        <f t="shared" si="23"/>
        <v>0</v>
      </c>
      <c r="M106" s="167">
        <f>IF(B106="","",IF(F106=0,0,IF(Simulador!$F$11='Tabla Parámetros'!$W$1,'Tabla Parámetros'!$W$28,IF(Simulador!$F$11='Tabla Parámetros'!$Y$1,'Tabla Parámetros'!$Y$12))))</f>
        <v>0</v>
      </c>
      <c r="N106" s="167"/>
      <c r="O106" s="167"/>
      <c r="P106" s="172">
        <f t="shared" si="20"/>
        <v>0</v>
      </c>
      <c r="Q106" s="167">
        <f t="shared" si="27"/>
        <v>0</v>
      </c>
      <c r="T106" s="6"/>
      <c r="U106" s="6"/>
      <c r="V106" s="6"/>
      <c r="W106" s="29">
        <f t="shared" si="19"/>
        <v>0</v>
      </c>
    </row>
    <row r="107" spans="2:23" x14ac:dyDescent="0.3">
      <c r="B107" s="181">
        <f t="shared" si="21"/>
        <v>90</v>
      </c>
      <c r="C107" s="180">
        <f t="shared" si="26"/>
        <v>30.4</v>
      </c>
      <c r="D107" s="193">
        <f>IF(B107="","",'Tabla Parámetros'!$G$5)</f>
        <v>0.11799999999999999</v>
      </c>
      <c r="E107" s="167"/>
      <c r="F107" s="167">
        <f t="shared" si="24"/>
        <v>0</v>
      </c>
      <c r="G107" s="166"/>
      <c r="H107" s="167">
        <f t="shared" si="25"/>
        <v>0</v>
      </c>
      <c r="I107" s="167">
        <f t="shared" si="22"/>
        <v>0</v>
      </c>
      <c r="J107" s="167">
        <f>IF(C107="","",IF(F107=0,0,IF(C107&lt;='Tabla Parámetros'!$J$23,I107,IF($E$2='Tabla Parámetros'!$J$19,((($H$2/1000*'Tabla Parámetros'!$K$19)/30.4*C107)*1.0212^7),IF($E$2='Tabla Parámetros'!$J$20,($H$2/1000*'Tabla Parámetros'!$K$20)/30.4*C107)*1.0201^7)))+N107+O107)</f>
        <v>0</v>
      </c>
      <c r="K107" s="167">
        <f t="shared" si="18"/>
        <v>0</v>
      </c>
      <c r="L107" s="167">
        <f t="shared" si="23"/>
        <v>0</v>
      </c>
      <c r="M107" s="167">
        <f>IF(B107="","",IF(F107=0,0,IF(Simulador!$F$11='Tabla Parámetros'!$W$1,'Tabla Parámetros'!$W$28,IF(Simulador!$F$11='Tabla Parámetros'!$Y$1,'Tabla Parámetros'!$Y$12))))</f>
        <v>0</v>
      </c>
      <c r="N107" s="167"/>
      <c r="O107" s="167"/>
      <c r="P107" s="172">
        <f t="shared" si="20"/>
        <v>0</v>
      </c>
      <c r="Q107" s="167">
        <f t="shared" si="27"/>
        <v>0</v>
      </c>
      <c r="T107" s="6"/>
      <c r="U107" s="6"/>
      <c r="V107" s="6"/>
      <c r="W107" s="29">
        <f t="shared" si="19"/>
        <v>0</v>
      </c>
    </row>
    <row r="108" spans="2:23" x14ac:dyDescent="0.3">
      <c r="B108" s="181">
        <f t="shared" si="21"/>
        <v>91</v>
      </c>
      <c r="C108" s="180">
        <f t="shared" si="26"/>
        <v>30.4</v>
      </c>
      <c r="D108" s="193">
        <f>IF(B108="","",'Tabla Parámetros'!$G$5)</f>
        <v>0.11799999999999999</v>
      </c>
      <c r="E108" s="167"/>
      <c r="F108" s="167">
        <f t="shared" si="24"/>
        <v>0</v>
      </c>
      <c r="G108" s="166"/>
      <c r="H108" s="167">
        <f t="shared" si="25"/>
        <v>0</v>
      </c>
      <c r="I108" s="167">
        <f t="shared" si="22"/>
        <v>0</v>
      </c>
      <c r="J108" s="167">
        <f>IF(C108="","",IF(F108=0,0,IF(C108&lt;='Tabla Parámetros'!$J$23,I108,IF($E$2='Tabla Parámetros'!$J$19,((($H$2/1000*'Tabla Parámetros'!$K$19)/30.4*C108)*1.0212^7),IF($E$2='Tabla Parámetros'!$J$20,($H$2/1000*'Tabla Parámetros'!$K$20)/30.4*C108)*1.0201^7)))+N108+O108)</f>
        <v>0</v>
      </c>
      <c r="K108" s="167">
        <f t="shared" si="18"/>
        <v>0</v>
      </c>
      <c r="L108" s="167">
        <f t="shared" si="23"/>
        <v>0</v>
      </c>
      <c r="M108" s="167">
        <f>IF(B108="","",IF(F108=0,0,IF(Simulador!$F$11='Tabla Parámetros'!$W$1,'Tabla Parámetros'!$W$28,IF(Simulador!$F$11='Tabla Parámetros'!$Y$1,'Tabla Parámetros'!$Y$12))))</f>
        <v>0</v>
      </c>
      <c r="N108" s="167"/>
      <c r="O108" s="167"/>
      <c r="P108" s="172">
        <f t="shared" si="20"/>
        <v>0</v>
      </c>
      <c r="Q108" s="167">
        <f t="shared" si="27"/>
        <v>0</v>
      </c>
      <c r="T108" s="6"/>
      <c r="U108" s="6"/>
      <c r="V108" s="6"/>
      <c r="W108" s="29">
        <f t="shared" si="19"/>
        <v>0</v>
      </c>
    </row>
    <row r="109" spans="2:23" x14ac:dyDescent="0.3">
      <c r="B109" s="181">
        <f t="shared" si="21"/>
        <v>92</v>
      </c>
      <c r="C109" s="180">
        <f t="shared" si="26"/>
        <v>30.4</v>
      </c>
      <c r="D109" s="193">
        <f>IF(B109="","",'Tabla Parámetros'!$G$5)</f>
        <v>0.11799999999999999</v>
      </c>
      <c r="E109" s="167"/>
      <c r="F109" s="167">
        <f t="shared" si="24"/>
        <v>0</v>
      </c>
      <c r="G109" s="166"/>
      <c r="H109" s="167">
        <f t="shared" si="25"/>
        <v>0</v>
      </c>
      <c r="I109" s="167">
        <f t="shared" si="22"/>
        <v>0</v>
      </c>
      <c r="J109" s="167">
        <f>IF(C109="","",IF(F109=0,0,IF(C109&lt;='Tabla Parámetros'!$J$23,I109,IF($E$2='Tabla Parámetros'!$J$19,((($H$2/1000*'Tabla Parámetros'!$K$19)/30.4*C109)*1.0212^7),IF($E$2='Tabla Parámetros'!$J$20,($H$2/1000*'Tabla Parámetros'!$K$20)/30.4*C109)*1.0201^7)))+N109+O109)</f>
        <v>0</v>
      </c>
      <c r="K109" s="167">
        <f t="shared" si="18"/>
        <v>0</v>
      </c>
      <c r="L109" s="167">
        <f t="shared" si="23"/>
        <v>0</v>
      </c>
      <c r="M109" s="167">
        <f>IF(B109="","",IF(F109=0,0,IF(Simulador!$F$11='Tabla Parámetros'!$W$1,'Tabla Parámetros'!$W$28,IF(Simulador!$F$11='Tabla Parámetros'!$Y$1,'Tabla Parámetros'!$Y$12))))</f>
        <v>0</v>
      </c>
      <c r="N109" s="167"/>
      <c r="O109" s="167"/>
      <c r="P109" s="172">
        <f t="shared" si="20"/>
        <v>0</v>
      </c>
      <c r="Q109" s="167">
        <f t="shared" si="27"/>
        <v>0</v>
      </c>
      <c r="T109" s="6"/>
      <c r="U109" s="6"/>
      <c r="V109" s="6"/>
      <c r="W109" s="29">
        <f t="shared" si="19"/>
        <v>0</v>
      </c>
    </row>
    <row r="110" spans="2:23" x14ac:dyDescent="0.3">
      <c r="B110" s="181">
        <f t="shared" si="21"/>
        <v>93</v>
      </c>
      <c r="C110" s="180">
        <f t="shared" si="26"/>
        <v>30.4</v>
      </c>
      <c r="D110" s="193">
        <f>IF(B110="","",'Tabla Parámetros'!$G$5)</f>
        <v>0.11799999999999999</v>
      </c>
      <c r="E110" s="167"/>
      <c r="F110" s="167">
        <f t="shared" si="24"/>
        <v>0</v>
      </c>
      <c r="G110" s="166"/>
      <c r="H110" s="167">
        <f t="shared" si="25"/>
        <v>0</v>
      </c>
      <c r="I110" s="167">
        <f t="shared" si="22"/>
        <v>0</v>
      </c>
      <c r="J110" s="167">
        <f>IF(C110="","",IF(F110=0,0,IF(C110&lt;='Tabla Parámetros'!$J$23,I110,IF($E$2='Tabla Parámetros'!$J$19,((($H$2/1000*'Tabla Parámetros'!$K$19)/30.4*C110)*1.0212^7),IF($E$2='Tabla Parámetros'!$J$20,($H$2/1000*'Tabla Parámetros'!$K$20)/30.4*C110)*1.0201^7)))+N110+O110)</f>
        <v>0</v>
      </c>
      <c r="K110" s="167">
        <f t="shared" si="18"/>
        <v>0</v>
      </c>
      <c r="L110" s="167">
        <f t="shared" si="23"/>
        <v>0</v>
      </c>
      <c r="M110" s="167">
        <f>IF(B110="","",IF(F110=0,0,IF(Simulador!$F$11='Tabla Parámetros'!$W$1,'Tabla Parámetros'!$W$28,IF(Simulador!$F$11='Tabla Parámetros'!$Y$1,'Tabla Parámetros'!$Y$12))))</f>
        <v>0</v>
      </c>
      <c r="N110" s="167"/>
      <c r="O110" s="167"/>
      <c r="P110" s="172">
        <f t="shared" si="20"/>
        <v>0</v>
      </c>
      <c r="Q110" s="167">
        <f t="shared" si="27"/>
        <v>0</v>
      </c>
      <c r="T110" s="6"/>
      <c r="U110" s="6"/>
      <c r="V110" s="6"/>
      <c r="W110" s="29">
        <f t="shared" si="19"/>
        <v>0</v>
      </c>
    </row>
    <row r="111" spans="2:23" x14ac:dyDescent="0.3">
      <c r="B111" s="181">
        <f t="shared" si="21"/>
        <v>94</v>
      </c>
      <c r="C111" s="180">
        <f t="shared" si="26"/>
        <v>30.4</v>
      </c>
      <c r="D111" s="193">
        <f>IF(B111="","",'Tabla Parámetros'!$G$5)</f>
        <v>0.11799999999999999</v>
      </c>
      <c r="E111" s="167"/>
      <c r="F111" s="167">
        <f t="shared" si="24"/>
        <v>0</v>
      </c>
      <c r="G111" s="166"/>
      <c r="H111" s="167">
        <f t="shared" si="25"/>
        <v>0</v>
      </c>
      <c r="I111" s="167">
        <f t="shared" si="22"/>
        <v>0</v>
      </c>
      <c r="J111" s="167">
        <f>IF(C111="","",IF(F111=0,0,IF(C111&lt;='Tabla Parámetros'!$J$23,I111,IF($E$2='Tabla Parámetros'!$J$19,((($H$2/1000*'Tabla Parámetros'!$K$19)/30.4*C111)*1.0212^7),IF($E$2='Tabla Parámetros'!$J$20,($H$2/1000*'Tabla Parámetros'!$K$20)/30.4*C111)*1.0201^7)))+N111+O111)</f>
        <v>0</v>
      </c>
      <c r="K111" s="167">
        <f t="shared" si="18"/>
        <v>0</v>
      </c>
      <c r="L111" s="167">
        <f t="shared" si="23"/>
        <v>0</v>
      </c>
      <c r="M111" s="167">
        <f>IF(B111="","",IF(F111=0,0,IF(Simulador!$F$11='Tabla Parámetros'!$W$1,'Tabla Parámetros'!$W$28,IF(Simulador!$F$11='Tabla Parámetros'!$Y$1,'Tabla Parámetros'!$Y$12))))</f>
        <v>0</v>
      </c>
      <c r="N111" s="167"/>
      <c r="O111" s="167"/>
      <c r="P111" s="172">
        <f t="shared" si="20"/>
        <v>0</v>
      </c>
      <c r="Q111" s="167">
        <f t="shared" si="27"/>
        <v>0</v>
      </c>
      <c r="T111" s="6"/>
      <c r="U111" s="6"/>
      <c r="V111" s="6"/>
      <c r="W111" s="29">
        <f t="shared" si="19"/>
        <v>0</v>
      </c>
    </row>
    <row r="112" spans="2:23" x14ac:dyDescent="0.3">
      <c r="B112" s="181">
        <f t="shared" si="21"/>
        <v>95</v>
      </c>
      <c r="C112" s="180">
        <f t="shared" si="26"/>
        <v>30.4</v>
      </c>
      <c r="D112" s="193">
        <f>IF(B112="","",'Tabla Parámetros'!$G$5)</f>
        <v>0.11799999999999999</v>
      </c>
      <c r="E112" s="167"/>
      <c r="F112" s="167">
        <f t="shared" si="24"/>
        <v>0</v>
      </c>
      <c r="G112" s="166"/>
      <c r="H112" s="167">
        <f t="shared" si="25"/>
        <v>0</v>
      </c>
      <c r="I112" s="167">
        <f t="shared" si="22"/>
        <v>0</v>
      </c>
      <c r="J112" s="167">
        <f>IF(C112="","",IF(F112=0,0,IF(C112&lt;='Tabla Parámetros'!$J$23,I112,IF($E$2='Tabla Parámetros'!$J$19,((($H$2/1000*'Tabla Parámetros'!$K$19)/30.4*C112)*1.0212^7),IF($E$2='Tabla Parámetros'!$J$20,($H$2/1000*'Tabla Parámetros'!$K$20)/30.4*C112)*1.0201^7)))+N112+O112)</f>
        <v>0</v>
      </c>
      <c r="K112" s="167">
        <f t="shared" si="18"/>
        <v>0</v>
      </c>
      <c r="L112" s="167">
        <f t="shared" si="23"/>
        <v>0</v>
      </c>
      <c r="M112" s="167">
        <f>IF(B112="","",IF(F112=0,0,IF(Simulador!$F$11='Tabla Parámetros'!$W$1,'Tabla Parámetros'!$W$28,IF(Simulador!$F$11='Tabla Parámetros'!$Y$1,'Tabla Parámetros'!$Y$12))))</f>
        <v>0</v>
      </c>
      <c r="N112" s="167"/>
      <c r="O112" s="167"/>
      <c r="P112" s="172">
        <f t="shared" si="20"/>
        <v>0</v>
      </c>
      <c r="Q112" s="167">
        <f t="shared" si="27"/>
        <v>0</v>
      </c>
      <c r="T112" s="6"/>
      <c r="U112" s="6"/>
      <c r="V112" s="6"/>
      <c r="W112" s="29">
        <f t="shared" si="19"/>
        <v>0</v>
      </c>
    </row>
    <row r="113" spans="2:23" x14ac:dyDescent="0.3">
      <c r="B113" s="181">
        <f t="shared" si="21"/>
        <v>96</v>
      </c>
      <c r="C113" s="180">
        <f t="shared" si="26"/>
        <v>30.4</v>
      </c>
      <c r="D113" s="193">
        <f>IF(B113="","",'Tabla Parámetros'!$G$5)</f>
        <v>0.11799999999999999</v>
      </c>
      <c r="E113" s="167"/>
      <c r="F113" s="167">
        <f t="shared" si="24"/>
        <v>0</v>
      </c>
      <c r="G113" s="166"/>
      <c r="H113" s="167">
        <f t="shared" si="25"/>
        <v>0</v>
      </c>
      <c r="I113" s="167">
        <f t="shared" si="22"/>
        <v>0</v>
      </c>
      <c r="J113" s="167">
        <f>IF(C113="","",IF(F113=0,0,IF(C113&lt;='Tabla Parámetros'!$J$23,I113,IF($E$2='Tabla Parámetros'!$J$19,((($H$2/1000*'Tabla Parámetros'!$K$19)/30.4*C113)*1.0212^7),IF($E$2='Tabla Parámetros'!$J$20,($H$2/1000*'Tabla Parámetros'!$K$20)/30.4*C113)*1.0201^7)))+N113+O113)</f>
        <v>0</v>
      </c>
      <c r="K113" s="167">
        <f t="shared" si="18"/>
        <v>0</v>
      </c>
      <c r="L113" s="167">
        <f t="shared" si="23"/>
        <v>0</v>
      </c>
      <c r="M113" s="167">
        <f>IF(B113="","",IF(F113=0,0,IF(Simulador!$F$11='Tabla Parámetros'!$W$1,'Tabla Parámetros'!$W$28,IF(Simulador!$F$11='Tabla Parámetros'!$Y$1,'Tabla Parámetros'!$Y$12))))</f>
        <v>0</v>
      </c>
      <c r="N113" s="167"/>
      <c r="O113" s="167"/>
      <c r="P113" s="172">
        <f t="shared" si="20"/>
        <v>0</v>
      </c>
      <c r="Q113" s="167">
        <f t="shared" si="27"/>
        <v>0</v>
      </c>
      <c r="T113" s="6"/>
      <c r="U113" s="6"/>
      <c r="V113" s="6"/>
      <c r="W113" s="29">
        <f t="shared" si="19"/>
        <v>0</v>
      </c>
    </row>
    <row r="114" spans="2:23" x14ac:dyDescent="0.3">
      <c r="B114" s="181">
        <f t="shared" si="21"/>
        <v>97</v>
      </c>
      <c r="C114" s="180">
        <f t="shared" si="26"/>
        <v>30.4</v>
      </c>
      <c r="D114" s="193">
        <f>IF(B114="","",'Tabla Parámetros'!$G$5)</f>
        <v>0.11799999999999999</v>
      </c>
      <c r="E114" s="167"/>
      <c r="F114" s="167">
        <f t="shared" si="24"/>
        <v>0</v>
      </c>
      <c r="G114" s="166"/>
      <c r="H114" s="167">
        <f t="shared" si="25"/>
        <v>0</v>
      </c>
      <c r="I114" s="167">
        <f t="shared" si="22"/>
        <v>0</v>
      </c>
      <c r="J114" s="167">
        <f>IF(C114="","",IF(F114=0,0,IF(C114&lt;='Tabla Parámetros'!$J$23,I114,IF($E$2='Tabla Parámetros'!$J$19,((($H$2/1000*'Tabla Parámetros'!$K$19)/30.4*C114)*1.0212^7),IF($E$2='Tabla Parámetros'!$J$20,($H$2/1000*'Tabla Parámetros'!$K$20)/30.4*C114)*1.0201^7)))+N114+O114)</f>
        <v>0</v>
      </c>
      <c r="K114" s="167">
        <f t="shared" si="18"/>
        <v>0</v>
      </c>
      <c r="L114" s="167">
        <f t="shared" si="23"/>
        <v>0</v>
      </c>
      <c r="M114" s="167">
        <f>IF(B114="","",IF(F114=0,0,IF(Simulador!$F$11='Tabla Parámetros'!$W$1,'Tabla Parámetros'!$W$28,IF(Simulador!$F$11='Tabla Parámetros'!$Y$1,'Tabla Parámetros'!$Y$12))))</f>
        <v>0</v>
      </c>
      <c r="N114" s="167"/>
      <c r="O114" s="167"/>
      <c r="P114" s="172">
        <f t="shared" si="20"/>
        <v>0</v>
      </c>
      <c r="Q114" s="167">
        <f t="shared" si="27"/>
        <v>0</v>
      </c>
      <c r="T114" s="6"/>
      <c r="U114" s="6"/>
      <c r="V114" s="6"/>
      <c r="W114" s="29">
        <f t="shared" si="19"/>
        <v>0</v>
      </c>
    </row>
    <row r="115" spans="2:23" x14ac:dyDescent="0.3">
      <c r="B115" s="181">
        <f t="shared" si="21"/>
        <v>98</v>
      </c>
      <c r="C115" s="180">
        <f t="shared" si="26"/>
        <v>30.4</v>
      </c>
      <c r="D115" s="193">
        <f>IF(B115="","",'Tabla Parámetros'!$G$5)</f>
        <v>0.11799999999999999</v>
      </c>
      <c r="E115" s="167"/>
      <c r="F115" s="167">
        <f t="shared" si="24"/>
        <v>0</v>
      </c>
      <c r="G115" s="166"/>
      <c r="H115" s="167">
        <f t="shared" si="25"/>
        <v>0</v>
      </c>
      <c r="I115" s="167">
        <f t="shared" si="22"/>
        <v>0</v>
      </c>
      <c r="J115" s="167">
        <f>IF(C115="","",IF(F115=0,0,IF(C115&lt;='Tabla Parámetros'!$J$23,I115,IF($E$2='Tabla Parámetros'!$J$19,((($H$2/1000*'Tabla Parámetros'!$K$19)/30.4*C115)*1.0212^8),IF($E$2='Tabla Parámetros'!$J$20,($H$2/1000*'Tabla Parámetros'!$K$20)/30.4*C115)*1.0201^8)))+N115+O115)</f>
        <v>0</v>
      </c>
      <c r="K115" s="167">
        <f t="shared" si="18"/>
        <v>0</v>
      </c>
      <c r="L115" s="167">
        <f t="shared" si="23"/>
        <v>0</v>
      </c>
      <c r="M115" s="167">
        <f>IF(B115="","",IF(F115=0,0,IF(Simulador!$F$11='Tabla Parámetros'!$W$1,'Tabla Parámetros'!$W$28,IF(Simulador!$F$11='Tabla Parámetros'!$Y$1,'Tabla Parámetros'!$Y$12))))</f>
        <v>0</v>
      </c>
      <c r="N115" s="167"/>
      <c r="O115" s="167"/>
      <c r="P115" s="172">
        <f t="shared" si="20"/>
        <v>0</v>
      </c>
      <c r="Q115" s="167">
        <f t="shared" si="27"/>
        <v>0</v>
      </c>
      <c r="T115" s="6"/>
      <c r="U115" s="6"/>
      <c r="V115" s="6"/>
      <c r="W115" s="29">
        <f t="shared" si="19"/>
        <v>0</v>
      </c>
    </row>
    <row r="116" spans="2:23" x14ac:dyDescent="0.3">
      <c r="B116" s="181">
        <f t="shared" si="21"/>
        <v>99</v>
      </c>
      <c r="C116" s="180">
        <f t="shared" si="26"/>
        <v>30.4</v>
      </c>
      <c r="D116" s="193">
        <f>IF(B116="","",'Tabla Parámetros'!$G$5)</f>
        <v>0.11799999999999999</v>
      </c>
      <c r="E116" s="167"/>
      <c r="F116" s="167">
        <f t="shared" si="24"/>
        <v>0</v>
      </c>
      <c r="G116" s="166"/>
      <c r="H116" s="167">
        <f t="shared" si="25"/>
        <v>0</v>
      </c>
      <c r="I116" s="167">
        <f t="shared" si="22"/>
        <v>0</v>
      </c>
      <c r="J116" s="167">
        <f>IF(C116="","",IF(F116=0,0,IF(C116&lt;='Tabla Parámetros'!$J$23,I116,IF($E$2='Tabla Parámetros'!$J$19,((($H$2/1000*'Tabla Parámetros'!$K$19)/30.4*C116)*1.0212^8),IF($E$2='Tabla Parámetros'!$J$20,($H$2/1000*'Tabla Parámetros'!$K$20)/30.4*C116)*1.0201^8)))+N116+O116)</f>
        <v>0</v>
      </c>
      <c r="K116" s="167">
        <f t="shared" si="18"/>
        <v>0</v>
      </c>
      <c r="L116" s="167">
        <f t="shared" si="23"/>
        <v>0</v>
      </c>
      <c r="M116" s="167">
        <f>IF(B116="","",IF(F116=0,0,IF(Simulador!$F$11='Tabla Parámetros'!$W$1,'Tabla Parámetros'!$W$28,IF(Simulador!$F$11='Tabla Parámetros'!$Y$1,'Tabla Parámetros'!$Y$12))))</f>
        <v>0</v>
      </c>
      <c r="N116" s="167"/>
      <c r="O116" s="167"/>
      <c r="P116" s="172">
        <f t="shared" si="20"/>
        <v>0</v>
      </c>
      <c r="Q116" s="167">
        <f t="shared" si="27"/>
        <v>0</v>
      </c>
      <c r="T116" s="6"/>
      <c r="U116" s="6"/>
      <c r="V116" s="6"/>
      <c r="W116" s="29">
        <f t="shared" si="19"/>
        <v>0</v>
      </c>
    </row>
    <row r="117" spans="2:23" x14ac:dyDescent="0.3">
      <c r="B117" s="181">
        <f t="shared" si="21"/>
        <v>100</v>
      </c>
      <c r="C117" s="180">
        <f t="shared" si="26"/>
        <v>30.4</v>
      </c>
      <c r="D117" s="193">
        <f>IF(B117="","",'Tabla Parámetros'!$G$5)</f>
        <v>0.11799999999999999</v>
      </c>
      <c r="E117" s="167"/>
      <c r="F117" s="167">
        <f t="shared" si="24"/>
        <v>0</v>
      </c>
      <c r="G117" s="166"/>
      <c r="H117" s="167">
        <f t="shared" si="25"/>
        <v>0</v>
      </c>
      <c r="I117" s="167">
        <f t="shared" si="22"/>
        <v>0</v>
      </c>
      <c r="J117" s="167">
        <f>IF(C117="","",IF(F117=0,0,IF(C117&lt;='Tabla Parámetros'!$J$23,I117,IF($E$2='Tabla Parámetros'!$J$19,((($H$2/1000*'Tabla Parámetros'!$K$19)/30.4*C117)*1.0212^8),IF($E$2='Tabla Parámetros'!$J$20,($H$2/1000*'Tabla Parámetros'!$K$20)/30.4*C117)*1.0201^8)))+N117+O117)</f>
        <v>0</v>
      </c>
      <c r="K117" s="167">
        <f t="shared" si="18"/>
        <v>0</v>
      </c>
      <c r="L117" s="167">
        <f t="shared" si="23"/>
        <v>0</v>
      </c>
      <c r="M117" s="167">
        <f>IF(B117="","",IF(F117=0,0,IF(Simulador!$F$11='Tabla Parámetros'!$W$1,'Tabla Parámetros'!$W$28,IF(Simulador!$F$11='Tabla Parámetros'!$Y$1,'Tabla Parámetros'!$Y$12))))</f>
        <v>0</v>
      </c>
      <c r="N117" s="167"/>
      <c r="O117" s="167"/>
      <c r="P117" s="172">
        <f t="shared" si="20"/>
        <v>0</v>
      </c>
      <c r="Q117" s="167">
        <f t="shared" si="27"/>
        <v>0</v>
      </c>
      <c r="T117" s="6"/>
      <c r="U117" s="6"/>
      <c r="V117" s="6"/>
      <c r="W117" s="29">
        <f t="shared" si="19"/>
        <v>0</v>
      </c>
    </row>
    <row r="118" spans="2:23" x14ac:dyDescent="0.3">
      <c r="B118" s="181">
        <f t="shared" si="21"/>
        <v>101</v>
      </c>
      <c r="C118" s="180">
        <f t="shared" si="26"/>
        <v>30.4</v>
      </c>
      <c r="D118" s="193">
        <f>IF(B118="","",'Tabla Parámetros'!$G$5)</f>
        <v>0.11799999999999999</v>
      </c>
      <c r="E118" s="167"/>
      <c r="F118" s="167">
        <f t="shared" si="24"/>
        <v>0</v>
      </c>
      <c r="G118" s="166"/>
      <c r="H118" s="167">
        <f t="shared" si="25"/>
        <v>0</v>
      </c>
      <c r="I118" s="167">
        <f t="shared" si="22"/>
        <v>0</v>
      </c>
      <c r="J118" s="167">
        <f>IF(C118="","",IF(F118=0,0,IF(C118&lt;='Tabla Parámetros'!$J$23,I118,IF($E$2='Tabla Parámetros'!$J$19,((($H$2/1000*'Tabla Parámetros'!$K$19)/30.4*C118)*1.0212^8),IF($E$2='Tabla Parámetros'!$J$20,($H$2/1000*'Tabla Parámetros'!$K$20)/30.4*C118)*1.0201^8)))+N118+O118)</f>
        <v>0</v>
      </c>
      <c r="K118" s="167">
        <f t="shared" si="18"/>
        <v>0</v>
      </c>
      <c r="L118" s="167">
        <f t="shared" si="23"/>
        <v>0</v>
      </c>
      <c r="M118" s="167">
        <f>IF(B118="","",IF(F118=0,0,IF(Simulador!$F$11='Tabla Parámetros'!$W$1,'Tabla Parámetros'!$W$28,IF(Simulador!$F$11='Tabla Parámetros'!$Y$1,'Tabla Parámetros'!$Y$12))))</f>
        <v>0</v>
      </c>
      <c r="N118" s="167"/>
      <c r="O118" s="167"/>
      <c r="P118" s="172">
        <f t="shared" si="20"/>
        <v>0</v>
      </c>
      <c r="Q118" s="167">
        <f t="shared" si="27"/>
        <v>0</v>
      </c>
      <c r="T118" s="6"/>
      <c r="U118" s="6"/>
      <c r="V118" s="6"/>
      <c r="W118" s="29">
        <f t="shared" si="19"/>
        <v>0</v>
      </c>
    </row>
    <row r="119" spans="2:23" x14ac:dyDescent="0.3">
      <c r="B119" s="181">
        <f t="shared" si="21"/>
        <v>102</v>
      </c>
      <c r="C119" s="180">
        <f t="shared" si="26"/>
        <v>30.4</v>
      </c>
      <c r="D119" s="193">
        <f>IF(B119="","",'Tabla Parámetros'!$G$5)</f>
        <v>0.11799999999999999</v>
      </c>
      <c r="E119" s="167"/>
      <c r="F119" s="167">
        <f t="shared" si="24"/>
        <v>0</v>
      </c>
      <c r="G119" s="166"/>
      <c r="H119" s="167">
        <f t="shared" si="25"/>
        <v>0</v>
      </c>
      <c r="I119" s="167">
        <f t="shared" si="22"/>
        <v>0</v>
      </c>
      <c r="J119" s="167">
        <f>IF(C119="","",IF(F119=0,0,IF(C119&lt;='Tabla Parámetros'!$J$23,I119,IF($E$2='Tabla Parámetros'!$J$19,((($H$2/1000*'Tabla Parámetros'!$K$19)/30.4*C119)*1.0212^8),IF($E$2='Tabla Parámetros'!$J$20,($H$2/1000*'Tabla Parámetros'!$K$20)/30.4*C119)*1.0201^8)))+N119+O119)</f>
        <v>0</v>
      </c>
      <c r="K119" s="167">
        <f t="shared" si="18"/>
        <v>0</v>
      </c>
      <c r="L119" s="167">
        <f t="shared" si="23"/>
        <v>0</v>
      </c>
      <c r="M119" s="167">
        <f>IF(B119="","",IF(F119=0,0,IF(Simulador!$F$11='Tabla Parámetros'!$W$1,'Tabla Parámetros'!$W$28,IF(Simulador!$F$11='Tabla Parámetros'!$Y$1,'Tabla Parámetros'!$Y$12))))</f>
        <v>0</v>
      </c>
      <c r="N119" s="167"/>
      <c r="O119" s="167"/>
      <c r="P119" s="172">
        <f t="shared" si="20"/>
        <v>0</v>
      </c>
      <c r="Q119" s="167">
        <f t="shared" si="27"/>
        <v>0</v>
      </c>
      <c r="T119" s="6"/>
      <c r="U119" s="6"/>
      <c r="V119" s="6"/>
      <c r="W119" s="29">
        <f t="shared" si="19"/>
        <v>0</v>
      </c>
    </row>
    <row r="120" spans="2:23" x14ac:dyDescent="0.3">
      <c r="B120" s="181">
        <f t="shared" si="21"/>
        <v>103</v>
      </c>
      <c r="C120" s="180">
        <f t="shared" si="26"/>
        <v>30.4</v>
      </c>
      <c r="D120" s="193">
        <f>IF(B120="","",'Tabla Parámetros'!$G$5)</f>
        <v>0.11799999999999999</v>
      </c>
      <c r="E120" s="167"/>
      <c r="F120" s="167">
        <f t="shared" si="24"/>
        <v>0</v>
      </c>
      <c r="G120" s="166"/>
      <c r="H120" s="167">
        <f t="shared" si="25"/>
        <v>0</v>
      </c>
      <c r="I120" s="167">
        <f t="shared" si="22"/>
        <v>0</v>
      </c>
      <c r="J120" s="167">
        <f>IF(C120="","",IF(F120=0,0,IF(C120&lt;='Tabla Parámetros'!$J$23,I120,IF($E$2='Tabla Parámetros'!$J$19,((($H$2/1000*'Tabla Parámetros'!$K$19)/30.4*C120)*1.0212^8),IF($E$2='Tabla Parámetros'!$J$20,($H$2/1000*'Tabla Parámetros'!$K$20)/30.4*C120)*1.0201^8)))+N120+O120)</f>
        <v>0</v>
      </c>
      <c r="K120" s="167">
        <f t="shared" si="18"/>
        <v>0</v>
      </c>
      <c r="L120" s="167">
        <f t="shared" si="23"/>
        <v>0</v>
      </c>
      <c r="M120" s="167">
        <f>IF(B120="","",IF(F120=0,0,IF(Simulador!$F$11='Tabla Parámetros'!$W$1,'Tabla Parámetros'!$W$28,IF(Simulador!$F$11='Tabla Parámetros'!$Y$1,'Tabla Parámetros'!$Y$12))))</f>
        <v>0</v>
      </c>
      <c r="N120" s="167"/>
      <c r="O120" s="167"/>
      <c r="P120" s="172">
        <f t="shared" si="20"/>
        <v>0</v>
      </c>
      <c r="Q120" s="167">
        <f t="shared" si="27"/>
        <v>0</v>
      </c>
      <c r="T120" s="6"/>
      <c r="U120" s="6"/>
      <c r="V120" s="6"/>
      <c r="W120" s="29">
        <f t="shared" si="19"/>
        <v>0</v>
      </c>
    </row>
    <row r="121" spans="2:23" x14ac:dyDescent="0.3">
      <c r="B121" s="181">
        <f t="shared" si="21"/>
        <v>104</v>
      </c>
      <c r="C121" s="180">
        <f t="shared" si="26"/>
        <v>30.4</v>
      </c>
      <c r="D121" s="193">
        <f>IF(B121="","",'Tabla Parámetros'!$G$5)</f>
        <v>0.11799999999999999</v>
      </c>
      <c r="E121" s="167"/>
      <c r="F121" s="167">
        <f t="shared" si="24"/>
        <v>0</v>
      </c>
      <c r="G121" s="166"/>
      <c r="H121" s="167">
        <f t="shared" si="25"/>
        <v>0</v>
      </c>
      <c r="I121" s="167">
        <f t="shared" si="22"/>
        <v>0</v>
      </c>
      <c r="J121" s="167">
        <f>IF(C121="","",IF(F121=0,0,IF(C121&lt;='Tabla Parámetros'!$J$23,I121,IF($E$2='Tabla Parámetros'!$J$19,((($H$2/1000*'Tabla Parámetros'!$K$19)/30.4*C121)*1.0212^8),IF($E$2='Tabla Parámetros'!$J$20,($H$2/1000*'Tabla Parámetros'!$K$20)/30.4*C121)*1.0201^8)))+N121+O121)</f>
        <v>0</v>
      </c>
      <c r="K121" s="167">
        <f t="shared" si="18"/>
        <v>0</v>
      </c>
      <c r="L121" s="167">
        <f t="shared" si="23"/>
        <v>0</v>
      </c>
      <c r="M121" s="167">
        <f>IF(B121="","",IF(F121=0,0,IF(Simulador!$F$11='Tabla Parámetros'!$W$1,'Tabla Parámetros'!$W$28,IF(Simulador!$F$11='Tabla Parámetros'!$Y$1,'Tabla Parámetros'!$Y$12))))</f>
        <v>0</v>
      </c>
      <c r="N121" s="167"/>
      <c r="O121" s="167"/>
      <c r="P121" s="172">
        <f t="shared" si="20"/>
        <v>0</v>
      </c>
      <c r="Q121" s="167">
        <f t="shared" si="27"/>
        <v>0</v>
      </c>
      <c r="T121" s="6"/>
      <c r="U121" s="6"/>
      <c r="V121" s="6"/>
      <c r="W121" s="29">
        <f t="shared" si="19"/>
        <v>0</v>
      </c>
    </row>
    <row r="122" spans="2:23" x14ac:dyDescent="0.3">
      <c r="B122" s="181">
        <f t="shared" si="21"/>
        <v>105</v>
      </c>
      <c r="C122" s="180">
        <f t="shared" si="26"/>
        <v>30.4</v>
      </c>
      <c r="D122" s="193">
        <f>IF(B122="","",'Tabla Parámetros'!$G$5)</f>
        <v>0.11799999999999999</v>
      </c>
      <c r="E122" s="167"/>
      <c r="F122" s="167">
        <f t="shared" si="24"/>
        <v>0</v>
      </c>
      <c r="G122" s="166"/>
      <c r="H122" s="167">
        <f t="shared" si="25"/>
        <v>0</v>
      </c>
      <c r="I122" s="167">
        <f t="shared" si="22"/>
        <v>0</v>
      </c>
      <c r="J122" s="167">
        <f>IF(C122="","",IF(F122=0,0,IF(C122&lt;='Tabla Parámetros'!$J$23,I122,IF($E$2='Tabla Parámetros'!$J$19,((($H$2/1000*'Tabla Parámetros'!$K$19)/30.4*C122)*1.0212^8),IF($E$2='Tabla Parámetros'!$J$20,($H$2/1000*'Tabla Parámetros'!$K$20)/30.4*C122)*1.0201^8)))+N122+O122)</f>
        <v>0</v>
      </c>
      <c r="K122" s="167">
        <f t="shared" si="18"/>
        <v>0</v>
      </c>
      <c r="L122" s="167">
        <f t="shared" si="23"/>
        <v>0</v>
      </c>
      <c r="M122" s="167">
        <f>IF(B122="","",IF(F122=0,0,IF(Simulador!$F$11='Tabla Parámetros'!$W$1,'Tabla Parámetros'!$W$28,IF(Simulador!$F$11='Tabla Parámetros'!$Y$1,'Tabla Parámetros'!$Y$12))))</f>
        <v>0</v>
      </c>
      <c r="N122" s="167"/>
      <c r="O122" s="167"/>
      <c r="P122" s="172">
        <f t="shared" si="20"/>
        <v>0</v>
      </c>
      <c r="Q122" s="167">
        <f t="shared" si="27"/>
        <v>0</v>
      </c>
      <c r="T122" s="6"/>
      <c r="U122" s="6"/>
      <c r="V122" s="6"/>
      <c r="W122" s="29">
        <f t="shared" si="19"/>
        <v>0</v>
      </c>
    </row>
    <row r="123" spans="2:23" x14ac:dyDescent="0.3">
      <c r="B123" s="181">
        <f t="shared" si="21"/>
        <v>106</v>
      </c>
      <c r="C123" s="180">
        <f t="shared" si="26"/>
        <v>30.4</v>
      </c>
      <c r="D123" s="193">
        <f>IF(B123="","",'Tabla Parámetros'!$G$5)</f>
        <v>0.11799999999999999</v>
      </c>
      <c r="E123" s="167"/>
      <c r="F123" s="167">
        <f t="shared" si="24"/>
        <v>0</v>
      </c>
      <c r="G123" s="166"/>
      <c r="H123" s="167">
        <f t="shared" si="25"/>
        <v>0</v>
      </c>
      <c r="I123" s="167">
        <f t="shared" si="22"/>
        <v>0</v>
      </c>
      <c r="J123" s="167">
        <f>IF(C123="","",IF(F123=0,0,IF(C123&lt;='Tabla Parámetros'!$J$23,I123,IF($E$2='Tabla Parámetros'!$J$19,((($H$2/1000*'Tabla Parámetros'!$K$19)/30.4*C123)*1.0212^8),IF($E$2='Tabla Parámetros'!$J$20,($H$2/1000*'Tabla Parámetros'!$K$20)/30.4*C123)*1.0201^8)))+N123+O123)</f>
        <v>0</v>
      </c>
      <c r="K123" s="167">
        <f t="shared" si="18"/>
        <v>0</v>
      </c>
      <c r="L123" s="167">
        <f t="shared" si="23"/>
        <v>0</v>
      </c>
      <c r="M123" s="167">
        <f>IF(B123="","",IF(F123=0,0,IF(Simulador!$F$11='Tabla Parámetros'!$W$1,'Tabla Parámetros'!$W$28,IF(Simulador!$F$11='Tabla Parámetros'!$Y$1,'Tabla Parámetros'!$Y$12))))</f>
        <v>0</v>
      </c>
      <c r="N123" s="167"/>
      <c r="O123" s="167"/>
      <c r="P123" s="172">
        <f t="shared" si="20"/>
        <v>0</v>
      </c>
      <c r="Q123" s="167">
        <f t="shared" si="27"/>
        <v>0</v>
      </c>
      <c r="T123" s="6"/>
      <c r="U123" s="6"/>
      <c r="V123" s="6"/>
      <c r="W123" s="29">
        <f t="shared" si="19"/>
        <v>0</v>
      </c>
    </row>
    <row r="124" spans="2:23" x14ac:dyDescent="0.3">
      <c r="B124" s="181">
        <f t="shared" si="21"/>
        <v>107</v>
      </c>
      <c r="C124" s="180">
        <f t="shared" si="26"/>
        <v>30.4</v>
      </c>
      <c r="D124" s="193">
        <f>IF(B124="","",'Tabla Parámetros'!$G$5)</f>
        <v>0.11799999999999999</v>
      </c>
      <c r="E124" s="167"/>
      <c r="F124" s="167">
        <f t="shared" si="24"/>
        <v>0</v>
      </c>
      <c r="G124" s="166"/>
      <c r="H124" s="167">
        <f t="shared" si="25"/>
        <v>0</v>
      </c>
      <c r="I124" s="167">
        <f t="shared" si="22"/>
        <v>0</v>
      </c>
      <c r="J124" s="167">
        <f>IF(C124="","",IF(F124=0,0,IF(C124&lt;='Tabla Parámetros'!$J$23,I124,IF($E$2='Tabla Parámetros'!$J$19,((($H$2/1000*'Tabla Parámetros'!$K$19)/30.4*C124)*1.0212^8),IF($E$2='Tabla Parámetros'!$J$20,($H$2/1000*'Tabla Parámetros'!$K$20)/30.4*C124)*1.0201^8)))+N124+O124)</f>
        <v>0</v>
      </c>
      <c r="K124" s="167">
        <f t="shared" si="18"/>
        <v>0</v>
      </c>
      <c r="L124" s="167">
        <f t="shared" si="23"/>
        <v>0</v>
      </c>
      <c r="M124" s="167">
        <f>IF(B124="","",IF(F124=0,0,IF(Simulador!$F$11='Tabla Parámetros'!$W$1,'Tabla Parámetros'!$W$28,IF(Simulador!$F$11='Tabla Parámetros'!$Y$1,'Tabla Parámetros'!$Y$12))))</f>
        <v>0</v>
      </c>
      <c r="N124" s="167"/>
      <c r="O124" s="167"/>
      <c r="P124" s="172">
        <f t="shared" si="20"/>
        <v>0</v>
      </c>
      <c r="Q124" s="167">
        <f t="shared" si="27"/>
        <v>0</v>
      </c>
      <c r="T124" s="6"/>
      <c r="U124" s="6"/>
      <c r="V124" s="6"/>
      <c r="W124" s="29">
        <f t="shared" si="19"/>
        <v>0</v>
      </c>
    </row>
    <row r="125" spans="2:23" x14ac:dyDescent="0.3">
      <c r="B125" s="181">
        <f t="shared" si="21"/>
        <v>108</v>
      </c>
      <c r="C125" s="180">
        <f t="shared" si="26"/>
        <v>30.4</v>
      </c>
      <c r="D125" s="193">
        <f>IF(B125="","",'Tabla Parámetros'!$G$5)</f>
        <v>0.11799999999999999</v>
      </c>
      <c r="E125" s="167"/>
      <c r="F125" s="167">
        <f t="shared" si="24"/>
        <v>0</v>
      </c>
      <c r="G125" s="166"/>
      <c r="H125" s="167">
        <f t="shared" si="25"/>
        <v>0</v>
      </c>
      <c r="I125" s="167">
        <f t="shared" si="22"/>
        <v>0</v>
      </c>
      <c r="J125" s="167">
        <f>IF(C125="","",IF(F125=0,0,IF(C125&lt;='Tabla Parámetros'!$J$23,I125,IF($E$2='Tabla Parámetros'!$J$19,((($H$2/1000*'Tabla Parámetros'!$K$19)/30.4*C125)*1.0212^8),IF($E$2='Tabla Parámetros'!$J$20,($H$2/1000*'Tabla Parámetros'!$K$20)/30.4*C125)*1.0201^8)))+N125+O125)</f>
        <v>0</v>
      </c>
      <c r="K125" s="167">
        <f t="shared" si="18"/>
        <v>0</v>
      </c>
      <c r="L125" s="167">
        <f t="shared" si="23"/>
        <v>0</v>
      </c>
      <c r="M125" s="167">
        <f>IF(B125="","",IF(F125=0,0,IF(Simulador!$F$11='Tabla Parámetros'!$W$1,'Tabla Parámetros'!$W$28,IF(Simulador!$F$11='Tabla Parámetros'!$Y$1,'Tabla Parámetros'!$Y$12))))</f>
        <v>0</v>
      </c>
      <c r="N125" s="167"/>
      <c r="O125" s="167"/>
      <c r="P125" s="172">
        <f t="shared" si="20"/>
        <v>0</v>
      </c>
      <c r="Q125" s="167">
        <f t="shared" si="27"/>
        <v>0</v>
      </c>
      <c r="T125" s="6"/>
      <c r="U125" s="6"/>
      <c r="V125" s="6"/>
      <c r="W125" s="29">
        <f t="shared" si="19"/>
        <v>0</v>
      </c>
    </row>
    <row r="126" spans="2:23" x14ac:dyDescent="0.3">
      <c r="B126" s="181">
        <f t="shared" si="21"/>
        <v>109</v>
      </c>
      <c r="C126" s="180">
        <f t="shared" si="26"/>
        <v>30.4</v>
      </c>
      <c r="D126" s="193">
        <f>IF(B126="","",'Tabla Parámetros'!$G$5)</f>
        <v>0.11799999999999999</v>
      </c>
      <c r="E126" s="167"/>
      <c r="F126" s="167">
        <f t="shared" si="24"/>
        <v>0</v>
      </c>
      <c r="G126" s="166"/>
      <c r="H126" s="167">
        <f t="shared" si="25"/>
        <v>0</v>
      </c>
      <c r="I126" s="167">
        <f t="shared" si="22"/>
        <v>0</v>
      </c>
      <c r="J126" s="167">
        <f>IF(C126="","",IF(F126=0,0,IF(C126&lt;='Tabla Parámetros'!$J$23,I126,IF($E$2='Tabla Parámetros'!$J$19,((($H$2/1000*'Tabla Parámetros'!$K$19)/30.4*C126)*1.0212^8),IF($E$2='Tabla Parámetros'!$J$20,($H$2/1000*'Tabla Parámetros'!$K$20)/30.4*C126)*1.0201^8)))+N126+O126)</f>
        <v>0</v>
      </c>
      <c r="K126" s="167">
        <f t="shared" si="18"/>
        <v>0</v>
      </c>
      <c r="L126" s="167">
        <f t="shared" si="23"/>
        <v>0</v>
      </c>
      <c r="M126" s="167">
        <f>IF(B126="","",IF(F126=0,0,IF(Simulador!$F$11='Tabla Parámetros'!$W$1,'Tabla Parámetros'!$W$28,IF(Simulador!$F$11='Tabla Parámetros'!$Y$1,'Tabla Parámetros'!$Y$12))))</f>
        <v>0</v>
      </c>
      <c r="N126" s="167"/>
      <c r="O126" s="167"/>
      <c r="P126" s="172">
        <f t="shared" si="20"/>
        <v>0</v>
      </c>
      <c r="Q126" s="167">
        <f t="shared" si="27"/>
        <v>0</v>
      </c>
      <c r="T126" s="6"/>
      <c r="U126" s="6"/>
      <c r="V126" s="6"/>
      <c r="W126" s="29">
        <f t="shared" si="19"/>
        <v>0</v>
      </c>
    </row>
    <row r="127" spans="2:23" x14ac:dyDescent="0.3">
      <c r="B127" s="181">
        <f t="shared" si="21"/>
        <v>110</v>
      </c>
      <c r="C127" s="180">
        <f t="shared" si="26"/>
        <v>30.4</v>
      </c>
      <c r="D127" s="193">
        <f>IF(B127="","",'Tabla Parámetros'!$G$5)</f>
        <v>0.11799999999999999</v>
      </c>
      <c r="E127" s="167"/>
      <c r="F127" s="167">
        <f t="shared" si="24"/>
        <v>0</v>
      </c>
      <c r="G127" s="166"/>
      <c r="H127" s="167">
        <f t="shared" si="25"/>
        <v>0</v>
      </c>
      <c r="I127" s="167">
        <f t="shared" si="22"/>
        <v>0</v>
      </c>
      <c r="J127" s="167">
        <f>IF(C127="","",IF(F127=0,0,IF(C127&lt;='Tabla Parámetros'!$J$23,I127,IF($E$2='Tabla Parámetros'!$J$19,((($H$2/1000*'Tabla Parámetros'!$K$19)/30.4*C127)*1.0212^9),IF($E$2='Tabla Parámetros'!$J$20,($H$2/1000*'Tabla Parámetros'!$K$20)/30.4*C127)*1.0201^9)))+N127+O127)</f>
        <v>0</v>
      </c>
      <c r="K127" s="167">
        <f t="shared" si="18"/>
        <v>0</v>
      </c>
      <c r="L127" s="167">
        <f t="shared" si="23"/>
        <v>0</v>
      </c>
      <c r="M127" s="167">
        <f>IF(B127="","",IF(F127=0,0,IF(Simulador!$F$11='Tabla Parámetros'!$W$1,'Tabla Parámetros'!$W$28,IF(Simulador!$F$11='Tabla Parámetros'!$Y$1,'Tabla Parámetros'!$Y$12))))</f>
        <v>0</v>
      </c>
      <c r="N127" s="167"/>
      <c r="O127" s="167"/>
      <c r="P127" s="172">
        <f t="shared" si="20"/>
        <v>0</v>
      </c>
      <c r="Q127" s="167">
        <f t="shared" si="27"/>
        <v>0</v>
      </c>
      <c r="T127" s="6"/>
      <c r="U127" s="6"/>
      <c r="V127" s="6"/>
      <c r="W127" s="29">
        <f t="shared" si="19"/>
        <v>0</v>
      </c>
    </row>
    <row r="128" spans="2:23" x14ac:dyDescent="0.3">
      <c r="B128" s="181">
        <f t="shared" si="21"/>
        <v>111</v>
      </c>
      <c r="C128" s="180">
        <f t="shared" si="26"/>
        <v>30.4</v>
      </c>
      <c r="D128" s="193">
        <f>IF(B128="","",'Tabla Parámetros'!$G$5)</f>
        <v>0.11799999999999999</v>
      </c>
      <c r="E128" s="167"/>
      <c r="F128" s="167">
        <f t="shared" si="24"/>
        <v>0</v>
      </c>
      <c r="G128" s="166"/>
      <c r="H128" s="167">
        <f t="shared" si="25"/>
        <v>0</v>
      </c>
      <c r="I128" s="167">
        <f t="shared" si="22"/>
        <v>0</v>
      </c>
      <c r="J128" s="167">
        <f>IF(C128="","",IF(F128=0,0,IF(C128&lt;='Tabla Parámetros'!$J$23,I128,IF($E$2='Tabla Parámetros'!$J$19,((($H$2/1000*'Tabla Parámetros'!$K$19)/30.4*C128)*1.0212^9),IF($E$2='Tabla Parámetros'!$J$20,($H$2/1000*'Tabla Parámetros'!$K$20)/30.4*C128)*1.0201^9)))+N128+O128)</f>
        <v>0</v>
      </c>
      <c r="K128" s="167">
        <f t="shared" si="18"/>
        <v>0</v>
      </c>
      <c r="L128" s="167">
        <f t="shared" si="23"/>
        <v>0</v>
      </c>
      <c r="M128" s="167">
        <f>IF(B128="","",IF(F128=0,0,IF(Simulador!$F$11='Tabla Parámetros'!$W$1,'Tabla Parámetros'!$W$28,IF(Simulador!$F$11='Tabla Parámetros'!$Y$1,'Tabla Parámetros'!$Y$12))))</f>
        <v>0</v>
      </c>
      <c r="N128" s="167"/>
      <c r="O128" s="167"/>
      <c r="P128" s="172">
        <f t="shared" si="20"/>
        <v>0</v>
      </c>
      <c r="Q128" s="167">
        <f t="shared" si="27"/>
        <v>0</v>
      </c>
      <c r="T128" s="6"/>
      <c r="U128" s="6"/>
      <c r="V128" s="6"/>
      <c r="W128" s="29">
        <f t="shared" si="19"/>
        <v>0</v>
      </c>
    </row>
    <row r="129" spans="2:23" x14ac:dyDescent="0.3">
      <c r="B129" s="181">
        <f t="shared" si="21"/>
        <v>112</v>
      </c>
      <c r="C129" s="180">
        <f t="shared" si="26"/>
        <v>30.4</v>
      </c>
      <c r="D129" s="193">
        <f>IF(B129="","",'Tabla Parámetros'!$G$5)</f>
        <v>0.11799999999999999</v>
      </c>
      <c r="E129" s="167"/>
      <c r="F129" s="167">
        <f t="shared" si="24"/>
        <v>0</v>
      </c>
      <c r="G129" s="166"/>
      <c r="H129" s="167">
        <f t="shared" si="25"/>
        <v>0</v>
      </c>
      <c r="I129" s="167">
        <f t="shared" si="22"/>
        <v>0</v>
      </c>
      <c r="J129" s="167">
        <f>IF(C129="","",IF(F129=0,0,IF(C129&lt;='Tabla Parámetros'!$J$23,I129,IF($E$2='Tabla Parámetros'!$J$19,((($H$2/1000*'Tabla Parámetros'!$K$19)/30.4*C129)*1.0212^9),IF($E$2='Tabla Parámetros'!$J$20,($H$2/1000*'Tabla Parámetros'!$K$20)/30.4*C129)*1.0201^9)))+N129+O129)</f>
        <v>0</v>
      </c>
      <c r="K129" s="167">
        <f t="shared" si="18"/>
        <v>0</v>
      </c>
      <c r="L129" s="167">
        <f t="shared" si="23"/>
        <v>0</v>
      </c>
      <c r="M129" s="167">
        <f>IF(B129="","",IF(F129=0,0,IF(Simulador!$F$11='Tabla Parámetros'!$W$1,'Tabla Parámetros'!$W$28,IF(Simulador!$F$11='Tabla Parámetros'!$Y$1,'Tabla Parámetros'!$Y$12))))</f>
        <v>0</v>
      </c>
      <c r="N129" s="167"/>
      <c r="O129" s="167"/>
      <c r="P129" s="172">
        <f t="shared" si="20"/>
        <v>0</v>
      </c>
      <c r="Q129" s="167">
        <f t="shared" si="27"/>
        <v>0</v>
      </c>
      <c r="T129" s="6"/>
      <c r="U129" s="6"/>
      <c r="V129" s="6"/>
      <c r="W129" s="29">
        <f t="shared" si="19"/>
        <v>0</v>
      </c>
    </row>
    <row r="130" spans="2:23" x14ac:dyDescent="0.3">
      <c r="B130" s="181">
        <f t="shared" si="21"/>
        <v>113</v>
      </c>
      <c r="C130" s="180">
        <f t="shared" si="26"/>
        <v>30.4</v>
      </c>
      <c r="D130" s="193">
        <f>IF(B130="","",'Tabla Parámetros'!$G$5)</f>
        <v>0.11799999999999999</v>
      </c>
      <c r="E130" s="167"/>
      <c r="F130" s="167">
        <f t="shared" si="24"/>
        <v>0</v>
      </c>
      <c r="G130" s="166"/>
      <c r="H130" s="167">
        <f t="shared" si="25"/>
        <v>0</v>
      </c>
      <c r="I130" s="167">
        <f t="shared" si="22"/>
        <v>0</v>
      </c>
      <c r="J130" s="167">
        <f>IF(C130="","",IF(F130=0,0,IF(C130&lt;='Tabla Parámetros'!$J$23,I130,IF($E$2='Tabla Parámetros'!$J$19,((($H$2/1000*'Tabla Parámetros'!$K$19)/30.4*C130)*1.0212^9),IF($E$2='Tabla Parámetros'!$J$20,($H$2/1000*'Tabla Parámetros'!$K$20)/30.4*C130)*1.0201^9)))+N130+O130)</f>
        <v>0</v>
      </c>
      <c r="K130" s="167">
        <f t="shared" si="18"/>
        <v>0</v>
      </c>
      <c r="L130" s="167">
        <f t="shared" si="23"/>
        <v>0</v>
      </c>
      <c r="M130" s="167">
        <f>IF(B130="","",IF(F130=0,0,IF(Simulador!$F$11='Tabla Parámetros'!$W$1,'Tabla Parámetros'!$W$28,IF(Simulador!$F$11='Tabla Parámetros'!$Y$1,'Tabla Parámetros'!$Y$12))))</f>
        <v>0</v>
      </c>
      <c r="N130" s="167"/>
      <c r="O130" s="167"/>
      <c r="P130" s="172">
        <f t="shared" si="20"/>
        <v>0</v>
      </c>
      <c r="Q130" s="167">
        <f t="shared" si="27"/>
        <v>0</v>
      </c>
      <c r="T130" s="6"/>
      <c r="U130" s="6"/>
      <c r="V130" s="6"/>
      <c r="W130" s="29">
        <f t="shared" si="19"/>
        <v>0</v>
      </c>
    </row>
    <row r="131" spans="2:23" x14ac:dyDescent="0.3">
      <c r="B131" s="181">
        <f t="shared" si="21"/>
        <v>114</v>
      </c>
      <c r="C131" s="180">
        <f t="shared" si="26"/>
        <v>30.4</v>
      </c>
      <c r="D131" s="193">
        <f>IF(B131="","",'Tabla Parámetros'!$G$5)</f>
        <v>0.11799999999999999</v>
      </c>
      <c r="E131" s="167"/>
      <c r="F131" s="167">
        <f t="shared" si="24"/>
        <v>0</v>
      </c>
      <c r="G131" s="166"/>
      <c r="H131" s="167">
        <f t="shared" si="25"/>
        <v>0</v>
      </c>
      <c r="I131" s="167">
        <f t="shared" si="22"/>
        <v>0</v>
      </c>
      <c r="J131" s="167">
        <f>IF(C131="","",IF(F131=0,0,IF(C131&lt;='Tabla Parámetros'!$J$23,I131,IF($E$2='Tabla Parámetros'!$J$19,((($H$2/1000*'Tabla Parámetros'!$K$19)/30.4*C131)*1.0212^9),IF($E$2='Tabla Parámetros'!$J$20,($H$2/1000*'Tabla Parámetros'!$K$20)/30.4*C131)*1.0201^9)))+N131+O131)</f>
        <v>0</v>
      </c>
      <c r="K131" s="167">
        <f t="shared" si="18"/>
        <v>0</v>
      </c>
      <c r="L131" s="167">
        <f t="shared" si="23"/>
        <v>0</v>
      </c>
      <c r="M131" s="167">
        <f>IF(B131="","",IF(F131=0,0,IF(Simulador!$F$11='Tabla Parámetros'!$W$1,'Tabla Parámetros'!$W$28,IF(Simulador!$F$11='Tabla Parámetros'!$Y$1,'Tabla Parámetros'!$Y$12))))</f>
        <v>0</v>
      </c>
      <c r="N131" s="167"/>
      <c r="O131" s="167"/>
      <c r="P131" s="172">
        <f t="shared" si="20"/>
        <v>0</v>
      </c>
      <c r="Q131" s="167">
        <f t="shared" si="27"/>
        <v>0</v>
      </c>
      <c r="T131" s="6"/>
      <c r="U131" s="6"/>
      <c r="V131" s="6"/>
      <c r="W131" s="29">
        <f t="shared" si="19"/>
        <v>0</v>
      </c>
    </row>
    <row r="132" spans="2:23" x14ac:dyDescent="0.3">
      <c r="B132" s="181">
        <f t="shared" si="21"/>
        <v>115</v>
      </c>
      <c r="C132" s="180">
        <f t="shared" si="26"/>
        <v>30.4</v>
      </c>
      <c r="D132" s="193">
        <f>IF(B132="","",'Tabla Parámetros'!$G$5)</f>
        <v>0.11799999999999999</v>
      </c>
      <c r="E132" s="167"/>
      <c r="F132" s="167">
        <f t="shared" si="24"/>
        <v>0</v>
      </c>
      <c r="G132" s="166"/>
      <c r="H132" s="167">
        <f t="shared" si="25"/>
        <v>0</v>
      </c>
      <c r="I132" s="167">
        <f t="shared" si="22"/>
        <v>0</v>
      </c>
      <c r="J132" s="167">
        <f>IF(C132="","",IF(F132=0,0,IF(C132&lt;='Tabla Parámetros'!$J$23,I132,IF($E$2='Tabla Parámetros'!$J$19,((($H$2/1000*'Tabla Parámetros'!$K$19)/30.4*C132)*1.0212^9),IF($E$2='Tabla Parámetros'!$J$20,($H$2/1000*'Tabla Parámetros'!$K$20)/30.4*C132)*1.0201^9)))+N132+O132)</f>
        <v>0</v>
      </c>
      <c r="K132" s="167">
        <f t="shared" si="18"/>
        <v>0</v>
      </c>
      <c r="L132" s="167">
        <f t="shared" si="23"/>
        <v>0</v>
      </c>
      <c r="M132" s="167">
        <f>IF(B132="","",IF(F132=0,0,IF(Simulador!$F$11='Tabla Parámetros'!$W$1,'Tabla Parámetros'!$W$28,IF(Simulador!$F$11='Tabla Parámetros'!$Y$1,'Tabla Parámetros'!$Y$12))))</f>
        <v>0</v>
      </c>
      <c r="N132" s="167"/>
      <c r="O132" s="167"/>
      <c r="P132" s="172">
        <f t="shared" si="20"/>
        <v>0</v>
      </c>
      <c r="Q132" s="167">
        <f t="shared" si="27"/>
        <v>0</v>
      </c>
      <c r="T132" s="6"/>
      <c r="U132" s="6"/>
      <c r="V132" s="6"/>
      <c r="W132" s="29">
        <f t="shared" si="19"/>
        <v>0</v>
      </c>
    </row>
    <row r="133" spans="2:23" x14ac:dyDescent="0.3">
      <c r="B133" s="181">
        <f t="shared" si="21"/>
        <v>116</v>
      </c>
      <c r="C133" s="180">
        <f t="shared" si="26"/>
        <v>30.4</v>
      </c>
      <c r="D133" s="193">
        <f>IF(B133="","",'Tabla Parámetros'!$G$5)</f>
        <v>0.11799999999999999</v>
      </c>
      <c r="E133" s="167"/>
      <c r="F133" s="167">
        <f t="shared" si="24"/>
        <v>0</v>
      </c>
      <c r="G133" s="166"/>
      <c r="H133" s="167">
        <f t="shared" si="25"/>
        <v>0</v>
      </c>
      <c r="I133" s="167">
        <f t="shared" si="22"/>
        <v>0</v>
      </c>
      <c r="J133" s="167">
        <f>IF(C133="","",IF(F133=0,0,IF(C133&lt;='Tabla Parámetros'!$J$23,I133,IF($E$2='Tabla Parámetros'!$J$19,((($H$2/1000*'Tabla Parámetros'!$K$19)/30.4*C133)*1.0212^9),IF($E$2='Tabla Parámetros'!$J$20,($H$2/1000*'Tabla Parámetros'!$K$20)/30.4*C133)*1.0201^9)))+N133+O133)</f>
        <v>0</v>
      </c>
      <c r="K133" s="167">
        <f t="shared" si="18"/>
        <v>0</v>
      </c>
      <c r="L133" s="167">
        <f t="shared" si="23"/>
        <v>0</v>
      </c>
      <c r="M133" s="167">
        <f>IF(B133="","",IF(F133=0,0,IF(Simulador!$F$11='Tabla Parámetros'!$W$1,'Tabla Parámetros'!$W$28,IF(Simulador!$F$11='Tabla Parámetros'!$Y$1,'Tabla Parámetros'!$Y$12))))</f>
        <v>0</v>
      </c>
      <c r="N133" s="167"/>
      <c r="O133" s="167"/>
      <c r="P133" s="172">
        <f t="shared" si="20"/>
        <v>0</v>
      </c>
      <c r="Q133" s="167">
        <f t="shared" si="27"/>
        <v>0</v>
      </c>
      <c r="T133" s="6"/>
      <c r="U133" s="6"/>
      <c r="V133" s="6"/>
      <c r="W133" s="29">
        <f t="shared" si="19"/>
        <v>0</v>
      </c>
    </row>
    <row r="134" spans="2:23" x14ac:dyDescent="0.3">
      <c r="B134" s="181">
        <f t="shared" si="21"/>
        <v>117</v>
      </c>
      <c r="C134" s="180">
        <f t="shared" si="26"/>
        <v>30.4</v>
      </c>
      <c r="D134" s="193">
        <f>IF(B134="","",'Tabla Parámetros'!$G$5)</f>
        <v>0.11799999999999999</v>
      </c>
      <c r="E134" s="167"/>
      <c r="F134" s="167">
        <f t="shared" si="24"/>
        <v>0</v>
      </c>
      <c r="G134" s="166"/>
      <c r="H134" s="167">
        <f t="shared" si="25"/>
        <v>0</v>
      </c>
      <c r="I134" s="167">
        <f t="shared" si="22"/>
        <v>0</v>
      </c>
      <c r="J134" s="167">
        <f>IF(C134="","",IF(F134=0,0,IF(C134&lt;='Tabla Parámetros'!$J$23,I134,IF($E$2='Tabla Parámetros'!$J$19,((($H$2/1000*'Tabla Parámetros'!$K$19)/30.4*C134)*1.0212^9),IF($E$2='Tabla Parámetros'!$J$20,($H$2/1000*'Tabla Parámetros'!$K$20)/30.4*C134)*1.0201^9)))+N134+O134)</f>
        <v>0</v>
      </c>
      <c r="K134" s="167">
        <f t="shared" si="18"/>
        <v>0</v>
      </c>
      <c r="L134" s="167">
        <f t="shared" si="23"/>
        <v>0</v>
      </c>
      <c r="M134" s="167">
        <f>IF(B134="","",IF(F134=0,0,IF(Simulador!$F$11='Tabla Parámetros'!$W$1,'Tabla Parámetros'!$W$28,IF(Simulador!$F$11='Tabla Parámetros'!$Y$1,'Tabla Parámetros'!$Y$12))))</f>
        <v>0</v>
      </c>
      <c r="N134" s="167"/>
      <c r="O134" s="167"/>
      <c r="P134" s="172">
        <f t="shared" si="20"/>
        <v>0</v>
      </c>
      <c r="Q134" s="167">
        <f t="shared" si="27"/>
        <v>0</v>
      </c>
      <c r="T134" s="6"/>
      <c r="U134" s="6"/>
      <c r="V134" s="6"/>
      <c r="W134" s="29">
        <f t="shared" si="19"/>
        <v>0</v>
      </c>
    </row>
    <row r="135" spans="2:23" x14ac:dyDescent="0.3">
      <c r="B135" s="181">
        <f t="shared" si="21"/>
        <v>118</v>
      </c>
      <c r="C135" s="180">
        <f t="shared" si="26"/>
        <v>30.4</v>
      </c>
      <c r="D135" s="193">
        <f>IF(B135="","",'Tabla Parámetros'!$G$5)</f>
        <v>0.11799999999999999</v>
      </c>
      <c r="E135" s="167"/>
      <c r="F135" s="167">
        <f t="shared" si="24"/>
        <v>0</v>
      </c>
      <c r="G135" s="166"/>
      <c r="H135" s="167">
        <f t="shared" si="25"/>
        <v>0</v>
      </c>
      <c r="I135" s="167">
        <f t="shared" si="22"/>
        <v>0</v>
      </c>
      <c r="J135" s="167">
        <f>IF(C135="","",IF(F135=0,0,IF(C135&lt;='Tabla Parámetros'!$J$23,I135,IF($E$2='Tabla Parámetros'!$J$19,((($H$2/1000*'Tabla Parámetros'!$K$19)/30.4*C135)*1.0212^9),IF($E$2='Tabla Parámetros'!$J$20,($H$2/1000*'Tabla Parámetros'!$K$20)/30.4*C135)*1.0201^9)))+N135+O135)</f>
        <v>0</v>
      </c>
      <c r="K135" s="167">
        <f t="shared" ref="K135:K198" si="28">F135*$I$2</f>
        <v>0</v>
      </c>
      <c r="L135" s="167">
        <f t="shared" si="23"/>
        <v>0</v>
      </c>
      <c r="M135" s="167">
        <f>IF(B135="","",IF(F135=0,0,IF(Simulador!$F$11='Tabla Parámetros'!$W$1,'Tabla Parámetros'!$W$28,IF(Simulador!$F$11='Tabla Parámetros'!$Y$1,'Tabla Parámetros'!$Y$12))))</f>
        <v>0</v>
      </c>
      <c r="N135" s="167"/>
      <c r="O135" s="167"/>
      <c r="P135" s="172">
        <f t="shared" si="20"/>
        <v>0</v>
      </c>
      <c r="Q135" s="167">
        <f t="shared" si="27"/>
        <v>0</v>
      </c>
      <c r="T135" s="6"/>
      <c r="U135" s="6"/>
      <c r="V135" s="6"/>
      <c r="W135" s="29">
        <f t="shared" si="19"/>
        <v>0</v>
      </c>
    </row>
    <row r="136" spans="2:23" x14ac:dyDescent="0.3">
      <c r="B136" s="181">
        <f t="shared" si="21"/>
        <v>119</v>
      </c>
      <c r="C136" s="180">
        <f t="shared" si="26"/>
        <v>30.4</v>
      </c>
      <c r="D136" s="193">
        <f>IF(B136="","",'Tabla Parámetros'!$G$5)</f>
        <v>0.11799999999999999</v>
      </c>
      <c r="E136" s="167"/>
      <c r="F136" s="167">
        <f t="shared" si="24"/>
        <v>0</v>
      </c>
      <c r="G136" s="166"/>
      <c r="H136" s="167">
        <f t="shared" si="25"/>
        <v>0</v>
      </c>
      <c r="I136" s="167">
        <f t="shared" si="22"/>
        <v>0</v>
      </c>
      <c r="J136" s="167">
        <f>IF(C136="","",IF(F136=0,0,IF(C136&lt;='Tabla Parámetros'!$J$23,I136,IF($E$2='Tabla Parámetros'!$J$19,((($H$2/1000*'Tabla Parámetros'!$K$19)/30.4*C136)*1.0212^9),IF($E$2='Tabla Parámetros'!$J$20,($H$2/1000*'Tabla Parámetros'!$K$20)/30.4*C136)*1.0201^9)))+N136+O136)</f>
        <v>0</v>
      </c>
      <c r="K136" s="167">
        <f t="shared" si="28"/>
        <v>0</v>
      </c>
      <c r="L136" s="167">
        <f t="shared" si="23"/>
        <v>0</v>
      </c>
      <c r="M136" s="167">
        <f>IF(B136="","",IF(F136=0,0,IF(Simulador!$F$11='Tabla Parámetros'!$W$1,'Tabla Parámetros'!$W$28,IF(Simulador!$F$11='Tabla Parámetros'!$Y$1,'Tabla Parámetros'!$Y$12))))</f>
        <v>0</v>
      </c>
      <c r="N136" s="167"/>
      <c r="O136" s="167"/>
      <c r="P136" s="172">
        <f t="shared" si="20"/>
        <v>0</v>
      </c>
      <c r="Q136" s="167">
        <f t="shared" si="27"/>
        <v>0</v>
      </c>
      <c r="T136" s="6"/>
      <c r="U136" s="6"/>
      <c r="V136" s="6"/>
      <c r="W136" s="29">
        <f t="shared" si="19"/>
        <v>0</v>
      </c>
    </row>
    <row r="137" spans="2:23" x14ac:dyDescent="0.3">
      <c r="B137" s="181">
        <f t="shared" si="21"/>
        <v>120</v>
      </c>
      <c r="C137" s="180">
        <f t="shared" si="26"/>
        <v>30.4</v>
      </c>
      <c r="D137" s="193">
        <f>IF(B137="","",'Tabla Parámetros'!$G$5)</f>
        <v>0.11799999999999999</v>
      </c>
      <c r="E137" s="167"/>
      <c r="F137" s="167">
        <f t="shared" si="24"/>
        <v>0</v>
      </c>
      <c r="G137" s="166"/>
      <c r="H137" s="167">
        <f t="shared" si="25"/>
        <v>0</v>
      </c>
      <c r="I137" s="167">
        <f t="shared" si="22"/>
        <v>0</v>
      </c>
      <c r="J137" s="167">
        <f>IF(C137="","",IF(F137=0,0,IF(C137&lt;='Tabla Parámetros'!$J$23,I137,IF($E$2='Tabla Parámetros'!$J$19,((($H$2/1000*'Tabla Parámetros'!$K$19)/30.4*C137)*1.0212^9),IF($E$2='Tabla Parámetros'!$J$20,($H$2/1000*'Tabla Parámetros'!$K$20)/30.4*C137)*1.0201^9)))+N137+O137)</f>
        <v>0</v>
      </c>
      <c r="K137" s="167">
        <f t="shared" si="28"/>
        <v>0</v>
      </c>
      <c r="L137" s="167">
        <f t="shared" si="23"/>
        <v>0</v>
      </c>
      <c r="M137" s="167">
        <f>IF(B137="","",IF(F137=0,0,IF(Simulador!$F$11='Tabla Parámetros'!$W$1,'Tabla Parámetros'!$W$28,IF(Simulador!$F$11='Tabla Parámetros'!$Y$1,'Tabla Parámetros'!$Y$12))))</f>
        <v>0</v>
      </c>
      <c r="N137" s="167"/>
      <c r="O137" s="167"/>
      <c r="P137" s="172">
        <f t="shared" si="20"/>
        <v>0</v>
      </c>
      <c r="Q137" s="167">
        <f t="shared" si="27"/>
        <v>0</v>
      </c>
      <c r="T137" s="6"/>
      <c r="U137" s="6"/>
      <c r="V137" s="6"/>
      <c r="W137" s="29">
        <f t="shared" si="19"/>
        <v>0</v>
      </c>
    </row>
    <row r="138" spans="2:23" x14ac:dyDescent="0.3">
      <c r="B138" s="181">
        <f t="shared" si="21"/>
        <v>121</v>
      </c>
      <c r="C138" s="180">
        <f t="shared" si="26"/>
        <v>30.4</v>
      </c>
      <c r="D138" s="193">
        <f>IF(B138="","",'Tabla Parámetros'!$G$5)</f>
        <v>0.11799999999999999</v>
      </c>
      <c r="E138" s="167"/>
      <c r="F138" s="167">
        <f t="shared" si="24"/>
        <v>0</v>
      </c>
      <c r="G138" s="166"/>
      <c r="H138" s="167">
        <f t="shared" si="25"/>
        <v>0</v>
      </c>
      <c r="I138" s="167">
        <f t="shared" si="22"/>
        <v>0</v>
      </c>
      <c r="J138" s="167">
        <f>IF(C138="","",IF(F138=0,0,IF(C138&lt;='Tabla Parámetros'!$J$23,I138,IF($E$2='Tabla Parámetros'!$J$19,((($H$2/1000*'Tabla Parámetros'!$K$19)/30.4*C138)*1.0212^9),IF($E$2='Tabla Parámetros'!$J$20,($H$2/1000*'Tabla Parámetros'!$K$20)/30.4*C138)*1.0201^9)))+N138+O138)</f>
        <v>0</v>
      </c>
      <c r="K138" s="167">
        <f t="shared" si="28"/>
        <v>0</v>
      </c>
      <c r="L138" s="167">
        <f t="shared" si="23"/>
        <v>0</v>
      </c>
      <c r="M138" s="167">
        <f>IF(B138="","",IF(F138=0,0,IF(Simulador!$F$11='Tabla Parámetros'!$W$1,'Tabla Parámetros'!$W$28,IF(Simulador!$F$11='Tabla Parámetros'!$Y$1,'Tabla Parámetros'!$Y$12))))</f>
        <v>0</v>
      </c>
      <c r="N138" s="167"/>
      <c r="O138" s="167"/>
      <c r="P138" s="172">
        <f t="shared" si="20"/>
        <v>0</v>
      </c>
      <c r="Q138" s="167">
        <f t="shared" si="27"/>
        <v>0</v>
      </c>
      <c r="T138" s="6"/>
      <c r="U138" s="6"/>
      <c r="V138" s="6"/>
      <c r="W138" s="29">
        <f t="shared" si="19"/>
        <v>0</v>
      </c>
    </row>
    <row r="139" spans="2:23" x14ac:dyDescent="0.3">
      <c r="B139" s="181">
        <f t="shared" si="21"/>
        <v>122</v>
      </c>
      <c r="C139" s="180">
        <f t="shared" si="26"/>
        <v>30.4</v>
      </c>
      <c r="D139" s="193">
        <f>IF(B139="","",'Tabla Parámetros'!$G$5)</f>
        <v>0.11799999999999999</v>
      </c>
      <c r="E139" s="167"/>
      <c r="F139" s="167">
        <f t="shared" si="24"/>
        <v>0</v>
      </c>
      <c r="G139" s="166"/>
      <c r="H139" s="167">
        <f t="shared" si="25"/>
        <v>0</v>
      </c>
      <c r="I139" s="167">
        <f t="shared" si="22"/>
        <v>0</v>
      </c>
      <c r="J139" s="167">
        <f>IF(C139="","",IF(F139=0,0,IF(C139&lt;='Tabla Parámetros'!$J$23,I139,IF($E$2='Tabla Parámetros'!$J$19,((($H$2/1000*'Tabla Parámetros'!$K$19)/30.4*C139)*1.0212^10),IF($E$2='Tabla Parámetros'!$J$20,($H$2/1000*'Tabla Parámetros'!$K$20)/30.4*C139)*1.0201^10)))+N139+O139)</f>
        <v>0</v>
      </c>
      <c r="K139" s="167">
        <f t="shared" si="28"/>
        <v>0</v>
      </c>
      <c r="L139" s="167">
        <f t="shared" si="23"/>
        <v>0</v>
      </c>
      <c r="M139" s="167">
        <f>IF(B139="","",IF(F139=0,0,IF(Simulador!$F$11='Tabla Parámetros'!$W$1,'Tabla Parámetros'!$W$28,IF(Simulador!$F$11='Tabla Parámetros'!$Y$1,'Tabla Parámetros'!$Y$12))))</f>
        <v>0</v>
      </c>
      <c r="N139" s="167"/>
      <c r="O139" s="167"/>
      <c r="P139" s="172">
        <f t="shared" si="20"/>
        <v>0</v>
      </c>
      <c r="Q139" s="167">
        <f t="shared" si="27"/>
        <v>0</v>
      </c>
      <c r="T139" s="6"/>
      <c r="U139" s="6"/>
      <c r="V139" s="6"/>
      <c r="W139" s="29">
        <f t="shared" si="19"/>
        <v>0</v>
      </c>
    </row>
    <row r="140" spans="2:23" x14ac:dyDescent="0.3">
      <c r="B140" s="181">
        <f t="shared" si="21"/>
        <v>123</v>
      </c>
      <c r="C140" s="180">
        <f t="shared" si="26"/>
        <v>30.4</v>
      </c>
      <c r="D140" s="193">
        <f>IF(B140="","",'Tabla Parámetros'!$G$5)</f>
        <v>0.11799999999999999</v>
      </c>
      <c r="E140" s="167"/>
      <c r="F140" s="167">
        <f t="shared" si="24"/>
        <v>0</v>
      </c>
      <c r="G140" s="166"/>
      <c r="H140" s="167">
        <f t="shared" si="25"/>
        <v>0</v>
      </c>
      <c r="I140" s="167">
        <f t="shared" si="22"/>
        <v>0</v>
      </c>
      <c r="J140" s="167">
        <f>IF(C140="","",IF(F140=0,0,IF(C140&lt;='Tabla Parámetros'!$J$23,I140,IF($E$2='Tabla Parámetros'!$J$19,((($H$2/1000*'Tabla Parámetros'!$K$19)/30.4*C140)*1.0212^10),IF($E$2='Tabla Parámetros'!$J$20,($H$2/1000*'Tabla Parámetros'!$K$20)/30.4*C140)*1.0201^10)))+N140+O140)</f>
        <v>0</v>
      </c>
      <c r="K140" s="167">
        <f t="shared" si="28"/>
        <v>0</v>
      </c>
      <c r="L140" s="167">
        <f t="shared" si="23"/>
        <v>0</v>
      </c>
      <c r="M140" s="167">
        <f>IF(B140="","",IF(F140=0,0,IF(Simulador!$F$11='Tabla Parámetros'!$W$1,'Tabla Parámetros'!$W$28,IF(Simulador!$F$11='Tabla Parámetros'!$Y$1,'Tabla Parámetros'!$Y$12))))</f>
        <v>0</v>
      </c>
      <c r="N140" s="167"/>
      <c r="O140" s="167"/>
      <c r="P140" s="172">
        <f t="shared" si="20"/>
        <v>0</v>
      </c>
      <c r="Q140" s="167">
        <f t="shared" si="27"/>
        <v>0</v>
      </c>
      <c r="T140" s="6"/>
      <c r="U140" s="6"/>
      <c r="V140" s="6"/>
      <c r="W140" s="29">
        <f t="shared" si="19"/>
        <v>0</v>
      </c>
    </row>
    <row r="141" spans="2:23" x14ac:dyDescent="0.3">
      <c r="B141" s="181">
        <f t="shared" si="21"/>
        <v>124</v>
      </c>
      <c r="C141" s="180">
        <f t="shared" si="26"/>
        <v>30.4</v>
      </c>
      <c r="D141" s="193">
        <f>IF(B141="","",'Tabla Parámetros'!$G$5)</f>
        <v>0.11799999999999999</v>
      </c>
      <c r="E141" s="167"/>
      <c r="F141" s="167">
        <f t="shared" si="24"/>
        <v>0</v>
      </c>
      <c r="G141" s="166"/>
      <c r="H141" s="167">
        <f t="shared" si="25"/>
        <v>0</v>
      </c>
      <c r="I141" s="167">
        <f t="shared" si="22"/>
        <v>0</v>
      </c>
      <c r="J141" s="167">
        <f>IF(C141="","",IF(F141=0,0,IF(C141&lt;='Tabla Parámetros'!$J$23,I141,IF($E$2='Tabla Parámetros'!$J$19,((($H$2/1000*'Tabla Parámetros'!$K$19)/30.4*C141)*1.0212^10),IF($E$2='Tabla Parámetros'!$J$20,($H$2/1000*'Tabla Parámetros'!$K$20)/30.4*C141)*1.0201^10)))+N141+O141)</f>
        <v>0</v>
      </c>
      <c r="K141" s="167">
        <f t="shared" si="28"/>
        <v>0</v>
      </c>
      <c r="L141" s="167">
        <f t="shared" si="23"/>
        <v>0</v>
      </c>
      <c r="M141" s="167">
        <f>IF(B141="","",IF(F141=0,0,IF(Simulador!$F$11='Tabla Parámetros'!$W$1,'Tabla Parámetros'!$W$28,IF(Simulador!$F$11='Tabla Parámetros'!$Y$1,'Tabla Parámetros'!$Y$12))))</f>
        <v>0</v>
      </c>
      <c r="N141" s="167"/>
      <c r="O141" s="167"/>
      <c r="P141" s="172">
        <f t="shared" si="20"/>
        <v>0</v>
      </c>
      <c r="Q141" s="167">
        <f t="shared" si="27"/>
        <v>0</v>
      </c>
      <c r="T141" s="6"/>
      <c r="U141" s="6"/>
      <c r="V141" s="6"/>
      <c r="W141" s="29">
        <f t="shared" si="19"/>
        <v>0</v>
      </c>
    </row>
    <row r="142" spans="2:23" x14ac:dyDescent="0.3">
      <c r="B142" s="181">
        <f t="shared" si="21"/>
        <v>125</v>
      </c>
      <c r="C142" s="180">
        <f t="shared" si="26"/>
        <v>30.4</v>
      </c>
      <c r="D142" s="193">
        <f>IF(B142="","",'Tabla Parámetros'!$G$5)</f>
        <v>0.11799999999999999</v>
      </c>
      <c r="E142" s="167"/>
      <c r="F142" s="167">
        <f t="shared" si="24"/>
        <v>0</v>
      </c>
      <c r="G142" s="166"/>
      <c r="H142" s="167">
        <f t="shared" si="25"/>
        <v>0</v>
      </c>
      <c r="I142" s="167">
        <f t="shared" si="22"/>
        <v>0</v>
      </c>
      <c r="J142" s="167">
        <f>IF(C142="","",IF(F142=0,0,IF(C142&lt;='Tabla Parámetros'!$J$23,I142,IF($E$2='Tabla Parámetros'!$J$19,((($H$2/1000*'Tabla Parámetros'!$K$19)/30.4*C142)*1.0212^10),IF($E$2='Tabla Parámetros'!$J$20,($H$2/1000*'Tabla Parámetros'!$K$20)/30.4*C142)*1.0201^10)))+N142+O142)</f>
        <v>0</v>
      </c>
      <c r="K142" s="167">
        <f t="shared" si="28"/>
        <v>0</v>
      </c>
      <c r="L142" s="167">
        <f t="shared" si="23"/>
        <v>0</v>
      </c>
      <c r="M142" s="167">
        <f>IF(B142="","",IF(F142=0,0,IF(Simulador!$F$11='Tabla Parámetros'!$W$1,'Tabla Parámetros'!$W$28,IF(Simulador!$F$11='Tabla Parámetros'!$Y$1,'Tabla Parámetros'!$Y$12))))</f>
        <v>0</v>
      </c>
      <c r="N142" s="167"/>
      <c r="O142" s="167"/>
      <c r="P142" s="172">
        <f t="shared" si="20"/>
        <v>0</v>
      </c>
      <c r="Q142" s="167">
        <f t="shared" si="27"/>
        <v>0</v>
      </c>
      <c r="T142" s="6"/>
      <c r="U142" s="6"/>
      <c r="V142" s="6"/>
      <c r="W142" s="29">
        <f t="shared" si="19"/>
        <v>0</v>
      </c>
    </row>
    <row r="143" spans="2:23" x14ac:dyDescent="0.3">
      <c r="B143" s="181">
        <f t="shared" si="21"/>
        <v>126</v>
      </c>
      <c r="C143" s="180">
        <f t="shared" si="26"/>
        <v>30.4</v>
      </c>
      <c r="D143" s="193">
        <f>IF(B143="","",'Tabla Parámetros'!$G$5)</f>
        <v>0.11799999999999999</v>
      </c>
      <c r="E143" s="167"/>
      <c r="F143" s="167">
        <f t="shared" si="24"/>
        <v>0</v>
      </c>
      <c r="G143" s="166"/>
      <c r="H143" s="167">
        <f t="shared" si="25"/>
        <v>0</v>
      </c>
      <c r="I143" s="167">
        <f t="shared" si="22"/>
        <v>0</v>
      </c>
      <c r="J143" s="167">
        <f>IF(C143="","",IF(F143=0,0,IF(C143&lt;='Tabla Parámetros'!$J$23,I143,IF($E$2='Tabla Parámetros'!$J$19,((($H$2/1000*'Tabla Parámetros'!$K$19)/30.4*C143)*1.0212^10),IF($E$2='Tabla Parámetros'!$J$20,($H$2/1000*'Tabla Parámetros'!$K$20)/30.4*C143)*1.0201^10)))+N143+O143)</f>
        <v>0</v>
      </c>
      <c r="K143" s="167">
        <f t="shared" si="28"/>
        <v>0</v>
      </c>
      <c r="L143" s="167">
        <f t="shared" si="23"/>
        <v>0</v>
      </c>
      <c r="M143" s="167">
        <f>IF(B143="","",IF(F143=0,0,IF(Simulador!$F$11='Tabla Parámetros'!$W$1,'Tabla Parámetros'!$W$28,IF(Simulador!$F$11='Tabla Parámetros'!$Y$1,'Tabla Parámetros'!$Y$12))))</f>
        <v>0</v>
      </c>
      <c r="N143" s="167"/>
      <c r="O143" s="167"/>
      <c r="P143" s="172">
        <f t="shared" si="20"/>
        <v>0</v>
      </c>
      <c r="Q143" s="167">
        <f t="shared" si="27"/>
        <v>0</v>
      </c>
      <c r="T143" s="6"/>
      <c r="U143" s="6"/>
      <c r="V143" s="6"/>
      <c r="W143" s="29">
        <f t="shared" si="19"/>
        <v>0</v>
      </c>
    </row>
    <row r="144" spans="2:23" x14ac:dyDescent="0.3">
      <c r="B144" s="181">
        <f t="shared" si="21"/>
        <v>127</v>
      </c>
      <c r="C144" s="180">
        <f t="shared" si="26"/>
        <v>30.4</v>
      </c>
      <c r="D144" s="193">
        <f>IF(B144="","",'Tabla Parámetros'!$G$5)</f>
        <v>0.11799999999999999</v>
      </c>
      <c r="E144" s="167"/>
      <c r="F144" s="167">
        <f t="shared" si="24"/>
        <v>0</v>
      </c>
      <c r="G144" s="166"/>
      <c r="H144" s="167">
        <f t="shared" si="25"/>
        <v>0</v>
      </c>
      <c r="I144" s="167">
        <f t="shared" si="22"/>
        <v>0</v>
      </c>
      <c r="J144" s="167">
        <f>IF(C144="","",IF(F144=0,0,IF(C144&lt;='Tabla Parámetros'!$J$23,I144,IF($E$2='Tabla Parámetros'!$J$19,((($H$2/1000*'Tabla Parámetros'!$K$19)/30.4*C144)*1.0212^10),IF($E$2='Tabla Parámetros'!$J$20,($H$2/1000*'Tabla Parámetros'!$K$20)/30.4*C144)*1.0201^10)))+N144+O144)</f>
        <v>0</v>
      </c>
      <c r="K144" s="167">
        <f t="shared" si="28"/>
        <v>0</v>
      </c>
      <c r="L144" s="167">
        <f t="shared" si="23"/>
        <v>0</v>
      </c>
      <c r="M144" s="167">
        <f>IF(B144="","",IF(F144=0,0,IF(Simulador!$F$11='Tabla Parámetros'!$W$1,'Tabla Parámetros'!$W$28,IF(Simulador!$F$11='Tabla Parámetros'!$Y$1,'Tabla Parámetros'!$Y$12))))</f>
        <v>0</v>
      </c>
      <c r="N144" s="167"/>
      <c r="O144" s="167"/>
      <c r="P144" s="172">
        <f t="shared" si="20"/>
        <v>0</v>
      </c>
      <c r="Q144" s="167">
        <f t="shared" si="27"/>
        <v>0</v>
      </c>
      <c r="T144" s="6"/>
      <c r="U144" s="6"/>
      <c r="V144" s="6"/>
      <c r="W144" s="29">
        <f t="shared" si="19"/>
        <v>0</v>
      </c>
    </row>
    <row r="145" spans="2:23" x14ac:dyDescent="0.3">
      <c r="B145" s="181">
        <f t="shared" si="21"/>
        <v>128</v>
      </c>
      <c r="C145" s="180">
        <f t="shared" si="26"/>
        <v>30.4</v>
      </c>
      <c r="D145" s="193">
        <f>IF(B145="","",'Tabla Parámetros'!$G$5)</f>
        <v>0.11799999999999999</v>
      </c>
      <c r="E145" s="167"/>
      <c r="F145" s="167">
        <f t="shared" si="24"/>
        <v>0</v>
      </c>
      <c r="G145" s="166"/>
      <c r="H145" s="167">
        <f t="shared" si="25"/>
        <v>0</v>
      </c>
      <c r="I145" s="167">
        <f t="shared" si="22"/>
        <v>0</v>
      </c>
      <c r="J145" s="167">
        <f>IF(C145="","",IF(F145=0,0,IF(C145&lt;='Tabla Parámetros'!$J$23,I145,IF($E$2='Tabla Parámetros'!$J$19,((($H$2/1000*'Tabla Parámetros'!$K$19)/30.4*C145)*1.0212^10),IF($E$2='Tabla Parámetros'!$J$20,($H$2/1000*'Tabla Parámetros'!$K$20)/30.4*C145)*1.0201^10)))+N145+O145)</f>
        <v>0</v>
      </c>
      <c r="K145" s="167">
        <f t="shared" si="28"/>
        <v>0</v>
      </c>
      <c r="L145" s="167">
        <f t="shared" si="23"/>
        <v>0</v>
      </c>
      <c r="M145" s="167">
        <f>IF(B145="","",IF(F145=0,0,IF(Simulador!$F$11='Tabla Parámetros'!$W$1,'Tabla Parámetros'!$W$28,IF(Simulador!$F$11='Tabla Parámetros'!$Y$1,'Tabla Parámetros'!$Y$12))))</f>
        <v>0</v>
      </c>
      <c r="N145" s="167"/>
      <c r="O145" s="167"/>
      <c r="P145" s="172">
        <f t="shared" si="20"/>
        <v>0</v>
      </c>
      <c r="Q145" s="167">
        <f t="shared" si="27"/>
        <v>0</v>
      </c>
      <c r="T145" s="6"/>
      <c r="U145" s="6"/>
      <c r="V145" s="6"/>
      <c r="W145" s="29">
        <f t="shared" ref="W145:W208" si="29">P147</f>
        <v>0</v>
      </c>
    </row>
    <row r="146" spans="2:23" x14ac:dyDescent="0.3">
      <c r="B146" s="181">
        <f t="shared" si="21"/>
        <v>129</v>
      </c>
      <c r="C146" s="180">
        <f t="shared" si="26"/>
        <v>30.4</v>
      </c>
      <c r="D146" s="193">
        <f>IF(B146="","",'Tabla Parámetros'!$G$5)</f>
        <v>0.11799999999999999</v>
      </c>
      <c r="E146" s="167"/>
      <c r="F146" s="167">
        <f t="shared" si="24"/>
        <v>0</v>
      </c>
      <c r="G146" s="166"/>
      <c r="H146" s="167">
        <f t="shared" si="25"/>
        <v>0</v>
      </c>
      <c r="I146" s="167">
        <f t="shared" si="22"/>
        <v>0</v>
      </c>
      <c r="J146" s="167">
        <f>IF(C146="","",IF(F146=0,0,IF(C146&lt;='Tabla Parámetros'!$J$23,I146,IF($E$2='Tabla Parámetros'!$J$19,((($H$2/1000*'Tabla Parámetros'!$K$19)/30.4*C146)*1.0212^10),IF($E$2='Tabla Parámetros'!$J$20,($H$2/1000*'Tabla Parámetros'!$K$20)/30.4*C146)*1.0201^10)))+N146+O146)</f>
        <v>0</v>
      </c>
      <c r="K146" s="167">
        <f t="shared" si="28"/>
        <v>0</v>
      </c>
      <c r="L146" s="167">
        <f t="shared" si="23"/>
        <v>0</v>
      </c>
      <c r="M146" s="167">
        <f>IF(B146="","",IF(F146=0,0,IF(Simulador!$F$11='Tabla Parámetros'!$W$1,'Tabla Parámetros'!$W$28,IF(Simulador!$F$11='Tabla Parámetros'!$Y$1,'Tabla Parámetros'!$Y$12))))</f>
        <v>0</v>
      </c>
      <c r="N146" s="167"/>
      <c r="O146" s="167"/>
      <c r="P146" s="172">
        <f t="shared" ref="P146:P197" si="30">IF(F146="","",IF(F146=0,0,J146+K146+(L146/1.16))+M146)</f>
        <v>0</v>
      </c>
      <c r="Q146" s="167">
        <f t="shared" si="27"/>
        <v>0</v>
      </c>
      <c r="T146" s="6"/>
      <c r="U146" s="6"/>
      <c r="V146" s="6"/>
      <c r="W146" s="29">
        <f t="shared" si="29"/>
        <v>0</v>
      </c>
    </row>
    <row r="147" spans="2:23" x14ac:dyDescent="0.3">
      <c r="B147" s="181">
        <f t="shared" ref="B147:B197" si="31">IF(B146=$E$2,"",IF(B146="","",B146+1))</f>
        <v>130</v>
      </c>
      <c r="C147" s="180">
        <f t="shared" si="26"/>
        <v>30.4</v>
      </c>
      <c r="D147" s="193">
        <f>IF(B147="","",'Tabla Parámetros'!$G$5)</f>
        <v>0.11799999999999999</v>
      </c>
      <c r="E147" s="167"/>
      <c r="F147" s="167">
        <f t="shared" si="24"/>
        <v>0</v>
      </c>
      <c r="G147" s="166"/>
      <c r="H147" s="167">
        <f t="shared" si="25"/>
        <v>0</v>
      </c>
      <c r="I147" s="167">
        <f t="shared" ref="I147:I197" si="32">IF(B147="","",((D147/360)*30.4)*F147)</f>
        <v>0</v>
      </c>
      <c r="J147" s="167">
        <f>IF(C147="","",IF(F147=0,0,IF(C147&lt;='Tabla Parámetros'!$J$23,I147,IF($E$2='Tabla Parámetros'!$J$19,((($H$2/1000*'Tabla Parámetros'!$K$19)/30.4*C147)*1.0212^10),IF($E$2='Tabla Parámetros'!$J$20,($H$2/1000*'Tabla Parámetros'!$K$20)/30.4*C147)*1.0201^10)))+N147+O147)</f>
        <v>0</v>
      </c>
      <c r="K147" s="167">
        <f t="shared" si="28"/>
        <v>0</v>
      </c>
      <c r="L147" s="167">
        <f t="shared" ref="L147:L210" si="33">IF(B146="","",IF(F147=0,0,$L$1*$J$2))</f>
        <v>0</v>
      </c>
      <c r="M147" s="167">
        <f>IF(B147="","",IF(F147=0,0,IF(Simulador!$F$11='Tabla Parámetros'!$W$1,'Tabla Parámetros'!$W$28,IF(Simulador!$F$11='Tabla Parámetros'!$Y$1,'Tabla Parámetros'!$Y$12))))</f>
        <v>0</v>
      </c>
      <c r="N147" s="167"/>
      <c r="O147" s="167"/>
      <c r="P147" s="172">
        <f t="shared" si="30"/>
        <v>0</v>
      </c>
      <c r="Q147" s="167">
        <f t="shared" si="27"/>
        <v>0</v>
      </c>
      <c r="T147" s="6"/>
      <c r="U147" s="6"/>
      <c r="V147" s="6"/>
      <c r="W147" s="29">
        <f t="shared" si="29"/>
        <v>0</v>
      </c>
    </row>
    <row r="148" spans="2:23" x14ac:dyDescent="0.3">
      <c r="B148" s="181">
        <f t="shared" si="31"/>
        <v>131</v>
      </c>
      <c r="C148" s="180">
        <f t="shared" si="26"/>
        <v>30.4</v>
      </c>
      <c r="D148" s="193">
        <f>IF(B148="","",'Tabla Parámetros'!$G$5)</f>
        <v>0.11799999999999999</v>
      </c>
      <c r="E148" s="167"/>
      <c r="F148" s="167">
        <f t="shared" ref="F148:F211" si="34">IF(B148="","",F147-H147)</f>
        <v>0</v>
      </c>
      <c r="G148" s="166"/>
      <c r="H148" s="167">
        <f t="shared" ref="H148:H211" si="35">IF($B148="","",IF($B148=$E$2,$F148,IF(($J148-$I148+$N148)&gt;$F148,$F148,$J148-$I148)))</f>
        <v>0</v>
      </c>
      <c r="I148" s="167">
        <f t="shared" si="32"/>
        <v>0</v>
      </c>
      <c r="J148" s="167">
        <f>IF(C148="","",IF(F148=0,0,IF(C148&lt;='Tabla Parámetros'!$J$23,I148,IF($E$2='Tabla Parámetros'!$J$19,((($H$2/1000*'Tabla Parámetros'!$K$19)/30.4*C148)*1.0212^10),IF($E$2='Tabla Parámetros'!$J$20,($H$2/1000*'Tabla Parámetros'!$K$20)/30.4*C148)*1.0201^10)))+N148+O148)</f>
        <v>0</v>
      </c>
      <c r="K148" s="167">
        <f t="shared" si="28"/>
        <v>0</v>
      </c>
      <c r="L148" s="167">
        <f t="shared" si="33"/>
        <v>0</v>
      </c>
      <c r="M148" s="167">
        <f>IF(B148="","",IF(F148=0,0,IF(Simulador!$F$11='Tabla Parámetros'!$W$1,'Tabla Parámetros'!$W$28,IF(Simulador!$F$11='Tabla Parámetros'!$Y$1,'Tabla Parámetros'!$Y$12))))</f>
        <v>0</v>
      </c>
      <c r="N148" s="167"/>
      <c r="O148" s="167"/>
      <c r="P148" s="172">
        <f t="shared" si="30"/>
        <v>0</v>
      </c>
      <c r="Q148" s="167">
        <f t="shared" si="27"/>
        <v>0</v>
      </c>
      <c r="T148" s="6"/>
      <c r="U148" s="6"/>
      <c r="V148" s="6"/>
      <c r="W148" s="29">
        <f t="shared" si="29"/>
        <v>0</v>
      </c>
    </row>
    <row r="149" spans="2:23" x14ac:dyDescent="0.3">
      <c r="B149" s="181">
        <f t="shared" si="31"/>
        <v>132</v>
      </c>
      <c r="C149" s="180">
        <f t="shared" ref="C149:C197" si="36">IF(B148="","",30.4)</f>
        <v>30.4</v>
      </c>
      <c r="D149" s="193">
        <f>IF(B149="","",'Tabla Parámetros'!$G$5)</f>
        <v>0.11799999999999999</v>
      </c>
      <c r="E149" s="167"/>
      <c r="F149" s="167">
        <f t="shared" si="34"/>
        <v>0</v>
      </c>
      <c r="G149" s="166"/>
      <c r="H149" s="167">
        <f t="shared" si="35"/>
        <v>0</v>
      </c>
      <c r="I149" s="167">
        <f t="shared" si="32"/>
        <v>0</v>
      </c>
      <c r="J149" s="167">
        <f>IF(C149="","",IF(F149=0,0,IF(C149&lt;='Tabla Parámetros'!$J$23,I149,IF($E$2='Tabla Parámetros'!$J$19,((($H$2/1000*'Tabla Parámetros'!$K$19)/30.4*C149)*1.0212^10),IF($E$2='Tabla Parámetros'!$J$20,($H$2/1000*'Tabla Parámetros'!$K$20)/30.4*C149)*1.0201^10)))+N149+O149)</f>
        <v>0</v>
      </c>
      <c r="K149" s="167">
        <f t="shared" si="28"/>
        <v>0</v>
      </c>
      <c r="L149" s="167">
        <f t="shared" si="33"/>
        <v>0</v>
      </c>
      <c r="M149" s="167">
        <f>IF(B149="","",IF(F149=0,0,IF(Simulador!$F$11='Tabla Parámetros'!$W$1,'Tabla Parámetros'!$W$28,IF(Simulador!$F$11='Tabla Parámetros'!$Y$1,'Tabla Parámetros'!$Y$12))))</f>
        <v>0</v>
      </c>
      <c r="N149" s="167"/>
      <c r="O149" s="167"/>
      <c r="P149" s="172">
        <f t="shared" si="30"/>
        <v>0</v>
      </c>
      <c r="Q149" s="167">
        <f t="shared" ref="Q149:Q212" si="37">IF(B149="","",F149-H149)</f>
        <v>0</v>
      </c>
      <c r="T149" s="6"/>
      <c r="U149" s="6"/>
      <c r="V149" s="6"/>
      <c r="W149" s="29">
        <f t="shared" si="29"/>
        <v>0</v>
      </c>
    </row>
    <row r="150" spans="2:23" x14ac:dyDescent="0.3">
      <c r="B150" s="181">
        <f t="shared" si="31"/>
        <v>133</v>
      </c>
      <c r="C150" s="180">
        <f t="shared" si="36"/>
        <v>30.4</v>
      </c>
      <c r="D150" s="193">
        <f>IF(B150="","",'Tabla Parámetros'!$G$5)</f>
        <v>0.11799999999999999</v>
      </c>
      <c r="E150" s="167"/>
      <c r="F150" s="167">
        <f t="shared" si="34"/>
        <v>0</v>
      </c>
      <c r="G150" s="166"/>
      <c r="H150" s="167">
        <f t="shared" si="35"/>
        <v>0</v>
      </c>
      <c r="I150" s="167">
        <f t="shared" si="32"/>
        <v>0</v>
      </c>
      <c r="J150" s="167">
        <f>IF(C150="","",IF(F150=0,0,IF(C150&lt;='Tabla Parámetros'!$J$23,I150,IF($E$2='Tabla Parámetros'!$J$19,((($H$2/1000*'Tabla Parámetros'!$K$19)/30.4*C150)*1.0212^10),IF($E$2='Tabla Parámetros'!$J$20,($H$2/1000*'Tabla Parámetros'!$K$20)/30.4*C150)*1.0201^10)))+N150+O150)</f>
        <v>0</v>
      </c>
      <c r="K150" s="167">
        <f t="shared" si="28"/>
        <v>0</v>
      </c>
      <c r="L150" s="167">
        <f t="shared" si="33"/>
        <v>0</v>
      </c>
      <c r="M150" s="167">
        <f>IF(B150="","",IF(F150=0,0,IF(Simulador!$F$11='Tabla Parámetros'!$W$1,'Tabla Parámetros'!$W$28,IF(Simulador!$F$11='Tabla Parámetros'!$Y$1,'Tabla Parámetros'!$Y$12))))</f>
        <v>0</v>
      </c>
      <c r="N150" s="167"/>
      <c r="O150" s="167"/>
      <c r="P150" s="172">
        <f t="shared" si="30"/>
        <v>0</v>
      </c>
      <c r="Q150" s="167">
        <f t="shared" si="37"/>
        <v>0</v>
      </c>
      <c r="T150" s="6"/>
      <c r="U150" s="6"/>
      <c r="V150" s="6"/>
      <c r="W150" s="29">
        <f t="shared" si="29"/>
        <v>0</v>
      </c>
    </row>
    <row r="151" spans="2:23" x14ac:dyDescent="0.3">
      <c r="B151" s="181">
        <f t="shared" si="31"/>
        <v>134</v>
      </c>
      <c r="C151" s="180">
        <f t="shared" si="36"/>
        <v>30.4</v>
      </c>
      <c r="D151" s="193">
        <f>IF(B151="","",'Tabla Parámetros'!$G$5)</f>
        <v>0.11799999999999999</v>
      </c>
      <c r="E151" s="167"/>
      <c r="F151" s="167">
        <f t="shared" si="34"/>
        <v>0</v>
      </c>
      <c r="G151" s="166"/>
      <c r="H151" s="167">
        <f t="shared" si="35"/>
        <v>0</v>
      </c>
      <c r="I151" s="167">
        <f t="shared" si="32"/>
        <v>0</v>
      </c>
      <c r="J151" s="167">
        <f>IF(C151="","",IF(F151=0,0,IF(C151&lt;='Tabla Parámetros'!$J$23,I151,IF($E$2='Tabla Parámetros'!$J$19,((($H$2/1000*'Tabla Parámetros'!$K$19)/30.4*C151)*1.0212^11),IF($E$2='Tabla Parámetros'!$J$20,($H$2/1000*'Tabla Parámetros'!$K$20)/30.4*C151)*1.0201^11)))+N151+O151)</f>
        <v>0</v>
      </c>
      <c r="K151" s="167">
        <f t="shared" si="28"/>
        <v>0</v>
      </c>
      <c r="L151" s="167">
        <f t="shared" si="33"/>
        <v>0</v>
      </c>
      <c r="M151" s="167">
        <f>IF(B151="","",IF(F151=0,0,IF(Simulador!$F$11='Tabla Parámetros'!$W$1,'Tabla Parámetros'!$W$28,IF(Simulador!$F$11='Tabla Parámetros'!$Y$1,'Tabla Parámetros'!$Y$12))))</f>
        <v>0</v>
      </c>
      <c r="N151" s="167"/>
      <c r="O151" s="167"/>
      <c r="P151" s="172">
        <f t="shared" si="30"/>
        <v>0</v>
      </c>
      <c r="Q151" s="167">
        <f t="shared" si="37"/>
        <v>0</v>
      </c>
      <c r="T151" s="6"/>
      <c r="U151" s="6"/>
      <c r="V151" s="6"/>
      <c r="W151" s="29">
        <f t="shared" si="29"/>
        <v>0</v>
      </c>
    </row>
    <row r="152" spans="2:23" x14ac:dyDescent="0.3">
      <c r="B152" s="181">
        <f t="shared" si="31"/>
        <v>135</v>
      </c>
      <c r="C152" s="180">
        <f t="shared" si="36"/>
        <v>30.4</v>
      </c>
      <c r="D152" s="193">
        <f>IF(B152="","",'Tabla Parámetros'!$G$5)</f>
        <v>0.11799999999999999</v>
      </c>
      <c r="E152" s="167"/>
      <c r="F152" s="167">
        <f t="shared" si="34"/>
        <v>0</v>
      </c>
      <c r="G152" s="166"/>
      <c r="H152" s="167">
        <f t="shared" si="35"/>
        <v>0</v>
      </c>
      <c r="I152" s="167">
        <f t="shared" si="32"/>
        <v>0</v>
      </c>
      <c r="J152" s="167">
        <f>IF(C152="","",IF(F152=0,0,IF(C152&lt;='Tabla Parámetros'!$J$23,I152,IF($E$2='Tabla Parámetros'!$J$19,((($H$2/1000*'Tabla Parámetros'!$K$19)/30.4*C152)*1.0212^11),IF($E$2='Tabla Parámetros'!$J$20,($H$2/1000*'Tabla Parámetros'!$K$20)/30.4*C152)*1.0201^11)))+N152+O152)</f>
        <v>0</v>
      </c>
      <c r="K152" s="167">
        <f t="shared" si="28"/>
        <v>0</v>
      </c>
      <c r="L152" s="167">
        <f t="shared" si="33"/>
        <v>0</v>
      </c>
      <c r="M152" s="167">
        <f>IF(B152="","",IF(F152=0,0,IF(Simulador!$F$11='Tabla Parámetros'!$W$1,'Tabla Parámetros'!$W$28,IF(Simulador!$F$11='Tabla Parámetros'!$Y$1,'Tabla Parámetros'!$Y$12))))</f>
        <v>0</v>
      </c>
      <c r="N152" s="167"/>
      <c r="O152" s="167"/>
      <c r="P152" s="172">
        <f t="shared" si="30"/>
        <v>0</v>
      </c>
      <c r="Q152" s="167">
        <f t="shared" si="37"/>
        <v>0</v>
      </c>
      <c r="T152" s="6"/>
      <c r="U152" s="6"/>
      <c r="V152" s="6"/>
      <c r="W152" s="29">
        <f t="shared" si="29"/>
        <v>0</v>
      </c>
    </row>
    <row r="153" spans="2:23" x14ac:dyDescent="0.3">
      <c r="B153" s="181">
        <f t="shared" si="31"/>
        <v>136</v>
      </c>
      <c r="C153" s="180">
        <f t="shared" si="36"/>
        <v>30.4</v>
      </c>
      <c r="D153" s="193">
        <f>IF(B153="","",'Tabla Parámetros'!$G$5)</f>
        <v>0.11799999999999999</v>
      </c>
      <c r="E153" s="167"/>
      <c r="F153" s="167">
        <f t="shared" si="34"/>
        <v>0</v>
      </c>
      <c r="G153" s="166"/>
      <c r="H153" s="167">
        <f t="shared" si="35"/>
        <v>0</v>
      </c>
      <c r="I153" s="167">
        <f t="shared" si="32"/>
        <v>0</v>
      </c>
      <c r="J153" s="167">
        <f>IF(C153="","",IF(F153=0,0,IF(C153&lt;='Tabla Parámetros'!$J$23,I153,IF($E$2='Tabla Parámetros'!$J$19,((($H$2/1000*'Tabla Parámetros'!$K$19)/30.4*C153)*1.0212^11),IF($E$2='Tabla Parámetros'!$J$20,($H$2/1000*'Tabla Parámetros'!$K$20)/30.4*C153)*1.0201^11)))+N153+O153)</f>
        <v>0</v>
      </c>
      <c r="K153" s="167">
        <f t="shared" si="28"/>
        <v>0</v>
      </c>
      <c r="L153" s="167">
        <f t="shared" si="33"/>
        <v>0</v>
      </c>
      <c r="M153" s="167">
        <f>IF(B153="","",IF(F153=0,0,IF(Simulador!$F$11='Tabla Parámetros'!$W$1,'Tabla Parámetros'!$W$28,IF(Simulador!$F$11='Tabla Parámetros'!$Y$1,'Tabla Parámetros'!$Y$12))))</f>
        <v>0</v>
      </c>
      <c r="N153" s="167"/>
      <c r="O153" s="167"/>
      <c r="P153" s="172">
        <f t="shared" si="30"/>
        <v>0</v>
      </c>
      <c r="Q153" s="167">
        <f t="shared" si="37"/>
        <v>0</v>
      </c>
      <c r="T153" s="6"/>
      <c r="U153" s="6"/>
      <c r="V153" s="6"/>
      <c r="W153" s="29">
        <f t="shared" si="29"/>
        <v>0</v>
      </c>
    </row>
    <row r="154" spans="2:23" x14ac:dyDescent="0.3">
      <c r="B154" s="181">
        <f t="shared" si="31"/>
        <v>137</v>
      </c>
      <c r="C154" s="180">
        <f t="shared" si="36"/>
        <v>30.4</v>
      </c>
      <c r="D154" s="193">
        <f>IF(B154="","",'Tabla Parámetros'!$G$5)</f>
        <v>0.11799999999999999</v>
      </c>
      <c r="E154" s="167"/>
      <c r="F154" s="167">
        <f t="shared" si="34"/>
        <v>0</v>
      </c>
      <c r="G154" s="166"/>
      <c r="H154" s="167">
        <f t="shared" si="35"/>
        <v>0</v>
      </c>
      <c r="I154" s="167">
        <f t="shared" si="32"/>
        <v>0</v>
      </c>
      <c r="J154" s="167">
        <f>IF(C154="","",IF(F154=0,0,IF(C154&lt;='Tabla Parámetros'!$J$23,I154,IF($E$2='Tabla Parámetros'!$J$19,((($H$2/1000*'Tabla Parámetros'!$K$19)/30.4*C154)*1.0212^11),IF($E$2='Tabla Parámetros'!$J$20,($H$2/1000*'Tabla Parámetros'!$K$20)/30.4*C154)*1.0201^11)))+N154+O154)</f>
        <v>0</v>
      </c>
      <c r="K154" s="167">
        <f t="shared" si="28"/>
        <v>0</v>
      </c>
      <c r="L154" s="167">
        <f t="shared" si="33"/>
        <v>0</v>
      </c>
      <c r="M154" s="167">
        <f>IF(B154="","",IF(F154=0,0,IF(Simulador!$F$11='Tabla Parámetros'!$W$1,'Tabla Parámetros'!$W$28,IF(Simulador!$F$11='Tabla Parámetros'!$Y$1,'Tabla Parámetros'!$Y$12))))</f>
        <v>0</v>
      </c>
      <c r="N154" s="167"/>
      <c r="O154" s="167"/>
      <c r="P154" s="172">
        <f t="shared" si="30"/>
        <v>0</v>
      </c>
      <c r="Q154" s="167">
        <f t="shared" si="37"/>
        <v>0</v>
      </c>
      <c r="T154" s="6"/>
      <c r="U154" s="6"/>
      <c r="V154" s="6"/>
      <c r="W154" s="29">
        <f t="shared" si="29"/>
        <v>0</v>
      </c>
    </row>
    <row r="155" spans="2:23" x14ac:dyDescent="0.3">
      <c r="B155" s="181">
        <f t="shared" si="31"/>
        <v>138</v>
      </c>
      <c r="C155" s="180">
        <f t="shared" si="36"/>
        <v>30.4</v>
      </c>
      <c r="D155" s="193">
        <f>IF(B155="","",'Tabla Parámetros'!$G$5)</f>
        <v>0.11799999999999999</v>
      </c>
      <c r="E155" s="167"/>
      <c r="F155" s="167">
        <f t="shared" si="34"/>
        <v>0</v>
      </c>
      <c r="G155" s="166"/>
      <c r="H155" s="167">
        <f t="shared" si="35"/>
        <v>0</v>
      </c>
      <c r="I155" s="167">
        <f t="shared" si="32"/>
        <v>0</v>
      </c>
      <c r="J155" s="167">
        <f>IF(C155="","",IF(F155=0,0,IF(C155&lt;='Tabla Parámetros'!$J$23,I155,IF($E$2='Tabla Parámetros'!$J$19,((($H$2/1000*'Tabla Parámetros'!$K$19)/30.4*C155)*1.0212^11),IF($E$2='Tabla Parámetros'!$J$20,($H$2/1000*'Tabla Parámetros'!$K$20)/30.4*C155)*1.0201^11)))+N155+O155)</f>
        <v>0</v>
      </c>
      <c r="K155" s="167">
        <f t="shared" si="28"/>
        <v>0</v>
      </c>
      <c r="L155" s="167">
        <f t="shared" si="33"/>
        <v>0</v>
      </c>
      <c r="M155" s="167">
        <f>IF(B155="","",IF(F155=0,0,IF(Simulador!$F$11='Tabla Parámetros'!$W$1,'Tabla Parámetros'!$W$28,IF(Simulador!$F$11='Tabla Parámetros'!$Y$1,'Tabla Parámetros'!$Y$12))))</f>
        <v>0</v>
      </c>
      <c r="N155" s="167"/>
      <c r="O155" s="167"/>
      <c r="P155" s="172">
        <f t="shared" si="30"/>
        <v>0</v>
      </c>
      <c r="Q155" s="167">
        <f t="shared" si="37"/>
        <v>0</v>
      </c>
      <c r="T155" s="6"/>
      <c r="U155" s="6"/>
      <c r="V155" s="6"/>
      <c r="W155" s="29">
        <f t="shared" si="29"/>
        <v>0</v>
      </c>
    </row>
    <row r="156" spans="2:23" x14ac:dyDescent="0.3">
      <c r="B156" s="181">
        <f t="shared" si="31"/>
        <v>139</v>
      </c>
      <c r="C156" s="180">
        <f t="shared" si="36"/>
        <v>30.4</v>
      </c>
      <c r="D156" s="193">
        <f>IF(B156="","",'Tabla Parámetros'!$G$5)</f>
        <v>0.11799999999999999</v>
      </c>
      <c r="E156" s="167"/>
      <c r="F156" s="167">
        <f t="shared" si="34"/>
        <v>0</v>
      </c>
      <c r="G156" s="166"/>
      <c r="H156" s="167">
        <f t="shared" si="35"/>
        <v>0</v>
      </c>
      <c r="I156" s="167">
        <f t="shared" si="32"/>
        <v>0</v>
      </c>
      <c r="J156" s="167">
        <f>IF(C156="","",IF(F156=0,0,IF(C156&lt;='Tabla Parámetros'!$J$23,I156,IF($E$2='Tabla Parámetros'!$J$19,((($H$2/1000*'Tabla Parámetros'!$K$19)/30.4*C156)*1.0212^11),IF($E$2='Tabla Parámetros'!$J$20,($H$2/1000*'Tabla Parámetros'!$K$20)/30.4*C156)*1.0201^11)))+N156+O156)</f>
        <v>0</v>
      </c>
      <c r="K156" s="167">
        <f t="shared" si="28"/>
        <v>0</v>
      </c>
      <c r="L156" s="167">
        <f t="shared" si="33"/>
        <v>0</v>
      </c>
      <c r="M156" s="167">
        <f>IF(B156="","",IF(F156=0,0,IF(Simulador!$F$11='Tabla Parámetros'!$W$1,'Tabla Parámetros'!$W$28,IF(Simulador!$F$11='Tabla Parámetros'!$Y$1,'Tabla Parámetros'!$Y$12))))</f>
        <v>0</v>
      </c>
      <c r="N156" s="167"/>
      <c r="O156" s="167"/>
      <c r="P156" s="172">
        <f t="shared" si="30"/>
        <v>0</v>
      </c>
      <c r="Q156" s="167">
        <f t="shared" si="37"/>
        <v>0</v>
      </c>
      <c r="T156" s="6"/>
      <c r="U156" s="6"/>
      <c r="V156" s="6"/>
      <c r="W156" s="29">
        <f t="shared" si="29"/>
        <v>0</v>
      </c>
    </row>
    <row r="157" spans="2:23" x14ac:dyDescent="0.3">
      <c r="B157" s="181">
        <f t="shared" si="31"/>
        <v>140</v>
      </c>
      <c r="C157" s="180">
        <f t="shared" si="36"/>
        <v>30.4</v>
      </c>
      <c r="D157" s="193">
        <f>IF(B157="","",'Tabla Parámetros'!$G$5)</f>
        <v>0.11799999999999999</v>
      </c>
      <c r="E157" s="167"/>
      <c r="F157" s="167">
        <f t="shared" si="34"/>
        <v>0</v>
      </c>
      <c r="G157" s="166"/>
      <c r="H157" s="167">
        <f t="shared" si="35"/>
        <v>0</v>
      </c>
      <c r="I157" s="167">
        <f t="shared" si="32"/>
        <v>0</v>
      </c>
      <c r="J157" s="167">
        <f>IF(C157="","",IF(F157=0,0,IF(C157&lt;='Tabla Parámetros'!$J$23,I157,IF($E$2='Tabla Parámetros'!$J$19,((($H$2/1000*'Tabla Parámetros'!$K$19)/30.4*C157)*1.0212^11),IF($E$2='Tabla Parámetros'!$J$20,($H$2/1000*'Tabla Parámetros'!$K$20)/30.4*C157)*1.0201^11)))+N157+O157)</f>
        <v>0</v>
      </c>
      <c r="K157" s="167">
        <f t="shared" si="28"/>
        <v>0</v>
      </c>
      <c r="L157" s="167">
        <f t="shared" si="33"/>
        <v>0</v>
      </c>
      <c r="M157" s="167">
        <f>IF(B157="","",IF(F157=0,0,IF(Simulador!$F$11='Tabla Parámetros'!$W$1,'Tabla Parámetros'!$W$28,IF(Simulador!$F$11='Tabla Parámetros'!$Y$1,'Tabla Parámetros'!$Y$12))))</f>
        <v>0</v>
      </c>
      <c r="N157" s="167"/>
      <c r="O157" s="167"/>
      <c r="P157" s="172">
        <f t="shared" si="30"/>
        <v>0</v>
      </c>
      <c r="Q157" s="167">
        <f t="shared" si="37"/>
        <v>0</v>
      </c>
      <c r="T157" s="6"/>
      <c r="U157" s="6"/>
      <c r="V157" s="6"/>
      <c r="W157" s="29">
        <f t="shared" si="29"/>
        <v>0</v>
      </c>
    </row>
    <row r="158" spans="2:23" x14ac:dyDescent="0.3">
      <c r="B158" s="181">
        <f t="shared" si="31"/>
        <v>141</v>
      </c>
      <c r="C158" s="180">
        <f t="shared" si="36"/>
        <v>30.4</v>
      </c>
      <c r="D158" s="193">
        <f>IF(B158="","",'Tabla Parámetros'!$G$5)</f>
        <v>0.11799999999999999</v>
      </c>
      <c r="E158" s="167"/>
      <c r="F158" s="167">
        <f t="shared" si="34"/>
        <v>0</v>
      </c>
      <c r="G158" s="166"/>
      <c r="H158" s="167">
        <f t="shared" si="35"/>
        <v>0</v>
      </c>
      <c r="I158" s="167">
        <f t="shared" si="32"/>
        <v>0</v>
      </c>
      <c r="J158" s="167">
        <f>IF(C158="","",IF(F158=0,0,IF(C158&lt;='Tabla Parámetros'!$J$23,I158,IF($E$2='Tabla Parámetros'!$J$19,((($H$2/1000*'Tabla Parámetros'!$K$19)/30.4*C158)*1.0212^11),IF($E$2='Tabla Parámetros'!$J$20,($H$2/1000*'Tabla Parámetros'!$K$20)/30.4*C158)*1.0201^11)))+N158+O158)</f>
        <v>0</v>
      </c>
      <c r="K158" s="167">
        <f t="shared" si="28"/>
        <v>0</v>
      </c>
      <c r="L158" s="167">
        <f t="shared" si="33"/>
        <v>0</v>
      </c>
      <c r="M158" s="167">
        <f>IF(B158="","",IF(F158=0,0,IF(Simulador!$F$11='Tabla Parámetros'!$W$1,'Tabla Parámetros'!$W$28,IF(Simulador!$F$11='Tabla Parámetros'!$Y$1,'Tabla Parámetros'!$Y$12))))</f>
        <v>0</v>
      </c>
      <c r="N158" s="167"/>
      <c r="O158" s="167"/>
      <c r="P158" s="172">
        <f t="shared" si="30"/>
        <v>0</v>
      </c>
      <c r="Q158" s="167">
        <f t="shared" si="37"/>
        <v>0</v>
      </c>
      <c r="T158" s="6"/>
      <c r="U158" s="6"/>
      <c r="V158" s="6"/>
      <c r="W158" s="29">
        <f t="shared" si="29"/>
        <v>0</v>
      </c>
    </row>
    <row r="159" spans="2:23" x14ac:dyDescent="0.3">
      <c r="B159" s="181">
        <f t="shared" si="31"/>
        <v>142</v>
      </c>
      <c r="C159" s="180">
        <f t="shared" si="36"/>
        <v>30.4</v>
      </c>
      <c r="D159" s="193">
        <f>IF(B159="","",'Tabla Parámetros'!$G$5)</f>
        <v>0.11799999999999999</v>
      </c>
      <c r="E159" s="167"/>
      <c r="F159" s="167">
        <f t="shared" si="34"/>
        <v>0</v>
      </c>
      <c r="G159" s="166"/>
      <c r="H159" s="167">
        <f t="shared" si="35"/>
        <v>0</v>
      </c>
      <c r="I159" s="167">
        <f t="shared" si="32"/>
        <v>0</v>
      </c>
      <c r="J159" s="167">
        <f>IF(C159="","",IF(F159=0,0,IF(C159&lt;='Tabla Parámetros'!$J$23,I159,IF($E$2='Tabla Parámetros'!$J$19,((($H$2/1000*'Tabla Parámetros'!$K$19)/30.4*C159)*1.0212^11),IF($E$2='Tabla Parámetros'!$J$20,($H$2/1000*'Tabla Parámetros'!$K$20)/30.4*C159)*1.0201^11)))+N159+O159)</f>
        <v>0</v>
      </c>
      <c r="K159" s="167">
        <f t="shared" si="28"/>
        <v>0</v>
      </c>
      <c r="L159" s="167">
        <f t="shared" si="33"/>
        <v>0</v>
      </c>
      <c r="M159" s="167">
        <f>IF(B159="","",IF(F159=0,0,IF(Simulador!$F$11='Tabla Parámetros'!$W$1,'Tabla Parámetros'!$W$28,IF(Simulador!$F$11='Tabla Parámetros'!$Y$1,'Tabla Parámetros'!$Y$12))))</f>
        <v>0</v>
      </c>
      <c r="N159" s="167"/>
      <c r="O159" s="167"/>
      <c r="P159" s="172">
        <f t="shared" si="30"/>
        <v>0</v>
      </c>
      <c r="Q159" s="167">
        <f t="shared" si="37"/>
        <v>0</v>
      </c>
      <c r="T159" s="6"/>
      <c r="U159" s="6"/>
      <c r="V159" s="6"/>
      <c r="W159" s="29">
        <f t="shared" si="29"/>
        <v>0</v>
      </c>
    </row>
    <row r="160" spans="2:23" x14ac:dyDescent="0.3">
      <c r="B160" s="181">
        <f t="shared" si="31"/>
        <v>143</v>
      </c>
      <c r="C160" s="180">
        <f t="shared" si="36"/>
        <v>30.4</v>
      </c>
      <c r="D160" s="193">
        <f>IF(B160="","",'Tabla Parámetros'!$G$5)</f>
        <v>0.11799999999999999</v>
      </c>
      <c r="E160" s="167"/>
      <c r="F160" s="167">
        <f t="shared" si="34"/>
        <v>0</v>
      </c>
      <c r="G160" s="166"/>
      <c r="H160" s="167">
        <f t="shared" si="35"/>
        <v>0</v>
      </c>
      <c r="I160" s="167">
        <f t="shared" si="32"/>
        <v>0</v>
      </c>
      <c r="J160" s="167">
        <f>IF(C160="","",IF(F160=0,0,IF(C160&lt;='Tabla Parámetros'!$J$23,I160,IF($E$2='Tabla Parámetros'!$J$19,((($H$2/1000*'Tabla Parámetros'!$K$19)/30.4*C160)*1.0212^11),IF($E$2='Tabla Parámetros'!$J$20,($H$2/1000*'Tabla Parámetros'!$K$20)/30.4*C160)*1.0201^11)))+N160+O160)</f>
        <v>0</v>
      </c>
      <c r="K160" s="167">
        <f t="shared" si="28"/>
        <v>0</v>
      </c>
      <c r="L160" s="167">
        <f t="shared" si="33"/>
        <v>0</v>
      </c>
      <c r="M160" s="167">
        <f>IF(B160="","",IF(F160=0,0,IF(Simulador!$F$11='Tabla Parámetros'!$W$1,'Tabla Parámetros'!$W$28,IF(Simulador!$F$11='Tabla Parámetros'!$Y$1,'Tabla Parámetros'!$Y$12))))</f>
        <v>0</v>
      </c>
      <c r="N160" s="167"/>
      <c r="O160" s="167"/>
      <c r="P160" s="172">
        <f t="shared" si="30"/>
        <v>0</v>
      </c>
      <c r="Q160" s="167">
        <f t="shared" si="37"/>
        <v>0</v>
      </c>
      <c r="T160" s="6"/>
      <c r="U160" s="6"/>
      <c r="V160" s="6"/>
      <c r="W160" s="29">
        <f t="shared" si="29"/>
        <v>0</v>
      </c>
    </row>
    <row r="161" spans="2:23" x14ac:dyDescent="0.3">
      <c r="B161" s="181">
        <f t="shared" si="31"/>
        <v>144</v>
      </c>
      <c r="C161" s="180">
        <f t="shared" si="36"/>
        <v>30.4</v>
      </c>
      <c r="D161" s="193">
        <f>IF(B161="","",'Tabla Parámetros'!$G$5)</f>
        <v>0.11799999999999999</v>
      </c>
      <c r="E161" s="167"/>
      <c r="F161" s="167">
        <f t="shared" si="34"/>
        <v>0</v>
      </c>
      <c r="G161" s="166"/>
      <c r="H161" s="167">
        <f t="shared" si="35"/>
        <v>0</v>
      </c>
      <c r="I161" s="167">
        <f t="shared" si="32"/>
        <v>0</v>
      </c>
      <c r="J161" s="167">
        <f>IF(C161="","",IF(F161=0,0,IF(C161&lt;='Tabla Parámetros'!$J$23,I161,IF($E$2='Tabla Parámetros'!$J$19,((($H$2/1000*'Tabla Parámetros'!$K$19)/30.4*C161)*1.0212^11),IF($E$2='Tabla Parámetros'!$J$20,($H$2/1000*'Tabla Parámetros'!$K$20)/30.4*C161)*1.0201^11)))+N161+O161)</f>
        <v>0</v>
      </c>
      <c r="K161" s="167">
        <f t="shared" si="28"/>
        <v>0</v>
      </c>
      <c r="L161" s="167">
        <f t="shared" si="33"/>
        <v>0</v>
      </c>
      <c r="M161" s="167">
        <f>IF(B161="","",IF(F161=0,0,IF(Simulador!$F$11='Tabla Parámetros'!$W$1,'Tabla Parámetros'!$W$28,IF(Simulador!$F$11='Tabla Parámetros'!$Y$1,'Tabla Parámetros'!$Y$12))))</f>
        <v>0</v>
      </c>
      <c r="N161" s="167"/>
      <c r="O161" s="167"/>
      <c r="P161" s="172">
        <f t="shared" si="30"/>
        <v>0</v>
      </c>
      <c r="Q161" s="167">
        <f t="shared" si="37"/>
        <v>0</v>
      </c>
      <c r="T161" s="6"/>
      <c r="U161" s="6"/>
      <c r="V161" s="6"/>
      <c r="W161" s="29">
        <f t="shared" si="29"/>
        <v>0</v>
      </c>
    </row>
    <row r="162" spans="2:23" x14ac:dyDescent="0.3">
      <c r="B162" s="181">
        <f t="shared" si="31"/>
        <v>145</v>
      </c>
      <c r="C162" s="180">
        <f t="shared" si="36"/>
        <v>30.4</v>
      </c>
      <c r="D162" s="193">
        <f>IF(B162="","",'Tabla Parámetros'!$G$5)</f>
        <v>0.11799999999999999</v>
      </c>
      <c r="E162" s="167"/>
      <c r="F162" s="167">
        <f t="shared" si="34"/>
        <v>0</v>
      </c>
      <c r="G162" s="166"/>
      <c r="H162" s="167">
        <f t="shared" si="35"/>
        <v>0</v>
      </c>
      <c r="I162" s="167">
        <f t="shared" si="32"/>
        <v>0</v>
      </c>
      <c r="J162" s="167">
        <f>IF(C162="","",IF(F162=0,0,IF(C162&lt;='Tabla Parámetros'!$J$23,I162,IF($E$2='Tabla Parámetros'!$J$19,((($H$2/1000*'Tabla Parámetros'!$K$19)/30.4*C162)*1.0212^11),IF($E$2='Tabla Parámetros'!$J$20,($H$2/1000*'Tabla Parámetros'!$K$20)/30.4*C162)*1.0201^11)))+N162+O162)</f>
        <v>0</v>
      </c>
      <c r="K162" s="167">
        <f t="shared" si="28"/>
        <v>0</v>
      </c>
      <c r="L162" s="167">
        <f t="shared" si="33"/>
        <v>0</v>
      </c>
      <c r="M162" s="167">
        <f>IF(B162="","",IF(F162=0,0,IF(Simulador!$F$11='Tabla Parámetros'!$W$1,'Tabla Parámetros'!$W$28,IF(Simulador!$F$11='Tabla Parámetros'!$Y$1,'Tabla Parámetros'!$Y$12))))</f>
        <v>0</v>
      </c>
      <c r="N162" s="167"/>
      <c r="O162" s="167"/>
      <c r="P162" s="172">
        <f t="shared" si="30"/>
        <v>0</v>
      </c>
      <c r="Q162" s="167">
        <f t="shared" si="37"/>
        <v>0</v>
      </c>
      <c r="T162" s="6"/>
      <c r="U162" s="6"/>
      <c r="V162" s="6"/>
      <c r="W162" s="29">
        <f t="shared" si="29"/>
        <v>0</v>
      </c>
    </row>
    <row r="163" spans="2:23" x14ac:dyDescent="0.3">
      <c r="B163" s="181">
        <f t="shared" si="31"/>
        <v>146</v>
      </c>
      <c r="C163" s="180">
        <f t="shared" si="36"/>
        <v>30.4</v>
      </c>
      <c r="D163" s="193">
        <f>IF(B163="","",'Tabla Parámetros'!$G$5)</f>
        <v>0.11799999999999999</v>
      </c>
      <c r="E163" s="167"/>
      <c r="F163" s="167">
        <f t="shared" si="34"/>
        <v>0</v>
      </c>
      <c r="G163" s="166"/>
      <c r="H163" s="167">
        <f t="shared" si="35"/>
        <v>0</v>
      </c>
      <c r="I163" s="167">
        <f t="shared" si="32"/>
        <v>0</v>
      </c>
      <c r="J163" s="167">
        <f>IF(C163="","",IF(F163=0,0,IF(C163&lt;='Tabla Parámetros'!$J$23,I163,IF($E$2='Tabla Parámetros'!$J$19,((($H$2/1000*'Tabla Parámetros'!$K$19)/30.4*C163)*1.0212^12),IF($E$2='Tabla Parámetros'!$J$20,($H$2/1000*'Tabla Parámetros'!$K$20)/30.4*C163)*1.0201^12)))+N163+O163)</f>
        <v>0</v>
      </c>
      <c r="K163" s="167">
        <f t="shared" si="28"/>
        <v>0</v>
      </c>
      <c r="L163" s="167">
        <f t="shared" si="33"/>
        <v>0</v>
      </c>
      <c r="M163" s="167">
        <f>IF(B163="","",IF(F163=0,0,IF(Simulador!$F$11='Tabla Parámetros'!$W$1,'Tabla Parámetros'!$W$28,IF(Simulador!$F$11='Tabla Parámetros'!$Y$1,'Tabla Parámetros'!$Y$12))))</f>
        <v>0</v>
      </c>
      <c r="N163" s="167"/>
      <c r="O163" s="167"/>
      <c r="P163" s="172">
        <f t="shared" si="30"/>
        <v>0</v>
      </c>
      <c r="Q163" s="167">
        <f t="shared" si="37"/>
        <v>0</v>
      </c>
      <c r="T163" s="6"/>
      <c r="U163" s="6"/>
      <c r="V163" s="6"/>
      <c r="W163" s="29">
        <f t="shared" si="29"/>
        <v>0</v>
      </c>
    </row>
    <row r="164" spans="2:23" x14ac:dyDescent="0.3">
      <c r="B164" s="181">
        <f t="shared" si="31"/>
        <v>147</v>
      </c>
      <c r="C164" s="180">
        <f t="shared" si="36"/>
        <v>30.4</v>
      </c>
      <c r="D164" s="193">
        <f>IF(B164="","",'Tabla Parámetros'!$G$5)</f>
        <v>0.11799999999999999</v>
      </c>
      <c r="E164" s="167"/>
      <c r="F164" s="167">
        <f t="shared" si="34"/>
        <v>0</v>
      </c>
      <c r="G164" s="166"/>
      <c r="H164" s="167">
        <f t="shared" si="35"/>
        <v>0</v>
      </c>
      <c r="I164" s="167">
        <f t="shared" si="32"/>
        <v>0</v>
      </c>
      <c r="J164" s="167">
        <f>IF(C164="","",IF(F164=0,0,IF(C164&lt;='Tabla Parámetros'!$J$23,I164,IF($E$2='Tabla Parámetros'!$J$19,((($H$2/1000*'Tabla Parámetros'!$K$19)/30.4*C164)*1.0212^12),IF($E$2='Tabla Parámetros'!$J$20,($H$2/1000*'Tabla Parámetros'!$K$20)/30.4*C164)*1.0201^12)))+N164+O164)</f>
        <v>0</v>
      </c>
      <c r="K164" s="167">
        <f t="shared" si="28"/>
        <v>0</v>
      </c>
      <c r="L164" s="167">
        <f t="shared" si="33"/>
        <v>0</v>
      </c>
      <c r="M164" s="167">
        <f>IF(B164="","",IF(F164=0,0,IF(Simulador!$F$11='Tabla Parámetros'!$W$1,'Tabla Parámetros'!$W$28,IF(Simulador!$F$11='Tabla Parámetros'!$Y$1,'Tabla Parámetros'!$Y$12))))</f>
        <v>0</v>
      </c>
      <c r="N164" s="167"/>
      <c r="O164" s="167"/>
      <c r="P164" s="172">
        <f t="shared" si="30"/>
        <v>0</v>
      </c>
      <c r="Q164" s="167">
        <f t="shared" si="37"/>
        <v>0</v>
      </c>
      <c r="T164" s="6"/>
      <c r="U164" s="6"/>
      <c r="V164" s="6"/>
      <c r="W164" s="29">
        <f t="shared" si="29"/>
        <v>0</v>
      </c>
    </row>
    <row r="165" spans="2:23" x14ac:dyDescent="0.3">
      <c r="B165" s="181">
        <f t="shared" si="31"/>
        <v>148</v>
      </c>
      <c r="C165" s="180">
        <f t="shared" si="36"/>
        <v>30.4</v>
      </c>
      <c r="D165" s="193">
        <f>IF(B165="","",'Tabla Parámetros'!$G$5)</f>
        <v>0.11799999999999999</v>
      </c>
      <c r="E165" s="167"/>
      <c r="F165" s="167">
        <f t="shared" si="34"/>
        <v>0</v>
      </c>
      <c r="G165" s="166"/>
      <c r="H165" s="167">
        <f t="shared" si="35"/>
        <v>0</v>
      </c>
      <c r="I165" s="167">
        <f t="shared" si="32"/>
        <v>0</v>
      </c>
      <c r="J165" s="167">
        <f>IF(C165="","",IF(F165=0,0,IF(C165&lt;='Tabla Parámetros'!$J$23,I165,IF($E$2='Tabla Parámetros'!$J$19,((($H$2/1000*'Tabla Parámetros'!$K$19)/30.4*C165)*1.0212^12),IF($E$2='Tabla Parámetros'!$J$20,($H$2/1000*'Tabla Parámetros'!$K$20)/30.4*C165)*1.0201^12)))+N165+O165)</f>
        <v>0</v>
      </c>
      <c r="K165" s="167">
        <f t="shared" si="28"/>
        <v>0</v>
      </c>
      <c r="L165" s="167">
        <f t="shared" si="33"/>
        <v>0</v>
      </c>
      <c r="M165" s="167">
        <f>IF(B165="","",IF(F165=0,0,IF(Simulador!$F$11='Tabla Parámetros'!$W$1,'Tabla Parámetros'!$W$28,IF(Simulador!$F$11='Tabla Parámetros'!$Y$1,'Tabla Parámetros'!$Y$12))))</f>
        <v>0</v>
      </c>
      <c r="N165" s="167"/>
      <c r="O165" s="167"/>
      <c r="P165" s="172">
        <f t="shared" si="30"/>
        <v>0</v>
      </c>
      <c r="Q165" s="167">
        <f t="shared" si="37"/>
        <v>0</v>
      </c>
      <c r="T165" s="6"/>
      <c r="U165" s="6"/>
      <c r="V165" s="6"/>
      <c r="W165" s="29">
        <f t="shared" si="29"/>
        <v>0</v>
      </c>
    </row>
    <row r="166" spans="2:23" x14ac:dyDescent="0.3">
      <c r="B166" s="181">
        <f t="shared" si="31"/>
        <v>149</v>
      </c>
      <c r="C166" s="180">
        <f t="shared" si="36"/>
        <v>30.4</v>
      </c>
      <c r="D166" s="193">
        <f>IF(B166="","",'Tabla Parámetros'!$G$5)</f>
        <v>0.11799999999999999</v>
      </c>
      <c r="E166" s="167"/>
      <c r="F166" s="167">
        <f t="shared" si="34"/>
        <v>0</v>
      </c>
      <c r="G166" s="166"/>
      <c r="H166" s="167">
        <f t="shared" si="35"/>
        <v>0</v>
      </c>
      <c r="I166" s="167">
        <f t="shared" si="32"/>
        <v>0</v>
      </c>
      <c r="J166" s="167">
        <f>IF(C166="","",IF(F166=0,0,IF(C166&lt;='Tabla Parámetros'!$J$23,I166,IF($E$2='Tabla Parámetros'!$J$19,((($H$2/1000*'Tabla Parámetros'!$K$19)/30.4*C166)*1.0212^12),IF($E$2='Tabla Parámetros'!$J$20,($H$2/1000*'Tabla Parámetros'!$K$20)/30.4*C166)*1.0201^12)))+N166+O166)</f>
        <v>0</v>
      </c>
      <c r="K166" s="167">
        <f t="shared" si="28"/>
        <v>0</v>
      </c>
      <c r="L166" s="167">
        <f t="shared" si="33"/>
        <v>0</v>
      </c>
      <c r="M166" s="167">
        <f>IF(B166="","",IF(F166=0,0,IF(Simulador!$F$11='Tabla Parámetros'!$W$1,'Tabla Parámetros'!$W$28,IF(Simulador!$F$11='Tabla Parámetros'!$Y$1,'Tabla Parámetros'!$Y$12))))</f>
        <v>0</v>
      </c>
      <c r="N166" s="167"/>
      <c r="O166" s="167"/>
      <c r="P166" s="172">
        <f t="shared" si="30"/>
        <v>0</v>
      </c>
      <c r="Q166" s="167">
        <f t="shared" si="37"/>
        <v>0</v>
      </c>
      <c r="T166" s="6"/>
      <c r="U166" s="6"/>
      <c r="V166" s="6"/>
      <c r="W166" s="29">
        <f t="shared" si="29"/>
        <v>0</v>
      </c>
    </row>
    <row r="167" spans="2:23" x14ac:dyDescent="0.3">
      <c r="B167" s="181">
        <f t="shared" si="31"/>
        <v>150</v>
      </c>
      <c r="C167" s="180">
        <f t="shared" si="36"/>
        <v>30.4</v>
      </c>
      <c r="D167" s="193">
        <f>IF(B167="","",'Tabla Parámetros'!$G$5)</f>
        <v>0.11799999999999999</v>
      </c>
      <c r="E167" s="167"/>
      <c r="F167" s="167">
        <f t="shared" si="34"/>
        <v>0</v>
      </c>
      <c r="G167" s="166"/>
      <c r="H167" s="167">
        <f t="shared" si="35"/>
        <v>0</v>
      </c>
      <c r="I167" s="167">
        <f t="shared" si="32"/>
        <v>0</v>
      </c>
      <c r="J167" s="167">
        <f>IF(C167="","",IF(F167=0,0,IF(C167&lt;='Tabla Parámetros'!$J$23,I167,IF($E$2='Tabla Parámetros'!$J$19,((($H$2/1000*'Tabla Parámetros'!$K$19)/30.4*C167)*1.0212^12),IF($E$2='Tabla Parámetros'!$J$20,($H$2/1000*'Tabla Parámetros'!$K$20)/30.4*C167)*1.0201^12)))+N167+O167)</f>
        <v>0</v>
      </c>
      <c r="K167" s="167">
        <f t="shared" si="28"/>
        <v>0</v>
      </c>
      <c r="L167" s="167">
        <f t="shared" si="33"/>
        <v>0</v>
      </c>
      <c r="M167" s="167">
        <f>IF(B167="","",IF(F167=0,0,IF(Simulador!$F$11='Tabla Parámetros'!$W$1,'Tabla Parámetros'!$W$28,IF(Simulador!$F$11='Tabla Parámetros'!$Y$1,'Tabla Parámetros'!$Y$12))))</f>
        <v>0</v>
      </c>
      <c r="N167" s="167"/>
      <c r="O167" s="167"/>
      <c r="P167" s="172">
        <f t="shared" si="30"/>
        <v>0</v>
      </c>
      <c r="Q167" s="167">
        <f t="shared" si="37"/>
        <v>0</v>
      </c>
      <c r="T167" s="6"/>
      <c r="U167" s="6"/>
      <c r="V167" s="6"/>
      <c r="W167" s="29">
        <f t="shared" si="29"/>
        <v>0</v>
      </c>
    </row>
    <row r="168" spans="2:23" x14ac:dyDescent="0.3">
      <c r="B168" s="181">
        <f t="shared" si="31"/>
        <v>151</v>
      </c>
      <c r="C168" s="180">
        <f t="shared" si="36"/>
        <v>30.4</v>
      </c>
      <c r="D168" s="193">
        <f>IF(B168="","",'Tabla Parámetros'!$G$5)</f>
        <v>0.11799999999999999</v>
      </c>
      <c r="E168" s="167"/>
      <c r="F168" s="167">
        <f t="shared" si="34"/>
        <v>0</v>
      </c>
      <c r="G168" s="166"/>
      <c r="H168" s="167">
        <f t="shared" si="35"/>
        <v>0</v>
      </c>
      <c r="I168" s="167">
        <f t="shared" si="32"/>
        <v>0</v>
      </c>
      <c r="J168" s="167">
        <f>IF(C168="","",IF(F168=0,0,IF(C168&lt;='Tabla Parámetros'!$J$23,I168,IF($E$2='Tabla Parámetros'!$J$19,((($H$2/1000*'Tabla Parámetros'!$K$19)/30.4*C168)*1.0212^12),IF($E$2='Tabla Parámetros'!$J$20,($H$2/1000*'Tabla Parámetros'!$K$20)/30.4*C168)*1.0201^12)))+N168+O168)</f>
        <v>0</v>
      </c>
      <c r="K168" s="167">
        <f t="shared" si="28"/>
        <v>0</v>
      </c>
      <c r="L168" s="167">
        <f t="shared" si="33"/>
        <v>0</v>
      </c>
      <c r="M168" s="167">
        <f>IF(B168="","",IF(F168=0,0,IF(Simulador!$F$11='Tabla Parámetros'!$W$1,'Tabla Parámetros'!$W$28,IF(Simulador!$F$11='Tabla Parámetros'!$Y$1,'Tabla Parámetros'!$Y$12))))</f>
        <v>0</v>
      </c>
      <c r="N168" s="167"/>
      <c r="O168" s="167"/>
      <c r="P168" s="172">
        <f t="shared" si="30"/>
        <v>0</v>
      </c>
      <c r="Q168" s="167">
        <f t="shared" si="37"/>
        <v>0</v>
      </c>
      <c r="T168" s="6"/>
      <c r="U168" s="6"/>
      <c r="V168" s="6"/>
      <c r="W168" s="29">
        <f t="shared" si="29"/>
        <v>0</v>
      </c>
    </row>
    <row r="169" spans="2:23" x14ac:dyDescent="0.3">
      <c r="B169" s="181">
        <f t="shared" si="31"/>
        <v>152</v>
      </c>
      <c r="C169" s="180">
        <f t="shared" si="36"/>
        <v>30.4</v>
      </c>
      <c r="D169" s="193">
        <f>IF(B169="","",'Tabla Parámetros'!$G$5)</f>
        <v>0.11799999999999999</v>
      </c>
      <c r="E169" s="167"/>
      <c r="F169" s="167">
        <f t="shared" si="34"/>
        <v>0</v>
      </c>
      <c r="G169" s="166"/>
      <c r="H169" s="167">
        <f t="shared" si="35"/>
        <v>0</v>
      </c>
      <c r="I169" s="167">
        <f t="shared" si="32"/>
        <v>0</v>
      </c>
      <c r="J169" s="167">
        <f>IF(C169="","",IF(F169=0,0,IF(C169&lt;='Tabla Parámetros'!$J$23,I169,IF($E$2='Tabla Parámetros'!$J$19,((($H$2/1000*'Tabla Parámetros'!$K$19)/30.4*C169)*1.0212^12),IF($E$2='Tabla Parámetros'!$J$20,($H$2/1000*'Tabla Parámetros'!$K$20)/30.4*C169)*1.0201^12)))+N169+O169)</f>
        <v>0</v>
      </c>
      <c r="K169" s="167">
        <f t="shared" si="28"/>
        <v>0</v>
      </c>
      <c r="L169" s="167">
        <f t="shared" si="33"/>
        <v>0</v>
      </c>
      <c r="M169" s="167">
        <f>IF(B169="","",IF(F169=0,0,IF(Simulador!$F$11='Tabla Parámetros'!$W$1,'Tabla Parámetros'!$W$28,IF(Simulador!$F$11='Tabla Parámetros'!$Y$1,'Tabla Parámetros'!$Y$12))))</f>
        <v>0</v>
      </c>
      <c r="N169" s="167"/>
      <c r="O169" s="167"/>
      <c r="P169" s="172">
        <f t="shared" si="30"/>
        <v>0</v>
      </c>
      <c r="Q169" s="167">
        <f t="shared" si="37"/>
        <v>0</v>
      </c>
      <c r="T169" s="6"/>
      <c r="U169" s="6"/>
      <c r="V169" s="6"/>
      <c r="W169" s="29">
        <f t="shared" si="29"/>
        <v>0</v>
      </c>
    </row>
    <row r="170" spans="2:23" x14ac:dyDescent="0.3">
      <c r="B170" s="181">
        <f t="shared" si="31"/>
        <v>153</v>
      </c>
      <c r="C170" s="180">
        <f t="shared" si="36"/>
        <v>30.4</v>
      </c>
      <c r="D170" s="193">
        <f>IF(B170="","",'Tabla Parámetros'!$G$5)</f>
        <v>0.11799999999999999</v>
      </c>
      <c r="E170" s="167"/>
      <c r="F170" s="167">
        <f t="shared" si="34"/>
        <v>0</v>
      </c>
      <c r="G170" s="166"/>
      <c r="H170" s="167">
        <f t="shared" si="35"/>
        <v>0</v>
      </c>
      <c r="I170" s="167">
        <f t="shared" si="32"/>
        <v>0</v>
      </c>
      <c r="J170" s="167">
        <f>IF(C170="","",IF(F170=0,0,IF(C170&lt;='Tabla Parámetros'!$J$23,I170,IF($E$2='Tabla Parámetros'!$J$19,((($H$2/1000*'Tabla Parámetros'!$K$19)/30.4*C170)*1.0212^12),IF($E$2='Tabla Parámetros'!$J$20,($H$2/1000*'Tabla Parámetros'!$K$20)/30.4*C170)*1.0201^12)))+N170+O170)</f>
        <v>0</v>
      </c>
      <c r="K170" s="167">
        <f t="shared" si="28"/>
        <v>0</v>
      </c>
      <c r="L170" s="167">
        <f t="shared" si="33"/>
        <v>0</v>
      </c>
      <c r="M170" s="167">
        <f>IF(B170="","",IF(F170=0,0,IF(Simulador!$F$11='Tabla Parámetros'!$W$1,'Tabla Parámetros'!$W$28,IF(Simulador!$F$11='Tabla Parámetros'!$Y$1,'Tabla Parámetros'!$Y$12))))</f>
        <v>0</v>
      </c>
      <c r="N170" s="167"/>
      <c r="O170" s="167"/>
      <c r="P170" s="172">
        <f t="shared" si="30"/>
        <v>0</v>
      </c>
      <c r="Q170" s="167">
        <f t="shared" si="37"/>
        <v>0</v>
      </c>
      <c r="T170" s="6"/>
      <c r="U170" s="6"/>
      <c r="V170" s="6"/>
      <c r="W170" s="29">
        <f t="shared" si="29"/>
        <v>0</v>
      </c>
    </row>
    <row r="171" spans="2:23" x14ac:dyDescent="0.3">
      <c r="B171" s="181">
        <f t="shared" si="31"/>
        <v>154</v>
      </c>
      <c r="C171" s="180">
        <f t="shared" si="36"/>
        <v>30.4</v>
      </c>
      <c r="D171" s="193">
        <f>IF(B171="","",'Tabla Parámetros'!$G$5)</f>
        <v>0.11799999999999999</v>
      </c>
      <c r="E171" s="167"/>
      <c r="F171" s="167">
        <f t="shared" si="34"/>
        <v>0</v>
      </c>
      <c r="G171" s="166"/>
      <c r="H171" s="167">
        <f t="shared" si="35"/>
        <v>0</v>
      </c>
      <c r="I171" s="167">
        <f t="shared" si="32"/>
        <v>0</v>
      </c>
      <c r="J171" s="167">
        <f>IF(C171="","",IF(F171=0,0,IF(C171&lt;='Tabla Parámetros'!$J$23,I171,IF($E$2='Tabla Parámetros'!$J$19,((($H$2/1000*'Tabla Parámetros'!$K$19)/30.4*C171)*1.0212^12),IF($E$2='Tabla Parámetros'!$J$20,($H$2/1000*'Tabla Parámetros'!$K$20)/30.4*C171)*1.0201^12)))+N171+O171)</f>
        <v>0</v>
      </c>
      <c r="K171" s="167">
        <f t="shared" si="28"/>
        <v>0</v>
      </c>
      <c r="L171" s="167">
        <f t="shared" si="33"/>
        <v>0</v>
      </c>
      <c r="M171" s="167">
        <f>IF(B171="","",IF(F171=0,0,IF(Simulador!$F$11='Tabla Parámetros'!$W$1,'Tabla Parámetros'!$W$28,IF(Simulador!$F$11='Tabla Parámetros'!$Y$1,'Tabla Parámetros'!$Y$12))))</f>
        <v>0</v>
      </c>
      <c r="N171" s="167"/>
      <c r="O171" s="167"/>
      <c r="P171" s="172">
        <f t="shared" si="30"/>
        <v>0</v>
      </c>
      <c r="Q171" s="167">
        <f t="shared" si="37"/>
        <v>0</v>
      </c>
      <c r="T171" s="6"/>
      <c r="U171" s="6"/>
      <c r="V171" s="6"/>
      <c r="W171" s="29">
        <f t="shared" si="29"/>
        <v>0</v>
      </c>
    </row>
    <row r="172" spans="2:23" x14ac:dyDescent="0.3">
      <c r="B172" s="181">
        <f t="shared" si="31"/>
        <v>155</v>
      </c>
      <c r="C172" s="180">
        <f t="shared" si="36"/>
        <v>30.4</v>
      </c>
      <c r="D172" s="193">
        <f>IF(B172="","",'Tabla Parámetros'!$G$5)</f>
        <v>0.11799999999999999</v>
      </c>
      <c r="E172" s="167"/>
      <c r="F172" s="167">
        <f t="shared" si="34"/>
        <v>0</v>
      </c>
      <c r="G172" s="166"/>
      <c r="H172" s="167">
        <f t="shared" si="35"/>
        <v>0</v>
      </c>
      <c r="I172" s="167">
        <f t="shared" si="32"/>
        <v>0</v>
      </c>
      <c r="J172" s="167">
        <f>IF(C172="","",IF(F172=0,0,IF(C172&lt;='Tabla Parámetros'!$J$23,I172,IF($E$2='Tabla Parámetros'!$J$19,((($H$2/1000*'Tabla Parámetros'!$K$19)/30.4*C172)*1.0212^12),IF($E$2='Tabla Parámetros'!$J$20,($H$2/1000*'Tabla Parámetros'!$K$20)/30.4*C172)*1.0201^12)))+N172+O172)</f>
        <v>0</v>
      </c>
      <c r="K172" s="167">
        <f t="shared" si="28"/>
        <v>0</v>
      </c>
      <c r="L172" s="167">
        <f t="shared" si="33"/>
        <v>0</v>
      </c>
      <c r="M172" s="167">
        <f>IF(B172="","",IF(F172=0,0,IF(Simulador!$F$11='Tabla Parámetros'!$W$1,'Tabla Parámetros'!$W$28,IF(Simulador!$F$11='Tabla Parámetros'!$Y$1,'Tabla Parámetros'!$Y$12))))</f>
        <v>0</v>
      </c>
      <c r="N172" s="167"/>
      <c r="O172" s="167"/>
      <c r="P172" s="172">
        <f t="shared" si="30"/>
        <v>0</v>
      </c>
      <c r="Q172" s="167">
        <f t="shared" si="37"/>
        <v>0</v>
      </c>
      <c r="T172" s="6"/>
      <c r="U172" s="6"/>
      <c r="V172" s="6"/>
      <c r="W172" s="29">
        <f t="shared" si="29"/>
        <v>0</v>
      </c>
    </row>
    <row r="173" spans="2:23" x14ac:dyDescent="0.3">
      <c r="B173" s="181">
        <f t="shared" si="31"/>
        <v>156</v>
      </c>
      <c r="C173" s="180">
        <f t="shared" si="36"/>
        <v>30.4</v>
      </c>
      <c r="D173" s="193">
        <f>IF(B173="","",'Tabla Parámetros'!$G$5)</f>
        <v>0.11799999999999999</v>
      </c>
      <c r="E173" s="167"/>
      <c r="F173" s="167">
        <f t="shared" si="34"/>
        <v>0</v>
      </c>
      <c r="G173" s="166"/>
      <c r="H173" s="167">
        <f t="shared" si="35"/>
        <v>0</v>
      </c>
      <c r="I173" s="167">
        <f t="shared" si="32"/>
        <v>0</v>
      </c>
      <c r="J173" s="167">
        <f>IF(C173="","",IF(F173=0,0,IF(C173&lt;='Tabla Parámetros'!$J$23,I173,IF($E$2='Tabla Parámetros'!$J$19,((($H$2/1000*'Tabla Parámetros'!$K$19)/30.4*C173)*1.0212^12),IF($E$2='Tabla Parámetros'!$J$20,($H$2/1000*'Tabla Parámetros'!$K$20)/30.4*C173)*1.0201^12)))+N173+O173)</f>
        <v>0</v>
      </c>
      <c r="K173" s="167">
        <f t="shared" si="28"/>
        <v>0</v>
      </c>
      <c r="L173" s="167">
        <f t="shared" si="33"/>
        <v>0</v>
      </c>
      <c r="M173" s="167">
        <f>IF(B173="","",IF(F173=0,0,IF(Simulador!$F$11='Tabla Parámetros'!$W$1,'Tabla Parámetros'!$W$28,IF(Simulador!$F$11='Tabla Parámetros'!$Y$1,'Tabla Parámetros'!$Y$12))))</f>
        <v>0</v>
      </c>
      <c r="N173" s="167"/>
      <c r="O173" s="167"/>
      <c r="P173" s="172">
        <f t="shared" si="30"/>
        <v>0</v>
      </c>
      <c r="Q173" s="167">
        <f t="shared" si="37"/>
        <v>0</v>
      </c>
      <c r="T173" s="6"/>
      <c r="U173" s="6"/>
      <c r="V173" s="6"/>
      <c r="W173" s="29">
        <f t="shared" si="29"/>
        <v>0</v>
      </c>
    </row>
    <row r="174" spans="2:23" x14ac:dyDescent="0.3">
      <c r="B174" s="181">
        <f t="shared" si="31"/>
        <v>157</v>
      </c>
      <c r="C174" s="180">
        <f t="shared" si="36"/>
        <v>30.4</v>
      </c>
      <c r="D174" s="193">
        <f>IF(B174="","",'Tabla Parámetros'!$G$5)</f>
        <v>0.11799999999999999</v>
      </c>
      <c r="E174" s="167"/>
      <c r="F174" s="167">
        <f t="shared" si="34"/>
        <v>0</v>
      </c>
      <c r="G174" s="166"/>
      <c r="H174" s="167">
        <f t="shared" si="35"/>
        <v>0</v>
      </c>
      <c r="I174" s="167">
        <f t="shared" si="32"/>
        <v>0</v>
      </c>
      <c r="J174" s="167">
        <f>IF(C174="","",IF(F174=0,0,IF(C174&lt;='Tabla Parámetros'!$J$23,I174,IF($E$2='Tabla Parámetros'!$J$19,((($H$2/1000*'Tabla Parámetros'!$K$19)/30.4*C174)*1.0212^12),IF($E$2='Tabla Parámetros'!$J$20,($H$2/1000*'Tabla Parámetros'!$K$20)/30.4*C174)*1.0201^12)))+N174+O174)</f>
        <v>0</v>
      </c>
      <c r="K174" s="167">
        <f t="shared" si="28"/>
        <v>0</v>
      </c>
      <c r="L174" s="167">
        <f t="shared" si="33"/>
        <v>0</v>
      </c>
      <c r="M174" s="167">
        <f>IF(B174="","",IF(F174=0,0,IF(Simulador!$F$11='Tabla Parámetros'!$W$1,'Tabla Parámetros'!$W$28,IF(Simulador!$F$11='Tabla Parámetros'!$Y$1,'Tabla Parámetros'!$Y$12))))</f>
        <v>0</v>
      </c>
      <c r="N174" s="167"/>
      <c r="O174" s="167"/>
      <c r="P174" s="172">
        <f t="shared" si="30"/>
        <v>0</v>
      </c>
      <c r="Q174" s="167">
        <f t="shared" si="37"/>
        <v>0</v>
      </c>
      <c r="T174" s="6"/>
      <c r="U174" s="6"/>
      <c r="V174" s="6"/>
      <c r="W174" s="29">
        <f t="shared" si="29"/>
        <v>0</v>
      </c>
    </row>
    <row r="175" spans="2:23" x14ac:dyDescent="0.3">
      <c r="B175" s="181">
        <f t="shared" si="31"/>
        <v>158</v>
      </c>
      <c r="C175" s="180">
        <f t="shared" si="36"/>
        <v>30.4</v>
      </c>
      <c r="D175" s="193">
        <f>IF(B175="","",'Tabla Parámetros'!$G$5)</f>
        <v>0.11799999999999999</v>
      </c>
      <c r="E175" s="167"/>
      <c r="F175" s="167">
        <f t="shared" si="34"/>
        <v>0</v>
      </c>
      <c r="G175" s="166"/>
      <c r="H175" s="167">
        <f t="shared" si="35"/>
        <v>0</v>
      </c>
      <c r="I175" s="167">
        <f t="shared" si="32"/>
        <v>0</v>
      </c>
      <c r="J175" s="167">
        <f>IF(C175="","",IF(F175=0,0,IF(C175&lt;='Tabla Parámetros'!$J$23,I175,IF($E$2='Tabla Parámetros'!$J$19,((($H$2/1000*'Tabla Parámetros'!$K$19)/30.4*C175)*1.0212^13),IF($E$2='Tabla Parámetros'!$J$20,($H$2/1000*'Tabla Parámetros'!$K$20)/30.4*C175)*1.0201^13)))+N175+O175)</f>
        <v>0</v>
      </c>
      <c r="K175" s="167">
        <f t="shared" si="28"/>
        <v>0</v>
      </c>
      <c r="L175" s="167">
        <f t="shared" si="33"/>
        <v>0</v>
      </c>
      <c r="M175" s="167">
        <f>IF(B175="","",IF(F175=0,0,IF(Simulador!$F$11='Tabla Parámetros'!$W$1,'Tabla Parámetros'!$W$28,IF(Simulador!$F$11='Tabla Parámetros'!$Y$1,'Tabla Parámetros'!$Y$12))))</f>
        <v>0</v>
      </c>
      <c r="N175" s="167"/>
      <c r="O175" s="167"/>
      <c r="P175" s="172">
        <f t="shared" si="30"/>
        <v>0</v>
      </c>
      <c r="Q175" s="167">
        <f t="shared" si="37"/>
        <v>0</v>
      </c>
      <c r="T175" s="6"/>
      <c r="U175" s="6"/>
      <c r="V175" s="6"/>
      <c r="W175" s="29">
        <f t="shared" si="29"/>
        <v>0</v>
      </c>
    </row>
    <row r="176" spans="2:23" x14ac:dyDescent="0.3">
      <c r="B176" s="181">
        <f t="shared" si="31"/>
        <v>159</v>
      </c>
      <c r="C176" s="180">
        <f t="shared" si="36"/>
        <v>30.4</v>
      </c>
      <c r="D176" s="193">
        <f>IF(B176="","",'Tabla Parámetros'!$G$5)</f>
        <v>0.11799999999999999</v>
      </c>
      <c r="E176" s="167"/>
      <c r="F176" s="167">
        <f t="shared" si="34"/>
        <v>0</v>
      </c>
      <c r="G176" s="166"/>
      <c r="H176" s="167">
        <f t="shared" si="35"/>
        <v>0</v>
      </c>
      <c r="I176" s="167">
        <f t="shared" si="32"/>
        <v>0</v>
      </c>
      <c r="J176" s="167">
        <f>IF(C176="","",IF(F176=0,0,IF(C176&lt;='Tabla Parámetros'!$J$23,I176,IF($E$2='Tabla Parámetros'!$J$19,((($H$2/1000*'Tabla Parámetros'!$K$19)/30.4*C176)*1.0212^13),IF($E$2='Tabla Parámetros'!$J$20,($H$2/1000*'Tabla Parámetros'!$K$20)/30.4*C176)*1.0201^13)))+N176+O176)</f>
        <v>0</v>
      </c>
      <c r="K176" s="167">
        <f t="shared" si="28"/>
        <v>0</v>
      </c>
      <c r="L176" s="167">
        <f t="shared" si="33"/>
        <v>0</v>
      </c>
      <c r="M176" s="167">
        <f>IF(B176="","",IF(F176=0,0,IF(Simulador!$F$11='Tabla Parámetros'!$W$1,'Tabla Parámetros'!$W$28,IF(Simulador!$F$11='Tabla Parámetros'!$Y$1,'Tabla Parámetros'!$Y$12))))</f>
        <v>0</v>
      </c>
      <c r="N176" s="167"/>
      <c r="O176" s="167"/>
      <c r="P176" s="172">
        <f t="shared" si="30"/>
        <v>0</v>
      </c>
      <c r="Q176" s="167">
        <f t="shared" si="37"/>
        <v>0</v>
      </c>
      <c r="T176" s="6"/>
      <c r="U176" s="6"/>
      <c r="V176" s="6"/>
      <c r="W176" s="29">
        <f t="shared" si="29"/>
        <v>0</v>
      </c>
    </row>
    <row r="177" spans="2:23" x14ac:dyDescent="0.3">
      <c r="B177" s="181">
        <f t="shared" si="31"/>
        <v>160</v>
      </c>
      <c r="C177" s="180">
        <f t="shared" si="36"/>
        <v>30.4</v>
      </c>
      <c r="D177" s="193">
        <f>IF(B177="","",'Tabla Parámetros'!$G$5)</f>
        <v>0.11799999999999999</v>
      </c>
      <c r="E177" s="167"/>
      <c r="F177" s="167">
        <f t="shared" si="34"/>
        <v>0</v>
      </c>
      <c r="G177" s="166"/>
      <c r="H177" s="167">
        <f t="shared" si="35"/>
        <v>0</v>
      </c>
      <c r="I177" s="167">
        <f t="shared" si="32"/>
        <v>0</v>
      </c>
      <c r="J177" s="167">
        <f>IF(C177="","",IF(F177=0,0,IF(C177&lt;='Tabla Parámetros'!$J$23,I177,IF($E$2='Tabla Parámetros'!$J$19,((($H$2/1000*'Tabla Parámetros'!$K$19)/30.4*C177)*1.0212^13),IF($E$2='Tabla Parámetros'!$J$20,($H$2/1000*'Tabla Parámetros'!$K$20)/30.4*C177)*1.0201^13)))+N177+O177)</f>
        <v>0</v>
      </c>
      <c r="K177" s="167">
        <f t="shared" si="28"/>
        <v>0</v>
      </c>
      <c r="L177" s="167">
        <f t="shared" si="33"/>
        <v>0</v>
      </c>
      <c r="M177" s="167">
        <f>IF(B177="","",IF(F177=0,0,IF(Simulador!$F$11='Tabla Parámetros'!$W$1,'Tabla Parámetros'!$W$28,IF(Simulador!$F$11='Tabla Parámetros'!$Y$1,'Tabla Parámetros'!$Y$12))))</f>
        <v>0</v>
      </c>
      <c r="N177" s="167"/>
      <c r="O177" s="167"/>
      <c r="P177" s="172">
        <f t="shared" si="30"/>
        <v>0</v>
      </c>
      <c r="Q177" s="167">
        <f t="shared" si="37"/>
        <v>0</v>
      </c>
      <c r="T177" s="6"/>
      <c r="U177" s="6"/>
      <c r="V177" s="6"/>
      <c r="W177" s="29">
        <f t="shared" si="29"/>
        <v>0</v>
      </c>
    </row>
    <row r="178" spans="2:23" x14ac:dyDescent="0.3">
      <c r="B178" s="181">
        <f t="shared" si="31"/>
        <v>161</v>
      </c>
      <c r="C178" s="180">
        <f t="shared" si="36"/>
        <v>30.4</v>
      </c>
      <c r="D178" s="193">
        <f>IF(B178="","",'Tabla Parámetros'!$G$5)</f>
        <v>0.11799999999999999</v>
      </c>
      <c r="E178" s="167"/>
      <c r="F178" s="167">
        <f t="shared" si="34"/>
        <v>0</v>
      </c>
      <c r="G178" s="166"/>
      <c r="H178" s="167">
        <f t="shared" si="35"/>
        <v>0</v>
      </c>
      <c r="I178" s="167">
        <f t="shared" si="32"/>
        <v>0</v>
      </c>
      <c r="J178" s="167">
        <f>IF(C178="","",IF(F178=0,0,IF(C178&lt;='Tabla Parámetros'!$J$23,I178,IF($E$2='Tabla Parámetros'!$J$19,((($H$2/1000*'Tabla Parámetros'!$K$19)/30.4*C178)*1.0212^13),IF($E$2='Tabla Parámetros'!$J$20,($H$2/1000*'Tabla Parámetros'!$K$20)/30.4*C178)*1.0201^13)))+N178+O178)</f>
        <v>0</v>
      </c>
      <c r="K178" s="167">
        <f t="shared" si="28"/>
        <v>0</v>
      </c>
      <c r="L178" s="167">
        <f t="shared" si="33"/>
        <v>0</v>
      </c>
      <c r="M178" s="167">
        <f>IF(B178="","",IF(F178=0,0,IF(Simulador!$F$11='Tabla Parámetros'!$W$1,'Tabla Parámetros'!$W$28,IF(Simulador!$F$11='Tabla Parámetros'!$Y$1,'Tabla Parámetros'!$Y$12))))</f>
        <v>0</v>
      </c>
      <c r="N178" s="167"/>
      <c r="O178" s="167"/>
      <c r="P178" s="172">
        <f t="shared" si="30"/>
        <v>0</v>
      </c>
      <c r="Q178" s="167">
        <f t="shared" si="37"/>
        <v>0</v>
      </c>
      <c r="T178" s="6"/>
      <c r="U178" s="6"/>
      <c r="V178" s="6"/>
      <c r="W178" s="29">
        <f t="shared" si="29"/>
        <v>0</v>
      </c>
    </row>
    <row r="179" spans="2:23" x14ac:dyDescent="0.3">
      <c r="B179" s="181">
        <f t="shared" si="31"/>
        <v>162</v>
      </c>
      <c r="C179" s="180">
        <f t="shared" si="36"/>
        <v>30.4</v>
      </c>
      <c r="D179" s="193">
        <f>IF(B179="","",'Tabla Parámetros'!$G$5)</f>
        <v>0.11799999999999999</v>
      </c>
      <c r="E179" s="167"/>
      <c r="F179" s="167">
        <f t="shared" si="34"/>
        <v>0</v>
      </c>
      <c r="G179" s="166"/>
      <c r="H179" s="167">
        <f t="shared" si="35"/>
        <v>0</v>
      </c>
      <c r="I179" s="167">
        <f t="shared" si="32"/>
        <v>0</v>
      </c>
      <c r="J179" s="167">
        <f>IF(C179="","",IF(F179=0,0,IF(C179&lt;='Tabla Parámetros'!$J$23,I179,IF($E$2='Tabla Parámetros'!$J$19,((($H$2/1000*'Tabla Parámetros'!$K$19)/30.4*C179)*1.0212^13),IF($E$2='Tabla Parámetros'!$J$20,($H$2/1000*'Tabla Parámetros'!$K$20)/30.4*C179)*1.0201^13)))+N179+O179)</f>
        <v>0</v>
      </c>
      <c r="K179" s="167">
        <f t="shared" si="28"/>
        <v>0</v>
      </c>
      <c r="L179" s="167">
        <f t="shared" si="33"/>
        <v>0</v>
      </c>
      <c r="M179" s="167">
        <f>IF(B179="","",IF(F179=0,0,IF(Simulador!$F$11='Tabla Parámetros'!$W$1,'Tabla Parámetros'!$W$28,IF(Simulador!$F$11='Tabla Parámetros'!$Y$1,'Tabla Parámetros'!$Y$12))))</f>
        <v>0</v>
      </c>
      <c r="N179" s="167"/>
      <c r="O179" s="167"/>
      <c r="P179" s="172">
        <f t="shared" si="30"/>
        <v>0</v>
      </c>
      <c r="Q179" s="167">
        <f t="shared" si="37"/>
        <v>0</v>
      </c>
      <c r="T179" s="6"/>
      <c r="U179" s="6"/>
      <c r="V179" s="6"/>
      <c r="W179" s="29">
        <f t="shared" si="29"/>
        <v>0</v>
      </c>
    </row>
    <row r="180" spans="2:23" x14ac:dyDescent="0.3">
      <c r="B180" s="181">
        <f t="shared" si="31"/>
        <v>163</v>
      </c>
      <c r="C180" s="180">
        <f t="shared" si="36"/>
        <v>30.4</v>
      </c>
      <c r="D180" s="193">
        <f>IF(B180="","",'Tabla Parámetros'!$G$5)</f>
        <v>0.11799999999999999</v>
      </c>
      <c r="E180" s="167"/>
      <c r="F180" s="167">
        <f t="shared" si="34"/>
        <v>0</v>
      </c>
      <c r="G180" s="166"/>
      <c r="H180" s="167">
        <f t="shared" si="35"/>
        <v>0</v>
      </c>
      <c r="I180" s="167">
        <f t="shared" si="32"/>
        <v>0</v>
      </c>
      <c r="J180" s="167">
        <f>IF(C180="","",IF(F180=0,0,IF(C180&lt;='Tabla Parámetros'!$J$23,I180,IF($E$2='Tabla Parámetros'!$J$19,((($H$2/1000*'Tabla Parámetros'!$K$19)/30.4*C180)*1.0212^13),IF($E$2='Tabla Parámetros'!$J$20,($H$2/1000*'Tabla Parámetros'!$K$20)/30.4*C180)*1.0201^13)))+N180+O180)</f>
        <v>0</v>
      </c>
      <c r="K180" s="167">
        <f t="shared" si="28"/>
        <v>0</v>
      </c>
      <c r="L180" s="167">
        <f t="shared" si="33"/>
        <v>0</v>
      </c>
      <c r="M180" s="167">
        <f>IF(B180="","",IF(F180=0,0,IF(Simulador!$F$11='Tabla Parámetros'!$W$1,'Tabla Parámetros'!$W$28,IF(Simulador!$F$11='Tabla Parámetros'!$Y$1,'Tabla Parámetros'!$Y$12))))</f>
        <v>0</v>
      </c>
      <c r="N180" s="167"/>
      <c r="O180" s="167"/>
      <c r="P180" s="172">
        <f t="shared" si="30"/>
        <v>0</v>
      </c>
      <c r="Q180" s="167">
        <f t="shared" si="37"/>
        <v>0</v>
      </c>
      <c r="T180" s="6"/>
      <c r="U180" s="6"/>
      <c r="V180" s="6"/>
      <c r="W180" s="29">
        <f t="shared" si="29"/>
        <v>0</v>
      </c>
    </row>
    <row r="181" spans="2:23" x14ac:dyDescent="0.3">
      <c r="B181" s="181">
        <f t="shared" si="31"/>
        <v>164</v>
      </c>
      <c r="C181" s="180">
        <f t="shared" si="36"/>
        <v>30.4</v>
      </c>
      <c r="D181" s="193">
        <f>IF(B181="","",'Tabla Parámetros'!$G$5)</f>
        <v>0.11799999999999999</v>
      </c>
      <c r="E181" s="167"/>
      <c r="F181" s="167">
        <f t="shared" si="34"/>
        <v>0</v>
      </c>
      <c r="G181" s="166"/>
      <c r="H181" s="167">
        <f t="shared" si="35"/>
        <v>0</v>
      </c>
      <c r="I181" s="167">
        <f t="shared" si="32"/>
        <v>0</v>
      </c>
      <c r="J181" s="167">
        <f>IF(C181="","",IF(F181=0,0,IF(C181&lt;='Tabla Parámetros'!$J$23,I181,IF($E$2='Tabla Parámetros'!$J$19,((($H$2/1000*'Tabla Parámetros'!$K$19)/30.4*C181)*1.0212^13),IF($E$2='Tabla Parámetros'!$J$20,($H$2/1000*'Tabla Parámetros'!$K$20)/30.4*C181)*1.0201^13)))+N181+O181)</f>
        <v>0</v>
      </c>
      <c r="K181" s="167">
        <f t="shared" si="28"/>
        <v>0</v>
      </c>
      <c r="L181" s="167">
        <f t="shared" si="33"/>
        <v>0</v>
      </c>
      <c r="M181" s="167">
        <f>IF(B181="","",IF(F181=0,0,IF(Simulador!$F$11='Tabla Parámetros'!$W$1,'Tabla Parámetros'!$W$28,IF(Simulador!$F$11='Tabla Parámetros'!$Y$1,'Tabla Parámetros'!$Y$12))))</f>
        <v>0</v>
      </c>
      <c r="N181" s="167"/>
      <c r="O181" s="167"/>
      <c r="P181" s="172">
        <f t="shared" si="30"/>
        <v>0</v>
      </c>
      <c r="Q181" s="167">
        <f t="shared" si="37"/>
        <v>0</v>
      </c>
      <c r="T181" s="6"/>
      <c r="U181" s="6"/>
      <c r="V181" s="6"/>
      <c r="W181" s="29">
        <f t="shared" si="29"/>
        <v>0</v>
      </c>
    </row>
    <row r="182" spans="2:23" x14ac:dyDescent="0.3">
      <c r="B182" s="181">
        <f t="shared" si="31"/>
        <v>165</v>
      </c>
      <c r="C182" s="180">
        <f t="shared" si="36"/>
        <v>30.4</v>
      </c>
      <c r="D182" s="193">
        <f>IF(B182="","",'Tabla Parámetros'!$G$5)</f>
        <v>0.11799999999999999</v>
      </c>
      <c r="E182" s="167"/>
      <c r="F182" s="167">
        <f t="shared" si="34"/>
        <v>0</v>
      </c>
      <c r="G182" s="166"/>
      <c r="H182" s="167">
        <f t="shared" si="35"/>
        <v>0</v>
      </c>
      <c r="I182" s="167">
        <f t="shared" si="32"/>
        <v>0</v>
      </c>
      <c r="J182" s="167">
        <f>IF(C182="","",IF(F182=0,0,IF(C182&lt;='Tabla Parámetros'!$J$23,I182,IF($E$2='Tabla Parámetros'!$J$19,((($H$2/1000*'Tabla Parámetros'!$K$19)/30.4*C182)*1.0212^13),IF($E$2='Tabla Parámetros'!$J$20,($H$2/1000*'Tabla Parámetros'!$K$20)/30.4*C182)*1.0201^13)))+N182+O182)</f>
        <v>0</v>
      </c>
      <c r="K182" s="167">
        <f t="shared" si="28"/>
        <v>0</v>
      </c>
      <c r="L182" s="167">
        <f t="shared" si="33"/>
        <v>0</v>
      </c>
      <c r="M182" s="167">
        <f>IF(B182="","",IF(F182=0,0,IF(Simulador!$F$11='Tabla Parámetros'!$W$1,'Tabla Parámetros'!$W$28,IF(Simulador!$F$11='Tabla Parámetros'!$Y$1,'Tabla Parámetros'!$Y$12))))</f>
        <v>0</v>
      </c>
      <c r="N182" s="167"/>
      <c r="O182" s="167"/>
      <c r="P182" s="172">
        <f t="shared" si="30"/>
        <v>0</v>
      </c>
      <c r="Q182" s="167">
        <f t="shared" si="37"/>
        <v>0</v>
      </c>
      <c r="T182" s="6"/>
      <c r="U182" s="6"/>
      <c r="V182" s="6"/>
      <c r="W182" s="29">
        <f t="shared" si="29"/>
        <v>0</v>
      </c>
    </row>
    <row r="183" spans="2:23" x14ac:dyDescent="0.3">
      <c r="B183" s="181">
        <f t="shared" si="31"/>
        <v>166</v>
      </c>
      <c r="C183" s="180">
        <f t="shared" si="36"/>
        <v>30.4</v>
      </c>
      <c r="D183" s="193">
        <f>IF(B183="","",'Tabla Parámetros'!$G$5)</f>
        <v>0.11799999999999999</v>
      </c>
      <c r="E183" s="167"/>
      <c r="F183" s="167">
        <f t="shared" si="34"/>
        <v>0</v>
      </c>
      <c r="G183" s="166"/>
      <c r="H183" s="167">
        <f t="shared" si="35"/>
        <v>0</v>
      </c>
      <c r="I183" s="167">
        <f t="shared" si="32"/>
        <v>0</v>
      </c>
      <c r="J183" s="167">
        <f>IF(C183="","",IF(F183=0,0,IF(C183&lt;='Tabla Parámetros'!$J$23,I183,IF($E$2='Tabla Parámetros'!$J$19,((($H$2/1000*'Tabla Parámetros'!$K$19)/30.4*C183)*1.0212^13),IF($E$2='Tabla Parámetros'!$J$20,($H$2/1000*'Tabla Parámetros'!$K$20)/30.4*C183)*1.0201^13)))+N183+O183)</f>
        <v>0</v>
      </c>
      <c r="K183" s="167">
        <f t="shared" si="28"/>
        <v>0</v>
      </c>
      <c r="L183" s="167">
        <f t="shared" si="33"/>
        <v>0</v>
      </c>
      <c r="M183" s="167">
        <f>IF(B183="","",IF(F183=0,0,IF(Simulador!$F$11='Tabla Parámetros'!$W$1,'Tabla Parámetros'!$W$28,IF(Simulador!$F$11='Tabla Parámetros'!$Y$1,'Tabla Parámetros'!$Y$12))))</f>
        <v>0</v>
      </c>
      <c r="N183" s="167"/>
      <c r="O183" s="167"/>
      <c r="P183" s="172">
        <f t="shared" si="30"/>
        <v>0</v>
      </c>
      <c r="Q183" s="167">
        <f t="shared" si="37"/>
        <v>0</v>
      </c>
      <c r="T183" s="6"/>
      <c r="U183" s="6"/>
      <c r="V183" s="6"/>
      <c r="W183" s="29">
        <f t="shared" si="29"/>
        <v>0</v>
      </c>
    </row>
    <row r="184" spans="2:23" x14ac:dyDescent="0.3">
      <c r="B184" s="181">
        <f t="shared" si="31"/>
        <v>167</v>
      </c>
      <c r="C184" s="180">
        <f t="shared" si="36"/>
        <v>30.4</v>
      </c>
      <c r="D184" s="193">
        <f>IF(B184="","",'Tabla Parámetros'!$G$5)</f>
        <v>0.11799999999999999</v>
      </c>
      <c r="E184" s="167"/>
      <c r="F184" s="167">
        <f t="shared" si="34"/>
        <v>0</v>
      </c>
      <c r="G184" s="166"/>
      <c r="H184" s="167">
        <f t="shared" si="35"/>
        <v>0</v>
      </c>
      <c r="I184" s="167">
        <f t="shared" si="32"/>
        <v>0</v>
      </c>
      <c r="J184" s="167">
        <f>IF(C184="","",IF(F184=0,0,IF(C184&lt;='Tabla Parámetros'!$J$23,I184,IF($E$2='Tabla Parámetros'!$J$19,((($H$2/1000*'Tabla Parámetros'!$K$19)/30.4*C184)*1.0212^13),IF($E$2='Tabla Parámetros'!$J$20,($H$2/1000*'Tabla Parámetros'!$K$20)/30.4*C184)*1.0201^13)))+N184+O184)</f>
        <v>0</v>
      </c>
      <c r="K184" s="167">
        <f t="shared" si="28"/>
        <v>0</v>
      </c>
      <c r="L184" s="167">
        <f t="shared" si="33"/>
        <v>0</v>
      </c>
      <c r="M184" s="167">
        <f>IF(B184="","",IF(F184=0,0,IF(Simulador!$F$11='Tabla Parámetros'!$W$1,'Tabla Parámetros'!$W$28,IF(Simulador!$F$11='Tabla Parámetros'!$Y$1,'Tabla Parámetros'!$Y$12))))</f>
        <v>0</v>
      </c>
      <c r="N184" s="167"/>
      <c r="O184" s="167"/>
      <c r="P184" s="172">
        <f t="shared" si="30"/>
        <v>0</v>
      </c>
      <c r="Q184" s="167">
        <f t="shared" si="37"/>
        <v>0</v>
      </c>
      <c r="T184" s="6"/>
      <c r="U184" s="6"/>
      <c r="V184" s="6"/>
      <c r="W184" s="29">
        <f t="shared" si="29"/>
        <v>0</v>
      </c>
    </row>
    <row r="185" spans="2:23" x14ac:dyDescent="0.3">
      <c r="B185" s="181">
        <f t="shared" si="31"/>
        <v>168</v>
      </c>
      <c r="C185" s="180">
        <f t="shared" si="36"/>
        <v>30.4</v>
      </c>
      <c r="D185" s="193">
        <f>IF(B185="","",'Tabla Parámetros'!$G$5)</f>
        <v>0.11799999999999999</v>
      </c>
      <c r="E185" s="167"/>
      <c r="F185" s="167">
        <f t="shared" si="34"/>
        <v>0</v>
      </c>
      <c r="G185" s="166"/>
      <c r="H185" s="167">
        <f t="shared" si="35"/>
        <v>0</v>
      </c>
      <c r="I185" s="167">
        <f t="shared" si="32"/>
        <v>0</v>
      </c>
      <c r="J185" s="167">
        <f>IF(C185="","",IF(F185=0,0,IF(C185&lt;='Tabla Parámetros'!$J$23,I185,IF($E$2='Tabla Parámetros'!$J$19,((($H$2/1000*'Tabla Parámetros'!$K$19)/30.4*C185)*1.0212^13),IF($E$2='Tabla Parámetros'!$J$20,($H$2/1000*'Tabla Parámetros'!$K$20)/30.4*C185)*1.0201^13)))+N185+O185)</f>
        <v>0</v>
      </c>
      <c r="K185" s="167">
        <f t="shared" si="28"/>
        <v>0</v>
      </c>
      <c r="L185" s="167">
        <f t="shared" si="33"/>
        <v>0</v>
      </c>
      <c r="M185" s="167">
        <f>IF(B185="","",IF(F185=0,0,IF(Simulador!$F$11='Tabla Parámetros'!$W$1,'Tabla Parámetros'!$W$28,IF(Simulador!$F$11='Tabla Parámetros'!$Y$1,'Tabla Parámetros'!$Y$12))))</f>
        <v>0</v>
      </c>
      <c r="N185" s="167"/>
      <c r="O185" s="167"/>
      <c r="P185" s="172">
        <f t="shared" si="30"/>
        <v>0</v>
      </c>
      <c r="Q185" s="167">
        <f t="shared" si="37"/>
        <v>0</v>
      </c>
      <c r="T185" s="6"/>
      <c r="U185" s="6"/>
      <c r="V185" s="6"/>
      <c r="W185" s="29">
        <f t="shared" si="29"/>
        <v>0</v>
      </c>
    </row>
    <row r="186" spans="2:23" x14ac:dyDescent="0.3">
      <c r="B186" s="181">
        <f t="shared" si="31"/>
        <v>169</v>
      </c>
      <c r="C186" s="180">
        <f t="shared" si="36"/>
        <v>30.4</v>
      </c>
      <c r="D186" s="193">
        <f>IF(B186="","",'Tabla Parámetros'!$G$5)</f>
        <v>0.11799999999999999</v>
      </c>
      <c r="E186" s="167"/>
      <c r="F186" s="167">
        <f t="shared" si="34"/>
        <v>0</v>
      </c>
      <c r="G186" s="166"/>
      <c r="H186" s="167">
        <f t="shared" si="35"/>
        <v>0</v>
      </c>
      <c r="I186" s="167">
        <f t="shared" si="32"/>
        <v>0</v>
      </c>
      <c r="J186" s="167">
        <f>IF(C186="","",IF(F186=0,0,IF(C186&lt;='Tabla Parámetros'!$J$23,I186,IF($E$2='Tabla Parámetros'!$J$19,((($H$2/1000*'Tabla Parámetros'!$K$19)/30.4*C186)*1.0212^13),IF($E$2='Tabla Parámetros'!$J$20,($H$2/1000*'Tabla Parámetros'!$K$20)/30.4*C186)*1.0201^13)))+N186+O186)</f>
        <v>0</v>
      </c>
      <c r="K186" s="167">
        <f t="shared" si="28"/>
        <v>0</v>
      </c>
      <c r="L186" s="167">
        <f t="shared" si="33"/>
        <v>0</v>
      </c>
      <c r="M186" s="167">
        <f>IF(B186="","",IF(F186=0,0,IF(Simulador!$F$11='Tabla Parámetros'!$W$1,'Tabla Parámetros'!$W$28,IF(Simulador!$F$11='Tabla Parámetros'!$Y$1,'Tabla Parámetros'!$Y$12))))</f>
        <v>0</v>
      </c>
      <c r="N186" s="167"/>
      <c r="O186" s="167"/>
      <c r="P186" s="172">
        <f t="shared" si="30"/>
        <v>0</v>
      </c>
      <c r="Q186" s="167">
        <f t="shared" si="37"/>
        <v>0</v>
      </c>
      <c r="T186" s="6"/>
      <c r="U186" s="6"/>
      <c r="V186" s="6"/>
      <c r="W186" s="29">
        <f t="shared" si="29"/>
        <v>0</v>
      </c>
    </row>
    <row r="187" spans="2:23" x14ac:dyDescent="0.3">
      <c r="B187" s="181">
        <f t="shared" si="31"/>
        <v>170</v>
      </c>
      <c r="C187" s="180">
        <f t="shared" si="36"/>
        <v>30.4</v>
      </c>
      <c r="D187" s="193">
        <f>IF(B187="","",'Tabla Parámetros'!$G$5)</f>
        <v>0.11799999999999999</v>
      </c>
      <c r="E187" s="167"/>
      <c r="F187" s="167">
        <f t="shared" si="34"/>
        <v>0</v>
      </c>
      <c r="G187" s="166"/>
      <c r="H187" s="167">
        <f t="shared" si="35"/>
        <v>0</v>
      </c>
      <c r="I187" s="167">
        <f t="shared" si="32"/>
        <v>0</v>
      </c>
      <c r="J187" s="167">
        <f>IF(C187="","",IF(F187=0,0,IF(C187&lt;='Tabla Parámetros'!$J$23,I187,IF($E$2='Tabla Parámetros'!$J$19,((($H$2/1000*'Tabla Parámetros'!$K$19)/30.4*C187)*1.0212^14),IF($E$2='Tabla Parámetros'!$J$20,($H$2/1000*'Tabla Parámetros'!$K$20)/30.4*C187)*1.0201^14)))+N187+O187)</f>
        <v>0</v>
      </c>
      <c r="K187" s="167">
        <f t="shared" si="28"/>
        <v>0</v>
      </c>
      <c r="L187" s="167">
        <f t="shared" si="33"/>
        <v>0</v>
      </c>
      <c r="M187" s="167">
        <f>IF(B187="","",IF(F187=0,0,IF(Simulador!$F$11='Tabla Parámetros'!$W$1,'Tabla Parámetros'!$W$28,IF(Simulador!$F$11='Tabla Parámetros'!$Y$1,'Tabla Parámetros'!$Y$12))))</f>
        <v>0</v>
      </c>
      <c r="N187" s="167"/>
      <c r="O187" s="167"/>
      <c r="P187" s="172">
        <f t="shared" si="30"/>
        <v>0</v>
      </c>
      <c r="Q187" s="167">
        <f t="shared" si="37"/>
        <v>0</v>
      </c>
      <c r="T187" s="6"/>
      <c r="U187" s="6"/>
      <c r="V187" s="6"/>
      <c r="W187" s="29">
        <f t="shared" si="29"/>
        <v>0</v>
      </c>
    </row>
    <row r="188" spans="2:23" x14ac:dyDescent="0.3">
      <c r="B188" s="181">
        <f t="shared" si="31"/>
        <v>171</v>
      </c>
      <c r="C188" s="180">
        <f t="shared" si="36"/>
        <v>30.4</v>
      </c>
      <c r="D188" s="193">
        <f>IF(B188="","",'Tabla Parámetros'!$G$5)</f>
        <v>0.11799999999999999</v>
      </c>
      <c r="E188" s="167"/>
      <c r="F188" s="167">
        <f t="shared" si="34"/>
        <v>0</v>
      </c>
      <c r="G188" s="166"/>
      <c r="H188" s="167">
        <f t="shared" si="35"/>
        <v>0</v>
      </c>
      <c r="I188" s="167">
        <f t="shared" si="32"/>
        <v>0</v>
      </c>
      <c r="J188" s="167">
        <f>IF(C188="","",IF(F188=0,0,IF(C188&lt;='Tabla Parámetros'!$J$23,I188,IF($E$2='Tabla Parámetros'!$J$19,((($H$2/1000*'Tabla Parámetros'!$K$19)/30.4*C188)*1.0212^14),IF($E$2='Tabla Parámetros'!$J$20,($H$2/1000*'Tabla Parámetros'!$K$20)/30.4*C188)*1.0201^14)))+N188+O188)</f>
        <v>0</v>
      </c>
      <c r="K188" s="167">
        <f t="shared" si="28"/>
        <v>0</v>
      </c>
      <c r="L188" s="167">
        <f t="shared" si="33"/>
        <v>0</v>
      </c>
      <c r="M188" s="167">
        <f>IF(B188="","",IF(F188=0,0,IF(Simulador!$F$11='Tabla Parámetros'!$W$1,'Tabla Parámetros'!$W$28,IF(Simulador!$F$11='Tabla Parámetros'!$Y$1,'Tabla Parámetros'!$Y$12))))</f>
        <v>0</v>
      </c>
      <c r="N188" s="167"/>
      <c r="O188" s="167"/>
      <c r="P188" s="172">
        <f t="shared" si="30"/>
        <v>0</v>
      </c>
      <c r="Q188" s="167">
        <f t="shared" si="37"/>
        <v>0</v>
      </c>
      <c r="T188" s="6"/>
      <c r="U188" s="6"/>
      <c r="V188" s="6"/>
      <c r="W188" s="29">
        <f t="shared" si="29"/>
        <v>0</v>
      </c>
    </row>
    <row r="189" spans="2:23" x14ac:dyDescent="0.3">
      <c r="B189" s="181">
        <f t="shared" si="31"/>
        <v>172</v>
      </c>
      <c r="C189" s="180">
        <f t="shared" si="36"/>
        <v>30.4</v>
      </c>
      <c r="D189" s="193">
        <f>IF(B189="","",'Tabla Parámetros'!$G$5)</f>
        <v>0.11799999999999999</v>
      </c>
      <c r="E189" s="167"/>
      <c r="F189" s="167">
        <f t="shared" si="34"/>
        <v>0</v>
      </c>
      <c r="G189" s="166"/>
      <c r="H189" s="167">
        <f t="shared" si="35"/>
        <v>0</v>
      </c>
      <c r="I189" s="167">
        <f t="shared" si="32"/>
        <v>0</v>
      </c>
      <c r="J189" s="167">
        <f>IF(C189="","",IF(F189=0,0,IF(C189&lt;='Tabla Parámetros'!$J$23,I189,IF($E$2='Tabla Parámetros'!$J$19,((($H$2/1000*'Tabla Parámetros'!$K$19)/30.4*C189)*1.0212^14),IF($E$2='Tabla Parámetros'!$J$20,($H$2/1000*'Tabla Parámetros'!$K$20)/30.4*C189)*1.0201^14)))+N189+O189)</f>
        <v>0</v>
      </c>
      <c r="K189" s="167">
        <f t="shared" si="28"/>
        <v>0</v>
      </c>
      <c r="L189" s="167">
        <f t="shared" si="33"/>
        <v>0</v>
      </c>
      <c r="M189" s="167">
        <f>IF(B189="","",IF(F189=0,0,IF(Simulador!$F$11='Tabla Parámetros'!$W$1,'Tabla Parámetros'!$W$28,IF(Simulador!$F$11='Tabla Parámetros'!$Y$1,'Tabla Parámetros'!$Y$12))))</f>
        <v>0</v>
      </c>
      <c r="N189" s="167"/>
      <c r="O189" s="167"/>
      <c r="P189" s="172">
        <f t="shared" si="30"/>
        <v>0</v>
      </c>
      <c r="Q189" s="167">
        <f t="shared" si="37"/>
        <v>0</v>
      </c>
      <c r="T189" s="6"/>
      <c r="U189" s="6"/>
      <c r="V189" s="6"/>
      <c r="W189" s="29">
        <f t="shared" si="29"/>
        <v>0</v>
      </c>
    </row>
    <row r="190" spans="2:23" x14ac:dyDescent="0.3">
      <c r="B190" s="181">
        <f t="shared" si="31"/>
        <v>173</v>
      </c>
      <c r="C190" s="180">
        <f t="shared" si="36"/>
        <v>30.4</v>
      </c>
      <c r="D190" s="193">
        <f>IF(B190="","",'Tabla Parámetros'!$G$5)</f>
        <v>0.11799999999999999</v>
      </c>
      <c r="E190" s="167"/>
      <c r="F190" s="167">
        <f t="shared" si="34"/>
        <v>0</v>
      </c>
      <c r="G190" s="166"/>
      <c r="H190" s="167">
        <f t="shared" si="35"/>
        <v>0</v>
      </c>
      <c r="I190" s="167">
        <f t="shared" si="32"/>
        <v>0</v>
      </c>
      <c r="J190" s="167">
        <f>IF(C190="","",IF(F190=0,0,IF(C190&lt;='Tabla Parámetros'!$J$23,I190,IF($E$2='Tabla Parámetros'!$J$19,((($H$2/1000*'Tabla Parámetros'!$K$19)/30.4*C190)*1.0212^14),IF($E$2='Tabla Parámetros'!$J$20,($H$2/1000*'Tabla Parámetros'!$K$20)/30.4*C190)*1.0201^14)))+N190+O190)</f>
        <v>0</v>
      </c>
      <c r="K190" s="167">
        <f t="shared" si="28"/>
        <v>0</v>
      </c>
      <c r="L190" s="167">
        <f t="shared" si="33"/>
        <v>0</v>
      </c>
      <c r="M190" s="167">
        <f>IF(B190="","",IF(F190=0,0,IF(Simulador!$F$11='Tabla Parámetros'!$W$1,'Tabla Parámetros'!$W$28,IF(Simulador!$F$11='Tabla Parámetros'!$Y$1,'Tabla Parámetros'!$Y$12))))</f>
        <v>0</v>
      </c>
      <c r="N190" s="167"/>
      <c r="O190" s="167"/>
      <c r="P190" s="172">
        <f t="shared" si="30"/>
        <v>0</v>
      </c>
      <c r="Q190" s="167">
        <f t="shared" si="37"/>
        <v>0</v>
      </c>
      <c r="T190" s="6"/>
      <c r="U190" s="6"/>
      <c r="V190" s="6"/>
      <c r="W190" s="29">
        <f t="shared" si="29"/>
        <v>0</v>
      </c>
    </row>
    <row r="191" spans="2:23" x14ac:dyDescent="0.3">
      <c r="B191" s="181">
        <f t="shared" si="31"/>
        <v>174</v>
      </c>
      <c r="C191" s="180">
        <f t="shared" si="36"/>
        <v>30.4</v>
      </c>
      <c r="D191" s="193">
        <f>IF(B191="","",'Tabla Parámetros'!$G$5)</f>
        <v>0.11799999999999999</v>
      </c>
      <c r="E191" s="167"/>
      <c r="F191" s="167">
        <f t="shared" si="34"/>
        <v>0</v>
      </c>
      <c r="G191" s="166"/>
      <c r="H191" s="167">
        <f t="shared" si="35"/>
        <v>0</v>
      </c>
      <c r="I191" s="167">
        <f t="shared" si="32"/>
        <v>0</v>
      </c>
      <c r="J191" s="167">
        <f>IF(C191="","",IF(F191=0,0,IF(C191&lt;='Tabla Parámetros'!$J$23,I191,IF($E$2='Tabla Parámetros'!$J$19,((($H$2/1000*'Tabla Parámetros'!$K$19)/30.4*C191)*1.0212^14),IF($E$2='Tabla Parámetros'!$J$20,($H$2/1000*'Tabla Parámetros'!$K$20)/30.4*C191)*1.0201^14)))+N191+O191)</f>
        <v>0</v>
      </c>
      <c r="K191" s="167">
        <f t="shared" si="28"/>
        <v>0</v>
      </c>
      <c r="L191" s="167">
        <f t="shared" si="33"/>
        <v>0</v>
      </c>
      <c r="M191" s="167">
        <f>IF(B191="","",IF(F191=0,0,IF(Simulador!$F$11='Tabla Parámetros'!$W$1,'Tabla Parámetros'!$W$28,IF(Simulador!$F$11='Tabla Parámetros'!$Y$1,'Tabla Parámetros'!$Y$12))))</f>
        <v>0</v>
      </c>
      <c r="N191" s="167"/>
      <c r="O191" s="167"/>
      <c r="P191" s="172">
        <f t="shared" si="30"/>
        <v>0</v>
      </c>
      <c r="Q191" s="167">
        <f t="shared" si="37"/>
        <v>0</v>
      </c>
      <c r="T191" s="6"/>
      <c r="U191" s="6"/>
      <c r="V191" s="6"/>
      <c r="W191" s="29">
        <f t="shared" si="29"/>
        <v>0</v>
      </c>
    </row>
    <row r="192" spans="2:23" x14ac:dyDescent="0.3">
      <c r="B192" s="181">
        <f t="shared" si="31"/>
        <v>175</v>
      </c>
      <c r="C192" s="180">
        <f t="shared" si="36"/>
        <v>30.4</v>
      </c>
      <c r="D192" s="193">
        <f>IF(B192="","",'Tabla Parámetros'!$G$5)</f>
        <v>0.11799999999999999</v>
      </c>
      <c r="E192" s="167"/>
      <c r="F192" s="167">
        <f t="shared" si="34"/>
        <v>0</v>
      </c>
      <c r="G192" s="166"/>
      <c r="H192" s="167">
        <f t="shared" si="35"/>
        <v>0</v>
      </c>
      <c r="I192" s="167">
        <f t="shared" si="32"/>
        <v>0</v>
      </c>
      <c r="J192" s="167">
        <f>IF(C192="","",IF(F192=0,0,IF(C192&lt;='Tabla Parámetros'!$J$23,I192,IF($E$2='Tabla Parámetros'!$J$19,((($H$2/1000*'Tabla Parámetros'!$K$19)/30.4*C192)*1.0212^14),IF($E$2='Tabla Parámetros'!$J$20,($H$2/1000*'Tabla Parámetros'!$K$20)/30.4*C192)*1.0201^14)))+N192+O192)</f>
        <v>0</v>
      </c>
      <c r="K192" s="167">
        <f t="shared" si="28"/>
        <v>0</v>
      </c>
      <c r="L192" s="167">
        <f t="shared" si="33"/>
        <v>0</v>
      </c>
      <c r="M192" s="167">
        <f>IF(B192="","",IF(F192=0,0,IF(Simulador!$F$11='Tabla Parámetros'!$W$1,'Tabla Parámetros'!$W$28,IF(Simulador!$F$11='Tabla Parámetros'!$Y$1,'Tabla Parámetros'!$Y$12))))</f>
        <v>0</v>
      </c>
      <c r="N192" s="167"/>
      <c r="O192" s="167"/>
      <c r="P192" s="172">
        <f t="shared" si="30"/>
        <v>0</v>
      </c>
      <c r="Q192" s="167">
        <f t="shared" si="37"/>
        <v>0</v>
      </c>
      <c r="T192" s="6"/>
      <c r="U192" s="6"/>
      <c r="V192" s="6"/>
      <c r="W192" s="29">
        <f t="shared" si="29"/>
        <v>0</v>
      </c>
    </row>
    <row r="193" spans="2:23" x14ac:dyDescent="0.3">
      <c r="B193" s="181">
        <f t="shared" si="31"/>
        <v>176</v>
      </c>
      <c r="C193" s="180">
        <f t="shared" si="36"/>
        <v>30.4</v>
      </c>
      <c r="D193" s="193">
        <f>IF(B193="","",'Tabla Parámetros'!$G$5)</f>
        <v>0.11799999999999999</v>
      </c>
      <c r="E193" s="167"/>
      <c r="F193" s="167">
        <f t="shared" si="34"/>
        <v>0</v>
      </c>
      <c r="G193" s="166"/>
      <c r="H193" s="167">
        <f t="shared" si="35"/>
        <v>0</v>
      </c>
      <c r="I193" s="167">
        <f t="shared" si="32"/>
        <v>0</v>
      </c>
      <c r="J193" s="167">
        <f>IF(C193="","",IF(F193=0,0,IF(C193&lt;='Tabla Parámetros'!$J$23,I193,IF($E$2='Tabla Parámetros'!$J$19,((($H$2/1000*'Tabla Parámetros'!$K$19)/30.4*C193)*1.0212^14),IF($E$2='Tabla Parámetros'!$J$20,($H$2/1000*'Tabla Parámetros'!$K$20)/30.4*C193)*1.0201^14)))+N193+O193)</f>
        <v>0</v>
      </c>
      <c r="K193" s="167">
        <f t="shared" si="28"/>
        <v>0</v>
      </c>
      <c r="L193" s="167">
        <f t="shared" si="33"/>
        <v>0</v>
      </c>
      <c r="M193" s="167">
        <f>IF(B193="","",IF(F193=0,0,IF(Simulador!$F$11='Tabla Parámetros'!$W$1,'Tabla Parámetros'!$W$28,IF(Simulador!$F$11='Tabla Parámetros'!$Y$1,'Tabla Parámetros'!$Y$12))))</f>
        <v>0</v>
      </c>
      <c r="N193" s="167"/>
      <c r="O193" s="167"/>
      <c r="P193" s="172">
        <f t="shared" si="30"/>
        <v>0</v>
      </c>
      <c r="Q193" s="167">
        <f t="shared" si="37"/>
        <v>0</v>
      </c>
      <c r="T193" s="6"/>
      <c r="U193" s="6"/>
      <c r="V193" s="6"/>
      <c r="W193" s="29">
        <f t="shared" si="29"/>
        <v>0</v>
      </c>
    </row>
    <row r="194" spans="2:23" x14ac:dyDescent="0.3">
      <c r="B194" s="181">
        <f t="shared" si="31"/>
        <v>177</v>
      </c>
      <c r="C194" s="180">
        <f t="shared" si="36"/>
        <v>30.4</v>
      </c>
      <c r="D194" s="193">
        <f>IF(B194="","",'Tabla Parámetros'!$G$5)</f>
        <v>0.11799999999999999</v>
      </c>
      <c r="E194" s="167"/>
      <c r="F194" s="167">
        <f t="shared" si="34"/>
        <v>0</v>
      </c>
      <c r="G194" s="166"/>
      <c r="H194" s="167">
        <f t="shared" si="35"/>
        <v>0</v>
      </c>
      <c r="I194" s="167">
        <f t="shared" si="32"/>
        <v>0</v>
      </c>
      <c r="J194" s="167">
        <f>IF(C194="","",IF(F194=0,0,IF(C194&lt;='Tabla Parámetros'!$J$23,I194,IF($E$2='Tabla Parámetros'!$J$19,((($H$2/1000*'Tabla Parámetros'!$K$19)/30.4*C194)*1.0212^14),IF($E$2='Tabla Parámetros'!$J$20,($H$2/1000*'Tabla Parámetros'!$K$20)/30.4*C194)*1.0201^14)))+N194+O194)</f>
        <v>0</v>
      </c>
      <c r="K194" s="167">
        <f t="shared" si="28"/>
        <v>0</v>
      </c>
      <c r="L194" s="167">
        <f t="shared" si="33"/>
        <v>0</v>
      </c>
      <c r="M194" s="167">
        <f>IF(B194="","",IF(F194=0,0,IF(Simulador!$F$11='Tabla Parámetros'!$W$1,'Tabla Parámetros'!$W$28,IF(Simulador!$F$11='Tabla Parámetros'!$Y$1,'Tabla Parámetros'!$Y$12))))</f>
        <v>0</v>
      </c>
      <c r="N194" s="167"/>
      <c r="O194" s="167"/>
      <c r="P194" s="172">
        <f t="shared" si="30"/>
        <v>0</v>
      </c>
      <c r="Q194" s="167">
        <f t="shared" si="37"/>
        <v>0</v>
      </c>
      <c r="T194" s="6"/>
      <c r="U194" s="6"/>
      <c r="V194" s="6"/>
      <c r="W194" s="29">
        <f t="shared" si="29"/>
        <v>0</v>
      </c>
    </row>
    <row r="195" spans="2:23" x14ac:dyDescent="0.3">
      <c r="B195" s="181">
        <f t="shared" si="31"/>
        <v>178</v>
      </c>
      <c r="C195" s="180">
        <f t="shared" si="36"/>
        <v>30.4</v>
      </c>
      <c r="D195" s="193">
        <f>IF(B195="","",'Tabla Parámetros'!$G$5)</f>
        <v>0.11799999999999999</v>
      </c>
      <c r="E195" s="167"/>
      <c r="F195" s="167">
        <f t="shared" si="34"/>
        <v>0</v>
      </c>
      <c r="G195" s="166"/>
      <c r="H195" s="167">
        <f t="shared" si="35"/>
        <v>0</v>
      </c>
      <c r="I195" s="167">
        <f t="shared" si="32"/>
        <v>0</v>
      </c>
      <c r="J195" s="167">
        <f>IF(C195="","",IF(F195=0,0,IF(C195&lt;='Tabla Parámetros'!$J$23,I195,IF($E$2='Tabla Parámetros'!$J$19,((($H$2/1000*'Tabla Parámetros'!$K$19)/30.4*C195)*1.0212^14),IF($E$2='Tabla Parámetros'!$J$20,($H$2/1000*'Tabla Parámetros'!$K$20)/30.4*C195)*1.0201^14)))+N195+O195)</f>
        <v>0</v>
      </c>
      <c r="K195" s="167">
        <f t="shared" si="28"/>
        <v>0</v>
      </c>
      <c r="L195" s="167">
        <f t="shared" si="33"/>
        <v>0</v>
      </c>
      <c r="M195" s="167">
        <f>IF(B195="","",IF(F195=0,0,IF(Simulador!$F$11='Tabla Parámetros'!$W$1,'Tabla Parámetros'!$W$28,IF(Simulador!$F$11='Tabla Parámetros'!$Y$1,'Tabla Parámetros'!$Y$12))))</f>
        <v>0</v>
      </c>
      <c r="N195" s="167"/>
      <c r="O195" s="167"/>
      <c r="P195" s="172">
        <f t="shared" si="30"/>
        <v>0</v>
      </c>
      <c r="Q195" s="167">
        <f t="shared" si="37"/>
        <v>0</v>
      </c>
      <c r="T195" s="6"/>
      <c r="U195" s="6"/>
      <c r="V195" s="6"/>
      <c r="W195" s="29">
        <f t="shared" si="29"/>
        <v>0</v>
      </c>
    </row>
    <row r="196" spans="2:23" x14ac:dyDescent="0.3">
      <c r="B196" s="181">
        <f t="shared" si="31"/>
        <v>179</v>
      </c>
      <c r="C196" s="180">
        <f t="shared" si="36"/>
        <v>30.4</v>
      </c>
      <c r="D196" s="193">
        <f>IF(B196="","",'Tabla Parámetros'!$G$5)</f>
        <v>0.11799999999999999</v>
      </c>
      <c r="E196" s="167"/>
      <c r="F196" s="167">
        <f t="shared" si="34"/>
        <v>0</v>
      </c>
      <c r="G196" s="166"/>
      <c r="H196" s="167">
        <f t="shared" si="35"/>
        <v>0</v>
      </c>
      <c r="I196" s="167">
        <f t="shared" si="32"/>
        <v>0</v>
      </c>
      <c r="J196" s="167">
        <f>IF(C196="","",IF(F196=0,0,IF(C196&lt;='Tabla Parámetros'!$J$23,I196,IF($E$2='Tabla Parámetros'!$J$19,((($H$2/1000*'Tabla Parámetros'!$K$19)/30.4*C196)*1.0212^14),IF($E$2='Tabla Parámetros'!$J$20,($H$2/1000*'Tabla Parámetros'!$K$20)/30.4*C196)*1.0201^14)))+N196+O196)</f>
        <v>0</v>
      </c>
      <c r="K196" s="167">
        <f t="shared" si="28"/>
        <v>0</v>
      </c>
      <c r="L196" s="167">
        <f t="shared" si="33"/>
        <v>0</v>
      </c>
      <c r="M196" s="167">
        <f>IF(B196="","",IF(F196=0,0,IF(Simulador!$F$11='Tabla Parámetros'!$W$1,'Tabla Parámetros'!$W$28,IF(Simulador!$F$11='Tabla Parámetros'!$Y$1,'Tabla Parámetros'!$Y$12))))</f>
        <v>0</v>
      </c>
      <c r="N196" s="167"/>
      <c r="O196" s="167"/>
      <c r="P196" s="172">
        <f t="shared" si="30"/>
        <v>0</v>
      </c>
      <c r="Q196" s="167">
        <f t="shared" si="37"/>
        <v>0</v>
      </c>
      <c r="T196" s="6"/>
      <c r="U196" s="6"/>
      <c r="V196" s="6"/>
      <c r="W196" s="29">
        <f t="shared" si="29"/>
        <v>0</v>
      </c>
    </row>
    <row r="197" spans="2:23" x14ac:dyDescent="0.3">
      <c r="B197" s="181">
        <f t="shared" si="31"/>
        <v>180</v>
      </c>
      <c r="C197" s="180">
        <f t="shared" si="36"/>
        <v>30.4</v>
      </c>
      <c r="D197" s="193">
        <f>IF(B197="","",'Tabla Parámetros'!$G$5)</f>
        <v>0.11799999999999999</v>
      </c>
      <c r="E197" s="167"/>
      <c r="F197" s="167">
        <f t="shared" si="34"/>
        <v>0</v>
      </c>
      <c r="G197" s="166"/>
      <c r="H197" s="167">
        <f t="shared" si="35"/>
        <v>0</v>
      </c>
      <c r="I197" s="167">
        <f t="shared" si="32"/>
        <v>0</v>
      </c>
      <c r="J197" s="167">
        <f>IF(C197="","",IF(F197=0,0,IF(C197&lt;='Tabla Parámetros'!$J$23,I197,IF($E$2='Tabla Parámetros'!$J$19,((($H$2/1000*'Tabla Parámetros'!$K$19)/30.4*C197)*1.0212^14),IF($E$2='Tabla Parámetros'!$J$20,($H$2/1000*'Tabla Parámetros'!$K$20)/30.4*C197)*1.0201^14)))+N197+O197)</f>
        <v>0</v>
      </c>
      <c r="K197" s="167">
        <f t="shared" si="28"/>
        <v>0</v>
      </c>
      <c r="L197" s="167">
        <f t="shared" si="33"/>
        <v>0</v>
      </c>
      <c r="M197" s="167">
        <f>IF(B197="","",IF(F197=0,0,IF(Simulador!$F$11='Tabla Parámetros'!$W$1,'Tabla Parámetros'!$W$28,IF(Simulador!$F$11='Tabla Parámetros'!$Y$1,'Tabla Parámetros'!$Y$12))))</f>
        <v>0</v>
      </c>
      <c r="N197" s="167"/>
      <c r="O197" s="167"/>
      <c r="P197" s="172">
        <f t="shared" si="30"/>
        <v>0</v>
      </c>
      <c r="Q197" s="167">
        <f t="shared" si="37"/>
        <v>0</v>
      </c>
      <c r="T197" s="6"/>
      <c r="U197" s="6"/>
      <c r="V197" s="6"/>
      <c r="W197" s="29">
        <f t="shared" si="29"/>
        <v>0</v>
      </c>
    </row>
    <row r="198" spans="2:23" x14ac:dyDescent="0.3">
      <c r="B198" s="181">
        <f>IF(B197=$E$2,"",IF(B197="","",B197+1))</f>
        <v>181</v>
      </c>
      <c r="C198" s="180">
        <f>IF(B198="","",30.4)</f>
        <v>30.4</v>
      </c>
      <c r="D198" s="193">
        <f>IF(B198="","",'Tabla Parámetros'!$G$5)</f>
        <v>0.11799999999999999</v>
      </c>
      <c r="E198" s="167"/>
      <c r="F198" s="167">
        <f t="shared" si="34"/>
        <v>0</v>
      </c>
      <c r="G198" s="166"/>
      <c r="H198" s="167">
        <f t="shared" si="35"/>
        <v>0</v>
      </c>
      <c r="I198" s="167">
        <f>IF(B198="","",((D198/360)*30.4)*F198)</f>
        <v>0</v>
      </c>
      <c r="J198" s="167">
        <f>IF(C198="","",IF(F198=0,0,IF(C198&lt;='Tabla Parámetros'!$J$23,I198,IF($E$2='Tabla Parámetros'!$J$19,((($H$2/1000*'Tabla Parámetros'!$K$19)/30.4*C198)*1.0212^14),IF($E$2='Tabla Parámetros'!$J$20,($H$2/1000*'Tabla Parámetros'!$K$20)/30.4*C198)*1.0201^14)))+N198+O198)</f>
        <v>0</v>
      </c>
      <c r="K198" s="167">
        <f t="shared" si="28"/>
        <v>0</v>
      </c>
      <c r="L198" s="167">
        <f t="shared" si="33"/>
        <v>0</v>
      </c>
      <c r="M198" s="167">
        <f>IF(B198="","",IF(F198=0,0,IF(Simulador!$F$11='Tabla Parámetros'!$W$1,'Tabla Parámetros'!$W$28,IF(Simulador!$F$11='Tabla Parámetros'!$Y$1,'Tabla Parámetros'!$Y$12))))</f>
        <v>0</v>
      </c>
      <c r="N198" s="167"/>
      <c r="O198" s="167"/>
      <c r="P198" s="172">
        <f>IF(F198="","",IF(F198=0,0,J198+K198+(L198/1.16))+M198)</f>
        <v>0</v>
      </c>
      <c r="Q198" s="167">
        <f t="shared" si="37"/>
        <v>0</v>
      </c>
      <c r="T198" s="6"/>
      <c r="U198" s="6"/>
      <c r="V198" s="6"/>
      <c r="W198" s="29">
        <f t="shared" si="29"/>
        <v>0</v>
      </c>
    </row>
    <row r="199" spans="2:23" x14ac:dyDescent="0.3">
      <c r="B199" s="181">
        <f t="shared" ref="B199:B257" si="38">IF(B198=$E$2,"",IF(B198="","",B198+1))</f>
        <v>182</v>
      </c>
      <c r="C199" s="180">
        <f t="shared" ref="C199:C257" si="39">IF(B199="","",30.4)</f>
        <v>30.4</v>
      </c>
      <c r="D199" s="193">
        <f>IF(B199="","",'Tabla Parámetros'!$G$5)</f>
        <v>0.11799999999999999</v>
      </c>
      <c r="E199" s="167"/>
      <c r="F199" s="167">
        <f t="shared" si="34"/>
        <v>0</v>
      </c>
      <c r="G199" s="166"/>
      <c r="H199" s="167">
        <f t="shared" si="35"/>
        <v>0</v>
      </c>
      <c r="I199" s="167">
        <f t="shared" ref="I199:I257" si="40">IF(B199="","",((D199/360)*30.4)*F199)</f>
        <v>0</v>
      </c>
      <c r="J199" s="167">
        <f>IF(C199="","",IF(F199=0,0,IF(C199&lt;='Tabla Parámetros'!$J$23,I199,IF($E$2='Tabla Parámetros'!$J$19,((($H$2/1000*'Tabla Parámetros'!$K$19)/30.4*C199)*1.0212^15),IF($E$2='Tabla Parámetros'!$J$20,($H$2/1000*'Tabla Parámetros'!$K$20)/30.4*C199)*1.0201^15)))+N199+O199)</f>
        <v>0</v>
      </c>
      <c r="K199" s="167">
        <f t="shared" ref="K199:K257" si="41">F199*$I$2</f>
        <v>0</v>
      </c>
      <c r="L199" s="167">
        <f t="shared" si="33"/>
        <v>0</v>
      </c>
      <c r="M199" s="167">
        <f>IF(B199="","",IF(F199=0,0,IF(Simulador!$F$11='Tabla Parámetros'!$W$1,'Tabla Parámetros'!$W$28,IF(Simulador!$F$11='Tabla Parámetros'!$Y$1,'Tabla Parámetros'!$Y$12))))</f>
        <v>0</v>
      </c>
      <c r="N199" s="167"/>
      <c r="O199" s="167"/>
      <c r="P199" s="172">
        <f t="shared" ref="P199:P257" si="42">IF(F199="","",IF(F199=0,0,J199+K199+(L199/1.16))+M199)</f>
        <v>0</v>
      </c>
      <c r="Q199" s="167">
        <f t="shared" si="37"/>
        <v>0</v>
      </c>
      <c r="T199" s="6"/>
      <c r="U199" s="6"/>
      <c r="V199" s="6"/>
      <c r="W199" s="29">
        <f t="shared" si="29"/>
        <v>0</v>
      </c>
    </row>
    <row r="200" spans="2:23" x14ac:dyDescent="0.3">
      <c r="B200" s="181">
        <f t="shared" si="38"/>
        <v>183</v>
      </c>
      <c r="C200" s="180">
        <f t="shared" si="39"/>
        <v>30.4</v>
      </c>
      <c r="D200" s="193">
        <f>IF(B200="","",'Tabla Parámetros'!$G$5)</f>
        <v>0.11799999999999999</v>
      </c>
      <c r="E200" s="167"/>
      <c r="F200" s="167">
        <f t="shared" si="34"/>
        <v>0</v>
      </c>
      <c r="G200" s="166"/>
      <c r="H200" s="167">
        <f t="shared" si="35"/>
        <v>0</v>
      </c>
      <c r="I200" s="167">
        <f t="shared" si="40"/>
        <v>0</v>
      </c>
      <c r="J200" s="167">
        <f>IF(C200="","",IF(F200=0,0,IF(C200&lt;='Tabla Parámetros'!$J$23,I200,IF($E$2='Tabla Parámetros'!$J$19,((($H$2/1000*'Tabla Parámetros'!$K$19)/30.4*C200)*1.0212^15),IF($E$2='Tabla Parámetros'!$J$20,($H$2/1000*'Tabla Parámetros'!$K$20)/30.4*C200)*1.0201^15)))+N200+O200)</f>
        <v>0</v>
      </c>
      <c r="K200" s="167">
        <f t="shared" si="41"/>
        <v>0</v>
      </c>
      <c r="L200" s="167">
        <f t="shared" si="33"/>
        <v>0</v>
      </c>
      <c r="M200" s="167">
        <f>IF(B200="","",IF(F200=0,0,IF(Simulador!$F$11='Tabla Parámetros'!$W$1,'Tabla Parámetros'!$W$28,IF(Simulador!$F$11='Tabla Parámetros'!$Y$1,'Tabla Parámetros'!$Y$12))))</f>
        <v>0</v>
      </c>
      <c r="N200" s="167"/>
      <c r="O200" s="167"/>
      <c r="P200" s="172">
        <f t="shared" si="42"/>
        <v>0</v>
      </c>
      <c r="Q200" s="167">
        <f t="shared" si="37"/>
        <v>0</v>
      </c>
      <c r="T200" s="6"/>
      <c r="U200" s="6"/>
      <c r="V200" s="6"/>
      <c r="W200" s="29">
        <f t="shared" si="29"/>
        <v>0</v>
      </c>
    </row>
    <row r="201" spans="2:23" x14ac:dyDescent="0.3">
      <c r="B201" s="181">
        <f t="shared" si="38"/>
        <v>184</v>
      </c>
      <c r="C201" s="180">
        <f t="shared" si="39"/>
        <v>30.4</v>
      </c>
      <c r="D201" s="193">
        <f>IF(B201="","",'Tabla Parámetros'!$G$5)</f>
        <v>0.11799999999999999</v>
      </c>
      <c r="E201" s="167"/>
      <c r="F201" s="167">
        <f t="shared" si="34"/>
        <v>0</v>
      </c>
      <c r="G201" s="166"/>
      <c r="H201" s="167">
        <f t="shared" si="35"/>
        <v>0</v>
      </c>
      <c r="I201" s="167">
        <f t="shared" si="40"/>
        <v>0</v>
      </c>
      <c r="J201" s="167">
        <f>IF(C201="","",IF(F201=0,0,IF(C201&lt;='Tabla Parámetros'!$J$23,I201,IF($E$2='Tabla Parámetros'!$J$19,((($H$2/1000*'Tabla Parámetros'!$K$19)/30.4*C201)*1.0212^15),IF($E$2='Tabla Parámetros'!$J$20,($H$2/1000*'Tabla Parámetros'!$K$20)/30.4*C201)*1.0201^15)))+N201+O201)</f>
        <v>0</v>
      </c>
      <c r="K201" s="167">
        <f t="shared" si="41"/>
        <v>0</v>
      </c>
      <c r="L201" s="167">
        <f t="shared" si="33"/>
        <v>0</v>
      </c>
      <c r="M201" s="167">
        <f>IF(B201="","",IF(F201=0,0,IF(Simulador!$F$11='Tabla Parámetros'!$W$1,'Tabla Parámetros'!$W$28,IF(Simulador!$F$11='Tabla Parámetros'!$Y$1,'Tabla Parámetros'!$Y$12))))</f>
        <v>0</v>
      </c>
      <c r="N201" s="167"/>
      <c r="O201" s="167"/>
      <c r="P201" s="172">
        <f t="shared" si="42"/>
        <v>0</v>
      </c>
      <c r="Q201" s="167">
        <f t="shared" si="37"/>
        <v>0</v>
      </c>
      <c r="T201" s="6"/>
      <c r="U201" s="6"/>
      <c r="V201" s="6"/>
      <c r="W201" s="29">
        <f t="shared" si="29"/>
        <v>0</v>
      </c>
    </row>
    <row r="202" spans="2:23" x14ac:dyDescent="0.3">
      <c r="B202" s="181">
        <f t="shared" si="38"/>
        <v>185</v>
      </c>
      <c r="C202" s="180">
        <f t="shared" si="39"/>
        <v>30.4</v>
      </c>
      <c r="D202" s="193">
        <f>IF(B202="","",'Tabla Parámetros'!$G$5)</f>
        <v>0.11799999999999999</v>
      </c>
      <c r="E202" s="167"/>
      <c r="F202" s="167">
        <f t="shared" si="34"/>
        <v>0</v>
      </c>
      <c r="G202" s="166"/>
      <c r="H202" s="167">
        <f t="shared" si="35"/>
        <v>0</v>
      </c>
      <c r="I202" s="167">
        <f t="shared" si="40"/>
        <v>0</v>
      </c>
      <c r="J202" s="167">
        <f>IF(C202="","",IF(F202=0,0,IF(C202&lt;='Tabla Parámetros'!$J$23,I202,IF($E$2='Tabla Parámetros'!$J$19,((($H$2/1000*'Tabla Parámetros'!$K$19)/30.4*C202)*1.0212^15),IF($E$2='Tabla Parámetros'!$J$20,($H$2/1000*'Tabla Parámetros'!$K$20)/30.4*C202)*1.0201^15)))+N202+O202)</f>
        <v>0</v>
      </c>
      <c r="K202" s="167">
        <f t="shared" si="41"/>
        <v>0</v>
      </c>
      <c r="L202" s="167">
        <f t="shared" si="33"/>
        <v>0</v>
      </c>
      <c r="M202" s="167">
        <f>IF(B202="","",IF(F202=0,0,IF(Simulador!$F$11='Tabla Parámetros'!$W$1,'Tabla Parámetros'!$W$28,IF(Simulador!$F$11='Tabla Parámetros'!$Y$1,'Tabla Parámetros'!$Y$12))))</f>
        <v>0</v>
      </c>
      <c r="N202" s="167"/>
      <c r="O202" s="167"/>
      <c r="P202" s="172">
        <f t="shared" si="42"/>
        <v>0</v>
      </c>
      <c r="Q202" s="167">
        <f t="shared" si="37"/>
        <v>0</v>
      </c>
      <c r="T202" s="6"/>
      <c r="U202" s="6"/>
      <c r="V202" s="6"/>
      <c r="W202" s="29">
        <f t="shared" si="29"/>
        <v>0</v>
      </c>
    </row>
    <row r="203" spans="2:23" x14ac:dyDescent="0.3">
      <c r="B203" s="181">
        <f t="shared" si="38"/>
        <v>186</v>
      </c>
      <c r="C203" s="180">
        <f t="shared" si="39"/>
        <v>30.4</v>
      </c>
      <c r="D203" s="193">
        <f>IF(B203="","",'Tabla Parámetros'!$G$5)</f>
        <v>0.11799999999999999</v>
      </c>
      <c r="E203" s="167"/>
      <c r="F203" s="167">
        <f t="shared" si="34"/>
        <v>0</v>
      </c>
      <c r="G203" s="166"/>
      <c r="H203" s="167">
        <f t="shared" si="35"/>
        <v>0</v>
      </c>
      <c r="I203" s="167">
        <f t="shared" si="40"/>
        <v>0</v>
      </c>
      <c r="J203" s="167">
        <f>IF(C203="","",IF(F203=0,0,IF(C203&lt;='Tabla Parámetros'!$J$23,I203,IF($E$2='Tabla Parámetros'!$J$19,((($H$2/1000*'Tabla Parámetros'!$K$19)/30.4*C203)*1.0212^15),IF($E$2='Tabla Parámetros'!$J$20,($H$2/1000*'Tabla Parámetros'!$K$20)/30.4*C203)*1.0201^15)))+N203+O203)</f>
        <v>0</v>
      </c>
      <c r="K203" s="167">
        <f t="shared" si="41"/>
        <v>0</v>
      </c>
      <c r="L203" s="167">
        <f t="shared" si="33"/>
        <v>0</v>
      </c>
      <c r="M203" s="167">
        <f>IF(B203="","",IF(F203=0,0,IF(Simulador!$F$11='Tabla Parámetros'!$W$1,'Tabla Parámetros'!$W$28,IF(Simulador!$F$11='Tabla Parámetros'!$Y$1,'Tabla Parámetros'!$Y$12))))</f>
        <v>0</v>
      </c>
      <c r="N203" s="167"/>
      <c r="O203" s="167"/>
      <c r="P203" s="172">
        <f t="shared" si="42"/>
        <v>0</v>
      </c>
      <c r="Q203" s="167">
        <f t="shared" si="37"/>
        <v>0</v>
      </c>
      <c r="T203" s="6"/>
      <c r="U203" s="6"/>
      <c r="V203" s="6"/>
      <c r="W203" s="29">
        <f t="shared" si="29"/>
        <v>0</v>
      </c>
    </row>
    <row r="204" spans="2:23" x14ac:dyDescent="0.3">
      <c r="B204" s="181">
        <f t="shared" si="38"/>
        <v>187</v>
      </c>
      <c r="C204" s="180">
        <f t="shared" si="39"/>
        <v>30.4</v>
      </c>
      <c r="D204" s="193">
        <f>IF(B204="","",'Tabla Parámetros'!$G$5)</f>
        <v>0.11799999999999999</v>
      </c>
      <c r="E204" s="167"/>
      <c r="F204" s="167">
        <f t="shared" si="34"/>
        <v>0</v>
      </c>
      <c r="G204" s="166"/>
      <c r="H204" s="167">
        <f t="shared" si="35"/>
        <v>0</v>
      </c>
      <c r="I204" s="167">
        <f t="shared" si="40"/>
        <v>0</v>
      </c>
      <c r="J204" s="167">
        <f>IF(C204="","",IF(F204=0,0,IF(C204&lt;='Tabla Parámetros'!$J$23,I204,IF($E$2='Tabla Parámetros'!$J$19,((($H$2/1000*'Tabla Parámetros'!$K$19)/30.4*C204)*1.0212^15),IF($E$2='Tabla Parámetros'!$J$20,($H$2/1000*'Tabla Parámetros'!$K$20)/30.4*C204)*1.0201^15)))+N204+O204)</f>
        <v>0</v>
      </c>
      <c r="K204" s="167">
        <f t="shared" si="41"/>
        <v>0</v>
      </c>
      <c r="L204" s="167">
        <f t="shared" si="33"/>
        <v>0</v>
      </c>
      <c r="M204" s="167">
        <f>IF(B204="","",IF(F204=0,0,IF(Simulador!$F$11='Tabla Parámetros'!$W$1,'Tabla Parámetros'!$W$28,IF(Simulador!$F$11='Tabla Parámetros'!$Y$1,'Tabla Parámetros'!$Y$12))))</f>
        <v>0</v>
      </c>
      <c r="N204" s="167"/>
      <c r="O204" s="167"/>
      <c r="P204" s="172">
        <f t="shared" si="42"/>
        <v>0</v>
      </c>
      <c r="Q204" s="167">
        <f t="shared" si="37"/>
        <v>0</v>
      </c>
      <c r="T204" s="6"/>
      <c r="U204" s="6"/>
      <c r="V204" s="6"/>
      <c r="W204" s="29">
        <f t="shared" si="29"/>
        <v>0</v>
      </c>
    </row>
    <row r="205" spans="2:23" x14ac:dyDescent="0.3">
      <c r="B205" s="181">
        <f t="shared" si="38"/>
        <v>188</v>
      </c>
      <c r="C205" s="180">
        <f t="shared" si="39"/>
        <v>30.4</v>
      </c>
      <c r="D205" s="193">
        <f>IF(B205="","",'Tabla Parámetros'!$G$5)</f>
        <v>0.11799999999999999</v>
      </c>
      <c r="E205" s="167"/>
      <c r="F205" s="167">
        <f t="shared" si="34"/>
        <v>0</v>
      </c>
      <c r="G205" s="166"/>
      <c r="H205" s="167">
        <f t="shared" si="35"/>
        <v>0</v>
      </c>
      <c r="I205" s="167">
        <f t="shared" si="40"/>
        <v>0</v>
      </c>
      <c r="J205" s="167">
        <f>IF(C205="","",IF(F205=0,0,IF(C205&lt;='Tabla Parámetros'!$J$23,I205,IF($E$2='Tabla Parámetros'!$J$19,((($H$2/1000*'Tabla Parámetros'!$K$19)/30.4*C205)*1.0212^15),IF($E$2='Tabla Parámetros'!$J$20,($H$2/1000*'Tabla Parámetros'!$K$20)/30.4*C205)*1.0201^15)))+N205+O205)</f>
        <v>0</v>
      </c>
      <c r="K205" s="167">
        <f t="shared" si="41"/>
        <v>0</v>
      </c>
      <c r="L205" s="167">
        <f t="shared" si="33"/>
        <v>0</v>
      </c>
      <c r="M205" s="167">
        <f>IF(B205="","",IF(F205=0,0,IF(Simulador!$F$11='Tabla Parámetros'!$W$1,'Tabla Parámetros'!$W$28,IF(Simulador!$F$11='Tabla Parámetros'!$Y$1,'Tabla Parámetros'!$Y$12))))</f>
        <v>0</v>
      </c>
      <c r="N205" s="167"/>
      <c r="O205" s="167"/>
      <c r="P205" s="172">
        <f t="shared" si="42"/>
        <v>0</v>
      </c>
      <c r="Q205" s="167">
        <f t="shared" si="37"/>
        <v>0</v>
      </c>
      <c r="T205" s="6"/>
      <c r="U205" s="6"/>
      <c r="V205" s="6"/>
      <c r="W205" s="29">
        <f t="shared" si="29"/>
        <v>0</v>
      </c>
    </row>
    <row r="206" spans="2:23" x14ac:dyDescent="0.3">
      <c r="B206" s="181">
        <f t="shared" si="38"/>
        <v>189</v>
      </c>
      <c r="C206" s="180">
        <f t="shared" si="39"/>
        <v>30.4</v>
      </c>
      <c r="D206" s="193">
        <f>IF(B206="","",'Tabla Parámetros'!$G$5)</f>
        <v>0.11799999999999999</v>
      </c>
      <c r="E206" s="167"/>
      <c r="F206" s="167">
        <f t="shared" si="34"/>
        <v>0</v>
      </c>
      <c r="G206" s="166"/>
      <c r="H206" s="167">
        <f t="shared" si="35"/>
        <v>0</v>
      </c>
      <c r="I206" s="167">
        <f t="shared" si="40"/>
        <v>0</v>
      </c>
      <c r="J206" s="167">
        <f>IF(C206="","",IF(F206=0,0,IF(C206&lt;='Tabla Parámetros'!$J$23,I206,IF($E$2='Tabla Parámetros'!$J$19,((($H$2/1000*'Tabla Parámetros'!$K$19)/30.4*C206)*1.0212^15),IF($E$2='Tabla Parámetros'!$J$20,($H$2/1000*'Tabla Parámetros'!$K$20)/30.4*C206)*1.0201^15)))+N206+O206)</f>
        <v>0</v>
      </c>
      <c r="K206" s="167">
        <f t="shared" si="41"/>
        <v>0</v>
      </c>
      <c r="L206" s="167">
        <f t="shared" si="33"/>
        <v>0</v>
      </c>
      <c r="M206" s="167">
        <f>IF(B206="","",IF(F206=0,0,IF(Simulador!$F$11='Tabla Parámetros'!$W$1,'Tabla Parámetros'!$W$28,IF(Simulador!$F$11='Tabla Parámetros'!$Y$1,'Tabla Parámetros'!$Y$12))))</f>
        <v>0</v>
      </c>
      <c r="N206" s="167"/>
      <c r="O206" s="167"/>
      <c r="P206" s="172">
        <f t="shared" si="42"/>
        <v>0</v>
      </c>
      <c r="Q206" s="167">
        <f t="shared" si="37"/>
        <v>0</v>
      </c>
      <c r="T206" s="6"/>
      <c r="U206" s="6"/>
      <c r="V206" s="6"/>
      <c r="W206" s="29">
        <f t="shared" si="29"/>
        <v>0</v>
      </c>
    </row>
    <row r="207" spans="2:23" x14ac:dyDescent="0.3">
      <c r="B207" s="181">
        <f t="shared" si="38"/>
        <v>190</v>
      </c>
      <c r="C207" s="180">
        <f t="shared" si="39"/>
        <v>30.4</v>
      </c>
      <c r="D207" s="193">
        <f>IF(B207="","",'Tabla Parámetros'!$G$5)</f>
        <v>0.11799999999999999</v>
      </c>
      <c r="E207" s="167"/>
      <c r="F207" s="167">
        <f t="shared" si="34"/>
        <v>0</v>
      </c>
      <c r="G207" s="166"/>
      <c r="H207" s="167">
        <f t="shared" si="35"/>
        <v>0</v>
      </c>
      <c r="I207" s="167">
        <f t="shared" si="40"/>
        <v>0</v>
      </c>
      <c r="J207" s="167">
        <f>IF(C207="","",IF(F207=0,0,IF(C207&lt;='Tabla Parámetros'!$J$23,I207,IF($E$2='Tabla Parámetros'!$J$19,((($H$2/1000*'Tabla Parámetros'!$K$19)/30.4*C207)*1.0212^15),IF($E$2='Tabla Parámetros'!$J$20,($H$2/1000*'Tabla Parámetros'!$K$20)/30.4*C207)*1.0201^15)))+N207+O207)</f>
        <v>0</v>
      </c>
      <c r="K207" s="167">
        <f t="shared" si="41"/>
        <v>0</v>
      </c>
      <c r="L207" s="167">
        <f t="shared" si="33"/>
        <v>0</v>
      </c>
      <c r="M207" s="167">
        <f>IF(B207="","",IF(F207=0,0,IF(Simulador!$F$11='Tabla Parámetros'!$W$1,'Tabla Parámetros'!$W$28,IF(Simulador!$F$11='Tabla Parámetros'!$Y$1,'Tabla Parámetros'!$Y$12))))</f>
        <v>0</v>
      </c>
      <c r="N207" s="167"/>
      <c r="O207" s="167"/>
      <c r="P207" s="172">
        <f t="shared" si="42"/>
        <v>0</v>
      </c>
      <c r="Q207" s="167">
        <f t="shared" si="37"/>
        <v>0</v>
      </c>
      <c r="T207" s="6"/>
      <c r="U207" s="6"/>
      <c r="V207" s="6"/>
      <c r="W207" s="29">
        <f t="shared" si="29"/>
        <v>0</v>
      </c>
    </row>
    <row r="208" spans="2:23" x14ac:dyDescent="0.3">
      <c r="B208" s="181">
        <f t="shared" si="38"/>
        <v>191</v>
      </c>
      <c r="C208" s="180">
        <f t="shared" si="39"/>
        <v>30.4</v>
      </c>
      <c r="D208" s="193">
        <f>IF(B208="","",'Tabla Parámetros'!$G$5)</f>
        <v>0.11799999999999999</v>
      </c>
      <c r="E208" s="167"/>
      <c r="F208" s="167">
        <f t="shared" si="34"/>
        <v>0</v>
      </c>
      <c r="G208" s="166"/>
      <c r="H208" s="167">
        <f t="shared" si="35"/>
        <v>0</v>
      </c>
      <c r="I208" s="167">
        <f t="shared" si="40"/>
        <v>0</v>
      </c>
      <c r="J208" s="167">
        <f>IF(C208="","",IF(F208=0,0,IF(C208&lt;='Tabla Parámetros'!$J$23,I208,IF($E$2='Tabla Parámetros'!$J$19,((($H$2/1000*'Tabla Parámetros'!$K$19)/30.4*C208)*1.0212^15),IF($E$2='Tabla Parámetros'!$J$20,($H$2/1000*'Tabla Parámetros'!$K$20)/30.4*C208)*1.0201^15)))+N208+O208)</f>
        <v>0</v>
      </c>
      <c r="K208" s="167">
        <f t="shared" si="41"/>
        <v>0</v>
      </c>
      <c r="L208" s="167">
        <f t="shared" si="33"/>
        <v>0</v>
      </c>
      <c r="M208" s="167">
        <f>IF(B208="","",IF(F208=0,0,IF(Simulador!$F$11='Tabla Parámetros'!$W$1,'Tabla Parámetros'!$W$28,IF(Simulador!$F$11='Tabla Parámetros'!$Y$1,'Tabla Parámetros'!$Y$12))))</f>
        <v>0</v>
      </c>
      <c r="N208" s="167"/>
      <c r="O208" s="167"/>
      <c r="P208" s="172">
        <f t="shared" si="42"/>
        <v>0</v>
      </c>
      <c r="Q208" s="167">
        <f t="shared" si="37"/>
        <v>0</v>
      </c>
      <c r="T208" s="6"/>
      <c r="U208" s="6"/>
      <c r="V208" s="6"/>
      <c r="W208" s="29">
        <f t="shared" si="29"/>
        <v>0</v>
      </c>
    </row>
    <row r="209" spans="2:23" x14ac:dyDescent="0.3">
      <c r="B209" s="181">
        <f t="shared" si="38"/>
        <v>192</v>
      </c>
      <c r="C209" s="180">
        <f t="shared" si="39"/>
        <v>30.4</v>
      </c>
      <c r="D209" s="193">
        <f>IF(B209="","",'Tabla Parámetros'!$G$5)</f>
        <v>0.11799999999999999</v>
      </c>
      <c r="E209" s="167"/>
      <c r="F209" s="167">
        <f t="shared" si="34"/>
        <v>0</v>
      </c>
      <c r="G209" s="166"/>
      <c r="H209" s="167">
        <f t="shared" si="35"/>
        <v>0</v>
      </c>
      <c r="I209" s="167">
        <f t="shared" si="40"/>
        <v>0</v>
      </c>
      <c r="J209" s="167">
        <f>IF(C209="","",IF(F209=0,0,IF(C209&lt;='Tabla Parámetros'!$J$23,I209,IF($E$2='Tabla Parámetros'!$J$19,((($H$2/1000*'Tabla Parámetros'!$K$19)/30.4*C209)*1.0212^15),IF($E$2='Tabla Parámetros'!$J$20,($H$2/1000*'Tabla Parámetros'!$K$20)/30.4*C209)*1.0201^15)))+N209+O209)</f>
        <v>0</v>
      </c>
      <c r="K209" s="167">
        <f t="shared" si="41"/>
        <v>0</v>
      </c>
      <c r="L209" s="167">
        <f t="shared" si="33"/>
        <v>0</v>
      </c>
      <c r="M209" s="167">
        <f>IF(B209="","",IF(F209=0,0,IF(Simulador!$F$11='Tabla Parámetros'!$W$1,'Tabla Parámetros'!$W$28,IF(Simulador!$F$11='Tabla Parámetros'!$Y$1,'Tabla Parámetros'!$Y$12))))</f>
        <v>0</v>
      </c>
      <c r="N209" s="167"/>
      <c r="O209" s="167"/>
      <c r="P209" s="172">
        <f t="shared" si="42"/>
        <v>0</v>
      </c>
      <c r="Q209" s="167">
        <f t="shared" si="37"/>
        <v>0</v>
      </c>
      <c r="T209" s="6"/>
      <c r="U209" s="6"/>
      <c r="V209" s="6"/>
      <c r="W209" s="29">
        <f t="shared" ref="W209:W255" si="43">P211</f>
        <v>0</v>
      </c>
    </row>
    <row r="210" spans="2:23" x14ac:dyDescent="0.3">
      <c r="B210" s="181">
        <f t="shared" si="38"/>
        <v>193</v>
      </c>
      <c r="C210" s="180">
        <f t="shared" si="39"/>
        <v>30.4</v>
      </c>
      <c r="D210" s="193">
        <f>IF(B210="","",'Tabla Parámetros'!$G$5)</f>
        <v>0.11799999999999999</v>
      </c>
      <c r="E210" s="167"/>
      <c r="F210" s="167">
        <f t="shared" si="34"/>
        <v>0</v>
      </c>
      <c r="G210" s="166"/>
      <c r="H210" s="167">
        <f t="shared" si="35"/>
        <v>0</v>
      </c>
      <c r="I210" s="167">
        <f t="shared" si="40"/>
        <v>0</v>
      </c>
      <c r="J210" s="167">
        <f>IF(C210="","",IF(F210=0,0,IF(C210&lt;='Tabla Parámetros'!$J$23,I210,IF($E$2='Tabla Parámetros'!$J$19,((($H$2/1000*'Tabla Parámetros'!$K$19)/30.4*C210)*1.0212^15),IF($E$2='Tabla Parámetros'!$J$20,($H$2/1000*'Tabla Parámetros'!$K$20)/30.4*C210)*1.0201^15)))+N210+O210)</f>
        <v>0</v>
      </c>
      <c r="K210" s="167">
        <f t="shared" si="41"/>
        <v>0</v>
      </c>
      <c r="L210" s="167">
        <f t="shared" si="33"/>
        <v>0</v>
      </c>
      <c r="M210" s="167">
        <f>IF(B210="","",IF(F210=0,0,IF(Simulador!$F$11='Tabla Parámetros'!$W$1,'Tabla Parámetros'!$W$28,IF(Simulador!$F$11='Tabla Parámetros'!$Y$1,'Tabla Parámetros'!$Y$12))))</f>
        <v>0</v>
      </c>
      <c r="N210" s="167"/>
      <c r="O210" s="167"/>
      <c r="P210" s="172">
        <f t="shared" si="42"/>
        <v>0</v>
      </c>
      <c r="Q210" s="167">
        <f t="shared" si="37"/>
        <v>0</v>
      </c>
      <c r="T210" s="6"/>
      <c r="U210" s="6"/>
      <c r="V210" s="6"/>
      <c r="W210" s="29">
        <f t="shared" si="43"/>
        <v>0</v>
      </c>
    </row>
    <row r="211" spans="2:23" x14ac:dyDescent="0.3">
      <c r="B211" s="181">
        <f t="shared" si="38"/>
        <v>194</v>
      </c>
      <c r="C211" s="180">
        <f t="shared" si="39"/>
        <v>30.4</v>
      </c>
      <c r="D211" s="193">
        <f>IF(B211="","",'Tabla Parámetros'!$G$5)</f>
        <v>0.11799999999999999</v>
      </c>
      <c r="E211" s="167"/>
      <c r="F211" s="167">
        <f t="shared" si="34"/>
        <v>0</v>
      </c>
      <c r="G211" s="166"/>
      <c r="H211" s="167">
        <f t="shared" si="35"/>
        <v>0</v>
      </c>
      <c r="I211" s="167">
        <f t="shared" si="40"/>
        <v>0</v>
      </c>
      <c r="J211" s="167">
        <f>IF(C211="","",IF(F211=0,0,IF(C211&lt;='Tabla Parámetros'!$J$23,I211,IF($E$2='Tabla Parámetros'!$J$19,((($H$2/1000*'Tabla Parámetros'!$K$19)/30.4*C211)*1.0212^16),IF($E$2='Tabla Parámetros'!$J$20,($H$2/1000*'Tabla Parámetros'!$K$20)/30.4*C211)*1.0201^16)))+N211+O211)</f>
        <v>0</v>
      </c>
      <c r="K211" s="167">
        <f t="shared" si="41"/>
        <v>0</v>
      </c>
      <c r="L211" s="167">
        <f t="shared" ref="L211:L257" si="44">IF(B210="","",IF(F211=0,0,$L$1*$J$2))</f>
        <v>0</v>
      </c>
      <c r="M211" s="167">
        <f>IF(B211="","",IF(F211=0,0,IF(Simulador!$F$11='Tabla Parámetros'!$W$1,'Tabla Parámetros'!$W$28,IF(Simulador!$F$11='Tabla Parámetros'!$Y$1,'Tabla Parámetros'!$Y$12))))</f>
        <v>0</v>
      </c>
      <c r="N211" s="167"/>
      <c r="O211" s="167"/>
      <c r="P211" s="172">
        <f t="shared" si="42"/>
        <v>0</v>
      </c>
      <c r="Q211" s="167">
        <f t="shared" si="37"/>
        <v>0</v>
      </c>
      <c r="T211" s="6"/>
      <c r="U211" s="6"/>
      <c r="V211" s="6"/>
      <c r="W211" s="29">
        <f t="shared" si="43"/>
        <v>0</v>
      </c>
    </row>
    <row r="212" spans="2:23" x14ac:dyDescent="0.3">
      <c r="B212" s="181">
        <f t="shared" si="38"/>
        <v>195</v>
      </c>
      <c r="C212" s="180">
        <f t="shared" si="39"/>
        <v>30.4</v>
      </c>
      <c r="D212" s="193">
        <f>IF(B212="","",'Tabla Parámetros'!$G$5)</f>
        <v>0.11799999999999999</v>
      </c>
      <c r="E212" s="167"/>
      <c r="F212" s="167">
        <f t="shared" ref="F212:F257" si="45">IF(B212="","",F211-H211)</f>
        <v>0</v>
      </c>
      <c r="G212" s="166"/>
      <c r="H212" s="167">
        <f t="shared" ref="H212:H257" si="46">IF($B212="","",IF($B212=$E$2,$F212,IF(($J212-$I212+$N212)&gt;$F212,$F212,$J212-$I212)))</f>
        <v>0</v>
      </c>
      <c r="I212" s="167">
        <f t="shared" si="40"/>
        <v>0</v>
      </c>
      <c r="J212" s="167">
        <f>IF(C212="","",IF(F212=0,0,IF(C212&lt;='Tabla Parámetros'!$J$23,I212,IF($E$2='Tabla Parámetros'!$J$19,((($H$2/1000*'Tabla Parámetros'!$K$19)/30.4*C212)*1.0212^16),IF($E$2='Tabla Parámetros'!$J$20,($H$2/1000*'Tabla Parámetros'!$K$20)/30.4*C212)*1.0201^16)))+N212+O212)</f>
        <v>0</v>
      </c>
      <c r="K212" s="167">
        <f t="shared" si="41"/>
        <v>0</v>
      </c>
      <c r="L212" s="167">
        <f t="shared" si="44"/>
        <v>0</v>
      </c>
      <c r="M212" s="167">
        <f>IF(B212="","",IF(F212=0,0,IF(Simulador!$F$11='Tabla Parámetros'!$W$1,'Tabla Parámetros'!$W$28,IF(Simulador!$F$11='Tabla Parámetros'!$Y$1,'Tabla Parámetros'!$Y$12))))</f>
        <v>0</v>
      </c>
      <c r="N212" s="167"/>
      <c r="O212" s="167"/>
      <c r="P212" s="172">
        <f t="shared" si="42"/>
        <v>0</v>
      </c>
      <c r="Q212" s="167">
        <f t="shared" si="37"/>
        <v>0</v>
      </c>
      <c r="T212" s="6"/>
      <c r="U212" s="6"/>
      <c r="V212" s="6"/>
      <c r="W212" s="29">
        <f t="shared" si="43"/>
        <v>0</v>
      </c>
    </row>
    <row r="213" spans="2:23" x14ac:dyDescent="0.3">
      <c r="B213" s="181">
        <f t="shared" si="38"/>
        <v>196</v>
      </c>
      <c r="C213" s="180">
        <f t="shared" si="39"/>
        <v>30.4</v>
      </c>
      <c r="D213" s="193">
        <f>IF(B213="","",'Tabla Parámetros'!$G$5)</f>
        <v>0.11799999999999999</v>
      </c>
      <c r="E213" s="167"/>
      <c r="F213" s="167">
        <f t="shared" si="45"/>
        <v>0</v>
      </c>
      <c r="G213" s="166"/>
      <c r="H213" s="167">
        <f t="shared" si="46"/>
        <v>0</v>
      </c>
      <c r="I213" s="167">
        <f t="shared" si="40"/>
        <v>0</v>
      </c>
      <c r="J213" s="167">
        <f>IF(C213="","",IF(F213=0,0,IF(C213&lt;='Tabla Parámetros'!$J$23,I213,IF($E$2='Tabla Parámetros'!$J$19,((($H$2/1000*'Tabla Parámetros'!$K$19)/30.4*C213)*1.0212^16),IF($E$2='Tabla Parámetros'!$J$20,($H$2/1000*'Tabla Parámetros'!$K$20)/30.4*C213)*1.0201^16)))+N213+O213)</f>
        <v>0</v>
      </c>
      <c r="K213" s="167">
        <f t="shared" si="41"/>
        <v>0</v>
      </c>
      <c r="L213" s="167">
        <f t="shared" si="44"/>
        <v>0</v>
      </c>
      <c r="M213" s="167">
        <f>IF(B213="","",IF(F213=0,0,IF(Simulador!$F$11='Tabla Parámetros'!$W$1,'Tabla Parámetros'!$W$28,IF(Simulador!$F$11='Tabla Parámetros'!$Y$1,'Tabla Parámetros'!$Y$12))))</f>
        <v>0</v>
      </c>
      <c r="N213" s="167"/>
      <c r="O213" s="167"/>
      <c r="P213" s="172">
        <f t="shared" si="42"/>
        <v>0</v>
      </c>
      <c r="Q213" s="167">
        <f t="shared" ref="Q213:Q257" si="47">IF(B213="","",F213-H213)</f>
        <v>0</v>
      </c>
      <c r="T213" s="6"/>
      <c r="U213" s="6"/>
      <c r="V213" s="6"/>
      <c r="W213" s="29">
        <f t="shared" si="43"/>
        <v>0</v>
      </c>
    </row>
    <row r="214" spans="2:23" x14ac:dyDescent="0.3">
      <c r="B214" s="181">
        <f t="shared" si="38"/>
        <v>197</v>
      </c>
      <c r="C214" s="180">
        <f t="shared" si="39"/>
        <v>30.4</v>
      </c>
      <c r="D214" s="193">
        <f>IF(B214="","",'Tabla Parámetros'!$G$5)</f>
        <v>0.11799999999999999</v>
      </c>
      <c r="E214" s="167"/>
      <c r="F214" s="167">
        <f t="shared" si="45"/>
        <v>0</v>
      </c>
      <c r="G214" s="166"/>
      <c r="H214" s="167">
        <f t="shared" si="46"/>
        <v>0</v>
      </c>
      <c r="I214" s="167">
        <f t="shared" si="40"/>
        <v>0</v>
      </c>
      <c r="J214" s="167">
        <f>IF(C214="","",IF(F214=0,0,IF(C214&lt;='Tabla Parámetros'!$J$23,I214,IF($E$2='Tabla Parámetros'!$J$19,((($H$2/1000*'Tabla Parámetros'!$K$19)/30.4*C214)*1.0212^16),IF($E$2='Tabla Parámetros'!$J$20,($H$2/1000*'Tabla Parámetros'!$K$20)/30.4*C214)*1.0201^16)))+N214+O214)</f>
        <v>0</v>
      </c>
      <c r="K214" s="167">
        <f t="shared" si="41"/>
        <v>0</v>
      </c>
      <c r="L214" s="167">
        <f t="shared" si="44"/>
        <v>0</v>
      </c>
      <c r="M214" s="167">
        <f>IF(B214="","",IF(F214=0,0,IF(Simulador!$F$11='Tabla Parámetros'!$W$1,'Tabla Parámetros'!$W$28,IF(Simulador!$F$11='Tabla Parámetros'!$Y$1,'Tabla Parámetros'!$Y$12))))</f>
        <v>0</v>
      </c>
      <c r="N214" s="167"/>
      <c r="O214" s="167"/>
      <c r="P214" s="172">
        <f t="shared" si="42"/>
        <v>0</v>
      </c>
      <c r="Q214" s="167">
        <f t="shared" si="47"/>
        <v>0</v>
      </c>
      <c r="T214" s="6"/>
      <c r="U214" s="6"/>
      <c r="V214" s="6"/>
      <c r="W214" s="29">
        <f t="shared" si="43"/>
        <v>0</v>
      </c>
    </row>
    <row r="215" spans="2:23" x14ac:dyDescent="0.3">
      <c r="B215" s="181">
        <f t="shared" si="38"/>
        <v>198</v>
      </c>
      <c r="C215" s="180">
        <f t="shared" si="39"/>
        <v>30.4</v>
      </c>
      <c r="D215" s="193">
        <f>IF(B215="","",'Tabla Parámetros'!$G$5)</f>
        <v>0.11799999999999999</v>
      </c>
      <c r="E215" s="167"/>
      <c r="F215" s="167">
        <f t="shared" si="45"/>
        <v>0</v>
      </c>
      <c r="G215" s="166"/>
      <c r="H215" s="167">
        <f t="shared" si="46"/>
        <v>0</v>
      </c>
      <c r="I215" s="167">
        <f t="shared" si="40"/>
        <v>0</v>
      </c>
      <c r="J215" s="167">
        <f>IF(C215="","",IF(F215=0,0,IF(C215&lt;='Tabla Parámetros'!$J$23,I215,IF($E$2='Tabla Parámetros'!$J$19,((($H$2/1000*'Tabla Parámetros'!$K$19)/30.4*C215)*1.0212^16),IF($E$2='Tabla Parámetros'!$J$20,($H$2/1000*'Tabla Parámetros'!$K$20)/30.4*C215)*1.0201^16)))+N215+O215)</f>
        <v>0</v>
      </c>
      <c r="K215" s="167">
        <f t="shared" si="41"/>
        <v>0</v>
      </c>
      <c r="L215" s="167">
        <f t="shared" si="44"/>
        <v>0</v>
      </c>
      <c r="M215" s="167">
        <f>IF(B215="","",IF(F215=0,0,IF(Simulador!$F$11='Tabla Parámetros'!$W$1,'Tabla Parámetros'!$W$28,IF(Simulador!$F$11='Tabla Parámetros'!$Y$1,'Tabla Parámetros'!$Y$12))))</f>
        <v>0</v>
      </c>
      <c r="N215" s="167"/>
      <c r="O215" s="167"/>
      <c r="P215" s="172">
        <f t="shared" si="42"/>
        <v>0</v>
      </c>
      <c r="Q215" s="167">
        <f t="shared" si="47"/>
        <v>0</v>
      </c>
      <c r="T215" s="6"/>
      <c r="U215" s="6"/>
      <c r="V215" s="6"/>
      <c r="W215" s="29">
        <f t="shared" si="43"/>
        <v>0</v>
      </c>
    </row>
    <row r="216" spans="2:23" x14ac:dyDescent="0.3">
      <c r="B216" s="181">
        <f t="shared" si="38"/>
        <v>199</v>
      </c>
      <c r="C216" s="180">
        <f t="shared" si="39"/>
        <v>30.4</v>
      </c>
      <c r="D216" s="193">
        <f>IF(B216="","",'Tabla Parámetros'!$G$5)</f>
        <v>0.11799999999999999</v>
      </c>
      <c r="E216" s="167"/>
      <c r="F216" s="167">
        <f t="shared" si="45"/>
        <v>0</v>
      </c>
      <c r="G216" s="166"/>
      <c r="H216" s="167">
        <f t="shared" si="46"/>
        <v>0</v>
      </c>
      <c r="I216" s="167">
        <f t="shared" si="40"/>
        <v>0</v>
      </c>
      <c r="J216" s="167">
        <f>IF(C216="","",IF(F216=0,0,IF(C216&lt;='Tabla Parámetros'!$J$23,I216,IF($E$2='Tabla Parámetros'!$J$19,((($H$2/1000*'Tabla Parámetros'!$K$19)/30.4*C216)*1.0212^16),IF($E$2='Tabla Parámetros'!$J$20,($H$2/1000*'Tabla Parámetros'!$K$20)/30.4*C216)*1.0201^16)))+N216+O216)</f>
        <v>0</v>
      </c>
      <c r="K216" s="167">
        <f t="shared" si="41"/>
        <v>0</v>
      </c>
      <c r="L216" s="167">
        <f t="shared" si="44"/>
        <v>0</v>
      </c>
      <c r="M216" s="167">
        <f>IF(B216="","",IF(F216=0,0,IF(Simulador!$F$11='Tabla Parámetros'!$W$1,'Tabla Parámetros'!$W$28,IF(Simulador!$F$11='Tabla Parámetros'!$Y$1,'Tabla Parámetros'!$Y$12))))</f>
        <v>0</v>
      </c>
      <c r="N216" s="167"/>
      <c r="O216" s="167"/>
      <c r="P216" s="172">
        <f t="shared" si="42"/>
        <v>0</v>
      </c>
      <c r="Q216" s="167">
        <f t="shared" si="47"/>
        <v>0</v>
      </c>
      <c r="T216" s="6"/>
      <c r="U216" s="6"/>
      <c r="V216" s="6"/>
      <c r="W216" s="29">
        <f t="shared" si="43"/>
        <v>0</v>
      </c>
    </row>
    <row r="217" spans="2:23" x14ac:dyDescent="0.3">
      <c r="B217" s="181">
        <f t="shared" si="38"/>
        <v>200</v>
      </c>
      <c r="C217" s="180">
        <f t="shared" si="39"/>
        <v>30.4</v>
      </c>
      <c r="D217" s="193">
        <f>IF(B217="","",'Tabla Parámetros'!$G$5)</f>
        <v>0.11799999999999999</v>
      </c>
      <c r="E217" s="167"/>
      <c r="F217" s="167">
        <f t="shared" si="45"/>
        <v>0</v>
      </c>
      <c r="G217" s="166"/>
      <c r="H217" s="167">
        <f t="shared" si="46"/>
        <v>0</v>
      </c>
      <c r="I217" s="167">
        <f t="shared" si="40"/>
        <v>0</v>
      </c>
      <c r="J217" s="167">
        <f>IF(C217="","",IF(F217=0,0,IF(C217&lt;='Tabla Parámetros'!$J$23,I217,IF($E$2='Tabla Parámetros'!$J$19,((($H$2/1000*'Tabla Parámetros'!$K$19)/30.4*C217)*1.0212^16),IF($E$2='Tabla Parámetros'!$J$20,($H$2/1000*'Tabla Parámetros'!$K$20)/30.4*C217)*1.0201^16)))+N217+O217)</f>
        <v>0</v>
      </c>
      <c r="K217" s="167">
        <f t="shared" si="41"/>
        <v>0</v>
      </c>
      <c r="L217" s="167">
        <f t="shared" si="44"/>
        <v>0</v>
      </c>
      <c r="M217" s="167">
        <f>IF(B217="","",IF(F217=0,0,IF(Simulador!$F$11='Tabla Parámetros'!$W$1,'Tabla Parámetros'!$W$28,IF(Simulador!$F$11='Tabla Parámetros'!$Y$1,'Tabla Parámetros'!$Y$12))))</f>
        <v>0</v>
      </c>
      <c r="N217" s="167"/>
      <c r="O217" s="167"/>
      <c r="P217" s="172">
        <f t="shared" si="42"/>
        <v>0</v>
      </c>
      <c r="Q217" s="167">
        <f t="shared" si="47"/>
        <v>0</v>
      </c>
      <c r="T217" s="6"/>
      <c r="U217" s="6"/>
      <c r="V217" s="6"/>
      <c r="W217" s="29">
        <f t="shared" si="43"/>
        <v>0</v>
      </c>
    </row>
    <row r="218" spans="2:23" x14ac:dyDescent="0.3">
      <c r="B218" s="181">
        <f t="shared" si="38"/>
        <v>201</v>
      </c>
      <c r="C218" s="180">
        <f t="shared" si="39"/>
        <v>30.4</v>
      </c>
      <c r="D218" s="193">
        <f>IF(B218="","",'Tabla Parámetros'!$G$5)</f>
        <v>0.11799999999999999</v>
      </c>
      <c r="E218" s="167"/>
      <c r="F218" s="167">
        <f t="shared" si="45"/>
        <v>0</v>
      </c>
      <c r="G218" s="166"/>
      <c r="H218" s="167">
        <f t="shared" si="46"/>
        <v>0</v>
      </c>
      <c r="I218" s="167">
        <f t="shared" si="40"/>
        <v>0</v>
      </c>
      <c r="J218" s="167">
        <f>IF(C218="","",IF(F218=0,0,IF(C218&lt;='Tabla Parámetros'!$J$23,I218,IF($E$2='Tabla Parámetros'!$J$19,((($H$2/1000*'Tabla Parámetros'!$K$19)/30.4*C218)*1.0212^16),IF($E$2='Tabla Parámetros'!$J$20,($H$2/1000*'Tabla Parámetros'!$K$20)/30.4*C218)*1.0201^16)))+N218+O218)</f>
        <v>0</v>
      </c>
      <c r="K218" s="167">
        <f t="shared" si="41"/>
        <v>0</v>
      </c>
      <c r="L218" s="167">
        <f t="shared" si="44"/>
        <v>0</v>
      </c>
      <c r="M218" s="167">
        <f>IF(B218="","",IF(F218=0,0,IF(Simulador!$F$11='Tabla Parámetros'!$W$1,'Tabla Parámetros'!$W$28,IF(Simulador!$F$11='Tabla Parámetros'!$Y$1,'Tabla Parámetros'!$Y$12))))</f>
        <v>0</v>
      </c>
      <c r="N218" s="167"/>
      <c r="O218" s="167"/>
      <c r="P218" s="172">
        <f t="shared" si="42"/>
        <v>0</v>
      </c>
      <c r="Q218" s="167">
        <f t="shared" si="47"/>
        <v>0</v>
      </c>
      <c r="T218" s="6"/>
      <c r="U218" s="6"/>
      <c r="V218" s="6"/>
      <c r="W218" s="29">
        <f t="shared" si="43"/>
        <v>0</v>
      </c>
    </row>
    <row r="219" spans="2:23" x14ac:dyDescent="0.3">
      <c r="B219" s="181">
        <f t="shared" si="38"/>
        <v>202</v>
      </c>
      <c r="C219" s="180">
        <f t="shared" si="39"/>
        <v>30.4</v>
      </c>
      <c r="D219" s="193">
        <f>IF(B219="","",'Tabla Parámetros'!$G$5)</f>
        <v>0.11799999999999999</v>
      </c>
      <c r="E219" s="167"/>
      <c r="F219" s="167">
        <f t="shared" si="45"/>
        <v>0</v>
      </c>
      <c r="G219" s="166"/>
      <c r="H219" s="167">
        <f t="shared" si="46"/>
        <v>0</v>
      </c>
      <c r="I219" s="167">
        <f t="shared" si="40"/>
        <v>0</v>
      </c>
      <c r="J219" s="167">
        <f>IF(C219="","",IF(F219=0,0,IF(C219&lt;='Tabla Parámetros'!$J$23,I219,IF($E$2='Tabla Parámetros'!$J$19,((($H$2/1000*'Tabla Parámetros'!$K$19)/30.4*C219)*1.0212^16),IF($E$2='Tabla Parámetros'!$J$20,($H$2/1000*'Tabla Parámetros'!$K$20)/30.4*C219)*1.0201^16)))+N219+O219)</f>
        <v>0</v>
      </c>
      <c r="K219" s="167">
        <f t="shared" si="41"/>
        <v>0</v>
      </c>
      <c r="L219" s="167">
        <f t="shared" si="44"/>
        <v>0</v>
      </c>
      <c r="M219" s="167">
        <f>IF(B219="","",IF(F219=0,0,IF(Simulador!$F$11='Tabla Parámetros'!$W$1,'Tabla Parámetros'!$W$28,IF(Simulador!$F$11='Tabla Parámetros'!$Y$1,'Tabla Parámetros'!$Y$12))))</f>
        <v>0</v>
      </c>
      <c r="N219" s="167"/>
      <c r="O219" s="167"/>
      <c r="P219" s="172">
        <f t="shared" si="42"/>
        <v>0</v>
      </c>
      <c r="Q219" s="167">
        <f t="shared" si="47"/>
        <v>0</v>
      </c>
      <c r="T219" s="6"/>
      <c r="U219" s="6"/>
      <c r="V219" s="6"/>
      <c r="W219" s="29">
        <f t="shared" si="43"/>
        <v>0</v>
      </c>
    </row>
    <row r="220" spans="2:23" x14ac:dyDescent="0.3">
      <c r="B220" s="181">
        <f t="shared" si="38"/>
        <v>203</v>
      </c>
      <c r="C220" s="180">
        <f t="shared" si="39"/>
        <v>30.4</v>
      </c>
      <c r="D220" s="193">
        <f>IF(B220="","",'Tabla Parámetros'!$G$5)</f>
        <v>0.11799999999999999</v>
      </c>
      <c r="E220" s="167"/>
      <c r="F220" s="167">
        <f t="shared" si="45"/>
        <v>0</v>
      </c>
      <c r="G220" s="166"/>
      <c r="H220" s="167">
        <f t="shared" si="46"/>
        <v>0</v>
      </c>
      <c r="I220" s="167">
        <f t="shared" si="40"/>
        <v>0</v>
      </c>
      <c r="J220" s="167">
        <f>IF(C220="","",IF(F220=0,0,IF(C220&lt;='Tabla Parámetros'!$J$23,I220,IF($E$2='Tabla Parámetros'!$J$19,((($H$2/1000*'Tabla Parámetros'!$K$19)/30.4*C220)*1.0212^16),IF($E$2='Tabla Parámetros'!$J$20,($H$2/1000*'Tabla Parámetros'!$K$20)/30.4*C220)*1.0201^16)))+N220+O220)</f>
        <v>0</v>
      </c>
      <c r="K220" s="167">
        <f t="shared" si="41"/>
        <v>0</v>
      </c>
      <c r="L220" s="167">
        <f t="shared" si="44"/>
        <v>0</v>
      </c>
      <c r="M220" s="167">
        <f>IF(B220="","",IF(F220=0,0,IF(Simulador!$F$11='Tabla Parámetros'!$W$1,'Tabla Parámetros'!$W$28,IF(Simulador!$F$11='Tabla Parámetros'!$Y$1,'Tabla Parámetros'!$Y$12))))</f>
        <v>0</v>
      </c>
      <c r="N220" s="167"/>
      <c r="O220" s="167"/>
      <c r="P220" s="172">
        <f t="shared" si="42"/>
        <v>0</v>
      </c>
      <c r="Q220" s="167">
        <f t="shared" si="47"/>
        <v>0</v>
      </c>
      <c r="T220" s="6"/>
      <c r="U220" s="6"/>
      <c r="V220" s="6"/>
      <c r="W220" s="29">
        <f t="shared" si="43"/>
        <v>0</v>
      </c>
    </row>
    <row r="221" spans="2:23" x14ac:dyDescent="0.3">
      <c r="B221" s="181">
        <f t="shared" si="38"/>
        <v>204</v>
      </c>
      <c r="C221" s="180">
        <f t="shared" si="39"/>
        <v>30.4</v>
      </c>
      <c r="D221" s="193">
        <f>IF(B221="","",'Tabla Parámetros'!$G$5)</f>
        <v>0.11799999999999999</v>
      </c>
      <c r="E221" s="167"/>
      <c r="F221" s="167">
        <f t="shared" si="45"/>
        <v>0</v>
      </c>
      <c r="G221" s="166"/>
      <c r="H221" s="167">
        <f t="shared" si="46"/>
        <v>0</v>
      </c>
      <c r="I221" s="167">
        <f t="shared" si="40"/>
        <v>0</v>
      </c>
      <c r="J221" s="167">
        <f>IF(C221="","",IF(F221=0,0,IF(C221&lt;='Tabla Parámetros'!$J$23,I221,IF($E$2='Tabla Parámetros'!$J$19,((($H$2/1000*'Tabla Parámetros'!$K$19)/30.4*C221)*1.0212^16),IF($E$2='Tabla Parámetros'!$J$20,($H$2/1000*'Tabla Parámetros'!$K$20)/30.4*C221)*1.0201^16)))+N221+O221)</f>
        <v>0</v>
      </c>
      <c r="K221" s="167">
        <f t="shared" si="41"/>
        <v>0</v>
      </c>
      <c r="L221" s="167">
        <f t="shared" si="44"/>
        <v>0</v>
      </c>
      <c r="M221" s="167">
        <f>IF(B221="","",IF(F221=0,0,IF(Simulador!$F$11='Tabla Parámetros'!$W$1,'Tabla Parámetros'!$W$28,IF(Simulador!$F$11='Tabla Parámetros'!$Y$1,'Tabla Parámetros'!$Y$12))))</f>
        <v>0</v>
      </c>
      <c r="N221" s="167"/>
      <c r="O221" s="167"/>
      <c r="P221" s="172">
        <f t="shared" si="42"/>
        <v>0</v>
      </c>
      <c r="Q221" s="167">
        <f t="shared" si="47"/>
        <v>0</v>
      </c>
      <c r="T221" s="6"/>
      <c r="U221" s="6"/>
      <c r="V221" s="6"/>
      <c r="W221" s="29">
        <f t="shared" si="43"/>
        <v>0</v>
      </c>
    </row>
    <row r="222" spans="2:23" x14ac:dyDescent="0.3">
      <c r="B222" s="181">
        <f t="shared" si="38"/>
        <v>205</v>
      </c>
      <c r="C222" s="180">
        <f t="shared" si="39"/>
        <v>30.4</v>
      </c>
      <c r="D222" s="193">
        <f>IF(B222="","",'Tabla Parámetros'!$G$5)</f>
        <v>0.11799999999999999</v>
      </c>
      <c r="E222" s="167"/>
      <c r="F222" s="167">
        <f t="shared" si="45"/>
        <v>0</v>
      </c>
      <c r="G222" s="166"/>
      <c r="H222" s="167">
        <f t="shared" si="46"/>
        <v>0</v>
      </c>
      <c r="I222" s="167">
        <f t="shared" si="40"/>
        <v>0</v>
      </c>
      <c r="J222" s="167">
        <f>IF(C222="","",IF(F222=0,0,IF(C222&lt;='Tabla Parámetros'!$J$23,I222,IF($E$2='Tabla Parámetros'!$J$19,((($H$2/1000*'Tabla Parámetros'!$K$19)/30.4*C222)*1.0212^16),IF($E$2='Tabla Parámetros'!$J$20,($H$2/1000*'Tabla Parámetros'!$K$20)/30.4*C222)*1.0201^16)))+N222+O222)</f>
        <v>0</v>
      </c>
      <c r="K222" s="167">
        <f t="shared" si="41"/>
        <v>0</v>
      </c>
      <c r="L222" s="167">
        <f t="shared" si="44"/>
        <v>0</v>
      </c>
      <c r="M222" s="167">
        <f>IF(B222="","",IF(F222=0,0,IF(Simulador!$F$11='Tabla Parámetros'!$W$1,'Tabla Parámetros'!$W$28,IF(Simulador!$F$11='Tabla Parámetros'!$Y$1,'Tabla Parámetros'!$Y$12))))</f>
        <v>0</v>
      </c>
      <c r="N222" s="167"/>
      <c r="O222" s="167"/>
      <c r="P222" s="172">
        <f t="shared" si="42"/>
        <v>0</v>
      </c>
      <c r="Q222" s="167">
        <f t="shared" si="47"/>
        <v>0</v>
      </c>
      <c r="T222" s="6"/>
      <c r="U222" s="6"/>
      <c r="V222" s="6"/>
      <c r="W222" s="29">
        <f t="shared" si="43"/>
        <v>0</v>
      </c>
    </row>
    <row r="223" spans="2:23" x14ac:dyDescent="0.3">
      <c r="B223" s="181">
        <f t="shared" si="38"/>
        <v>206</v>
      </c>
      <c r="C223" s="180">
        <f t="shared" si="39"/>
        <v>30.4</v>
      </c>
      <c r="D223" s="193">
        <f>IF(B223="","",'Tabla Parámetros'!$G$5)</f>
        <v>0.11799999999999999</v>
      </c>
      <c r="E223" s="167"/>
      <c r="F223" s="167">
        <f t="shared" si="45"/>
        <v>0</v>
      </c>
      <c r="G223" s="166"/>
      <c r="H223" s="167">
        <f t="shared" si="46"/>
        <v>0</v>
      </c>
      <c r="I223" s="167">
        <f t="shared" si="40"/>
        <v>0</v>
      </c>
      <c r="J223" s="167">
        <f>IF(C223="","",IF(F223=0,0,IF(C223&lt;='Tabla Parámetros'!$J$23,I223,IF($E$2='Tabla Parámetros'!$J$19,((($H$2/1000*'Tabla Parámetros'!$K$19)/30.4*C223)*1.0212^17),IF($E$2='Tabla Parámetros'!$J$20,($H$2/1000*'Tabla Parámetros'!$K$20)/30.4*C223)*1.0201^17)))+N223+O223)</f>
        <v>0</v>
      </c>
      <c r="K223" s="167">
        <f t="shared" si="41"/>
        <v>0</v>
      </c>
      <c r="L223" s="167">
        <f t="shared" si="44"/>
        <v>0</v>
      </c>
      <c r="M223" s="167">
        <f>IF(B223="","",IF(F223=0,0,IF(Simulador!$F$11='Tabla Parámetros'!$W$1,'Tabla Parámetros'!$W$28,IF(Simulador!$F$11='Tabla Parámetros'!$Y$1,'Tabla Parámetros'!$Y$12))))</f>
        <v>0</v>
      </c>
      <c r="N223" s="167"/>
      <c r="O223" s="167"/>
      <c r="P223" s="172">
        <f t="shared" si="42"/>
        <v>0</v>
      </c>
      <c r="Q223" s="167">
        <f t="shared" si="47"/>
        <v>0</v>
      </c>
      <c r="T223" s="6"/>
      <c r="U223" s="6"/>
      <c r="V223" s="6"/>
      <c r="W223" s="29">
        <f t="shared" si="43"/>
        <v>0</v>
      </c>
    </row>
    <row r="224" spans="2:23" x14ac:dyDescent="0.3">
      <c r="B224" s="181">
        <f t="shared" si="38"/>
        <v>207</v>
      </c>
      <c r="C224" s="180">
        <f t="shared" si="39"/>
        <v>30.4</v>
      </c>
      <c r="D224" s="193">
        <f>IF(B224="","",'Tabla Parámetros'!$G$5)</f>
        <v>0.11799999999999999</v>
      </c>
      <c r="E224" s="167"/>
      <c r="F224" s="167">
        <f t="shared" si="45"/>
        <v>0</v>
      </c>
      <c r="G224" s="166"/>
      <c r="H224" s="167">
        <f t="shared" si="46"/>
        <v>0</v>
      </c>
      <c r="I224" s="167">
        <f t="shared" si="40"/>
        <v>0</v>
      </c>
      <c r="J224" s="167">
        <f>IF(C224="","",IF(F224=0,0,IF(C224&lt;='Tabla Parámetros'!$J$23,I224,IF($E$2='Tabla Parámetros'!$J$19,((($H$2/1000*'Tabla Parámetros'!$K$19)/30.4*C224)*1.0212^17),IF($E$2='Tabla Parámetros'!$J$20,($H$2/1000*'Tabla Parámetros'!$K$20)/30.4*C224)*1.0201^17)))+N224+O224)</f>
        <v>0</v>
      </c>
      <c r="K224" s="167">
        <f t="shared" si="41"/>
        <v>0</v>
      </c>
      <c r="L224" s="167">
        <f t="shared" si="44"/>
        <v>0</v>
      </c>
      <c r="M224" s="167">
        <f>IF(B224="","",IF(F224=0,0,IF(Simulador!$F$11='Tabla Parámetros'!$W$1,'Tabla Parámetros'!$W$28,IF(Simulador!$F$11='Tabla Parámetros'!$Y$1,'Tabla Parámetros'!$Y$12))))</f>
        <v>0</v>
      </c>
      <c r="N224" s="167"/>
      <c r="O224" s="167"/>
      <c r="P224" s="172">
        <f t="shared" si="42"/>
        <v>0</v>
      </c>
      <c r="Q224" s="167">
        <f t="shared" si="47"/>
        <v>0</v>
      </c>
      <c r="T224" s="6"/>
      <c r="U224" s="6"/>
      <c r="V224" s="6"/>
      <c r="W224" s="29">
        <f t="shared" si="43"/>
        <v>0</v>
      </c>
    </row>
    <row r="225" spans="2:23" x14ac:dyDescent="0.3">
      <c r="B225" s="181">
        <f t="shared" si="38"/>
        <v>208</v>
      </c>
      <c r="C225" s="180">
        <f t="shared" si="39"/>
        <v>30.4</v>
      </c>
      <c r="D225" s="193">
        <f>IF(B225="","",'Tabla Parámetros'!$G$5)</f>
        <v>0.11799999999999999</v>
      </c>
      <c r="E225" s="167"/>
      <c r="F225" s="167">
        <f t="shared" si="45"/>
        <v>0</v>
      </c>
      <c r="G225" s="166"/>
      <c r="H225" s="167">
        <f t="shared" si="46"/>
        <v>0</v>
      </c>
      <c r="I225" s="167">
        <f t="shared" si="40"/>
        <v>0</v>
      </c>
      <c r="J225" s="167">
        <f>IF(C225="","",IF(F225=0,0,IF(C225&lt;='Tabla Parámetros'!$J$23,I225,IF($E$2='Tabla Parámetros'!$J$19,((($H$2/1000*'Tabla Parámetros'!$K$19)/30.4*C225)*1.0212^17),IF($E$2='Tabla Parámetros'!$J$20,($H$2/1000*'Tabla Parámetros'!$K$20)/30.4*C225)*1.0201^17)))+N225+O225)</f>
        <v>0</v>
      </c>
      <c r="K225" s="167">
        <f t="shared" si="41"/>
        <v>0</v>
      </c>
      <c r="L225" s="167">
        <f t="shared" si="44"/>
        <v>0</v>
      </c>
      <c r="M225" s="167">
        <f>IF(B225="","",IF(F225=0,0,IF(Simulador!$F$11='Tabla Parámetros'!$W$1,'Tabla Parámetros'!$W$28,IF(Simulador!$F$11='Tabla Parámetros'!$Y$1,'Tabla Parámetros'!$Y$12))))</f>
        <v>0</v>
      </c>
      <c r="N225" s="167"/>
      <c r="O225" s="167"/>
      <c r="P225" s="172">
        <f t="shared" si="42"/>
        <v>0</v>
      </c>
      <c r="Q225" s="167">
        <f t="shared" si="47"/>
        <v>0</v>
      </c>
      <c r="T225" s="6"/>
      <c r="U225" s="6"/>
      <c r="V225" s="6"/>
      <c r="W225" s="29">
        <f t="shared" si="43"/>
        <v>0</v>
      </c>
    </row>
    <row r="226" spans="2:23" x14ac:dyDescent="0.3">
      <c r="B226" s="181">
        <f t="shared" si="38"/>
        <v>209</v>
      </c>
      <c r="C226" s="180">
        <f t="shared" si="39"/>
        <v>30.4</v>
      </c>
      <c r="D226" s="193">
        <f>IF(B226="","",'Tabla Parámetros'!$G$5)</f>
        <v>0.11799999999999999</v>
      </c>
      <c r="E226" s="167"/>
      <c r="F226" s="167">
        <f t="shared" si="45"/>
        <v>0</v>
      </c>
      <c r="G226" s="166"/>
      <c r="H226" s="167">
        <f t="shared" si="46"/>
        <v>0</v>
      </c>
      <c r="I226" s="167">
        <f t="shared" si="40"/>
        <v>0</v>
      </c>
      <c r="J226" s="167">
        <f>IF(C226="","",IF(F226=0,0,IF(C226&lt;='Tabla Parámetros'!$J$23,I226,IF($E$2='Tabla Parámetros'!$J$19,((($H$2/1000*'Tabla Parámetros'!$K$19)/30.4*C226)*1.0212^17),IF($E$2='Tabla Parámetros'!$J$20,($H$2/1000*'Tabla Parámetros'!$K$20)/30.4*C226)*1.0201^17)))+N226+O226)</f>
        <v>0</v>
      </c>
      <c r="K226" s="167">
        <f t="shared" si="41"/>
        <v>0</v>
      </c>
      <c r="L226" s="167">
        <f t="shared" si="44"/>
        <v>0</v>
      </c>
      <c r="M226" s="167">
        <f>IF(B226="","",IF(F226=0,0,IF(Simulador!$F$11='Tabla Parámetros'!$W$1,'Tabla Parámetros'!$W$28,IF(Simulador!$F$11='Tabla Parámetros'!$Y$1,'Tabla Parámetros'!$Y$12))))</f>
        <v>0</v>
      </c>
      <c r="N226" s="167"/>
      <c r="O226" s="167"/>
      <c r="P226" s="172">
        <f t="shared" si="42"/>
        <v>0</v>
      </c>
      <c r="Q226" s="167">
        <f t="shared" si="47"/>
        <v>0</v>
      </c>
      <c r="T226" s="6"/>
      <c r="U226" s="6"/>
      <c r="V226" s="6"/>
      <c r="W226" s="29">
        <f t="shared" si="43"/>
        <v>0</v>
      </c>
    </row>
    <row r="227" spans="2:23" x14ac:dyDescent="0.3">
      <c r="B227" s="181">
        <f t="shared" si="38"/>
        <v>210</v>
      </c>
      <c r="C227" s="180">
        <f t="shared" si="39"/>
        <v>30.4</v>
      </c>
      <c r="D227" s="193">
        <f>IF(B227="","",'Tabla Parámetros'!$G$5)</f>
        <v>0.11799999999999999</v>
      </c>
      <c r="E227" s="167"/>
      <c r="F227" s="167">
        <f t="shared" si="45"/>
        <v>0</v>
      </c>
      <c r="G227" s="166"/>
      <c r="H227" s="167">
        <f t="shared" si="46"/>
        <v>0</v>
      </c>
      <c r="I227" s="167">
        <f t="shared" si="40"/>
        <v>0</v>
      </c>
      <c r="J227" s="167">
        <f>IF(C227="","",IF(F227=0,0,IF(C227&lt;='Tabla Parámetros'!$J$23,I227,IF($E$2='Tabla Parámetros'!$J$19,((($H$2/1000*'Tabla Parámetros'!$K$19)/30.4*C227)*1.0212^17),IF($E$2='Tabla Parámetros'!$J$20,($H$2/1000*'Tabla Parámetros'!$K$20)/30.4*C227)*1.0201^17)))+N227+O227)</f>
        <v>0</v>
      </c>
      <c r="K227" s="167">
        <f t="shared" si="41"/>
        <v>0</v>
      </c>
      <c r="L227" s="167">
        <f t="shared" si="44"/>
        <v>0</v>
      </c>
      <c r="M227" s="167">
        <f>IF(B227="","",IF(F227=0,0,IF(Simulador!$F$11='Tabla Parámetros'!$W$1,'Tabla Parámetros'!$W$28,IF(Simulador!$F$11='Tabla Parámetros'!$Y$1,'Tabla Parámetros'!$Y$12))))</f>
        <v>0</v>
      </c>
      <c r="N227" s="167"/>
      <c r="O227" s="167"/>
      <c r="P227" s="172">
        <f t="shared" si="42"/>
        <v>0</v>
      </c>
      <c r="Q227" s="167">
        <f t="shared" si="47"/>
        <v>0</v>
      </c>
      <c r="T227" s="6"/>
      <c r="U227" s="6"/>
      <c r="V227" s="6"/>
      <c r="W227" s="29">
        <f t="shared" si="43"/>
        <v>0</v>
      </c>
    </row>
    <row r="228" spans="2:23" x14ac:dyDescent="0.3">
      <c r="B228" s="181">
        <f t="shared" si="38"/>
        <v>211</v>
      </c>
      <c r="C228" s="180">
        <f t="shared" si="39"/>
        <v>30.4</v>
      </c>
      <c r="D228" s="193">
        <f>IF(B228="","",'Tabla Parámetros'!$G$5)</f>
        <v>0.11799999999999999</v>
      </c>
      <c r="E228" s="167"/>
      <c r="F228" s="167">
        <f t="shared" si="45"/>
        <v>0</v>
      </c>
      <c r="G228" s="166"/>
      <c r="H228" s="167">
        <f t="shared" si="46"/>
        <v>0</v>
      </c>
      <c r="I228" s="167">
        <f t="shared" si="40"/>
        <v>0</v>
      </c>
      <c r="J228" s="167">
        <f>IF(C228="","",IF(F228=0,0,IF(C228&lt;='Tabla Parámetros'!$J$23,I228,IF($E$2='Tabla Parámetros'!$J$19,((($H$2/1000*'Tabla Parámetros'!$K$19)/30.4*C228)*1.0212^17),IF($E$2='Tabla Parámetros'!$J$20,($H$2/1000*'Tabla Parámetros'!$K$20)/30.4*C228)*1.0201^17)))+N228+O228)</f>
        <v>0</v>
      </c>
      <c r="K228" s="167">
        <f t="shared" si="41"/>
        <v>0</v>
      </c>
      <c r="L228" s="167">
        <f t="shared" si="44"/>
        <v>0</v>
      </c>
      <c r="M228" s="167">
        <f>IF(B228="","",IF(F228=0,0,IF(Simulador!$F$11='Tabla Parámetros'!$W$1,'Tabla Parámetros'!$W$28,IF(Simulador!$F$11='Tabla Parámetros'!$Y$1,'Tabla Parámetros'!$Y$12))))</f>
        <v>0</v>
      </c>
      <c r="N228" s="167"/>
      <c r="O228" s="167"/>
      <c r="P228" s="172">
        <f t="shared" si="42"/>
        <v>0</v>
      </c>
      <c r="Q228" s="167">
        <f t="shared" si="47"/>
        <v>0</v>
      </c>
      <c r="T228" s="6"/>
      <c r="U228" s="6"/>
      <c r="V228" s="6"/>
      <c r="W228" s="29">
        <f t="shared" si="43"/>
        <v>0</v>
      </c>
    </row>
    <row r="229" spans="2:23" x14ac:dyDescent="0.3">
      <c r="B229" s="181">
        <f t="shared" si="38"/>
        <v>212</v>
      </c>
      <c r="C229" s="180">
        <f t="shared" si="39"/>
        <v>30.4</v>
      </c>
      <c r="D229" s="193">
        <f>IF(B229="","",'Tabla Parámetros'!$G$5)</f>
        <v>0.11799999999999999</v>
      </c>
      <c r="E229" s="167"/>
      <c r="F229" s="167">
        <f t="shared" si="45"/>
        <v>0</v>
      </c>
      <c r="G229" s="166"/>
      <c r="H229" s="167">
        <f t="shared" si="46"/>
        <v>0</v>
      </c>
      <c r="I229" s="167">
        <f t="shared" si="40"/>
        <v>0</v>
      </c>
      <c r="J229" s="167">
        <f>IF(C229="","",IF(F229=0,0,IF(C229&lt;='Tabla Parámetros'!$J$23,I229,IF($E$2='Tabla Parámetros'!$J$19,((($H$2/1000*'Tabla Parámetros'!$K$19)/30.4*C229)*1.0212^17),IF($E$2='Tabla Parámetros'!$J$20,($H$2/1000*'Tabla Parámetros'!$K$20)/30.4*C229)*1.0201^17)))+N229+O229)</f>
        <v>0</v>
      </c>
      <c r="K229" s="167">
        <f t="shared" si="41"/>
        <v>0</v>
      </c>
      <c r="L229" s="167">
        <f t="shared" si="44"/>
        <v>0</v>
      </c>
      <c r="M229" s="167">
        <f>IF(B229="","",IF(F229=0,0,IF(Simulador!$F$11='Tabla Parámetros'!$W$1,'Tabla Parámetros'!$W$28,IF(Simulador!$F$11='Tabla Parámetros'!$Y$1,'Tabla Parámetros'!$Y$12))))</f>
        <v>0</v>
      </c>
      <c r="N229" s="167"/>
      <c r="O229" s="167"/>
      <c r="P229" s="172">
        <f t="shared" si="42"/>
        <v>0</v>
      </c>
      <c r="Q229" s="167">
        <f t="shared" si="47"/>
        <v>0</v>
      </c>
      <c r="T229" s="6"/>
      <c r="U229" s="6"/>
      <c r="V229" s="6"/>
      <c r="W229" s="29">
        <f t="shared" si="43"/>
        <v>0</v>
      </c>
    </row>
    <row r="230" spans="2:23" x14ac:dyDescent="0.3">
      <c r="B230" s="181">
        <f t="shared" si="38"/>
        <v>213</v>
      </c>
      <c r="C230" s="180">
        <f t="shared" si="39"/>
        <v>30.4</v>
      </c>
      <c r="D230" s="193">
        <f>IF(B230="","",'Tabla Parámetros'!$G$5)</f>
        <v>0.11799999999999999</v>
      </c>
      <c r="E230" s="167"/>
      <c r="F230" s="167">
        <f t="shared" si="45"/>
        <v>0</v>
      </c>
      <c r="G230" s="166"/>
      <c r="H230" s="167">
        <f t="shared" si="46"/>
        <v>0</v>
      </c>
      <c r="I230" s="167">
        <f t="shared" si="40"/>
        <v>0</v>
      </c>
      <c r="J230" s="167">
        <f>IF(C230="","",IF(F230=0,0,IF(C230&lt;='Tabla Parámetros'!$J$23,I230,IF($E$2='Tabla Parámetros'!$J$19,((($H$2/1000*'Tabla Parámetros'!$K$19)/30.4*C230)*1.0212^17),IF($E$2='Tabla Parámetros'!$J$20,($H$2/1000*'Tabla Parámetros'!$K$20)/30.4*C230)*1.0201^17)))+N230+O230)</f>
        <v>0</v>
      </c>
      <c r="K230" s="167">
        <f t="shared" si="41"/>
        <v>0</v>
      </c>
      <c r="L230" s="167">
        <f t="shared" si="44"/>
        <v>0</v>
      </c>
      <c r="M230" s="167">
        <f>IF(B230="","",IF(F230=0,0,IF(Simulador!$F$11='Tabla Parámetros'!$W$1,'Tabla Parámetros'!$W$28,IF(Simulador!$F$11='Tabla Parámetros'!$Y$1,'Tabla Parámetros'!$Y$12))))</f>
        <v>0</v>
      </c>
      <c r="N230" s="167"/>
      <c r="O230" s="167"/>
      <c r="P230" s="172">
        <f t="shared" si="42"/>
        <v>0</v>
      </c>
      <c r="Q230" s="167">
        <f t="shared" si="47"/>
        <v>0</v>
      </c>
      <c r="T230" s="6"/>
      <c r="U230" s="6"/>
      <c r="V230" s="6"/>
      <c r="W230" s="29">
        <f t="shared" si="43"/>
        <v>0</v>
      </c>
    </row>
    <row r="231" spans="2:23" x14ac:dyDescent="0.3">
      <c r="B231" s="181">
        <f t="shared" si="38"/>
        <v>214</v>
      </c>
      <c r="C231" s="180">
        <f t="shared" si="39"/>
        <v>30.4</v>
      </c>
      <c r="D231" s="193">
        <f>IF(B231="","",'Tabla Parámetros'!$G$5)</f>
        <v>0.11799999999999999</v>
      </c>
      <c r="E231" s="167"/>
      <c r="F231" s="167">
        <f t="shared" si="45"/>
        <v>0</v>
      </c>
      <c r="G231" s="166"/>
      <c r="H231" s="167">
        <f t="shared" si="46"/>
        <v>0</v>
      </c>
      <c r="I231" s="167">
        <f t="shared" si="40"/>
        <v>0</v>
      </c>
      <c r="J231" s="167">
        <f>IF(C231="","",IF(F231=0,0,IF(C231&lt;='Tabla Parámetros'!$J$23,I231,IF($E$2='Tabla Parámetros'!$J$19,((($H$2/1000*'Tabla Parámetros'!$K$19)/30.4*C231)*1.0212^17),IF($E$2='Tabla Parámetros'!$J$20,($H$2/1000*'Tabla Parámetros'!$K$20)/30.4*C231)*1.0201^17)))+N231+O231)</f>
        <v>0</v>
      </c>
      <c r="K231" s="167">
        <f t="shared" si="41"/>
        <v>0</v>
      </c>
      <c r="L231" s="167">
        <f t="shared" si="44"/>
        <v>0</v>
      </c>
      <c r="M231" s="167">
        <f>IF(B231="","",IF(F231=0,0,IF(Simulador!$F$11='Tabla Parámetros'!$W$1,'Tabla Parámetros'!$W$28,IF(Simulador!$F$11='Tabla Parámetros'!$Y$1,'Tabla Parámetros'!$Y$12))))</f>
        <v>0</v>
      </c>
      <c r="N231" s="167"/>
      <c r="O231" s="167"/>
      <c r="P231" s="172">
        <f t="shared" si="42"/>
        <v>0</v>
      </c>
      <c r="Q231" s="167">
        <f t="shared" si="47"/>
        <v>0</v>
      </c>
      <c r="T231" s="6"/>
      <c r="U231" s="6"/>
      <c r="V231" s="6"/>
      <c r="W231" s="29">
        <f t="shared" si="43"/>
        <v>0</v>
      </c>
    </row>
    <row r="232" spans="2:23" x14ac:dyDescent="0.3">
      <c r="B232" s="181">
        <f t="shared" si="38"/>
        <v>215</v>
      </c>
      <c r="C232" s="180">
        <f t="shared" si="39"/>
        <v>30.4</v>
      </c>
      <c r="D232" s="193">
        <f>IF(B232="","",'Tabla Parámetros'!$G$5)</f>
        <v>0.11799999999999999</v>
      </c>
      <c r="E232" s="167"/>
      <c r="F232" s="167">
        <f t="shared" si="45"/>
        <v>0</v>
      </c>
      <c r="G232" s="166"/>
      <c r="H232" s="167">
        <f t="shared" si="46"/>
        <v>0</v>
      </c>
      <c r="I232" s="167">
        <f t="shared" si="40"/>
        <v>0</v>
      </c>
      <c r="J232" s="167">
        <f>IF(C232="","",IF(F232=0,0,IF(C232&lt;='Tabla Parámetros'!$J$23,I232,IF($E$2='Tabla Parámetros'!$J$19,((($H$2/1000*'Tabla Parámetros'!$K$19)/30.4*C232)*1.0212^17),IF($E$2='Tabla Parámetros'!$J$20,($H$2/1000*'Tabla Parámetros'!$K$20)/30.4*C232)*1.0201^17)))+N232+O232)</f>
        <v>0</v>
      </c>
      <c r="K232" s="167">
        <f t="shared" si="41"/>
        <v>0</v>
      </c>
      <c r="L232" s="167">
        <f t="shared" si="44"/>
        <v>0</v>
      </c>
      <c r="M232" s="167">
        <f>IF(B232="","",IF(F232=0,0,IF(Simulador!$F$11='Tabla Parámetros'!$W$1,'Tabla Parámetros'!$W$28,IF(Simulador!$F$11='Tabla Parámetros'!$Y$1,'Tabla Parámetros'!$Y$12))))</f>
        <v>0</v>
      </c>
      <c r="N232" s="167"/>
      <c r="O232" s="167"/>
      <c r="P232" s="172">
        <f t="shared" si="42"/>
        <v>0</v>
      </c>
      <c r="Q232" s="167">
        <f t="shared" si="47"/>
        <v>0</v>
      </c>
      <c r="T232" s="6"/>
      <c r="U232" s="6"/>
      <c r="V232" s="6"/>
      <c r="W232" s="29">
        <f t="shared" si="43"/>
        <v>0</v>
      </c>
    </row>
    <row r="233" spans="2:23" x14ac:dyDescent="0.3">
      <c r="B233" s="181">
        <f t="shared" si="38"/>
        <v>216</v>
      </c>
      <c r="C233" s="180">
        <f t="shared" si="39"/>
        <v>30.4</v>
      </c>
      <c r="D233" s="193">
        <f>IF(B233="","",'Tabla Parámetros'!$G$5)</f>
        <v>0.11799999999999999</v>
      </c>
      <c r="E233" s="167"/>
      <c r="F233" s="167">
        <f t="shared" si="45"/>
        <v>0</v>
      </c>
      <c r="G233" s="166"/>
      <c r="H233" s="167">
        <f t="shared" si="46"/>
        <v>0</v>
      </c>
      <c r="I233" s="167">
        <f t="shared" si="40"/>
        <v>0</v>
      </c>
      <c r="J233" s="167">
        <f>IF(C233="","",IF(F233=0,0,IF(C233&lt;='Tabla Parámetros'!$J$23,I233,IF($E$2='Tabla Parámetros'!$J$19,((($H$2/1000*'Tabla Parámetros'!$K$19)/30.4*C233)*1.0212^17),IF($E$2='Tabla Parámetros'!$J$20,($H$2/1000*'Tabla Parámetros'!$K$20)/30.4*C233)*1.0201^17)))+N233+O233)</f>
        <v>0</v>
      </c>
      <c r="K233" s="167">
        <f t="shared" si="41"/>
        <v>0</v>
      </c>
      <c r="L233" s="167">
        <f t="shared" si="44"/>
        <v>0</v>
      </c>
      <c r="M233" s="167">
        <f>IF(B233="","",IF(F233=0,0,IF(Simulador!$F$11='Tabla Parámetros'!$W$1,'Tabla Parámetros'!$W$28,IF(Simulador!$F$11='Tabla Parámetros'!$Y$1,'Tabla Parámetros'!$Y$12))))</f>
        <v>0</v>
      </c>
      <c r="N233" s="167"/>
      <c r="O233" s="167"/>
      <c r="P233" s="172">
        <f t="shared" si="42"/>
        <v>0</v>
      </c>
      <c r="Q233" s="167">
        <f t="shared" si="47"/>
        <v>0</v>
      </c>
      <c r="T233" s="6"/>
      <c r="U233" s="6"/>
      <c r="V233" s="6"/>
      <c r="W233" s="29">
        <f t="shared" si="43"/>
        <v>0</v>
      </c>
    </row>
    <row r="234" spans="2:23" x14ac:dyDescent="0.3">
      <c r="B234" s="181">
        <f t="shared" si="38"/>
        <v>217</v>
      </c>
      <c r="C234" s="180">
        <f t="shared" si="39"/>
        <v>30.4</v>
      </c>
      <c r="D234" s="193">
        <f>IF(B234="","",'Tabla Parámetros'!$G$5)</f>
        <v>0.11799999999999999</v>
      </c>
      <c r="E234" s="167"/>
      <c r="F234" s="167">
        <f t="shared" si="45"/>
        <v>0</v>
      </c>
      <c r="G234" s="166"/>
      <c r="H234" s="167">
        <f t="shared" si="46"/>
        <v>0</v>
      </c>
      <c r="I234" s="167">
        <f t="shared" si="40"/>
        <v>0</v>
      </c>
      <c r="J234" s="167">
        <f>IF(C234="","",IF(F234=0,0,IF(C234&lt;='Tabla Parámetros'!$J$23,I234,IF($E$2='Tabla Parámetros'!$J$19,((($H$2/1000*'Tabla Parámetros'!$K$19)/30.4*C234)*1.0212^17),IF($E$2='Tabla Parámetros'!$J$20,($H$2/1000*'Tabla Parámetros'!$K$20)/30.4*C234)*1.0201^17)))+N234+O234)</f>
        <v>0</v>
      </c>
      <c r="K234" s="167">
        <f t="shared" si="41"/>
        <v>0</v>
      </c>
      <c r="L234" s="167">
        <f t="shared" si="44"/>
        <v>0</v>
      </c>
      <c r="M234" s="167">
        <f>IF(B234="","",IF(F234=0,0,IF(Simulador!$F$11='Tabla Parámetros'!$W$1,'Tabla Parámetros'!$W$28,IF(Simulador!$F$11='Tabla Parámetros'!$Y$1,'Tabla Parámetros'!$Y$12))))</f>
        <v>0</v>
      </c>
      <c r="N234" s="167"/>
      <c r="O234" s="167"/>
      <c r="P234" s="172">
        <f t="shared" si="42"/>
        <v>0</v>
      </c>
      <c r="Q234" s="167">
        <f t="shared" si="47"/>
        <v>0</v>
      </c>
      <c r="T234" s="6"/>
      <c r="U234" s="6"/>
      <c r="V234" s="6"/>
      <c r="W234" s="29">
        <f t="shared" si="43"/>
        <v>0</v>
      </c>
    </row>
    <row r="235" spans="2:23" x14ac:dyDescent="0.3">
      <c r="B235" s="181">
        <f t="shared" si="38"/>
        <v>218</v>
      </c>
      <c r="C235" s="180">
        <f t="shared" si="39"/>
        <v>30.4</v>
      </c>
      <c r="D235" s="193">
        <f>IF(B235="","",'Tabla Parámetros'!$G$5)</f>
        <v>0.11799999999999999</v>
      </c>
      <c r="E235" s="167"/>
      <c r="F235" s="167">
        <f t="shared" si="45"/>
        <v>0</v>
      </c>
      <c r="G235" s="166"/>
      <c r="H235" s="167">
        <f t="shared" si="46"/>
        <v>0</v>
      </c>
      <c r="I235" s="167">
        <f t="shared" si="40"/>
        <v>0</v>
      </c>
      <c r="J235" s="167">
        <f>IF(C235="","",IF(F235=0,0,IF(C235&lt;='Tabla Parámetros'!$J$23,I235,IF($E$2='Tabla Parámetros'!$J$19,((($H$2/1000*'Tabla Parámetros'!$K$19)/30.4*C235)*1.0212^18),IF($E$2='Tabla Parámetros'!$J$20,($H$2/1000*'Tabla Parámetros'!$K$20)/30.4*C235)*1.0201^18)))+N235+O235)</f>
        <v>0</v>
      </c>
      <c r="K235" s="167">
        <f t="shared" si="41"/>
        <v>0</v>
      </c>
      <c r="L235" s="167">
        <f t="shared" si="44"/>
        <v>0</v>
      </c>
      <c r="M235" s="167">
        <f>IF(B235="","",IF(F235=0,0,IF(Simulador!$F$11='Tabla Parámetros'!$W$1,'Tabla Parámetros'!$W$28,IF(Simulador!$F$11='Tabla Parámetros'!$Y$1,'Tabla Parámetros'!$Y$12))))</f>
        <v>0</v>
      </c>
      <c r="N235" s="167"/>
      <c r="O235" s="167"/>
      <c r="P235" s="172">
        <f t="shared" si="42"/>
        <v>0</v>
      </c>
      <c r="Q235" s="167">
        <f t="shared" si="47"/>
        <v>0</v>
      </c>
      <c r="T235" s="6"/>
      <c r="U235" s="6"/>
      <c r="V235" s="6"/>
      <c r="W235" s="29">
        <f t="shared" si="43"/>
        <v>0</v>
      </c>
    </row>
    <row r="236" spans="2:23" x14ac:dyDescent="0.3">
      <c r="B236" s="181">
        <f t="shared" si="38"/>
        <v>219</v>
      </c>
      <c r="C236" s="180">
        <f t="shared" si="39"/>
        <v>30.4</v>
      </c>
      <c r="D236" s="193">
        <f>IF(B236="","",'Tabla Parámetros'!$G$5)</f>
        <v>0.11799999999999999</v>
      </c>
      <c r="E236" s="167"/>
      <c r="F236" s="167">
        <f t="shared" si="45"/>
        <v>0</v>
      </c>
      <c r="G236" s="166"/>
      <c r="H236" s="167">
        <f t="shared" si="46"/>
        <v>0</v>
      </c>
      <c r="I236" s="167">
        <f t="shared" si="40"/>
        <v>0</v>
      </c>
      <c r="J236" s="167">
        <f>IF(C236="","",IF(F236=0,0,IF(C236&lt;='Tabla Parámetros'!$J$23,I236,IF($E$2='Tabla Parámetros'!$J$19,((($H$2/1000*'Tabla Parámetros'!$K$19)/30.4*C236)*1.0212^18),IF($E$2='Tabla Parámetros'!$J$20,($H$2/1000*'Tabla Parámetros'!$K$20)/30.4*C236)*1.0201^18)))+N236+O236)</f>
        <v>0</v>
      </c>
      <c r="K236" s="167">
        <f t="shared" si="41"/>
        <v>0</v>
      </c>
      <c r="L236" s="167">
        <f t="shared" si="44"/>
        <v>0</v>
      </c>
      <c r="M236" s="167">
        <f>IF(B236="","",IF(F236=0,0,IF(Simulador!$F$11='Tabla Parámetros'!$W$1,'Tabla Parámetros'!$W$28,IF(Simulador!$F$11='Tabla Parámetros'!$Y$1,'Tabla Parámetros'!$Y$12))))</f>
        <v>0</v>
      </c>
      <c r="N236" s="167"/>
      <c r="O236" s="167"/>
      <c r="P236" s="172">
        <f t="shared" si="42"/>
        <v>0</v>
      </c>
      <c r="Q236" s="167">
        <f t="shared" si="47"/>
        <v>0</v>
      </c>
      <c r="T236" s="6"/>
      <c r="U236" s="6"/>
      <c r="V236" s="6"/>
      <c r="W236" s="29">
        <f t="shared" si="43"/>
        <v>0</v>
      </c>
    </row>
    <row r="237" spans="2:23" x14ac:dyDescent="0.3">
      <c r="B237" s="181">
        <f t="shared" si="38"/>
        <v>220</v>
      </c>
      <c r="C237" s="180">
        <f t="shared" si="39"/>
        <v>30.4</v>
      </c>
      <c r="D237" s="193">
        <f>IF(B237="","",'Tabla Parámetros'!$G$5)</f>
        <v>0.11799999999999999</v>
      </c>
      <c r="E237" s="167"/>
      <c r="F237" s="167">
        <f t="shared" si="45"/>
        <v>0</v>
      </c>
      <c r="G237" s="166"/>
      <c r="H237" s="167">
        <f t="shared" si="46"/>
        <v>0</v>
      </c>
      <c r="I237" s="167">
        <f t="shared" si="40"/>
        <v>0</v>
      </c>
      <c r="J237" s="167">
        <f>IF(C237="","",IF(F237=0,0,IF(C237&lt;='Tabla Parámetros'!$J$23,I237,IF($E$2='Tabla Parámetros'!$J$19,((($H$2/1000*'Tabla Parámetros'!$K$19)/30.4*C237)*1.0212^18),IF($E$2='Tabla Parámetros'!$J$20,($H$2/1000*'Tabla Parámetros'!$K$20)/30.4*C237)*1.0201^18)))+N237+O237)</f>
        <v>0</v>
      </c>
      <c r="K237" s="167">
        <f t="shared" si="41"/>
        <v>0</v>
      </c>
      <c r="L237" s="167">
        <f t="shared" si="44"/>
        <v>0</v>
      </c>
      <c r="M237" s="167">
        <f>IF(B237="","",IF(F237=0,0,IF(Simulador!$F$11='Tabla Parámetros'!$W$1,'Tabla Parámetros'!$W$28,IF(Simulador!$F$11='Tabla Parámetros'!$Y$1,'Tabla Parámetros'!$Y$12))))</f>
        <v>0</v>
      </c>
      <c r="N237" s="167"/>
      <c r="O237" s="167"/>
      <c r="P237" s="172">
        <f t="shared" si="42"/>
        <v>0</v>
      </c>
      <c r="Q237" s="167">
        <f t="shared" si="47"/>
        <v>0</v>
      </c>
      <c r="T237" s="6"/>
      <c r="U237" s="6"/>
      <c r="V237" s="6"/>
      <c r="W237" s="29">
        <f t="shared" si="43"/>
        <v>0</v>
      </c>
    </row>
    <row r="238" spans="2:23" x14ac:dyDescent="0.3">
      <c r="B238" s="181">
        <f t="shared" si="38"/>
        <v>221</v>
      </c>
      <c r="C238" s="180">
        <f t="shared" si="39"/>
        <v>30.4</v>
      </c>
      <c r="D238" s="193">
        <f>IF(B238="","",'Tabla Parámetros'!$G$5)</f>
        <v>0.11799999999999999</v>
      </c>
      <c r="E238" s="167"/>
      <c r="F238" s="167">
        <f t="shared" si="45"/>
        <v>0</v>
      </c>
      <c r="G238" s="166"/>
      <c r="H238" s="167">
        <f t="shared" si="46"/>
        <v>0</v>
      </c>
      <c r="I238" s="167">
        <f t="shared" si="40"/>
        <v>0</v>
      </c>
      <c r="J238" s="167">
        <f>IF(C238="","",IF(F238=0,0,IF(C238&lt;='Tabla Parámetros'!$J$23,I238,IF($E$2='Tabla Parámetros'!$J$19,((($H$2/1000*'Tabla Parámetros'!$K$19)/30.4*C238)*1.0212^18),IF($E$2='Tabla Parámetros'!$J$20,($H$2/1000*'Tabla Parámetros'!$K$20)/30.4*C238)*1.0201^18)))+N238+O238)</f>
        <v>0</v>
      </c>
      <c r="K238" s="167">
        <f t="shared" si="41"/>
        <v>0</v>
      </c>
      <c r="L238" s="167">
        <f t="shared" si="44"/>
        <v>0</v>
      </c>
      <c r="M238" s="167">
        <f>IF(B238="","",IF(F238=0,0,IF(Simulador!$F$11='Tabla Parámetros'!$W$1,'Tabla Parámetros'!$W$28,IF(Simulador!$F$11='Tabla Parámetros'!$Y$1,'Tabla Parámetros'!$Y$12))))</f>
        <v>0</v>
      </c>
      <c r="N238" s="167"/>
      <c r="O238" s="167"/>
      <c r="P238" s="172">
        <f t="shared" si="42"/>
        <v>0</v>
      </c>
      <c r="Q238" s="167">
        <f t="shared" si="47"/>
        <v>0</v>
      </c>
      <c r="T238" s="6"/>
      <c r="U238" s="6"/>
      <c r="V238" s="6"/>
      <c r="W238" s="29">
        <f t="shared" si="43"/>
        <v>0</v>
      </c>
    </row>
    <row r="239" spans="2:23" x14ac:dyDescent="0.3">
      <c r="B239" s="181">
        <f t="shared" si="38"/>
        <v>222</v>
      </c>
      <c r="C239" s="180">
        <f t="shared" si="39"/>
        <v>30.4</v>
      </c>
      <c r="D239" s="193">
        <f>IF(B239="","",'Tabla Parámetros'!$G$5)</f>
        <v>0.11799999999999999</v>
      </c>
      <c r="E239" s="167"/>
      <c r="F239" s="167">
        <f t="shared" si="45"/>
        <v>0</v>
      </c>
      <c r="G239" s="166"/>
      <c r="H239" s="167">
        <f t="shared" si="46"/>
        <v>0</v>
      </c>
      <c r="I239" s="167">
        <f t="shared" si="40"/>
        <v>0</v>
      </c>
      <c r="J239" s="167">
        <f>IF(C239="","",IF(F239=0,0,IF(C239&lt;='Tabla Parámetros'!$J$23,I239,IF($E$2='Tabla Parámetros'!$J$19,((($H$2/1000*'Tabla Parámetros'!$K$19)/30.4*C239)*1.0212^18),IF($E$2='Tabla Parámetros'!$J$20,($H$2/1000*'Tabla Parámetros'!$K$20)/30.4*C239)*1.0201^18)))+N239+O239)</f>
        <v>0</v>
      </c>
      <c r="K239" s="167">
        <f t="shared" si="41"/>
        <v>0</v>
      </c>
      <c r="L239" s="167">
        <f t="shared" si="44"/>
        <v>0</v>
      </c>
      <c r="M239" s="167">
        <f>IF(B239="","",IF(F239=0,0,IF(Simulador!$F$11='Tabla Parámetros'!$W$1,'Tabla Parámetros'!$W$28,IF(Simulador!$F$11='Tabla Parámetros'!$Y$1,'Tabla Parámetros'!$Y$12))))</f>
        <v>0</v>
      </c>
      <c r="N239" s="167"/>
      <c r="O239" s="167"/>
      <c r="P239" s="172">
        <f t="shared" si="42"/>
        <v>0</v>
      </c>
      <c r="Q239" s="167">
        <f t="shared" si="47"/>
        <v>0</v>
      </c>
      <c r="T239" s="6"/>
      <c r="U239" s="6"/>
      <c r="V239" s="6"/>
      <c r="W239" s="29">
        <f t="shared" si="43"/>
        <v>0</v>
      </c>
    </row>
    <row r="240" spans="2:23" x14ac:dyDescent="0.3">
      <c r="B240" s="181">
        <f t="shared" si="38"/>
        <v>223</v>
      </c>
      <c r="C240" s="180">
        <f t="shared" si="39"/>
        <v>30.4</v>
      </c>
      <c r="D240" s="193">
        <f>IF(B240="","",'Tabla Parámetros'!$G$5)</f>
        <v>0.11799999999999999</v>
      </c>
      <c r="E240" s="167"/>
      <c r="F240" s="167">
        <f t="shared" si="45"/>
        <v>0</v>
      </c>
      <c r="G240" s="166"/>
      <c r="H240" s="167">
        <f t="shared" si="46"/>
        <v>0</v>
      </c>
      <c r="I240" s="167">
        <f t="shared" si="40"/>
        <v>0</v>
      </c>
      <c r="J240" s="167">
        <f>IF(C240="","",IF(F240=0,0,IF(C240&lt;='Tabla Parámetros'!$J$23,I240,IF($E$2='Tabla Parámetros'!$J$19,((($H$2/1000*'Tabla Parámetros'!$K$19)/30.4*C240)*1.0212^18),IF($E$2='Tabla Parámetros'!$J$20,($H$2/1000*'Tabla Parámetros'!$K$20)/30.4*C240)*1.0201^18)))+N240+O240)</f>
        <v>0</v>
      </c>
      <c r="K240" s="167">
        <f t="shared" si="41"/>
        <v>0</v>
      </c>
      <c r="L240" s="167">
        <f t="shared" si="44"/>
        <v>0</v>
      </c>
      <c r="M240" s="167">
        <f>IF(B240="","",IF(F240=0,0,IF(Simulador!$F$11='Tabla Parámetros'!$W$1,'Tabla Parámetros'!$W$28,IF(Simulador!$F$11='Tabla Parámetros'!$Y$1,'Tabla Parámetros'!$Y$12))))</f>
        <v>0</v>
      </c>
      <c r="N240" s="167"/>
      <c r="O240" s="167"/>
      <c r="P240" s="172">
        <f t="shared" si="42"/>
        <v>0</v>
      </c>
      <c r="Q240" s="167">
        <f t="shared" si="47"/>
        <v>0</v>
      </c>
      <c r="T240" s="6"/>
      <c r="U240" s="6"/>
      <c r="V240" s="6"/>
      <c r="W240" s="29">
        <f t="shared" si="43"/>
        <v>0</v>
      </c>
    </row>
    <row r="241" spans="2:23" x14ac:dyDescent="0.3">
      <c r="B241" s="181">
        <f t="shared" si="38"/>
        <v>224</v>
      </c>
      <c r="C241" s="180">
        <f t="shared" si="39"/>
        <v>30.4</v>
      </c>
      <c r="D241" s="193">
        <f>IF(B241="","",'Tabla Parámetros'!$G$5)</f>
        <v>0.11799999999999999</v>
      </c>
      <c r="E241" s="167"/>
      <c r="F241" s="167">
        <f t="shared" si="45"/>
        <v>0</v>
      </c>
      <c r="G241" s="166"/>
      <c r="H241" s="167">
        <f t="shared" si="46"/>
        <v>0</v>
      </c>
      <c r="I241" s="167">
        <f t="shared" si="40"/>
        <v>0</v>
      </c>
      <c r="J241" s="167">
        <f>IF(C241="","",IF(F241=0,0,IF(C241&lt;='Tabla Parámetros'!$J$23,I241,IF($E$2='Tabla Parámetros'!$J$19,((($H$2/1000*'Tabla Parámetros'!$K$19)/30.4*C241)*1.0212^18),IF($E$2='Tabla Parámetros'!$J$20,($H$2/1000*'Tabla Parámetros'!$K$20)/30.4*C241)*1.0201^18)))+N241+O241)</f>
        <v>0</v>
      </c>
      <c r="K241" s="167">
        <f t="shared" si="41"/>
        <v>0</v>
      </c>
      <c r="L241" s="167">
        <f t="shared" si="44"/>
        <v>0</v>
      </c>
      <c r="M241" s="167">
        <f>IF(B241="","",IF(F241=0,0,IF(Simulador!$F$11='Tabla Parámetros'!$W$1,'Tabla Parámetros'!$W$28,IF(Simulador!$F$11='Tabla Parámetros'!$Y$1,'Tabla Parámetros'!$Y$12))))</f>
        <v>0</v>
      </c>
      <c r="N241" s="167"/>
      <c r="O241" s="167"/>
      <c r="P241" s="172">
        <f t="shared" si="42"/>
        <v>0</v>
      </c>
      <c r="Q241" s="167">
        <f t="shared" si="47"/>
        <v>0</v>
      </c>
      <c r="T241" s="6"/>
      <c r="U241" s="6"/>
      <c r="V241" s="6"/>
      <c r="W241" s="29">
        <f t="shared" si="43"/>
        <v>0</v>
      </c>
    </row>
    <row r="242" spans="2:23" x14ac:dyDescent="0.3">
      <c r="B242" s="181">
        <f t="shared" si="38"/>
        <v>225</v>
      </c>
      <c r="C242" s="180">
        <f t="shared" si="39"/>
        <v>30.4</v>
      </c>
      <c r="D242" s="193">
        <f>IF(B242="","",'Tabla Parámetros'!$G$5)</f>
        <v>0.11799999999999999</v>
      </c>
      <c r="E242" s="167"/>
      <c r="F242" s="167">
        <f t="shared" si="45"/>
        <v>0</v>
      </c>
      <c r="G242" s="166"/>
      <c r="H242" s="167">
        <f t="shared" si="46"/>
        <v>0</v>
      </c>
      <c r="I242" s="167">
        <f t="shared" si="40"/>
        <v>0</v>
      </c>
      <c r="J242" s="167">
        <f>IF(C242="","",IF(F242=0,0,IF(C242&lt;='Tabla Parámetros'!$J$23,I242,IF($E$2='Tabla Parámetros'!$J$19,((($H$2/1000*'Tabla Parámetros'!$K$19)/30.4*C242)*1.0212^18),IF($E$2='Tabla Parámetros'!$J$20,($H$2/1000*'Tabla Parámetros'!$K$20)/30.4*C242)*1.0201^18)))+N242+O242)</f>
        <v>0</v>
      </c>
      <c r="K242" s="167">
        <f t="shared" si="41"/>
        <v>0</v>
      </c>
      <c r="L242" s="167">
        <f t="shared" si="44"/>
        <v>0</v>
      </c>
      <c r="M242" s="167">
        <f>IF(B242="","",IF(F242=0,0,IF(Simulador!$F$11='Tabla Parámetros'!$W$1,'Tabla Parámetros'!$W$28,IF(Simulador!$F$11='Tabla Parámetros'!$Y$1,'Tabla Parámetros'!$Y$12))))</f>
        <v>0</v>
      </c>
      <c r="N242" s="167"/>
      <c r="O242" s="167"/>
      <c r="P242" s="172">
        <f t="shared" si="42"/>
        <v>0</v>
      </c>
      <c r="Q242" s="167">
        <f t="shared" si="47"/>
        <v>0</v>
      </c>
      <c r="T242" s="6"/>
      <c r="U242" s="6"/>
      <c r="V242" s="6"/>
      <c r="W242" s="29">
        <f t="shared" si="43"/>
        <v>0</v>
      </c>
    </row>
    <row r="243" spans="2:23" x14ac:dyDescent="0.3">
      <c r="B243" s="181">
        <f t="shared" si="38"/>
        <v>226</v>
      </c>
      <c r="C243" s="180">
        <f t="shared" si="39"/>
        <v>30.4</v>
      </c>
      <c r="D243" s="193">
        <f>IF(B243="","",'Tabla Parámetros'!$G$5)</f>
        <v>0.11799999999999999</v>
      </c>
      <c r="E243" s="167"/>
      <c r="F243" s="167">
        <f t="shared" si="45"/>
        <v>0</v>
      </c>
      <c r="G243" s="166"/>
      <c r="H243" s="167">
        <f t="shared" si="46"/>
        <v>0</v>
      </c>
      <c r="I243" s="167">
        <f t="shared" si="40"/>
        <v>0</v>
      </c>
      <c r="J243" s="167">
        <f>IF(C243="","",IF(F243=0,0,IF(C243&lt;='Tabla Parámetros'!$J$23,I243,IF($E$2='Tabla Parámetros'!$J$19,((($H$2/1000*'Tabla Parámetros'!$K$19)/30.4*C243)*1.0212^18),IF($E$2='Tabla Parámetros'!$J$20,($H$2/1000*'Tabla Parámetros'!$K$20)/30.4*C243)*1.0201^18)))+N243+O243)</f>
        <v>0</v>
      </c>
      <c r="K243" s="167">
        <f t="shared" si="41"/>
        <v>0</v>
      </c>
      <c r="L243" s="167">
        <f t="shared" si="44"/>
        <v>0</v>
      </c>
      <c r="M243" s="167">
        <f>IF(B243="","",IF(F243=0,0,IF(Simulador!$F$11='Tabla Parámetros'!$W$1,'Tabla Parámetros'!$W$28,IF(Simulador!$F$11='Tabla Parámetros'!$Y$1,'Tabla Parámetros'!$Y$12))))</f>
        <v>0</v>
      </c>
      <c r="N243" s="167"/>
      <c r="O243" s="167"/>
      <c r="P243" s="172">
        <f t="shared" si="42"/>
        <v>0</v>
      </c>
      <c r="Q243" s="167">
        <f t="shared" si="47"/>
        <v>0</v>
      </c>
      <c r="W243" s="29">
        <f t="shared" si="43"/>
        <v>0</v>
      </c>
    </row>
    <row r="244" spans="2:23" x14ac:dyDescent="0.3">
      <c r="B244" s="181">
        <f t="shared" si="38"/>
        <v>227</v>
      </c>
      <c r="C244" s="180">
        <f t="shared" si="39"/>
        <v>30.4</v>
      </c>
      <c r="D244" s="193">
        <f>IF(B244="","",'Tabla Parámetros'!$G$5)</f>
        <v>0.11799999999999999</v>
      </c>
      <c r="E244" s="167"/>
      <c r="F244" s="167">
        <f t="shared" si="45"/>
        <v>0</v>
      </c>
      <c r="G244" s="166"/>
      <c r="H244" s="167">
        <f t="shared" si="46"/>
        <v>0</v>
      </c>
      <c r="I244" s="167">
        <f t="shared" si="40"/>
        <v>0</v>
      </c>
      <c r="J244" s="167">
        <f>IF(C244="","",IF(F244=0,0,IF(C244&lt;='Tabla Parámetros'!$J$23,I244,IF($E$2='Tabla Parámetros'!$J$19,((($H$2/1000*'Tabla Parámetros'!$K$19)/30.4*C244)*1.0212^18),IF($E$2='Tabla Parámetros'!$J$20,($H$2/1000*'Tabla Parámetros'!$K$20)/30.4*C244)*1.0201^18)))+N244+O244)</f>
        <v>0</v>
      </c>
      <c r="K244" s="167">
        <f t="shared" si="41"/>
        <v>0</v>
      </c>
      <c r="L244" s="167">
        <f t="shared" si="44"/>
        <v>0</v>
      </c>
      <c r="M244" s="167">
        <f>IF(B244="","",IF(F244=0,0,IF(Simulador!$F$11='Tabla Parámetros'!$W$1,'Tabla Parámetros'!$W$28,IF(Simulador!$F$11='Tabla Parámetros'!$Y$1,'Tabla Parámetros'!$Y$12))))</f>
        <v>0</v>
      </c>
      <c r="N244" s="167"/>
      <c r="O244" s="167"/>
      <c r="P244" s="172">
        <f t="shared" si="42"/>
        <v>0</v>
      </c>
      <c r="Q244" s="167">
        <f t="shared" si="47"/>
        <v>0</v>
      </c>
      <c r="W244" s="29">
        <f t="shared" si="43"/>
        <v>0</v>
      </c>
    </row>
    <row r="245" spans="2:23" x14ac:dyDescent="0.3">
      <c r="B245" s="181">
        <f t="shared" si="38"/>
        <v>228</v>
      </c>
      <c r="C245" s="180">
        <f t="shared" si="39"/>
        <v>30.4</v>
      </c>
      <c r="D245" s="193">
        <f>IF(B245="","",'Tabla Parámetros'!$G$5)</f>
        <v>0.11799999999999999</v>
      </c>
      <c r="E245" s="167"/>
      <c r="F245" s="167">
        <f t="shared" si="45"/>
        <v>0</v>
      </c>
      <c r="G245" s="166"/>
      <c r="H245" s="167">
        <f t="shared" si="46"/>
        <v>0</v>
      </c>
      <c r="I245" s="167">
        <f t="shared" si="40"/>
        <v>0</v>
      </c>
      <c r="J245" s="167">
        <f>IF(C245="","",IF(F245=0,0,IF(C245&lt;='Tabla Parámetros'!$J$23,I245,IF($E$2='Tabla Parámetros'!$J$19,((($H$2/1000*'Tabla Parámetros'!$K$19)/30.4*C245)*1.0212^18),IF($E$2='Tabla Parámetros'!$J$20,($H$2/1000*'Tabla Parámetros'!$K$20)/30.4*C245)*1.0201^18)))+N245+O245)</f>
        <v>0</v>
      </c>
      <c r="K245" s="167">
        <f t="shared" si="41"/>
        <v>0</v>
      </c>
      <c r="L245" s="167">
        <f t="shared" si="44"/>
        <v>0</v>
      </c>
      <c r="M245" s="167">
        <f>IF(B245="","",IF(F245=0,0,IF(Simulador!$F$11='Tabla Parámetros'!$W$1,'Tabla Parámetros'!$W$28,IF(Simulador!$F$11='Tabla Parámetros'!$Y$1,'Tabla Parámetros'!$Y$12))))</f>
        <v>0</v>
      </c>
      <c r="N245" s="167"/>
      <c r="O245" s="167"/>
      <c r="P245" s="172">
        <f t="shared" si="42"/>
        <v>0</v>
      </c>
      <c r="Q245" s="167">
        <f t="shared" si="47"/>
        <v>0</v>
      </c>
      <c r="W245" s="29">
        <f t="shared" si="43"/>
        <v>0</v>
      </c>
    </row>
    <row r="246" spans="2:23" x14ac:dyDescent="0.3">
      <c r="B246" s="181">
        <f t="shared" si="38"/>
        <v>229</v>
      </c>
      <c r="C246" s="180">
        <f t="shared" si="39"/>
        <v>30.4</v>
      </c>
      <c r="D246" s="193">
        <f>IF(B246="","",'Tabla Parámetros'!$G$5)</f>
        <v>0.11799999999999999</v>
      </c>
      <c r="E246" s="167"/>
      <c r="F246" s="167">
        <f t="shared" si="45"/>
        <v>0</v>
      </c>
      <c r="G246" s="166"/>
      <c r="H246" s="167">
        <f t="shared" si="46"/>
        <v>0</v>
      </c>
      <c r="I246" s="167">
        <f t="shared" si="40"/>
        <v>0</v>
      </c>
      <c r="J246" s="167">
        <f>IF(C246="","",IF(F246=0,0,IF(C246&lt;='Tabla Parámetros'!$J$23,I246,IF($E$2='Tabla Parámetros'!$J$19,((($H$2/1000*'Tabla Parámetros'!$K$19)/30.4*C246)*1.0212^18),IF($E$2='Tabla Parámetros'!$J$20,($H$2/1000*'Tabla Parámetros'!$K$20)/30.4*C246)*1.0201^18)))+N246+O246)</f>
        <v>0</v>
      </c>
      <c r="K246" s="167">
        <f t="shared" si="41"/>
        <v>0</v>
      </c>
      <c r="L246" s="167">
        <f t="shared" si="44"/>
        <v>0</v>
      </c>
      <c r="M246" s="167">
        <f>IF(B246="","",IF(F246=0,0,IF(Simulador!$F$11='Tabla Parámetros'!$W$1,'Tabla Parámetros'!$W$28,IF(Simulador!$F$11='Tabla Parámetros'!$Y$1,'Tabla Parámetros'!$Y$12))))</f>
        <v>0</v>
      </c>
      <c r="N246" s="167"/>
      <c r="O246" s="167"/>
      <c r="P246" s="172">
        <f t="shared" si="42"/>
        <v>0</v>
      </c>
      <c r="Q246" s="167">
        <f t="shared" si="47"/>
        <v>0</v>
      </c>
      <c r="W246" s="29">
        <f t="shared" si="43"/>
        <v>0</v>
      </c>
    </row>
    <row r="247" spans="2:23" x14ac:dyDescent="0.3">
      <c r="B247" s="181">
        <f t="shared" si="38"/>
        <v>230</v>
      </c>
      <c r="C247" s="180">
        <f t="shared" si="39"/>
        <v>30.4</v>
      </c>
      <c r="D247" s="193">
        <f>IF(B247="","",'Tabla Parámetros'!$G$5)</f>
        <v>0.11799999999999999</v>
      </c>
      <c r="E247" s="167"/>
      <c r="F247" s="167">
        <f t="shared" si="45"/>
        <v>0</v>
      </c>
      <c r="G247" s="166"/>
      <c r="H247" s="167">
        <f t="shared" si="46"/>
        <v>0</v>
      </c>
      <c r="I247" s="167">
        <f t="shared" si="40"/>
        <v>0</v>
      </c>
      <c r="J247" s="167">
        <f>IF(C247="","",IF(F247=0,0,IF(C247&lt;='Tabla Parámetros'!$J$23,I247,IF($E$2='Tabla Parámetros'!$J$19,((($H$2/1000*'Tabla Parámetros'!$K$19)/30.4*C247)*1.0212^19),IF($E$2='Tabla Parámetros'!$J$20,($H$2/1000*'Tabla Parámetros'!$K$20)/30.4*C247)*1.0201^19)))+N247+O247)</f>
        <v>0</v>
      </c>
      <c r="K247" s="167">
        <f t="shared" si="41"/>
        <v>0</v>
      </c>
      <c r="L247" s="167">
        <f t="shared" si="44"/>
        <v>0</v>
      </c>
      <c r="M247" s="167">
        <f>IF(B247="","",IF(F247=0,0,IF(Simulador!$F$11='Tabla Parámetros'!$W$1,'Tabla Parámetros'!$W$28,IF(Simulador!$F$11='Tabla Parámetros'!$Y$1,'Tabla Parámetros'!$Y$12))))</f>
        <v>0</v>
      </c>
      <c r="N247" s="167"/>
      <c r="O247" s="167"/>
      <c r="P247" s="172">
        <f t="shared" si="42"/>
        <v>0</v>
      </c>
      <c r="Q247" s="167">
        <f t="shared" si="47"/>
        <v>0</v>
      </c>
      <c r="W247" s="29">
        <f t="shared" si="43"/>
        <v>0</v>
      </c>
    </row>
    <row r="248" spans="2:23" x14ac:dyDescent="0.3">
      <c r="B248" s="181">
        <f t="shared" si="38"/>
        <v>231</v>
      </c>
      <c r="C248" s="180">
        <f t="shared" si="39"/>
        <v>30.4</v>
      </c>
      <c r="D248" s="193">
        <f>IF(B248="","",'Tabla Parámetros'!$G$5)</f>
        <v>0.11799999999999999</v>
      </c>
      <c r="E248" s="167"/>
      <c r="F248" s="167">
        <f t="shared" si="45"/>
        <v>0</v>
      </c>
      <c r="G248" s="166"/>
      <c r="H248" s="167">
        <f t="shared" si="46"/>
        <v>0</v>
      </c>
      <c r="I248" s="167">
        <f t="shared" si="40"/>
        <v>0</v>
      </c>
      <c r="J248" s="167">
        <f>IF(C248="","",IF(F248=0,0,IF(C248&lt;='Tabla Parámetros'!$J$23,I248,IF($E$2='Tabla Parámetros'!$J$19,((($H$2/1000*'Tabla Parámetros'!$K$19)/30.4*C248)*1.0212^19),IF($E$2='Tabla Parámetros'!$J$20,($H$2/1000*'Tabla Parámetros'!$K$20)/30.4*C248)*1.0201^19)))+N248+O248)</f>
        <v>0</v>
      </c>
      <c r="K248" s="167">
        <f t="shared" si="41"/>
        <v>0</v>
      </c>
      <c r="L248" s="167">
        <f t="shared" si="44"/>
        <v>0</v>
      </c>
      <c r="M248" s="167">
        <f>IF(B248="","",IF(F248=0,0,IF(Simulador!$F$11='Tabla Parámetros'!$W$1,'Tabla Parámetros'!$W$28,IF(Simulador!$F$11='Tabla Parámetros'!$Y$1,'Tabla Parámetros'!$Y$12))))</f>
        <v>0</v>
      </c>
      <c r="N248" s="167"/>
      <c r="O248" s="167"/>
      <c r="P248" s="172">
        <f t="shared" si="42"/>
        <v>0</v>
      </c>
      <c r="Q248" s="167">
        <f t="shared" si="47"/>
        <v>0</v>
      </c>
      <c r="W248" s="29">
        <f t="shared" si="43"/>
        <v>0</v>
      </c>
    </row>
    <row r="249" spans="2:23" x14ac:dyDescent="0.3">
      <c r="B249" s="181">
        <f t="shared" si="38"/>
        <v>232</v>
      </c>
      <c r="C249" s="180">
        <f t="shared" si="39"/>
        <v>30.4</v>
      </c>
      <c r="D249" s="193">
        <f>IF(B249="","",'Tabla Parámetros'!$G$5)</f>
        <v>0.11799999999999999</v>
      </c>
      <c r="E249" s="167"/>
      <c r="F249" s="167">
        <f t="shared" si="45"/>
        <v>0</v>
      </c>
      <c r="G249" s="166"/>
      <c r="H249" s="167">
        <f t="shared" si="46"/>
        <v>0</v>
      </c>
      <c r="I249" s="167">
        <f t="shared" si="40"/>
        <v>0</v>
      </c>
      <c r="J249" s="167">
        <f>IF(C249="","",IF(F249=0,0,IF(C249&lt;='Tabla Parámetros'!$J$23,I249,IF($E$2='Tabla Parámetros'!$J$19,((($H$2/1000*'Tabla Parámetros'!$K$19)/30.4*C249)*1.0212^19),IF($E$2='Tabla Parámetros'!$J$20,($H$2/1000*'Tabla Parámetros'!$K$20)/30.4*C249)*1.0201^19)))+N249+O249)</f>
        <v>0</v>
      </c>
      <c r="K249" s="167">
        <f t="shared" si="41"/>
        <v>0</v>
      </c>
      <c r="L249" s="167">
        <f t="shared" si="44"/>
        <v>0</v>
      </c>
      <c r="M249" s="167">
        <f>IF(B249="","",IF(F249=0,0,IF(Simulador!$F$11='Tabla Parámetros'!$W$1,'Tabla Parámetros'!$W$28,IF(Simulador!$F$11='Tabla Parámetros'!$Y$1,'Tabla Parámetros'!$Y$12))))</f>
        <v>0</v>
      </c>
      <c r="N249" s="167"/>
      <c r="O249" s="167"/>
      <c r="P249" s="172">
        <f t="shared" si="42"/>
        <v>0</v>
      </c>
      <c r="Q249" s="167">
        <f t="shared" si="47"/>
        <v>0</v>
      </c>
      <c r="W249" s="29">
        <f t="shared" si="43"/>
        <v>0</v>
      </c>
    </row>
    <row r="250" spans="2:23" x14ac:dyDescent="0.3">
      <c r="B250" s="181">
        <f t="shared" si="38"/>
        <v>233</v>
      </c>
      <c r="C250" s="180">
        <f t="shared" si="39"/>
        <v>30.4</v>
      </c>
      <c r="D250" s="193">
        <f>IF(B250="","",'Tabla Parámetros'!$G$5)</f>
        <v>0.11799999999999999</v>
      </c>
      <c r="E250" s="167"/>
      <c r="F250" s="167">
        <f t="shared" si="45"/>
        <v>0</v>
      </c>
      <c r="G250" s="166"/>
      <c r="H250" s="167">
        <f t="shared" si="46"/>
        <v>0</v>
      </c>
      <c r="I250" s="167">
        <f t="shared" si="40"/>
        <v>0</v>
      </c>
      <c r="J250" s="167">
        <f>IF(C250="","",IF(F250=0,0,IF(C250&lt;='Tabla Parámetros'!$J$23,I250,IF($E$2='Tabla Parámetros'!$J$19,((($H$2/1000*'Tabla Parámetros'!$K$19)/30.4*C250)*1.0212^19),IF($E$2='Tabla Parámetros'!$J$20,($H$2/1000*'Tabla Parámetros'!$K$20)/30.4*C250)*1.0201^19)))+N250+O250)</f>
        <v>0</v>
      </c>
      <c r="K250" s="167">
        <f t="shared" si="41"/>
        <v>0</v>
      </c>
      <c r="L250" s="167">
        <f t="shared" si="44"/>
        <v>0</v>
      </c>
      <c r="M250" s="167">
        <f>IF(B250="","",IF(F250=0,0,IF(Simulador!$F$11='Tabla Parámetros'!$W$1,'Tabla Parámetros'!$W$28,IF(Simulador!$F$11='Tabla Parámetros'!$Y$1,'Tabla Parámetros'!$Y$12))))</f>
        <v>0</v>
      </c>
      <c r="N250" s="167"/>
      <c r="O250" s="167"/>
      <c r="P250" s="172">
        <f t="shared" si="42"/>
        <v>0</v>
      </c>
      <c r="Q250" s="167">
        <f t="shared" si="47"/>
        <v>0</v>
      </c>
      <c r="W250" s="29">
        <f t="shared" si="43"/>
        <v>0</v>
      </c>
    </row>
    <row r="251" spans="2:23" x14ac:dyDescent="0.3">
      <c r="B251" s="181">
        <f t="shared" si="38"/>
        <v>234</v>
      </c>
      <c r="C251" s="180">
        <f t="shared" si="39"/>
        <v>30.4</v>
      </c>
      <c r="D251" s="193">
        <f>IF(B251="","",'Tabla Parámetros'!$G$5)</f>
        <v>0.11799999999999999</v>
      </c>
      <c r="E251" s="167"/>
      <c r="F251" s="167">
        <f t="shared" si="45"/>
        <v>0</v>
      </c>
      <c r="G251" s="166"/>
      <c r="H251" s="167">
        <f t="shared" si="46"/>
        <v>0</v>
      </c>
      <c r="I251" s="167">
        <f t="shared" si="40"/>
        <v>0</v>
      </c>
      <c r="J251" s="167">
        <f>IF(C251="","",IF(F251=0,0,IF(C251&lt;='Tabla Parámetros'!$J$23,I251,IF($E$2='Tabla Parámetros'!$J$19,((($H$2/1000*'Tabla Parámetros'!$K$19)/30.4*C251)*1.0212^19),IF($E$2='Tabla Parámetros'!$J$20,($H$2/1000*'Tabla Parámetros'!$K$20)/30.4*C251)*1.0201^19)))+N251+O251)</f>
        <v>0</v>
      </c>
      <c r="K251" s="167">
        <f t="shared" si="41"/>
        <v>0</v>
      </c>
      <c r="L251" s="167">
        <f t="shared" si="44"/>
        <v>0</v>
      </c>
      <c r="M251" s="167">
        <f>IF(B251="","",IF(F251=0,0,IF(Simulador!$F$11='Tabla Parámetros'!$W$1,'Tabla Parámetros'!$W$28,IF(Simulador!$F$11='Tabla Parámetros'!$Y$1,'Tabla Parámetros'!$Y$12))))</f>
        <v>0</v>
      </c>
      <c r="N251" s="167"/>
      <c r="O251" s="167"/>
      <c r="P251" s="172">
        <f t="shared" si="42"/>
        <v>0</v>
      </c>
      <c r="Q251" s="167">
        <f t="shared" si="47"/>
        <v>0</v>
      </c>
      <c r="W251" s="29">
        <f t="shared" si="43"/>
        <v>0</v>
      </c>
    </row>
    <row r="252" spans="2:23" x14ac:dyDescent="0.3">
      <c r="B252" s="181">
        <f t="shared" si="38"/>
        <v>235</v>
      </c>
      <c r="C252" s="180">
        <f t="shared" si="39"/>
        <v>30.4</v>
      </c>
      <c r="D252" s="193">
        <f>IF(B252="","",'Tabla Parámetros'!$G$5)</f>
        <v>0.11799999999999999</v>
      </c>
      <c r="E252" s="167"/>
      <c r="F252" s="167">
        <f t="shared" si="45"/>
        <v>0</v>
      </c>
      <c r="G252" s="166"/>
      <c r="H252" s="167">
        <f t="shared" si="46"/>
        <v>0</v>
      </c>
      <c r="I252" s="167">
        <f t="shared" si="40"/>
        <v>0</v>
      </c>
      <c r="J252" s="167">
        <f>IF(C252="","",IF(F252=0,0,IF(C252&lt;='Tabla Parámetros'!$J$23,I252,IF($E$2='Tabla Parámetros'!$J$19,((($H$2/1000*'Tabla Parámetros'!$K$19)/30.4*C252)*1.0212^19),IF($E$2='Tabla Parámetros'!$J$20,($H$2/1000*'Tabla Parámetros'!$K$20)/30.4*C252)*1.0201^19)))+N252+O252)</f>
        <v>0</v>
      </c>
      <c r="K252" s="167">
        <f t="shared" si="41"/>
        <v>0</v>
      </c>
      <c r="L252" s="167">
        <f t="shared" si="44"/>
        <v>0</v>
      </c>
      <c r="M252" s="167">
        <f>IF(B252="","",IF(F252=0,0,IF(Simulador!$F$11='Tabla Parámetros'!$W$1,'Tabla Parámetros'!$W$28,IF(Simulador!$F$11='Tabla Parámetros'!$Y$1,'Tabla Parámetros'!$Y$12))))</f>
        <v>0</v>
      </c>
      <c r="N252" s="167"/>
      <c r="O252" s="167"/>
      <c r="P252" s="172">
        <f t="shared" si="42"/>
        <v>0</v>
      </c>
      <c r="Q252" s="167">
        <f t="shared" si="47"/>
        <v>0</v>
      </c>
      <c r="W252" s="29">
        <f t="shared" si="43"/>
        <v>0</v>
      </c>
    </row>
    <row r="253" spans="2:23" x14ac:dyDescent="0.3">
      <c r="B253" s="181">
        <f t="shared" si="38"/>
        <v>236</v>
      </c>
      <c r="C253" s="180">
        <f t="shared" si="39"/>
        <v>30.4</v>
      </c>
      <c r="D253" s="193">
        <f>IF(B253="","",'Tabla Parámetros'!$G$5)</f>
        <v>0.11799999999999999</v>
      </c>
      <c r="E253" s="167"/>
      <c r="F253" s="167">
        <f t="shared" si="45"/>
        <v>0</v>
      </c>
      <c r="G253" s="166"/>
      <c r="H253" s="167">
        <f t="shared" si="46"/>
        <v>0</v>
      </c>
      <c r="I253" s="167">
        <f t="shared" si="40"/>
        <v>0</v>
      </c>
      <c r="J253" s="167">
        <f>IF(C253="","",IF(F253=0,0,IF(C253&lt;='Tabla Parámetros'!$J$23,I253,IF($E$2='Tabla Parámetros'!$J$19,((($H$2/1000*'Tabla Parámetros'!$K$19)/30.4*C253)*1.0212^19),IF($E$2='Tabla Parámetros'!$J$20,($H$2/1000*'Tabla Parámetros'!$K$20)/30.4*C253)*1.0201^19)))+N253+O253)</f>
        <v>0</v>
      </c>
      <c r="K253" s="167">
        <f t="shared" si="41"/>
        <v>0</v>
      </c>
      <c r="L253" s="167">
        <f t="shared" si="44"/>
        <v>0</v>
      </c>
      <c r="M253" s="167">
        <f>IF(B253="","",IF(F253=0,0,IF(Simulador!$F$11='Tabla Parámetros'!$W$1,'Tabla Parámetros'!$W$28,IF(Simulador!$F$11='Tabla Parámetros'!$Y$1,'Tabla Parámetros'!$Y$12))))</f>
        <v>0</v>
      </c>
      <c r="N253" s="167"/>
      <c r="O253" s="167"/>
      <c r="P253" s="172">
        <f t="shared" si="42"/>
        <v>0</v>
      </c>
      <c r="Q253" s="167">
        <f t="shared" si="47"/>
        <v>0</v>
      </c>
      <c r="W253" s="29">
        <f t="shared" si="43"/>
        <v>0</v>
      </c>
    </row>
    <row r="254" spans="2:23" x14ac:dyDescent="0.3">
      <c r="B254" s="181">
        <f t="shared" si="38"/>
        <v>237</v>
      </c>
      <c r="C254" s="180">
        <f t="shared" si="39"/>
        <v>30.4</v>
      </c>
      <c r="D254" s="193">
        <f>IF(B254="","",'Tabla Parámetros'!$G$5)</f>
        <v>0.11799999999999999</v>
      </c>
      <c r="E254" s="167"/>
      <c r="F254" s="167">
        <f t="shared" si="45"/>
        <v>0</v>
      </c>
      <c r="G254" s="166"/>
      <c r="H254" s="167">
        <f t="shared" si="46"/>
        <v>0</v>
      </c>
      <c r="I254" s="167">
        <f t="shared" si="40"/>
        <v>0</v>
      </c>
      <c r="J254" s="167">
        <f>IF(C254="","",IF(F254=0,0,IF(C254&lt;='Tabla Parámetros'!$J$23,I254,IF($E$2='Tabla Parámetros'!$J$19,((($H$2/1000*'Tabla Parámetros'!$K$19)/30.4*C254)*1.0212^19),IF($E$2='Tabla Parámetros'!$J$20,($H$2/1000*'Tabla Parámetros'!$K$20)/30.4*C254)*1.0201^19)))+N254+O254)</f>
        <v>0</v>
      </c>
      <c r="K254" s="167">
        <f t="shared" si="41"/>
        <v>0</v>
      </c>
      <c r="L254" s="167">
        <f t="shared" si="44"/>
        <v>0</v>
      </c>
      <c r="M254" s="167">
        <f>IF(B254="","",IF(F254=0,0,IF(Simulador!$F$11='Tabla Parámetros'!$W$1,'Tabla Parámetros'!$W$28,IF(Simulador!$F$11='Tabla Parámetros'!$Y$1,'Tabla Parámetros'!$Y$12))))</f>
        <v>0</v>
      </c>
      <c r="N254" s="167"/>
      <c r="O254" s="167"/>
      <c r="P254" s="172">
        <f t="shared" si="42"/>
        <v>0</v>
      </c>
      <c r="Q254" s="167">
        <f t="shared" si="47"/>
        <v>0</v>
      </c>
      <c r="W254" s="29">
        <f t="shared" si="43"/>
        <v>0</v>
      </c>
    </row>
    <row r="255" spans="2:23" x14ac:dyDescent="0.3">
      <c r="B255" s="181">
        <f t="shared" si="38"/>
        <v>238</v>
      </c>
      <c r="C255" s="180">
        <f t="shared" si="39"/>
        <v>30.4</v>
      </c>
      <c r="D255" s="193">
        <f>IF(B255="","",'Tabla Parámetros'!$G$5)</f>
        <v>0.11799999999999999</v>
      </c>
      <c r="E255" s="167"/>
      <c r="F255" s="167">
        <f t="shared" si="45"/>
        <v>0</v>
      </c>
      <c r="G255" s="166"/>
      <c r="H255" s="167">
        <f t="shared" si="46"/>
        <v>0</v>
      </c>
      <c r="I255" s="167">
        <f t="shared" si="40"/>
        <v>0</v>
      </c>
      <c r="J255" s="167">
        <f>IF(C255="","",IF(F255=0,0,IF(C255&lt;='Tabla Parámetros'!$J$23,I255,IF($E$2='Tabla Parámetros'!$J$19,((($H$2/1000*'Tabla Parámetros'!$K$19)/30.4*C255)*1.0212^19),IF($E$2='Tabla Parámetros'!$J$20,($H$2/1000*'Tabla Parámetros'!$K$20)/30.4*C255)*1.0201^19)))+N255+O255)</f>
        <v>0</v>
      </c>
      <c r="K255" s="167">
        <f t="shared" si="41"/>
        <v>0</v>
      </c>
      <c r="L255" s="167">
        <f t="shared" si="44"/>
        <v>0</v>
      </c>
      <c r="M255" s="167">
        <f>IF(B255="","",IF(F255=0,0,IF(Simulador!$F$11='Tabla Parámetros'!$W$1,'Tabla Parámetros'!$W$28,IF(Simulador!$F$11='Tabla Parámetros'!$Y$1,'Tabla Parámetros'!$Y$12))))</f>
        <v>0</v>
      </c>
      <c r="N255" s="167"/>
      <c r="O255" s="167"/>
      <c r="P255" s="172">
        <f t="shared" si="42"/>
        <v>0</v>
      </c>
      <c r="Q255" s="167">
        <f t="shared" si="47"/>
        <v>0</v>
      </c>
      <c r="W255" s="29">
        <f t="shared" si="43"/>
        <v>0</v>
      </c>
    </row>
    <row r="256" spans="2:23" x14ac:dyDescent="0.3">
      <c r="B256" s="181">
        <f t="shared" si="38"/>
        <v>239</v>
      </c>
      <c r="C256" s="180">
        <f t="shared" si="39"/>
        <v>30.4</v>
      </c>
      <c r="D256" s="193">
        <f>IF(B256="","",'Tabla Parámetros'!$G$5)</f>
        <v>0.11799999999999999</v>
      </c>
      <c r="E256" s="167"/>
      <c r="F256" s="167">
        <f t="shared" si="45"/>
        <v>0</v>
      </c>
      <c r="G256" s="166"/>
      <c r="H256" s="167">
        <f t="shared" si="46"/>
        <v>0</v>
      </c>
      <c r="I256" s="167">
        <f t="shared" si="40"/>
        <v>0</v>
      </c>
      <c r="J256" s="167">
        <f>IF(C256="","",IF(F256=0,0,IF(C256&lt;='Tabla Parámetros'!$J$23,I256,IF($E$2='Tabla Parámetros'!$J$19,((($H$2/1000*'Tabla Parámetros'!$K$19)/30.4*C256)*1.0212^19),IF($E$2='Tabla Parámetros'!$J$20,($H$2/1000*'Tabla Parámetros'!$K$20)/30.4*C256)*1.0201^19)))+N256+O256)</f>
        <v>0</v>
      </c>
      <c r="K256" s="167">
        <f t="shared" si="41"/>
        <v>0</v>
      </c>
      <c r="L256" s="167">
        <f t="shared" si="44"/>
        <v>0</v>
      </c>
      <c r="M256" s="167">
        <f>IF(B256="","",IF(F256=0,0,IF(Simulador!$F$11='Tabla Parámetros'!$W$1,'Tabla Parámetros'!$W$28,IF(Simulador!$F$11='Tabla Parámetros'!$Y$1,'Tabla Parámetros'!$Y$12))))</f>
        <v>0</v>
      </c>
      <c r="N256" s="167"/>
      <c r="O256" s="167"/>
      <c r="P256" s="172">
        <f t="shared" si="42"/>
        <v>0</v>
      </c>
      <c r="Q256" s="167">
        <f t="shared" si="47"/>
        <v>0</v>
      </c>
      <c r="W256" s="29"/>
    </row>
    <row r="257" spans="2:23" x14ac:dyDescent="0.3">
      <c r="B257" s="181">
        <f t="shared" si="38"/>
        <v>240</v>
      </c>
      <c r="C257" s="180">
        <f t="shared" si="39"/>
        <v>30.4</v>
      </c>
      <c r="D257" s="193">
        <f>IF(B257="","",'Tabla Parámetros'!$G$5)</f>
        <v>0.11799999999999999</v>
      </c>
      <c r="E257" s="167"/>
      <c r="F257" s="167">
        <f t="shared" si="45"/>
        <v>0</v>
      </c>
      <c r="G257" s="166"/>
      <c r="H257" s="167">
        <f t="shared" si="46"/>
        <v>0</v>
      </c>
      <c r="I257" s="167">
        <f t="shared" si="40"/>
        <v>0</v>
      </c>
      <c r="J257" s="167">
        <f>IF(C257="","",IF(F257=0,0,IF(C257&lt;='Tabla Parámetros'!$J$23,I257,IF($E$2='Tabla Parámetros'!$J$19,((($H$2/1000*'Tabla Parámetros'!$K$19)/30.4*C257)*1.0212^19),IF($E$2='Tabla Parámetros'!$J$20,($H$2/1000*'Tabla Parámetros'!$K$20)/30.4*C257)*1.0201^19)))+N257+O257)</f>
        <v>0</v>
      </c>
      <c r="K257" s="167">
        <f t="shared" si="41"/>
        <v>0</v>
      </c>
      <c r="L257" s="167">
        <f t="shared" si="44"/>
        <v>0</v>
      </c>
      <c r="M257" s="167">
        <f>IF(B257="","",IF(F257=0,0,IF(Simulador!$F$11='Tabla Parámetros'!$W$1,'Tabla Parámetros'!$W$28,IF(Simulador!$F$11='Tabla Parámetros'!$Y$1,'Tabla Parámetros'!$Y$12))))</f>
        <v>0</v>
      </c>
      <c r="N257" s="167"/>
      <c r="O257" s="167"/>
      <c r="P257" s="172">
        <f t="shared" si="42"/>
        <v>0</v>
      </c>
      <c r="Q257" s="167">
        <f t="shared" si="47"/>
        <v>0</v>
      </c>
      <c r="W257" s="29"/>
    </row>
    <row r="258" spans="2:23" ht="12.5" thickBot="1" x14ac:dyDescent="0.35">
      <c r="B258" s="186"/>
      <c r="C258" s="186"/>
      <c r="D258" s="186"/>
      <c r="E258" s="186"/>
      <c r="F258" s="186"/>
      <c r="G258" s="186"/>
      <c r="H258" s="186"/>
      <c r="I258" s="186"/>
      <c r="J258" s="186"/>
      <c r="K258" s="186"/>
      <c r="L258" s="186"/>
      <c r="M258" s="186"/>
      <c r="N258" s="186"/>
      <c r="O258" s="186"/>
      <c r="P258" s="186"/>
      <c r="Q258" s="186"/>
    </row>
    <row r="259" spans="2:23" ht="13" thickTop="1" thickBot="1" x14ac:dyDescent="0.35">
      <c r="B259" s="187"/>
      <c r="C259" s="187"/>
      <c r="D259" s="187"/>
      <c r="E259" s="187"/>
      <c r="F259" s="187"/>
      <c r="G259" s="187"/>
      <c r="H259" s="188">
        <f t="shared" ref="H259:P259" si="48">SUM(H19:H257)</f>
        <v>0</v>
      </c>
      <c r="I259" s="188">
        <f t="shared" si="48"/>
        <v>0</v>
      </c>
      <c r="J259" s="188">
        <f t="shared" si="48"/>
        <v>0</v>
      </c>
      <c r="K259" s="188">
        <f t="shared" si="48"/>
        <v>0</v>
      </c>
      <c r="L259" s="188">
        <f t="shared" si="48"/>
        <v>0</v>
      </c>
      <c r="M259" s="188">
        <f t="shared" si="48"/>
        <v>0</v>
      </c>
      <c r="N259" s="188">
        <f t="shared" si="48"/>
        <v>0</v>
      </c>
      <c r="O259" s="188">
        <f t="shared" si="48"/>
        <v>0</v>
      </c>
      <c r="P259" s="188">
        <f t="shared" si="48"/>
        <v>0</v>
      </c>
      <c r="Q259" s="188"/>
    </row>
    <row r="260" spans="2:23" ht="12.5" thickTop="1" x14ac:dyDescent="0.3"/>
  </sheetData>
  <conditionalFormatting sqref="B4:Q4">
    <cfRule type="containsBlanks" dxfId="6" priority="3">
      <formula>LEN(TRIM(B4))=0</formula>
    </cfRule>
  </conditionalFormatting>
  <conditionalFormatting sqref="P5:P11">
    <cfRule type="cellIs" dxfId="5" priority="2" operator="lessThan">
      <formula>0</formula>
    </cfRule>
  </conditionalFormatting>
  <conditionalFormatting sqref="P12:P17">
    <cfRule type="cellIs" dxfId="4" priority="1" operator="lessThan">
      <formula>0</formula>
    </cfRule>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6"/>
  <dimension ref="B1:W260"/>
  <sheetViews>
    <sheetView showGridLines="0" topLeftCell="A240" workbookViewId="0">
      <selection activeCell="K10" sqref="K10"/>
    </sheetView>
  </sheetViews>
  <sheetFormatPr baseColWidth="10" defaultColWidth="11.453125" defaultRowHeight="12" x14ac:dyDescent="0.3"/>
  <cols>
    <col min="1" max="1" width="3.7265625" style="82" customWidth="1"/>
    <col min="2" max="2" width="6.453125" style="82" bestFit="1" customWidth="1"/>
    <col min="3" max="3" width="4.7265625" style="82" bestFit="1" customWidth="1"/>
    <col min="4" max="4" width="11.54296875" style="82" bestFit="1" customWidth="1"/>
    <col min="5" max="5" width="11.26953125" style="82" bestFit="1" customWidth="1"/>
    <col min="6" max="6" width="12" style="82" bestFit="1" customWidth="1"/>
    <col min="7" max="7" width="9.7265625" style="82" bestFit="1" customWidth="1"/>
    <col min="8" max="8" width="12" style="82" bestFit="1" customWidth="1"/>
    <col min="9" max="9" width="11.7265625" style="82" customWidth="1"/>
    <col min="10" max="13" width="11.54296875" style="82" bestFit="1" customWidth="1"/>
    <col min="14" max="15" width="11.453125" style="82"/>
    <col min="16" max="16" width="11.54296875" style="82" bestFit="1" customWidth="1"/>
    <col min="17" max="17" width="12.54296875" style="82" bestFit="1" customWidth="1"/>
    <col min="18" max="20" width="11.453125" style="82"/>
    <col min="21" max="21" width="11.7265625" style="82" bestFit="1" customWidth="1"/>
    <col min="22" max="16384" width="11.453125" style="82"/>
  </cols>
  <sheetData>
    <row r="1" spans="2:23" x14ac:dyDescent="0.3">
      <c r="D1" s="82" t="s">
        <v>23</v>
      </c>
      <c r="E1" s="190">
        <f>Simulador!F62</f>
        <v>0.11</v>
      </c>
      <c r="G1" s="101" t="s">
        <v>204</v>
      </c>
      <c r="H1" s="101" t="str">
        <f>Simulador!N9</f>
        <v>Básico</v>
      </c>
      <c r="I1" s="101" t="s">
        <v>207</v>
      </c>
      <c r="J1" s="101" t="s">
        <v>208</v>
      </c>
      <c r="T1" s="6"/>
      <c r="U1" s="6"/>
      <c r="V1" s="6"/>
      <c r="W1" s="35" t="s">
        <v>140</v>
      </c>
    </row>
    <row r="2" spans="2:23" x14ac:dyDescent="0.3">
      <c r="D2" s="82" t="s">
        <v>194</v>
      </c>
      <c r="E2" s="82">
        <f>Simulador!F19</f>
        <v>240</v>
      </c>
      <c r="G2" s="101" t="s">
        <v>197</v>
      </c>
      <c r="H2" s="96">
        <f>Simulador!H48</f>
        <v>1000000</v>
      </c>
      <c r="I2" s="101">
        <f>IF(H1='Tabla Parámetros'!N4,'Tabla Parámetros'!R5,IF(Simulador!N9='Tabla Parámetros'!N3,'Tabla Parámetros'!R10))</f>
        <v>0</v>
      </c>
      <c r="J2" s="101">
        <f>IF(Simulador!N9='Tabla Parámetros'!N4,'Tabla Parámetros'!S5,IF(Simulador!N9='Tabla Parámetros'!N3,'Tabla Parámetros'!T10))</f>
        <v>0</v>
      </c>
      <c r="T2" s="32" t="s">
        <v>135</v>
      </c>
      <c r="U2" s="34">
        <f>H2</f>
        <v>1000000</v>
      </c>
      <c r="V2" s="6"/>
      <c r="W2" s="195">
        <f>-U2+'CAT Flujo Cero'!Flujo_Cero_Parcial</f>
        <v>-1000000</v>
      </c>
    </row>
    <row r="3" spans="2:23" ht="12.5" thickBot="1" x14ac:dyDescent="0.35">
      <c r="T3" s="32" t="s">
        <v>136</v>
      </c>
      <c r="U3" s="14">
        <f>E1</f>
        <v>0.11</v>
      </c>
      <c r="V3" s="6"/>
      <c r="W3" s="29">
        <f>P5</f>
        <v>-83333.333333333328</v>
      </c>
    </row>
    <row r="4" spans="2:23" ht="16.5" customHeight="1" thickBot="1" x14ac:dyDescent="0.35">
      <c r="B4" s="168" t="s">
        <v>16</v>
      </c>
      <c r="C4" s="169" t="s">
        <v>29</v>
      </c>
      <c r="D4" s="169" t="s">
        <v>23</v>
      </c>
      <c r="E4" s="169" t="s">
        <v>0</v>
      </c>
      <c r="F4" s="169" t="s">
        <v>325</v>
      </c>
      <c r="G4" s="169" t="s">
        <v>324</v>
      </c>
      <c r="H4" s="169" t="s">
        <v>31</v>
      </c>
      <c r="I4" s="169" t="s">
        <v>37</v>
      </c>
      <c r="J4" s="169" t="s">
        <v>202</v>
      </c>
      <c r="K4" s="169" t="s">
        <v>20</v>
      </c>
      <c r="L4" s="169" t="s">
        <v>32</v>
      </c>
      <c r="M4" s="169" t="s">
        <v>33</v>
      </c>
      <c r="N4" s="169" t="s">
        <v>6</v>
      </c>
      <c r="O4" s="169" t="s">
        <v>34</v>
      </c>
      <c r="P4" s="169" t="s">
        <v>35</v>
      </c>
      <c r="Q4" s="170" t="s">
        <v>36</v>
      </c>
      <c r="T4" s="32" t="s">
        <v>137</v>
      </c>
      <c r="U4" s="14" t="e">
        <f>IRR(W3:W255,0)</f>
        <v>#VALUE!</v>
      </c>
      <c r="V4" s="6"/>
      <c r="W4" s="29">
        <f t="shared" ref="W4:W67" si="0">P6</f>
        <v>-82260.259259259255</v>
      </c>
    </row>
    <row r="5" spans="2:23" x14ac:dyDescent="0.3">
      <c r="B5" s="179">
        <v>0</v>
      </c>
      <c r="C5" s="180"/>
      <c r="D5" s="165"/>
      <c r="E5" s="167">
        <f>$H$2/12</f>
        <v>83333.333333333328</v>
      </c>
      <c r="F5" s="167">
        <f>IF(Simulador!$N$17='Tabla Parámetros'!$N$10,Simulador!$L$46,IF(Simulador!$N$17='Tabla Parámetros'!$N$11,0,))</f>
        <v>0</v>
      </c>
      <c r="G5" s="167">
        <f>E5*'Tabla Parámetros'!$U$10</f>
        <v>0</v>
      </c>
      <c r="H5" s="167">
        <v>0</v>
      </c>
      <c r="I5" s="167">
        <v>0</v>
      </c>
      <c r="J5" s="167">
        <v>0</v>
      </c>
      <c r="K5" s="167">
        <v>0</v>
      </c>
      <c r="L5" s="167">
        <v>0</v>
      </c>
      <c r="M5" s="167">
        <v>0</v>
      </c>
      <c r="N5" s="172"/>
      <c r="O5" s="172"/>
      <c r="P5" s="167">
        <f>-E5+G5+J5+K5+(L5/1.16)+M5+'CAT Flujo Cero'!Flujo_Cero_Parcial</f>
        <v>-83333.333333333328</v>
      </c>
      <c r="Q5" s="178"/>
      <c r="T5" s="32" t="s">
        <v>138</v>
      </c>
      <c r="U5" s="36" t="e">
        <f>U4*12</f>
        <v>#VALUE!</v>
      </c>
      <c r="V5" s="6"/>
      <c r="W5" s="29">
        <f t="shared" si="0"/>
        <v>-81486.185185185182</v>
      </c>
    </row>
    <row r="6" spans="2:23" x14ac:dyDescent="0.3">
      <c r="B6" s="181">
        <v>1</v>
      </c>
      <c r="C6" s="182">
        <v>30.4</v>
      </c>
      <c r="D6" s="191">
        <f>$E$1</f>
        <v>0.11</v>
      </c>
      <c r="E6" s="177">
        <f t="shared" ref="E6:E16" si="1">$H$2/12</f>
        <v>83333.333333333328</v>
      </c>
      <c r="F6" s="177">
        <f>E5+F5</f>
        <v>83333.333333333328</v>
      </c>
      <c r="G6" s="177">
        <f>E6*'Tabla Parámetros'!$U$10</f>
        <v>0</v>
      </c>
      <c r="H6" s="167">
        <v>0</v>
      </c>
      <c r="I6" s="167">
        <f>(($E$1/360)*30.4)*F6</f>
        <v>774.07407407407402</v>
      </c>
      <c r="J6" s="167">
        <v>0</v>
      </c>
      <c r="K6" s="167">
        <f>$H$2*$I$2</f>
        <v>0</v>
      </c>
      <c r="L6" s="167">
        <f>Simulador!$N$13*$J$2</f>
        <v>0</v>
      </c>
      <c r="M6" s="167">
        <f>IF(Simulador!$F$11='Tabla Parámetros'!$W$1,'Tabla Parámetros'!$W$28,IF(Simulador!$F$11='Tabla Parámetros'!$Y$1,'Tabla Parámetros'!$Y$12))</f>
        <v>299</v>
      </c>
      <c r="N6" s="172"/>
      <c r="O6" s="172"/>
      <c r="P6" s="167">
        <f>SUM(G6:O6)-E6</f>
        <v>-82260.259259259255</v>
      </c>
      <c r="Q6" s="167"/>
      <c r="T6" s="33" t="s">
        <v>139</v>
      </c>
      <c r="U6" s="36" t="e">
        <f>EFFECT(U5,12)</f>
        <v>#VALUE!</v>
      </c>
      <c r="V6" s="6"/>
      <c r="W6" s="29">
        <f t="shared" si="0"/>
        <v>-80712.111111111109</v>
      </c>
    </row>
    <row r="7" spans="2:23" x14ac:dyDescent="0.3">
      <c r="B7" s="179">
        <v>2</v>
      </c>
      <c r="C7" s="180">
        <v>30.4</v>
      </c>
      <c r="D7" s="192">
        <f t="shared" ref="D7:D17" si="2">$E$1</f>
        <v>0.11</v>
      </c>
      <c r="E7" s="167">
        <f t="shared" si="1"/>
        <v>83333.333333333328</v>
      </c>
      <c r="F7" s="167">
        <f>E6+F6</f>
        <v>166666.66666666666</v>
      </c>
      <c r="G7" s="167">
        <f>E7*'Tabla Parámetros'!$U$10</f>
        <v>0</v>
      </c>
      <c r="H7" s="167">
        <v>0</v>
      </c>
      <c r="I7" s="167">
        <f t="shared" ref="I7:I17" si="3">(($E$1/360)*30.4)*F7</f>
        <v>1548.148148148148</v>
      </c>
      <c r="J7" s="167">
        <v>0</v>
      </c>
      <c r="K7" s="167">
        <f t="shared" ref="K7:K17" si="4">$H$2*$I$2</f>
        <v>0</v>
      </c>
      <c r="L7" s="167">
        <f>Simulador!$N$13*$J$2</f>
        <v>0</v>
      </c>
      <c r="M7" s="167">
        <f>IF(Simulador!$F$11='Tabla Parámetros'!$W$1,'Tabla Parámetros'!$W$28,IF(Simulador!$F$11='Tabla Parámetros'!$Y$1,'Tabla Parámetros'!$Y$12))</f>
        <v>299</v>
      </c>
      <c r="N7" s="172"/>
      <c r="O7" s="172"/>
      <c r="P7" s="167">
        <f t="shared" ref="P7:P17" si="5">SUM(G7:O7)-E7</f>
        <v>-81486.185185185182</v>
      </c>
      <c r="Q7" s="167"/>
      <c r="T7" s="37"/>
      <c r="U7" s="38"/>
      <c r="V7" s="6"/>
      <c r="W7" s="29">
        <f t="shared" si="0"/>
        <v>-79938.037037037036</v>
      </c>
    </row>
    <row r="8" spans="2:23" x14ac:dyDescent="0.3">
      <c r="B8" s="179">
        <v>3</v>
      </c>
      <c r="C8" s="180">
        <v>30.4</v>
      </c>
      <c r="D8" s="192">
        <f t="shared" si="2"/>
        <v>0.11</v>
      </c>
      <c r="E8" s="167">
        <f t="shared" si="1"/>
        <v>83333.333333333328</v>
      </c>
      <c r="F8" s="167">
        <f>E7+F7</f>
        <v>250000</v>
      </c>
      <c r="G8" s="167">
        <f>E8*'Tabla Parámetros'!$U$10</f>
        <v>0</v>
      </c>
      <c r="H8" s="167">
        <v>0</v>
      </c>
      <c r="I8" s="167">
        <f t="shared" si="3"/>
        <v>2322.2222222222222</v>
      </c>
      <c r="J8" s="167">
        <v>0</v>
      </c>
      <c r="K8" s="167">
        <f t="shared" si="4"/>
        <v>0</v>
      </c>
      <c r="L8" s="167">
        <f>Simulador!$N$13*$J$2</f>
        <v>0</v>
      </c>
      <c r="M8" s="167">
        <f>IF(Simulador!$F$11='Tabla Parámetros'!$W$1,'Tabla Parámetros'!$W$28,IF(Simulador!$F$11='Tabla Parámetros'!$Y$1,'Tabla Parámetros'!$Y$12))</f>
        <v>299</v>
      </c>
      <c r="N8" s="172"/>
      <c r="O8" s="172"/>
      <c r="P8" s="167">
        <f t="shared" si="5"/>
        <v>-80712.111111111109</v>
      </c>
      <c r="Q8" s="167"/>
      <c r="T8" s="6"/>
      <c r="U8" s="6"/>
      <c r="V8" s="6"/>
      <c r="W8" s="29">
        <f t="shared" si="0"/>
        <v>-79163.962962962964</v>
      </c>
    </row>
    <row r="9" spans="2:23" x14ac:dyDescent="0.3">
      <c r="B9" s="179">
        <v>4</v>
      </c>
      <c r="C9" s="180">
        <v>30.4</v>
      </c>
      <c r="D9" s="192">
        <f t="shared" si="2"/>
        <v>0.11</v>
      </c>
      <c r="E9" s="167">
        <f t="shared" si="1"/>
        <v>83333.333333333328</v>
      </c>
      <c r="F9" s="167">
        <f>E8+F8</f>
        <v>333333.33333333331</v>
      </c>
      <c r="G9" s="167">
        <f>E9*'Tabla Parámetros'!$U$10</f>
        <v>0</v>
      </c>
      <c r="H9" s="167">
        <v>0</v>
      </c>
      <c r="I9" s="167">
        <f t="shared" si="3"/>
        <v>3096.2962962962961</v>
      </c>
      <c r="J9" s="167">
        <v>0</v>
      </c>
      <c r="K9" s="167">
        <f t="shared" si="4"/>
        <v>0</v>
      </c>
      <c r="L9" s="167">
        <f>Simulador!$N$13*$J$2</f>
        <v>0</v>
      </c>
      <c r="M9" s="167">
        <f>IF(Simulador!$F$11='Tabla Parámetros'!$W$1,'Tabla Parámetros'!$W$28,IF(Simulador!$F$11='Tabla Parámetros'!$Y$1,'Tabla Parámetros'!$Y$12))</f>
        <v>299</v>
      </c>
      <c r="N9" s="172"/>
      <c r="O9" s="172"/>
      <c r="P9" s="167">
        <f t="shared" si="5"/>
        <v>-79938.037037037036</v>
      </c>
      <c r="Q9" s="167"/>
      <c r="T9" s="6"/>
      <c r="U9" s="6"/>
      <c r="V9" s="6"/>
      <c r="W9" s="29">
        <f t="shared" si="0"/>
        <v>-78389.888888888891</v>
      </c>
    </row>
    <row r="10" spans="2:23" x14ac:dyDescent="0.3">
      <c r="B10" s="181">
        <v>5</v>
      </c>
      <c r="C10" s="180">
        <v>30.4</v>
      </c>
      <c r="D10" s="192">
        <f t="shared" si="2"/>
        <v>0.11</v>
      </c>
      <c r="E10" s="167">
        <f t="shared" si="1"/>
        <v>83333.333333333328</v>
      </c>
      <c r="F10" s="167">
        <f t="shared" ref="F10:F17" si="6">E9+F9</f>
        <v>416666.66666666663</v>
      </c>
      <c r="G10" s="167">
        <f>E10*'Tabla Parámetros'!$U$10</f>
        <v>0</v>
      </c>
      <c r="H10" s="167">
        <v>0</v>
      </c>
      <c r="I10" s="167">
        <f t="shared" si="3"/>
        <v>3870.3703703703695</v>
      </c>
      <c r="J10" s="167">
        <v>0</v>
      </c>
      <c r="K10" s="167">
        <f t="shared" si="4"/>
        <v>0</v>
      </c>
      <c r="L10" s="167">
        <f>Simulador!$N$13*$J$2</f>
        <v>0</v>
      </c>
      <c r="M10" s="167">
        <f>IF(Simulador!$F$11='Tabla Parámetros'!$W$1,'Tabla Parámetros'!$W$28,IF(Simulador!$F$11='Tabla Parámetros'!$Y$1,'Tabla Parámetros'!$Y$12))</f>
        <v>299</v>
      </c>
      <c r="N10" s="172"/>
      <c r="O10" s="172"/>
      <c r="P10" s="167">
        <f t="shared" si="5"/>
        <v>-79163.962962962964</v>
      </c>
      <c r="Q10" s="167"/>
      <c r="T10" s="6"/>
      <c r="U10" s="6"/>
      <c r="V10" s="6"/>
      <c r="W10" s="29">
        <f t="shared" si="0"/>
        <v>-77615.814814814818</v>
      </c>
    </row>
    <row r="11" spans="2:23" x14ac:dyDescent="0.3">
      <c r="B11" s="179">
        <v>6</v>
      </c>
      <c r="C11" s="180">
        <v>30.4</v>
      </c>
      <c r="D11" s="193">
        <f t="shared" si="2"/>
        <v>0.11</v>
      </c>
      <c r="E11" s="167">
        <f t="shared" si="1"/>
        <v>83333.333333333328</v>
      </c>
      <c r="F11" s="167">
        <f t="shared" si="6"/>
        <v>499999.99999999994</v>
      </c>
      <c r="G11" s="167">
        <f>E11*'Tabla Parámetros'!$U$10</f>
        <v>0</v>
      </c>
      <c r="H11" s="167">
        <v>0</v>
      </c>
      <c r="I11" s="167">
        <f t="shared" si="3"/>
        <v>4644.4444444444434</v>
      </c>
      <c r="J11" s="167">
        <v>0</v>
      </c>
      <c r="K11" s="167">
        <f t="shared" si="4"/>
        <v>0</v>
      </c>
      <c r="L11" s="167">
        <f>Simulador!$N$13*$J$2</f>
        <v>0</v>
      </c>
      <c r="M11" s="167">
        <f>IF(Simulador!$F$11='Tabla Parámetros'!$W$1,'Tabla Parámetros'!$W$28,IF(Simulador!$F$11='Tabla Parámetros'!$Y$1,'Tabla Parámetros'!$Y$12))</f>
        <v>299</v>
      </c>
      <c r="N11" s="172"/>
      <c r="O11" s="172"/>
      <c r="P11" s="167">
        <f t="shared" si="5"/>
        <v>-78389.888888888891</v>
      </c>
      <c r="Q11" s="167"/>
      <c r="T11" s="6"/>
      <c r="U11" s="6"/>
      <c r="V11" s="6"/>
      <c r="W11" s="29">
        <f t="shared" si="0"/>
        <v>-76841.74074074073</v>
      </c>
    </row>
    <row r="12" spans="2:23" x14ac:dyDescent="0.3">
      <c r="B12" s="179">
        <v>7</v>
      </c>
      <c r="C12" s="180">
        <v>30.4</v>
      </c>
      <c r="D12" s="193">
        <f t="shared" si="2"/>
        <v>0.11</v>
      </c>
      <c r="E12" s="167">
        <f t="shared" si="1"/>
        <v>83333.333333333328</v>
      </c>
      <c r="F12" s="167">
        <f t="shared" si="6"/>
        <v>583333.33333333326</v>
      </c>
      <c r="G12" s="167">
        <f>E12*'Tabla Parámetros'!$U$10</f>
        <v>0</v>
      </c>
      <c r="H12" s="167">
        <v>0</v>
      </c>
      <c r="I12" s="167">
        <f t="shared" si="3"/>
        <v>5418.5185185185173</v>
      </c>
      <c r="J12" s="167">
        <v>0</v>
      </c>
      <c r="K12" s="167">
        <f t="shared" si="4"/>
        <v>0</v>
      </c>
      <c r="L12" s="167">
        <f>Simulador!$N$13*$J$2</f>
        <v>0</v>
      </c>
      <c r="M12" s="167">
        <f>IF(Simulador!$F$11='Tabla Parámetros'!$W$1,'Tabla Parámetros'!$W$28,IF(Simulador!$F$11='Tabla Parámetros'!$Y$1,'Tabla Parámetros'!$Y$12))</f>
        <v>299</v>
      </c>
      <c r="N12" s="172"/>
      <c r="O12" s="172"/>
      <c r="P12" s="167">
        <f t="shared" si="5"/>
        <v>-77615.814814814818</v>
      </c>
      <c r="Q12" s="167"/>
      <c r="T12" s="6"/>
      <c r="U12" s="6"/>
      <c r="V12" s="6"/>
      <c r="W12" s="29">
        <f t="shared" si="0"/>
        <v>-76067.666666666657</v>
      </c>
    </row>
    <row r="13" spans="2:23" x14ac:dyDescent="0.3">
      <c r="B13" s="179">
        <v>8</v>
      </c>
      <c r="C13" s="180">
        <v>30.4</v>
      </c>
      <c r="D13" s="193">
        <f t="shared" si="2"/>
        <v>0.11</v>
      </c>
      <c r="E13" s="167">
        <f t="shared" si="1"/>
        <v>83333.333333333328</v>
      </c>
      <c r="F13" s="167">
        <f t="shared" si="6"/>
        <v>666666.66666666663</v>
      </c>
      <c r="G13" s="167">
        <f>E13*'Tabla Parámetros'!$U$10</f>
        <v>0</v>
      </c>
      <c r="H13" s="167">
        <v>0</v>
      </c>
      <c r="I13" s="167">
        <f t="shared" si="3"/>
        <v>6192.5925925925922</v>
      </c>
      <c r="J13" s="167">
        <v>0</v>
      </c>
      <c r="K13" s="167">
        <f t="shared" si="4"/>
        <v>0</v>
      </c>
      <c r="L13" s="167">
        <f>Simulador!$N$13*$J$2</f>
        <v>0</v>
      </c>
      <c r="M13" s="167">
        <f>IF(Simulador!$F$11='Tabla Parámetros'!$W$1,'Tabla Parámetros'!$W$28,IF(Simulador!$F$11='Tabla Parámetros'!$Y$1,'Tabla Parámetros'!$Y$12))</f>
        <v>299</v>
      </c>
      <c r="N13" s="172"/>
      <c r="O13" s="172"/>
      <c r="P13" s="167">
        <f t="shared" si="5"/>
        <v>-76841.74074074073</v>
      </c>
      <c r="Q13" s="167"/>
      <c r="T13" s="6"/>
      <c r="U13" s="6"/>
      <c r="V13" s="6"/>
      <c r="W13" s="29">
        <f t="shared" si="0"/>
        <v>-75293.592592592584</v>
      </c>
    </row>
    <row r="14" spans="2:23" x14ac:dyDescent="0.3">
      <c r="B14" s="181">
        <v>9</v>
      </c>
      <c r="C14" s="180">
        <v>30.4</v>
      </c>
      <c r="D14" s="193">
        <f t="shared" si="2"/>
        <v>0.11</v>
      </c>
      <c r="E14" s="167">
        <f t="shared" si="1"/>
        <v>83333.333333333328</v>
      </c>
      <c r="F14" s="167">
        <f t="shared" si="6"/>
        <v>750000</v>
      </c>
      <c r="G14" s="167">
        <f>E14*'Tabla Parámetros'!$U$10</f>
        <v>0</v>
      </c>
      <c r="H14" s="167">
        <v>0</v>
      </c>
      <c r="I14" s="167">
        <f t="shared" si="3"/>
        <v>6966.6666666666661</v>
      </c>
      <c r="J14" s="167">
        <v>0</v>
      </c>
      <c r="K14" s="167">
        <f t="shared" si="4"/>
        <v>0</v>
      </c>
      <c r="L14" s="167">
        <f>Simulador!$N$13*$J$2</f>
        <v>0</v>
      </c>
      <c r="M14" s="167">
        <f>IF(Simulador!$F$11='Tabla Parámetros'!$W$1,'Tabla Parámetros'!$W$28,IF(Simulador!$F$11='Tabla Parámetros'!$Y$1,'Tabla Parámetros'!$Y$12))</f>
        <v>299</v>
      </c>
      <c r="N14" s="172"/>
      <c r="O14" s="172"/>
      <c r="P14" s="167">
        <f t="shared" si="5"/>
        <v>-76067.666666666657</v>
      </c>
      <c r="Q14" s="167"/>
      <c r="T14" s="6"/>
      <c r="U14" s="6"/>
      <c r="V14" s="6"/>
      <c r="W14" s="29">
        <f t="shared" si="0"/>
        <v>-74519.518518518511</v>
      </c>
    </row>
    <row r="15" spans="2:23" x14ac:dyDescent="0.3">
      <c r="B15" s="179">
        <v>10</v>
      </c>
      <c r="C15" s="180">
        <v>30.4</v>
      </c>
      <c r="D15" s="193">
        <f t="shared" si="2"/>
        <v>0.11</v>
      </c>
      <c r="E15" s="167">
        <f t="shared" si="1"/>
        <v>83333.333333333328</v>
      </c>
      <c r="F15" s="167">
        <f t="shared" si="6"/>
        <v>833333.33333333337</v>
      </c>
      <c r="G15" s="167">
        <f>E15*'Tabla Parámetros'!$U$10</f>
        <v>0</v>
      </c>
      <c r="H15" s="167">
        <v>0</v>
      </c>
      <c r="I15" s="167">
        <f t="shared" si="3"/>
        <v>7740.7407407407409</v>
      </c>
      <c r="J15" s="167">
        <v>0</v>
      </c>
      <c r="K15" s="167">
        <f t="shared" si="4"/>
        <v>0</v>
      </c>
      <c r="L15" s="167">
        <f>Simulador!$N$13*$J$2</f>
        <v>0</v>
      </c>
      <c r="M15" s="167">
        <f>IF(Simulador!$F$11='Tabla Parámetros'!$W$1,'Tabla Parámetros'!$W$28,IF(Simulador!$F$11='Tabla Parámetros'!$Y$1,'Tabla Parámetros'!$Y$12))</f>
        <v>299</v>
      </c>
      <c r="N15" s="172"/>
      <c r="O15" s="172"/>
      <c r="P15" s="167">
        <f t="shared" si="5"/>
        <v>-75293.592592592584</v>
      </c>
      <c r="Q15" s="167"/>
      <c r="T15" s="6"/>
      <c r="U15" s="6"/>
      <c r="V15" s="6"/>
      <c r="W15" s="29">
        <f t="shared" si="0"/>
        <v>9587.8888888888887</v>
      </c>
    </row>
    <row r="16" spans="2:23" x14ac:dyDescent="0.3">
      <c r="B16" s="179">
        <v>11</v>
      </c>
      <c r="C16" s="180">
        <v>30.4</v>
      </c>
      <c r="D16" s="193">
        <f t="shared" si="2"/>
        <v>0.11</v>
      </c>
      <c r="E16" s="167">
        <f t="shared" si="1"/>
        <v>83333.333333333328</v>
      </c>
      <c r="F16" s="167">
        <f t="shared" si="6"/>
        <v>916666.66666666674</v>
      </c>
      <c r="G16" s="167">
        <f>E16*'Tabla Parámetros'!$U$10</f>
        <v>0</v>
      </c>
      <c r="H16" s="167">
        <v>0</v>
      </c>
      <c r="I16" s="167">
        <f t="shared" si="3"/>
        <v>8514.8148148148157</v>
      </c>
      <c r="J16" s="167">
        <v>0</v>
      </c>
      <c r="K16" s="167">
        <f t="shared" si="4"/>
        <v>0</v>
      </c>
      <c r="L16" s="167">
        <f>Simulador!$N$13*$J$2</f>
        <v>0</v>
      </c>
      <c r="M16" s="167">
        <f>IF(Simulador!$F$11='Tabla Parámetros'!$W$1,'Tabla Parámetros'!$W$28,IF(Simulador!$F$11='Tabla Parámetros'!$Y$1,'Tabla Parámetros'!$Y$12))</f>
        <v>299</v>
      </c>
      <c r="N16" s="172"/>
      <c r="O16" s="172"/>
      <c r="P16" s="167">
        <f t="shared" si="5"/>
        <v>-74519.518518518511</v>
      </c>
      <c r="Q16" s="167"/>
      <c r="T16" s="6"/>
      <c r="U16" s="6"/>
      <c r="V16" s="6"/>
      <c r="W16" s="29" t="e">
        <f t="shared" si="0"/>
        <v>#REF!</v>
      </c>
    </row>
    <row r="17" spans="2:23" x14ac:dyDescent="0.3">
      <c r="B17" s="179">
        <v>12</v>
      </c>
      <c r="C17" s="180">
        <v>30.4</v>
      </c>
      <c r="D17" s="193">
        <f t="shared" si="2"/>
        <v>0.11</v>
      </c>
      <c r="E17" s="167"/>
      <c r="F17" s="167">
        <f t="shared" si="6"/>
        <v>1000000.0000000001</v>
      </c>
      <c r="G17" s="167">
        <f>E17*'Tabla Parámetros'!$U$10</f>
        <v>0</v>
      </c>
      <c r="H17" s="167">
        <v>0</v>
      </c>
      <c r="I17" s="167">
        <f t="shared" si="3"/>
        <v>9288.8888888888887</v>
      </c>
      <c r="J17" s="167">
        <v>0</v>
      </c>
      <c r="K17" s="167">
        <f t="shared" si="4"/>
        <v>0</v>
      </c>
      <c r="L17" s="167">
        <f>Simulador!$N$13*$J$2</f>
        <v>0</v>
      </c>
      <c r="M17" s="167">
        <f>IF(Simulador!$F$11='Tabla Parámetros'!$W$1,'Tabla Parámetros'!$W$28,IF(Simulador!$F$11='Tabla Parámetros'!$Y$1,'Tabla Parámetros'!$Y$12))</f>
        <v>299</v>
      </c>
      <c r="N17" s="172"/>
      <c r="O17" s="172"/>
      <c r="P17" s="167">
        <f t="shared" si="5"/>
        <v>9587.8888888888887</v>
      </c>
      <c r="Q17" s="167"/>
      <c r="T17" s="6"/>
      <c r="U17" s="6"/>
      <c r="V17" s="6"/>
      <c r="W17" s="29" t="e">
        <f t="shared" si="0"/>
        <v>#REF!</v>
      </c>
    </row>
    <row r="18" spans="2:23" x14ac:dyDescent="0.3">
      <c r="B18" s="183">
        <v>1</v>
      </c>
      <c r="C18" s="184">
        <v>30.4</v>
      </c>
      <c r="D18" s="194">
        <f>IF(B18="","",$E$1)</f>
        <v>0.11</v>
      </c>
      <c r="E18" s="174"/>
      <c r="F18" s="174">
        <f>F17</f>
        <v>1000000.0000000001</v>
      </c>
      <c r="G18" s="172"/>
      <c r="H18" s="172">
        <f t="shared" ref="H18" si="7">IF(OR($B18="",$B18&lt;=1),0,IF($B18=$E$2,$F18,IF(($J18-$I18+$N18+$O18)&gt;$F18,$F18,$J18-$I18+$N18+$O18)))</f>
        <v>0</v>
      </c>
      <c r="I18" s="172">
        <f t="shared" ref="I18" si="8">IF(B18="",0,((D18/360)*30.4)*F18)</f>
        <v>9288.8888888888887</v>
      </c>
      <c r="J18" s="172" t="e">
        <f>IF(C18="","",IF(F18=0,0,IF(C18&gt;'Tabla Parámetros'!$J$23,I18,IF($E$2='Tabla Parámetros'!$J$19,($H$2/1000*'Tabla Parámetros'!$K$19)/30.4*C18,IF($E$2='Tabla Parámetros'!$J$20,($H$2/1000*'Tabla Parámetros'!$K$20)/30.4*C18)))))+N18+O18</f>
        <v>#REF!</v>
      </c>
      <c r="K18" s="172">
        <f t="shared" ref="K18:K81" si="9">IF(B18="","",IF(F18=0,0,$H$2*$I$2))</f>
        <v>0</v>
      </c>
      <c r="L18" s="172">
        <f>IF(B18="","",IF(F18=0,0,Simulador!$N$13*$J$2))</f>
        <v>0</v>
      </c>
      <c r="M18" s="172">
        <f>IF(B18="","",IF(F18=0,0,IF(Simulador!$F$11='Tabla Parámetros'!$W$1,'Tabla Parámetros'!$W$28,IF(Simulador!$F$11='Tabla Parámetros'!$Y$1,'Tabla Parámetros'!$Y$12))))</f>
        <v>299</v>
      </c>
      <c r="N18" s="172">
        <f>IF(F18=0,0,IF(Simulador!$N$7='Tabla Parámetros'!$C$31,AportPat!L4,0))</f>
        <v>0</v>
      </c>
      <c r="O18" s="172" t="e">
        <f>Simulador!#REF!</f>
        <v>#REF!</v>
      </c>
      <c r="P18" s="172" t="e">
        <f>SUM(J18:M18)-(N18+O18)</f>
        <v>#REF!</v>
      </c>
      <c r="Q18" s="189">
        <f>F18-H18</f>
        <v>1000000.0000000001</v>
      </c>
      <c r="T18" s="6"/>
      <c r="U18" s="6"/>
      <c r="V18" s="6"/>
      <c r="W18" s="29" t="e">
        <f t="shared" si="0"/>
        <v>#REF!</v>
      </c>
    </row>
    <row r="19" spans="2:23" x14ac:dyDescent="0.3">
      <c r="B19" s="181">
        <f>IF(B18=$E$2,"",IF(B18="","",B18+1))</f>
        <v>2</v>
      </c>
      <c r="C19" s="180">
        <f t="shared" ref="C19:C82" si="10">IF(B19="","",30.4)</f>
        <v>30.4</v>
      </c>
      <c r="D19" s="192">
        <f>IF(B19="","",$E$1)</f>
        <v>0.11</v>
      </c>
      <c r="E19" s="167"/>
      <c r="F19" s="167">
        <f>IF(B19="","",F18-H18)</f>
        <v>1000000.0000000001</v>
      </c>
      <c r="G19" s="166"/>
      <c r="H19" s="167" t="e">
        <f t="shared" ref="H19:H82" si="11">IF(OR($B19="",$B19&lt;=1),"",IF($B19=$E$2,$F19,IF(($J19-$I19+$N19+$O19)&gt;$F19,$F19,$J19-$I19+$N19+$O19)))</f>
        <v>#REF!</v>
      </c>
      <c r="I19" s="167">
        <f t="shared" ref="I19:I82" si="12">IF(B19="","",((D19/360)*30.4)*F19)</f>
        <v>9288.8888888888887</v>
      </c>
      <c r="J19" s="167" t="e">
        <f>IF(C19="","",IF(F19=0,0,IF(C19&lt;='Tabla Parámetros'!$J$23,I19,IF($E$2='Tabla Parámetros'!$J$19,($H$2/1000*'Tabla Parámetros'!$K$19)/30.4*C19,IF($E$2='Tabla Parámetros'!$J$20,($H$2/1000*'Tabla Parámetros'!$K$20)/30.4*C19)))))+N19+O19</f>
        <v>#REF!</v>
      </c>
      <c r="K19" s="167">
        <f t="shared" si="9"/>
        <v>0</v>
      </c>
      <c r="L19" s="167">
        <f>IF(B19="","",IF(F19=0,0,Simulador!$N$13*$J$2))</f>
        <v>0</v>
      </c>
      <c r="M19" s="167">
        <f>IF(B19="","",IF(F19=0,0,IF(Simulador!$F$11='Tabla Parámetros'!$W$1,'Tabla Parámetros'!$W$28,IF(Simulador!$F$11='Tabla Parámetros'!$Y$1,'Tabla Parámetros'!$Y$12))))</f>
        <v>299</v>
      </c>
      <c r="N19" s="167">
        <f>IF(F19="","",IF(Simulador!$N$7='Tabla Parámetros'!$C$31,AportPat!L5,0))</f>
        <v>0</v>
      </c>
      <c r="O19" s="172" t="e">
        <f>Simulador!#REF!</f>
        <v>#REF!</v>
      </c>
      <c r="P19" s="167" t="e">
        <f t="shared" ref="P19:P82" si="13">IF(F19="","",SUM(J19:M19)-(N19+O19))</f>
        <v>#REF!</v>
      </c>
      <c r="Q19" s="178" t="e">
        <f>F19-H19</f>
        <v>#REF!</v>
      </c>
      <c r="T19" s="6"/>
      <c r="U19" s="6"/>
      <c r="V19" s="6"/>
      <c r="W19" s="29" t="e">
        <f t="shared" si="0"/>
        <v>#REF!</v>
      </c>
    </row>
    <row r="20" spans="2:23" x14ac:dyDescent="0.3">
      <c r="B20" s="181">
        <f t="shared" ref="B20:B83" si="14">IF(B19=$E$2,"",IF(B19="","",B19+1))</f>
        <v>3</v>
      </c>
      <c r="C20" s="180">
        <f t="shared" si="10"/>
        <v>30.4</v>
      </c>
      <c r="D20" s="193">
        <f t="shared" ref="D20:D54" si="15">IF(B20="","",$E$1)</f>
        <v>0.11</v>
      </c>
      <c r="E20" s="167"/>
      <c r="F20" s="167" t="e">
        <f t="shared" ref="F20:F83" si="16">IF(B20="","",F19-H19)</f>
        <v>#REF!</v>
      </c>
      <c r="G20" s="166"/>
      <c r="H20" s="167" t="e">
        <f t="shared" si="11"/>
        <v>#REF!</v>
      </c>
      <c r="I20" s="167" t="e">
        <f t="shared" si="12"/>
        <v>#REF!</v>
      </c>
      <c r="J20" s="167" t="e">
        <f>IF(C20="","",IF(F20=0,0,IF(C20&lt;='Tabla Parámetros'!$J$23,I20,IF($E$2='Tabla Parámetros'!$J$19,($H$2/1000*'Tabla Parámetros'!$K$19)/30.4*C20,IF($E$2='Tabla Parámetros'!$J$20,($H$2/1000*'Tabla Parámetros'!$K$20)/30.4*C20)))))+N20+O20</f>
        <v>#REF!</v>
      </c>
      <c r="K20" s="167" t="e">
        <f t="shared" si="9"/>
        <v>#REF!</v>
      </c>
      <c r="L20" s="167" t="e">
        <f>IF(B20="","",IF(F20=0,0,Simulador!$N$13*$J$2))</f>
        <v>#REF!</v>
      </c>
      <c r="M20" s="167" t="e">
        <f>IF(B20="","",IF(F20=0,0,IF(Simulador!$F$11='Tabla Parámetros'!$W$1,'Tabla Parámetros'!$W$28,IF(Simulador!$F$11='Tabla Parámetros'!$Y$1,'Tabla Parámetros'!$Y$12))))</f>
        <v>#REF!</v>
      </c>
      <c r="N20" s="167" t="e">
        <f>IF(F20="","",IF(Simulador!$N$7='Tabla Parámetros'!$C$31,AportPat!L6,0))</f>
        <v>#REF!</v>
      </c>
      <c r="O20" s="172" t="e">
        <f>Simulador!#REF!</f>
        <v>#REF!</v>
      </c>
      <c r="P20" s="167" t="e">
        <f t="shared" si="13"/>
        <v>#REF!</v>
      </c>
      <c r="Q20" s="167" t="e">
        <f>IF(B19="","",F20-H20)</f>
        <v>#REF!</v>
      </c>
      <c r="T20" s="6"/>
      <c r="U20" s="6"/>
      <c r="V20" s="6"/>
      <c r="W20" s="29" t="e">
        <f t="shared" si="0"/>
        <v>#REF!</v>
      </c>
    </row>
    <row r="21" spans="2:23" x14ac:dyDescent="0.3">
      <c r="B21" s="181">
        <f t="shared" si="14"/>
        <v>4</v>
      </c>
      <c r="C21" s="180">
        <f t="shared" si="10"/>
        <v>30.4</v>
      </c>
      <c r="D21" s="193">
        <f t="shared" si="15"/>
        <v>0.11</v>
      </c>
      <c r="E21" s="167"/>
      <c r="F21" s="167" t="e">
        <f t="shared" si="16"/>
        <v>#REF!</v>
      </c>
      <c r="G21" s="166"/>
      <c r="H21" s="167" t="e">
        <f t="shared" si="11"/>
        <v>#REF!</v>
      </c>
      <c r="I21" s="167" t="e">
        <f t="shared" si="12"/>
        <v>#REF!</v>
      </c>
      <c r="J21" s="167" t="e">
        <f>IF(C21="","",IF(F21=0,0,IF(C21&lt;='Tabla Parámetros'!$J$23,I21,IF($E$2='Tabla Parámetros'!$J$19,($H$2/1000*'Tabla Parámetros'!$K$19)/30.4*C21,IF($E$2='Tabla Parámetros'!$J$20,($H$2/1000*'Tabla Parámetros'!$K$20)/30.4*C21)))))+N21+O21</f>
        <v>#REF!</v>
      </c>
      <c r="K21" s="167" t="e">
        <f t="shared" si="9"/>
        <v>#REF!</v>
      </c>
      <c r="L21" s="167" t="e">
        <f>IF(B21="","",IF(F21=0,0,Simulador!$N$13*$J$2))</f>
        <v>#REF!</v>
      </c>
      <c r="M21" s="167" t="e">
        <f>IF(B21="","",IF(F21=0,0,IF(Simulador!$F$11='Tabla Parámetros'!$W$1,'Tabla Parámetros'!$W$28,IF(Simulador!$F$11='Tabla Parámetros'!$Y$1,'Tabla Parámetros'!$Y$12))))</f>
        <v>#REF!</v>
      </c>
      <c r="N21" s="167" t="e">
        <f>IF(F21="","",IF(Simulador!$N$7='Tabla Parámetros'!$C$31,AportPat!L7,0))</f>
        <v>#REF!</v>
      </c>
      <c r="O21" s="172" t="e">
        <f>Simulador!#REF!</f>
        <v>#REF!</v>
      </c>
      <c r="P21" s="167" t="e">
        <f t="shared" si="13"/>
        <v>#REF!</v>
      </c>
      <c r="Q21" s="167" t="e">
        <f t="shared" ref="Q21:Q84" si="17">IF(B20="","",F21-H21)</f>
        <v>#REF!</v>
      </c>
      <c r="T21" s="6"/>
      <c r="U21" s="6"/>
      <c r="V21" s="6"/>
      <c r="W21" s="29" t="e">
        <f t="shared" si="0"/>
        <v>#REF!</v>
      </c>
    </row>
    <row r="22" spans="2:23" x14ac:dyDescent="0.3">
      <c r="B22" s="181">
        <f t="shared" si="14"/>
        <v>5</v>
      </c>
      <c r="C22" s="180">
        <f t="shared" si="10"/>
        <v>30.4</v>
      </c>
      <c r="D22" s="193">
        <f t="shared" si="15"/>
        <v>0.11</v>
      </c>
      <c r="E22" s="167"/>
      <c r="F22" s="167" t="e">
        <f t="shared" si="16"/>
        <v>#REF!</v>
      </c>
      <c r="G22" s="166"/>
      <c r="H22" s="167" t="e">
        <f t="shared" si="11"/>
        <v>#REF!</v>
      </c>
      <c r="I22" s="167" t="e">
        <f t="shared" si="12"/>
        <v>#REF!</v>
      </c>
      <c r="J22" s="167" t="e">
        <f>IF(C22="","",IF(F22=0,0,IF(C22&lt;='Tabla Parámetros'!$J$23,I22,IF($E$2='Tabla Parámetros'!$J$19,($H$2/1000*'Tabla Parámetros'!$K$19)/30.4*C22,IF($E$2='Tabla Parámetros'!$J$20,($H$2/1000*'Tabla Parámetros'!$K$20)/30.4*C22)))))+N22+O22</f>
        <v>#REF!</v>
      </c>
      <c r="K22" s="167" t="e">
        <f t="shared" si="9"/>
        <v>#REF!</v>
      </c>
      <c r="L22" s="167" t="e">
        <f>IF(B22="","",IF(F22=0,0,Simulador!$N$13*$J$2))</f>
        <v>#REF!</v>
      </c>
      <c r="M22" s="167" t="e">
        <f>IF(B22="","",IF(F22=0,0,IF(Simulador!$F$11='Tabla Parámetros'!$W$1,'Tabla Parámetros'!$W$28,IF(Simulador!$F$11='Tabla Parámetros'!$Y$1,'Tabla Parámetros'!$Y$12))))</f>
        <v>#REF!</v>
      </c>
      <c r="N22" s="167" t="e">
        <f>IF(F22="","",IF(Simulador!$N$7='Tabla Parámetros'!$C$31,AportPat!L8,0))</f>
        <v>#REF!</v>
      </c>
      <c r="O22" s="172" t="e">
        <f>Simulador!#REF!</f>
        <v>#REF!</v>
      </c>
      <c r="P22" s="167" t="e">
        <f t="shared" si="13"/>
        <v>#REF!</v>
      </c>
      <c r="Q22" s="167" t="e">
        <f t="shared" si="17"/>
        <v>#REF!</v>
      </c>
      <c r="T22" s="6"/>
      <c r="U22" s="6"/>
      <c r="V22" s="6"/>
      <c r="W22" s="29" t="e">
        <f t="shared" si="0"/>
        <v>#REF!</v>
      </c>
    </row>
    <row r="23" spans="2:23" x14ac:dyDescent="0.3">
      <c r="B23" s="181">
        <f t="shared" si="14"/>
        <v>6</v>
      </c>
      <c r="C23" s="180">
        <f t="shared" si="10"/>
        <v>30.4</v>
      </c>
      <c r="D23" s="193">
        <f t="shared" si="15"/>
        <v>0.11</v>
      </c>
      <c r="E23" s="167"/>
      <c r="F23" s="167" t="e">
        <f t="shared" si="16"/>
        <v>#REF!</v>
      </c>
      <c r="G23" s="166"/>
      <c r="H23" s="167" t="e">
        <f t="shared" si="11"/>
        <v>#REF!</v>
      </c>
      <c r="I23" s="167" t="e">
        <f t="shared" si="12"/>
        <v>#REF!</v>
      </c>
      <c r="J23" s="167" t="e">
        <f>IF(C23="","",IF(F23=0,0,IF(C23&lt;='Tabla Parámetros'!$J$23,I23,IF($E$2='Tabla Parámetros'!$J$19,($H$2/1000*'Tabla Parámetros'!$K$19)/30.4*C23,IF($E$2='Tabla Parámetros'!$J$20,($H$2/1000*'Tabla Parámetros'!$K$20)/30.4*C23)))))+N23+O23</f>
        <v>#REF!</v>
      </c>
      <c r="K23" s="167" t="e">
        <f t="shared" si="9"/>
        <v>#REF!</v>
      </c>
      <c r="L23" s="167" t="e">
        <f>IF(B23="","",IF(F23=0,0,Simulador!$N$13*$J$2))</f>
        <v>#REF!</v>
      </c>
      <c r="M23" s="167" t="e">
        <f>IF(B23="","",IF(F23=0,0,IF(Simulador!$F$11='Tabla Parámetros'!$W$1,'Tabla Parámetros'!$W$28,IF(Simulador!$F$11='Tabla Parámetros'!$Y$1,'Tabla Parámetros'!$Y$12))))</f>
        <v>#REF!</v>
      </c>
      <c r="N23" s="167" t="e">
        <f>IF(F23="","",IF(Simulador!$N$7='Tabla Parámetros'!$C$31,AportPat!L9,0))</f>
        <v>#REF!</v>
      </c>
      <c r="O23" s="172" t="e">
        <f>Simulador!#REF!</f>
        <v>#REF!</v>
      </c>
      <c r="P23" s="167" t="e">
        <f t="shared" si="13"/>
        <v>#REF!</v>
      </c>
      <c r="Q23" s="167" t="e">
        <f t="shared" si="17"/>
        <v>#REF!</v>
      </c>
      <c r="T23" s="6"/>
      <c r="U23" s="6"/>
      <c r="V23" s="6"/>
      <c r="W23" s="29" t="e">
        <f t="shared" si="0"/>
        <v>#REF!</v>
      </c>
    </row>
    <row r="24" spans="2:23" x14ac:dyDescent="0.3">
      <c r="B24" s="181">
        <f t="shared" si="14"/>
        <v>7</v>
      </c>
      <c r="C24" s="180">
        <f t="shared" si="10"/>
        <v>30.4</v>
      </c>
      <c r="D24" s="193">
        <f t="shared" si="15"/>
        <v>0.11</v>
      </c>
      <c r="E24" s="167"/>
      <c r="F24" s="167" t="e">
        <f t="shared" si="16"/>
        <v>#REF!</v>
      </c>
      <c r="G24" s="166"/>
      <c r="H24" s="167" t="e">
        <f t="shared" si="11"/>
        <v>#REF!</v>
      </c>
      <c r="I24" s="167" t="e">
        <f t="shared" si="12"/>
        <v>#REF!</v>
      </c>
      <c r="J24" s="167" t="e">
        <f>IF(C24="","",IF(F24=0,0,IF(C24&lt;='Tabla Parámetros'!$J$23,I24,IF($E$2='Tabla Parámetros'!$J$19,($H$2/1000*'Tabla Parámetros'!$K$19)/30.4*C24,IF($E$2='Tabla Parámetros'!$J$20,($H$2/1000*'Tabla Parámetros'!$K$20)/30.4*C24)))))+N24+O24</f>
        <v>#REF!</v>
      </c>
      <c r="K24" s="167" t="e">
        <f t="shared" si="9"/>
        <v>#REF!</v>
      </c>
      <c r="L24" s="167" t="e">
        <f>IF(B24="","",IF(F24=0,0,Simulador!$N$13*$J$2))</f>
        <v>#REF!</v>
      </c>
      <c r="M24" s="167" t="e">
        <f>IF(B24="","",IF(F24=0,0,IF(Simulador!$F$11='Tabla Parámetros'!$W$1,'Tabla Parámetros'!$W$28,IF(Simulador!$F$11='Tabla Parámetros'!$Y$1,'Tabla Parámetros'!$Y$12))))</f>
        <v>#REF!</v>
      </c>
      <c r="N24" s="167" t="e">
        <f>IF(F24="","",IF(Simulador!$N$7='Tabla Parámetros'!$C$31,AportPat!L10,0))</f>
        <v>#REF!</v>
      </c>
      <c r="O24" s="172" t="e">
        <f>Simulador!#REF!</f>
        <v>#REF!</v>
      </c>
      <c r="P24" s="167" t="e">
        <f t="shared" si="13"/>
        <v>#REF!</v>
      </c>
      <c r="Q24" s="167" t="e">
        <f t="shared" si="17"/>
        <v>#REF!</v>
      </c>
      <c r="T24" s="6"/>
      <c r="U24" s="6"/>
      <c r="V24" s="6"/>
      <c r="W24" s="29" t="e">
        <f t="shared" si="0"/>
        <v>#REF!</v>
      </c>
    </row>
    <row r="25" spans="2:23" x14ac:dyDescent="0.3">
      <c r="B25" s="181">
        <f t="shared" si="14"/>
        <v>8</v>
      </c>
      <c r="C25" s="180">
        <f t="shared" si="10"/>
        <v>30.4</v>
      </c>
      <c r="D25" s="193">
        <f t="shared" si="15"/>
        <v>0.11</v>
      </c>
      <c r="E25" s="167"/>
      <c r="F25" s="167" t="e">
        <f t="shared" si="16"/>
        <v>#REF!</v>
      </c>
      <c r="G25" s="166"/>
      <c r="H25" s="167" t="e">
        <f t="shared" si="11"/>
        <v>#REF!</v>
      </c>
      <c r="I25" s="167" t="e">
        <f t="shared" si="12"/>
        <v>#REF!</v>
      </c>
      <c r="J25" s="167" t="e">
        <f>IF(C25="","",IF(F25=0,0,IF(C25&lt;='Tabla Parámetros'!$J$23,I25,IF($E$2='Tabla Parámetros'!$J$19,($H$2/1000*'Tabla Parámetros'!$K$19)/30.4*C25,IF($E$2='Tabla Parámetros'!$J$20,($H$2/1000*'Tabla Parámetros'!$K$20)/30.4*C25)))))+N25+O25</f>
        <v>#REF!</v>
      </c>
      <c r="K25" s="167" t="e">
        <f t="shared" si="9"/>
        <v>#REF!</v>
      </c>
      <c r="L25" s="167" t="e">
        <f>IF(B25="","",IF(F25=0,0,Simulador!$N$13*$J$2))</f>
        <v>#REF!</v>
      </c>
      <c r="M25" s="167" t="e">
        <f>IF(B25="","",IF(F25=0,0,IF(Simulador!$F$11='Tabla Parámetros'!$W$1,'Tabla Parámetros'!$W$28,IF(Simulador!$F$11='Tabla Parámetros'!$Y$1,'Tabla Parámetros'!$Y$12))))</f>
        <v>#REF!</v>
      </c>
      <c r="N25" s="167" t="e">
        <f>IF(F25="","",IF(Simulador!$N$7='Tabla Parámetros'!$C$31,AportPat!L11,0))</f>
        <v>#REF!</v>
      </c>
      <c r="O25" s="172" t="e">
        <f>Simulador!#REF!</f>
        <v>#REF!</v>
      </c>
      <c r="P25" s="167" t="e">
        <f t="shared" si="13"/>
        <v>#REF!</v>
      </c>
      <c r="Q25" s="167" t="e">
        <f t="shared" si="17"/>
        <v>#REF!</v>
      </c>
      <c r="T25" s="6"/>
      <c r="U25" s="6"/>
      <c r="V25" s="6"/>
      <c r="W25" s="29" t="e">
        <f t="shared" si="0"/>
        <v>#REF!</v>
      </c>
    </row>
    <row r="26" spans="2:23" x14ac:dyDescent="0.3">
      <c r="B26" s="181">
        <f t="shared" si="14"/>
        <v>9</v>
      </c>
      <c r="C26" s="180">
        <f t="shared" si="10"/>
        <v>30.4</v>
      </c>
      <c r="D26" s="193">
        <f t="shared" si="15"/>
        <v>0.11</v>
      </c>
      <c r="E26" s="167"/>
      <c r="F26" s="167" t="e">
        <f t="shared" si="16"/>
        <v>#REF!</v>
      </c>
      <c r="G26" s="166"/>
      <c r="H26" s="167" t="e">
        <f t="shared" si="11"/>
        <v>#REF!</v>
      </c>
      <c r="I26" s="167" t="e">
        <f t="shared" si="12"/>
        <v>#REF!</v>
      </c>
      <c r="J26" s="167" t="e">
        <f>IF(C26="","",IF(F26=0,0,IF(C26&lt;='Tabla Parámetros'!$J$23,I26,IF($E$2='Tabla Parámetros'!$J$19,($H$2/1000*'Tabla Parámetros'!$K$19)/30.4*C26,IF($E$2='Tabla Parámetros'!$J$20,($H$2/1000*'Tabla Parámetros'!$K$20)/30.4*C26)))))+N26+O26</f>
        <v>#REF!</v>
      </c>
      <c r="K26" s="167" t="e">
        <f t="shared" si="9"/>
        <v>#REF!</v>
      </c>
      <c r="L26" s="167" t="e">
        <f>IF(B26="","",IF(F26=0,0,Simulador!$N$13*$J$2))</f>
        <v>#REF!</v>
      </c>
      <c r="M26" s="167" t="e">
        <f>IF(B26="","",IF(F26=0,0,IF(Simulador!$F$11='Tabla Parámetros'!$W$1,'Tabla Parámetros'!$W$28,IF(Simulador!$F$11='Tabla Parámetros'!$Y$1,'Tabla Parámetros'!$Y$12))))</f>
        <v>#REF!</v>
      </c>
      <c r="N26" s="167" t="e">
        <f>IF(F26="","",IF(Simulador!$N$7='Tabla Parámetros'!$C$31,AportPat!L12,0))</f>
        <v>#REF!</v>
      </c>
      <c r="O26" s="172" t="e">
        <f>Simulador!#REF!</f>
        <v>#REF!</v>
      </c>
      <c r="P26" s="167" t="e">
        <f t="shared" si="13"/>
        <v>#REF!</v>
      </c>
      <c r="Q26" s="167" t="e">
        <f t="shared" si="17"/>
        <v>#REF!</v>
      </c>
      <c r="T26" s="6"/>
      <c r="U26" s="6"/>
      <c r="V26" s="6"/>
      <c r="W26" s="29" t="e">
        <f t="shared" si="0"/>
        <v>#REF!</v>
      </c>
    </row>
    <row r="27" spans="2:23" x14ac:dyDescent="0.3">
      <c r="B27" s="181">
        <f t="shared" si="14"/>
        <v>10</v>
      </c>
      <c r="C27" s="180">
        <f t="shared" si="10"/>
        <v>30.4</v>
      </c>
      <c r="D27" s="193">
        <f t="shared" si="15"/>
        <v>0.11</v>
      </c>
      <c r="E27" s="167"/>
      <c r="F27" s="167" t="e">
        <f t="shared" si="16"/>
        <v>#REF!</v>
      </c>
      <c r="G27" s="166"/>
      <c r="H27" s="167" t="e">
        <f t="shared" si="11"/>
        <v>#REF!</v>
      </c>
      <c r="I27" s="167" t="e">
        <f t="shared" si="12"/>
        <v>#REF!</v>
      </c>
      <c r="J27" s="167" t="e">
        <f>IF(C27="","",IF(F27=0,0,IF(C27&lt;='Tabla Parámetros'!$J$23,I27,IF($E$2='Tabla Parámetros'!$J$19,($H$2/1000*'Tabla Parámetros'!$K$19)/30.4*C27,IF($E$2='Tabla Parámetros'!$J$20,($H$2/1000*'Tabla Parámetros'!$K$20)/30.4*C27)))))+N27+O27</f>
        <v>#REF!</v>
      </c>
      <c r="K27" s="167" t="e">
        <f t="shared" si="9"/>
        <v>#REF!</v>
      </c>
      <c r="L27" s="167" t="e">
        <f>IF(B27="","",IF(F27=0,0,Simulador!$N$13*$J$2))</f>
        <v>#REF!</v>
      </c>
      <c r="M27" s="167" t="e">
        <f>IF(B27="","",IF(F27=0,0,IF(Simulador!$F$11='Tabla Parámetros'!$W$1,'Tabla Parámetros'!$W$28,IF(Simulador!$F$11='Tabla Parámetros'!$Y$1,'Tabla Parámetros'!$Y$12))))</f>
        <v>#REF!</v>
      </c>
      <c r="N27" s="167" t="e">
        <f>IF(F27="","",IF(Simulador!$N$7='Tabla Parámetros'!$C$31,AportPat!L13,0))</f>
        <v>#REF!</v>
      </c>
      <c r="O27" s="172" t="e">
        <f>Simulador!#REF!</f>
        <v>#REF!</v>
      </c>
      <c r="P27" s="167" t="e">
        <f t="shared" si="13"/>
        <v>#REF!</v>
      </c>
      <c r="Q27" s="167" t="e">
        <f t="shared" si="17"/>
        <v>#REF!</v>
      </c>
      <c r="T27" s="6"/>
      <c r="U27" s="6"/>
      <c r="V27" s="6"/>
      <c r="W27" s="29" t="e">
        <f t="shared" si="0"/>
        <v>#REF!</v>
      </c>
    </row>
    <row r="28" spans="2:23" x14ac:dyDescent="0.3">
      <c r="B28" s="181">
        <f t="shared" si="14"/>
        <v>11</v>
      </c>
      <c r="C28" s="180">
        <f t="shared" si="10"/>
        <v>30.4</v>
      </c>
      <c r="D28" s="193">
        <f t="shared" si="15"/>
        <v>0.11</v>
      </c>
      <c r="E28" s="167"/>
      <c r="F28" s="167" t="e">
        <f t="shared" si="16"/>
        <v>#REF!</v>
      </c>
      <c r="G28" s="166"/>
      <c r="H28" s="167" t="e">
        <f t="shared" si="11"/>
        <v>#REF!</v>
      </c>
      <c r="I28" s="167" t="e">
        <f t="shared" si="12"/>
        <v>#REF!</v>
      </c>
      <c r="J28" s="167" t="e">
        <f>IF(C28="","",IF(F28=0,0,IF(C28&lt;='Tabla Parámetros'!$J$23,I28,IF($E$2='Tabla Parámetros'!$J$19,($H$2/1000*'Tabla Parámetros'!$K$19)/30.4*C28,IF($E$2='Tabla Parámetros'!$J$20,($H$2/1000*'Tabla Parámetros'!$K$20)/30.4*C28)))))+N28+O28</f>
        <v>#REF!</v>
      </c>
      <c r="K28" s="167" t="e">
        <f t="shared" si="9"/>
        <v>#REF!</v>
      </c>
      <c r="L28" s="167" t="e">
        <f>IF(B28="","",IF(F28=0,0,Simulador!$N$13*$J$2))</f>
        <v>#REF!</v>
      </c>
      <c r="M28" s="167" t="e">
        <f>IF(B28="","",IF(F28=0,0,IF(Simulador!$F$11='Tabla Parámetros'!$W$1,'Tabla Parámetros'!$W$28,IF(Simulador!$F$11='Tabla Parámetros'!$Y$1,'Tabla Parámetros'!$Y$12))))</f>
        <v>#REF!</v>
      </c>
      <c r="N28" s="167" t="e">
        <f>IF(F28="","",IF(Simulador!$N$7='Tabla Parámetros'!$C$31,AportPat!L14,0))</f>
        <v>#REF!</v>
      </c>
      <c r="O28" s="172" t="e">
        <f>Simulador!#REF!</f>
        <v>#REF!</v>
      </c>
      <c r="P28" s="167" t="e">
        <f t="shared" si="13"/>
        <v>#REF!</v>
      </c>
      <c r="Q28" s="167" t="e">
        <f t="shared" si="17"/>
        <v>#REF!</v>
      </c>
      <c r="T28" s="6"/>
      <c r="U28" s="6"/>
      <c r="V28" s="6"/>
      <c r="W28" s="29" t="e">
        <f t="shared" si="0"/>
        <v>#REF!</v>
      </c>
    </row>
    <row r="29" spans="2:23" x14ac:dyDescent="0.3">
      <c r="B29" s="181">
        <f t="shared" si="14"/>
        <v>12</v>
      </c>
      <c r="C29" s="180">
        <f t="shared" si="10"/>
        <v>30.4</v>
      </c>
      <c r="D29" s="193">
        <f t="shared" si="15"/>
        <v>0.11</v>
      </c>
      <c r="E29" s="167"/>
      <c r="F29" s="167" t="e">
        <f t="shared" si="16"/>
        <v>#REF!</v>
      </c>
      <c r="G29" s="166"/>
      <c r="H29" s="167" t="e">
        <f t="shared" si="11"/>
        <v>#REF!</v>
      </c>
      <c r="I29" s="167" t="e">
        <f t="shared" si="12"/>
        <v>#REF!</v>
      </c>
      <c r="J29" s="167" t="e">
        <f>IF(C29="","",IF(F29=0,0,IF(C29&lt;='Tabla Parámetros'!$J$23,I29,IF($E$2='Tabla Parámetros'!$J$19,($H$2/1000*'Tabla Parámetros'!$K$19)/30.4*C29,IF($E$2='Tabla Parámetros'!$J$20,($H$2/1000*'Tabla Parámetros'!$K$20)/30.4*C29)))))+N29+O29</f>
        <v>#REF!</v>
      </c>
      <c r="K29" s="167" t="e">
        <f t="shared" si="9"/>
        <v>#REF!</v>
      </c>
      <c r="L29" s="167" t="e">
        <f>IF(B29="","",IF(F29=0,0,Simulador!$N$13*$J$2))</f>
        <v>#REF!</v>
      </c>
      <c r="M29" s="167" t="e">
        <f>IF(B29="","",IF(F29=0,0,IF(Simulador!$F$11='Tabla Parámetros'!$W$1,'Tabla Parámetros'!$W$28,IF(Simulador!$F$11='Tabla Parámetros'!$Y$1,'Tabla Parámetros'!$Y$12))))</f>
        <v>#REF!</v>
      </c>
      <c r="N29" s="167" t="e">
        <f>IF(F29="","",IF(Simulador!$N$7='Tabla Parámetros'!$C$31,AportPat!L15,0))</f>
        <v>#REF!</v>
      </c>
      <c r="O29" s="172" t="e">
        <f>Simulador!#REF!</f>
        <v>#REF!</v>
      </c>
      <c r="P29" s="167" t="e">
        <f t="shared" si="13"/>
        <v>#REF!</v>
      </c>
      <c r="Q29" s="167" t="e">
        <f t="shared" si="17"/>
        <v>#REF!</v>
      </c>
      <c r="T29" s="6"/>
      <c r="U29" s="6"/>
      <c r="V29" s="6"/>
      <c r="W29" s="29" t="e">
        <f t="shared" si="0"/>
        <v>#REF!</v>
      </c>
    </row>
    <row r="30" spans="2:23" x14ac:dyDescent="0.3">
      <c r="B30" s="181">
        <f t="shared" si="14"/>
        <v>13</v>
      </c>
      <c r="C30" s="180">
        <f t="shared" si="10"/>
        <v>30.4</v>
      </c>
      <c r="D30" s="193">
        <f t="shared" si="15"/>
        <v>0.11</v>
      </c>
      <c r="E30" s="167"/>
      <c r="F30" s="167" t="e">
        <f t="shared" si="16"/>
        <v>#REF!</v>
      </c>
      <c r="G30" s="166"/>
      <c r="H30" s="167" t="e">
        <f t="shared" si="11"/>
        <v>#REF!</v>
      </c>
      <c r="I30" s="167" t="e">
        <f t="shared" si="12"/>
        <v>#REF!</v>
      </c>
      <c r="J30" s="167" t="e">
        <f>IF(C30="","",IF(F30=0,0,IF(C30&lt;='Tabla Parámetros'!$J$23,I30,IF($E$2='Tabla Parámetros'!$J$19,($H$2/1000*'Tabla Parámetros'!$K$19)/30.4*C30,IF($E$2='Tabla Parámetros'!$J$20,($H$2/1000*'Tabla Parámetros'!$K$20)/30.4*C30)))))+N30+O30</f>
        <v>#REF!</v>
      </c>
      <c r="K30" s="167" t="e">
        <f t="shared" si="9"/>
        <v>#REF!</v>
      </c>
      <c r="L30" s="167" t="e">
        <f>IF(B30="","",IF(F30=0,0,Simulador!$N$13*$J$2))</f>
        <v>#REF!</v>
      </c>
      <c r="M30" s="167" t="e">
        <f>IF(B30="","",IF(F30=0,0,IF(Simulador!$F$11='Tabla Parámetros'!$W$1,'Tabla Parámetros'!$W$28,IF(Simulador!$F$11='Tabla Parámetros'!$Y$1,'Tabla Parámetros'!$Y$12))))</f>
        <v>#REF!</v>
      </c>
      <c r="N30" s="167" t="e">
        <f>IF(F30="","",IF(Simulador!$N$7='Tabla Parámetros'!$C$31,AportPat!L16,0))</f>
        <v>#REF!</v>
      </c>
      <c r="O30" s="172" t="e">
        <f>Simulador!#REF!</f>
        <v>#REF!</v>
      </c>
      <c r="P30" s="167" t="e">
        <f t="shared" si="13"/>
        <v>#REF!</v>
      </c>
      <c r="Q30" s="167" t="e">
        <f t="shared" si="17"/>
        <v>#REF!</v>
      </c>
      <c r="T30" s="6"/>
      <c r="U30" s="6"/>
      <c r="V30" s="6"/>
      <c r="W30" s="29" t="e">
        <f t="shared" si="0"/>
        <v>#REF!</v>
      </c>
    </row>
    <row r="31" spans="2:23" x14ac:dyDescent="0.3">
      <c r="B31" s="181">
        <f t="shared" si="14"/>
        <v>14</v>
      </c>
      <c r="C31" s="180">
        <f t="shared" si="10"/>
        <v>30.4</v>
      </c>
      <c r="D31" s="193">
        <f t="shared" si="15"/>
        <v>0.11</v>
      </c>
      <c r="E31" s="167"/>
      <c r="F31" s="167" t="e">
        <f t="shared" si="16"/>
        <v>#REF!</v>
      </c>
      <c r="G31" s="166"/>
      <c r="H31" s="167" t="e">
        <f t="shared" si="11"/>
        <v>#REF!</v>
      </c>
      <c r="I31" s="167" t="e">
        <f t="shared" si="12"/>
        <v>#REF!</v>
      </c>
      <c r="J31" s="167" t="e">
        <f>IF(C31="","",IF(F31=0,0,IF(C31&lt;='Tabla Parámetros'!$J$23,I31,IF($E$2='Tabla Parámetros'!$J$19,((($H$2/1000*'Tabla Parámetros'!$K$19)/30.4*C31)*1.0212),IF($E$2='Tabla Parámetros'!$J$20,($H$2/1000*'Tabla Parámetros'!$K$20)/30.4*C31)*1.0201))))+N31+O31</f>
        <v>#REF!</v>
      </c>
      <c r="K31" s="167" t="e">
        <f t="shared" si="9"/>
        <v>#REF!</v>
      </c>
      <c r="L31" s="167" t="e">
        <f>IF(B31="","",IF(F31=0,0,Simulador!$N$13*$J$2))</f>
        <v>#REF!</v>
      </c>
      <c r="M31" s="167" t="e">
        <f>IF(B31="","",IF(F31=0,0,IF(Simulador!$F$11='Tabla Parámetros'!$W$1,'Tabla Parámetros'!$W$28,IF(Simulador!$F$11='Tabla Parámetros'!$Y$1,'Tabla Parámetros'!$Y$12))))</f>
        <v>#REF!</v>
      </c>
      <c r="N31" s="167" t="e">
        <f>IF(F31="","",IF(Simulador!$N$7='Tabla Parámetros'!$C$31,AportPat!L17,0))</f>
        <v>#REF!</v>
      </c>
      <c r="O31" s="172" t="e">
        <f>Simulador!#REF!</f>
        <v>#REF!</v>
      </c>
      <c r="P31" s="167" t="e">
        <f t="shared" si="13"/>
        <v>#REF!</v>
      </c>
      <c r="Q31" s="167" t="e">
        <f t="shared" si="17"/>
        <v>#REF!</v>
      </c>
      <c r="T31" s="6"/>
      <c r="U31" s="6"/>
      <c r="V31" s="6"/>
      <c r="W31" s="29" t="e">
        <f t="shared" si="0"/>
        <v>#REF!</v>
      </c>
    </row>
    <row r="32" spans="2:23" x14ac:dyDescent="0.3">
      <c r="B32" s="181">
        <f t="shared" si="14"/>
        <v>15</v>
      </c>
      <c r="C32" s="180">
        <f t="shared" si="10"/>
        <v>30.4</v>
      </c>
      <c r="D32" s="193">
        <f t="shared" si="15"/>
        <v>0.11</v>
      </c>
      <c r="E32" s="167"/>
      <c r="F32" s="167" t="e">
        <f t="shared" si="16"/>
        <v>#REF!</v>
      </c>
      <c r="G32" s="166"/>
      <c r="H32" s="167" t="e">
        <f t="shared" si="11"/>
        <v>#REF!</v>
      </c>
      <c r="I32" s="167" t="e">
        <f t="shared" si="12"/>
        <v>#REF!</v>
      </c>
      <c r="J32" s="167" t="e">
        <f>IF(C32="","",IF(F32=0,0,IF(C32&lt;='Tabla Parámetros'!$J$23,I32,IF($E$2='Tabla Parámetros'!$J$19,((($H$2/1000*'Tabla Parámetros'!$K$19)/30.4*C32)*1.0212),IF($E$2='Tabla Parámetros'!$J$20,($H$2/1000*'Tabla Parámetros'!$K$20)/30.4*C32)*1.0201))))+N32+O32</f>
        <v>#REF!</v>
      </c>
      <c r="K32" s="167" t="e">
        <f t="shared" si="9"/>
        <v>#REF!</v>
      </c>
      <c r="L32" s="167" t="e">
        <f>IF(B32="","",IF(F32=0,0,Simulador!$N$13*$J$2))</f>
        <v>#REF!</v>
      </c>
      <c r="M32" s="167" t="e">
        <f>IF(B32="","",IF(F32=0,0,IF(Simulador!$F$11='Tabla Parámetros'!$W$1,'Tabla Parámetros'!$W$28,IF(Simulador!$F$11='Tabla Parámetros'!$Y$1,'Tabla Parámetros'!$Y$12))))</f>
        <v>#REF!</v>
      </c>
      <c r="N32" s="167" t="e">
        <f>IF(F32="","",IF(Simulador!$N$7='Tabla Parámetros'!$C$31,AportPat!L18,0))</f>
        <v>#REF!</v>
      </c>
      <c r="O32" s="172" t="e">
        <f>Simulador!#REF!</f>
        <v>#REF!</v>
      </c>
      <c r="P32" s="167" t="e">
        <f t="shared" si="13"/>
        <v>#REF!</v>
      </c>
      <c r="Q32" s="167" t="e">
        <f t="shared" si="17"/>
        <v>#REF!</v>
      </c>
      <c r="T32" s="6"/>
      <c r="U32" s="6"/>
      <c r="V32" s="6"/>
      <c r="W32" s="29" t="e">
        <f t="shared" si="0"/>
        <v>#REF!</v>
      </c>
    </row>
    <row r="33" spans="2:23" x14ac:dyDescent="0.3">
      <c r="B33" s="181">
        <f t="shared" si="14"/>
        <v>16</v>
      </c>
      <c r="C33" s="180">
        <f t="shared" si="10"/>
        <v>30.4</v>
      </c>
      <c r="D33" s="193">
        <f t="shared" si="15"/>
        <v>0.11</v>
      </c>
      <c r="E33" s="167"/>
      <c r="F33" s="167" t="e">
        <f t="shared" si="16"/>
        <v>#REF!</v>
      </c>
      <c r="G33" s="166"/>
      <c r="H33" s="167" t="e">
        <f t="shared" si="11"/>
        <v>#REF!</v>
      </c>
      <c r="I33" s="167" t="e">
        <f t="shared" si="12"/>
        <v>#REF!</v>
      </c>
      <c r="J33" s="167" t="e">
        <f>IF(C33="","",IF(F33=0,0,IF(C33&lt;='Tabla Parámetros'!$J$23,I33,IF($E$2='Tabla Parámetros'!$J$19,((($H$2/1000*'Tabla Parámetros'!$K$19)/30.4*C33)*1.0212),IF($E$2='Tabla Parámetros'!$J$20,($H$2/1000*'Tabla Parámetros'!$K$20)/30.4*C33)*1.0201))))+N33+O33</f>
        <v>#REF!</v>
      </c>
      <c r="K33" s="167" t="e">
        <f t="shared" si="9"/>
        <v>#REF!</v>
      </c>
      <c r="L33" s="167" t="e">
        <f>IF(B33="","",IF(F33=0,0,Simulador!$N$13*$J$2))</f>
        <v>#REF!</v>
      </c>
      <c r="M33" s="167" t="e">
        <f>IF(B33="","",IF(F33=0,0,IF(Simulador!$F$11='Tabla Parámetros'!$W$1,'Tabla Parámetros'!$W$28,IF(Simulador!$F$11='Tabla Parámetros'!$Y$1,'Tabla Parámetros'!$Y$12))))</f>
        <v>#REF!</v>
      </c>
      <c r="N33" s="167" t="e">
        <f>IF(F33="","",IF(Simulador!$N$7='Tabla Parámetros'!$C$31,AportPat!L19,0))</f>
        <v>#REF!</v>
      </c>
      <c r="O33" s="172" t="e">
        <f>Simulador!#REF!</f>
        <v>#REF!</v>
      </c>
      <c r="P33" s="167" t="e">
        <f t="shared" si="13"/>
        <v>#REF!</v>
      </c>
      <c r="Q33" s="167" t="e">
        <f t="shared" si="17"/>
        <v>#REF!</v>
      </c>
      <c r="T33" s="6"/>
      <c r="U33" s="6"/>
      <c r="V33" s="6"/>
      <c r="W33" s="29" t="e">
        <f t="shared" si="0"/>
        <v>#REF!</v>
      </c>
    </row>
    <row r="34" spans="2:23" x14ac:dyDescent="0.3">
      <c r="B34" s="181">
        <f t="shared" si="14"/>
        <v>17</v>
      </c>
      <c r="C34" s="180">
        <f t="shared" si="10"/>
        <v>30.4</v>
      </c>
      <c r="D34" s="193">
        <f t="shared" si="15"/>
        <v>0.11</v>
      </c>
      <c r="E34" s="167"/>
      <c r="F34" s="167" t="e">
        <f t="shared" si="16"/>
        <v>#REF!</v>
      </c>
      <c r="G34" s="166"/>
      <c r="H34" s="167" t="e">
        <f t="shared" si="11"/>
        <v>#REF!</v>
      </c>
      <c r="I34" s="167" t="e">
        <f t="shared" si="12"/>
        <v>#REF!</v>
      </c>
      <c r="J34" s="167" t="e">
        <f>IF(C34="","",IF(F34=0,0,IF(C34&lt;='Tabla Parámetros'!$J$23,I34,IF($E$2='Tabla Parámetros'!$J$19,((($H$2/1000*'Tabla Parámetros'!$K$19)/30.4*C34)*1.0212),IF($E$2='Tabla Parámetros'!$J$20,($H$2/1000*'Tabla Parámetros'!$K$20)/30.4*C34)*1.0201))))+N34+O34</f>
        <v>#REF!</v>
      </c>
      <c r="K34" s="167" t="e">
        <f t="shared" si="9"/>
        <v>#REF!</v>
      </c>
      <c r="L34" s="167" t="e">
        <f>IF(B34="","",IF(F34=0,0,Simulador!$N$13*$J$2))</f>
        <v>#REF!</v>
      </c>
      <c r="M34" s="167" t="e">
        <f>IF(B34="","",IF(F34=0,0,IF(Simulador!$F$11='Tabla Parámetros'!$W$1,'Tabla Parámetros'!$W$28,IF(Simulador!$F$11='Tabla Parámetros'!$Y$1,'Tabla Parámetros'!$Y$12))))</f>
        <v>#REF!</v>
      </c>
      <c r="N34" s="167" t="e">
        <f>IF(F34="","",IF(Simulador!$N$7='Tabla Parámetros'!$C$31,AportPat!L20,0))</f>
        <v>#REF!</v>
      </c>
      <c r="O34" s="172" t="e">
        <f>Simulador!#REF!</f>
        <v>#REF!</v>
      </c>
      <c r="P34" s="167" t="e">
        <f t="shared" si="13"/>
        <v>#REF!</v>
      </c>
      <c r="Q34" s="167" t="e">
        <f t="shared" si="17"/>
        <v>#REF!</v>
      </c>
      <c r="T34" s="6"/>
      <c r="U34" s="6"/>
      <c r="V34" s="6"/>
      <c r="W34" s="29" t="e">
        <f t="shared" si="0"/>
        <v>#REF!</v>
      </c>
    </row>
    <row r="35" spans="2:23" x14ac:dyDescent="0.3">
      <c r="B35" s="181">
        <f t="shared" si="14"/>
        <v>18</v>
      </c>
      <c r="C35" s="180">
        <f t="shared" si="10"/>
        <v>30.4</v>
      </c>
      <c r="D35" s="193">
        <f t="shared" si="15"/>
        <v>0.11</v>
      </c>
      <c r="E35" s="167"/>
      <c r="F35" s="167" t="e">
        <f t="shared" si="16"/>
        <v>#REF!</v>
      </c>
      <c r="G35" s="166"/>
      <c r="H35" s="167" t="e">
        <f t="shared" si="11"/>
        <v>#REF!</v>
      </c>
      <c r="I35" s="167" t="e">
        <f t="shared" si="12"/>
        <v>#REF!</v>
      </c>
      <c r="J35" s="167" t="e">
        <f>IF(C35="","",IF(F35=0,0,IF(C35&lt;='Tabla Parámetros'!$J$23,I35,IF($E$2='Tabla Parámetros'!$J$19,((($H$2/1000*'Tabla Parámetros'!$K$19)/30.4*C35)*1.0212),IF($E$2='Tabla Parámetros'!$J$20,($H$2/1000*'Tabla Parámetros'!$K$20)/30.4*C35)*1.0201))))+N35+O35</f>
        <v>#REF!</v>
      </c>
      <c r="K35" s="167" t="e">
        <f t="shared" si="9"/>
        <v>#REF!</v>
      </c>
      <c r="L35" s="167" t="e">
        <f>IF(B35="","",IF(F35=0,0,Simulador!$N$13*$J$2))</f>
        <v>#REF!</v>
      </c>
      <c r="M35" s="167" t="e">
        <f>IF(B35="","",IF(F35=0,0,IF(Simulador!$F$11='Tabla Parámetros'!$W$1,'Tabla Parámetros'!$W$28,IF(Simulador!$F$11='Tabla Parámetros'!$Y$1,'Tabla Parámetros'!$Y$12))))</f>
        <v>#REF!</v>
      </c>
      <c r="N35" s="167" t="e">
        <f>IF(F35="","",IF(Simulador!$N$7='Tabla Parámetros'!$C$31,AportPat!L21,0))</f>
        <v>#REF!</v>
      </c>
      <c r="O35" s="172" t="e">
        <f>Simulador!#REF!</f>
        <v>#REF!</v>
      </c>
      <c r="P35" s="167" t="e">
        <f t="shared" si="13"/>
        <v>#REF!</v>
      </c>
      <c r="Q35" s="167" t="e">
        <f t="shared" si="17"/>
        <v>#REF!</v>
      </c>
      <c r="T35" s="6"/>
      <c r="U35" s="6"/>
      <c r="V35" s="6"/>
      <c r="W35" s="29" t="e">
        <f t="shared" si="0"/>
        <v>#REF!</v>
      </c>
    </row>
    <row r="36" spans="2:23" x14ac:dyDescent="0.3">
      <c r="B36" s="181">
        <f t="shared" si="14"/>
        <v>19</v>
      </c>
      <c r="C36" s="180">
        <f t="shared" si="10"/>
        <v>30.4</v>
      </c>
      <c r="D36" s="193">
        <f t="shared" si="15"/>
        <v>0.11</v>
      </c>
      <c r="E36" s="167"/>
      <c r="F36" s="167" t="e">
        <f t="shared" si="16"/>
        <v>#REF!</v>
      </c>
      <c r="G36" s="166"/>
      <c r="H36" s="167" t="e">
        <f t="shared" si="11"/>
        <v>#REF!</v>
      </c>
      <c r="I36" s="167" t="e">
        <f t="shared" si="12"/>
        <v>#REF!</v>
      </c>
      <c r="J36" s="167" t="e">
        <f>IF(C36="","",IF(F36=0,0,IF(C36&lt;='Tabla Parámetros'!$J$23,I36,IF($E$2='Tabla Parámetros'!$J$19,((($H$2/1000*'Tabla Parámetros'!$K$19)/30.4*C36)*1.0212),IF($E$2='Tabla Parámetros'!$J$20,($H$2/1000*'Tabla Parámetros'!$K$20)/30.4*C36)*1.0201))))+N36+O36</f>
        <v>#REF!</v>
      </c>
      <c r="K36" s="167" t="e">
        <f t="shared" si="9"/>
        <v>#REF!</v>
      </c>
      <c r="L36" s="167" t="e">
        <f>IF(B36="","",IF(F36=0,0,Simulador!$N$13*$J$2))</f>
        <v>#REF!</v>
      </c>
      <c r="M36" s="167" t="e">
        <f>IF(B36="","",IF(F36=0,0,IF(Simulador!$F$11='Tabla Parámetros'!$W$1,'Tabla Parámetros'!$W$28,IF(Simulador!$F$11='Tabla Parámetros'!$Y$1,'Tabla Parámetros'!$Y$12))))</f>
        <v>#REF!</v>
      </c>
      <c r="N36" s="167" t="e">
        <f>IF(F36="","",IF(Simulador!$N$7='Tabla Parámetros'!$C$31,AportPat!L22,0))</f>
        <v>#REF!</v>
      </c>
      <c r="O36" s="172" t="e">
        <f>Simulador!#REF!</f>
        <v>#REF!</v>
      </c>
      <c r="P36" s="167" t="e">
        <f t="shared" si="13"/>
        <v>#REF!</v>
      </c>
      <c r="Q36" s="167" t="e">
        <f t="shared" si="17"/>
        <v>#REF!</v>
      </c>
      <c r="T36" s="6"/>
      <c r="U36" s="6"/>
      <c r="V36" s="6"/>
      <c r="W36" s="29" t="e">
        <f t="shared" si="0"/>
        <v>#REF!</v>
      </c>
    </row>
    <row r="37" spans="2:23" x14ac:dyDescent="0.3">
      <c r="B37" s="181">
        <f t="shared" si="14"/>
        <v>20</v>
      </c>
      <c r="C37" s="180">
        <f t="shared" si="10"/>
        <v>30.4</v>
      </c>
      <c r="D37" s="193">
        <f t="shared" si="15"/>
        <v>0.11</v>
      </c>
      <c r="E37" s="167"/>
      <c r="F37" s="167" t="e">
        <f t="shared" si="16"/>
        <v>#REF!</v>
      </c>
      <c r="G37" s="166"/>
      <c r="H37" s="167" t="e">
        <f t="shared" si="11"/>
        <v>#REF!</v>
      </c>
      <c r="I37" s="167" t="e">
        <f t="shared" si="12"/>
        <v>#REF!</v>
      </c>
      <c r="J37" s="167" t="e">
        <f>IF(C37="","",IF(F37=0,0,IF(C37&lt;='Tabla Parámetros'!$J$23,I37,IF($E$2='Tabla Parámetros'!$J$19,((($H$2/1000*'Tabla Parámetros'!$K$19)/30.4*C37)*1.0212),IF($E$2='Tabla Parámetros'!$J$20,($H$2/1000*'Tabla Parámetros'!$K$20)/30.4*C37)*1.0201))))+N37+O37</f>
        <v>#REF!</v>
      </c>
      <c r="K37" s="167" t="e">
        <f t="shared" si="9"/>
        <v>#REF!</v>
      </c>
      <c r="L37" s="167" t="e">
        <f>IF(B37="","",IF(F37=0,0,Simulador!$N$13*$J$2))</f>
        <v>#REF!</v>
      </c>
      <c r="M37" s="167" t="e">
        <f>IF(B37="","",IF(F37=0,0,IF(Simulador!$F$11='Tabla Parámetros'!$W$1,'Tabla Parámetros'!$W$28,IF(Simulador!$F$11='Tabla Parámetros'!$Y$1,'Tabla Parámetros'!$Y$12))))</f>
        <v>#REF!</v>
      </c>
      <c r="N37" s="167" t="e">
        <f>IF(F37="","",IF(Simulador!$N$7='Tabla Parámetros'!$C$31,AportPat!L23,0))</f>
        <v>#REF!</v>
      </c>
      <c r="O37" s="172" t="e">
        <f>Simulador!#REF!</f>
        <v>#REF!</v>
      </c>
      <c r="P37" s="167" t="e">
        <f t="shared" si="13"/>
        <v>#REF!</v>
      </c>
      <c r="Q37" s="167" t="e">
        <f t="shared" si="17"/>
        <v>#REF!</v>
      </c>
      <c r="T37" s="6"/>
      <c r="U37" s="6"/>
      <c r="V37" s="6"/>
      <c r="W37" s="29" t="e">
        <f t="shared" si="0"/>
        <v>#REF!</v>
      </c>
    </row>
    <row r="38" spans="2:23" x14ac:dyDescent="0.3">
      <c r="B38" s="181">
        <f t="shared" si="14"/>
        <v>21</v>
      </c>
      <c r="C38" s="180">
        <f t="shared" si="10"/>
        <v>30.4</v>
      </c>
      <c r="D38" s="193">
        <f t="shared" si="15"/>
        <v>0.11</v>
      </c>
      <c r="E38" s="167"/>
      <c r="F38" s="167" t="e">
        <f t="shared" si="16"/>
        <v>#REF!</v>
      </c>
      <c r="G38" s="166"/>
      <c r="H38" s="167" t="e">
        <f t="shared" si="11"/>
        <v>#REF!</v>
      </c>
      <c r="I38" s="167" t="e">
        <f t="shared" si="12"/>
        <v>#REF!</v>
      </c>
      <c r="J38" s="167" t="e">
        <f>IF(C38="","",IF(F38=0,0,IF(C38&lt;='Tabla Parámetros'!$J$23,I38,IF($E$2='Tabla Parámetros'!$J$19,((($H$2/1000*'Tabla Parámetros'!$K$19)/30.4*C38)*1.0212),IF($E$2='Tabla Parámetros'!$J$20,($H$2/1000*'Tabla Parámetros'!$K$20)/30.4*C38)*1.0201))))+N38+O38</f>
        <v>#REF!</v>
      </c>
      <c r="K38" s="167" t="e">
        <f t="shared" si="9"/>
        <v>#REF!</v>
      </c>
      <c r="L38" s="167" t="e">
        <f>IF(B38="","",IF(F38=0,0,Simulador!$N$13*$J$2))</f>
        <v>#REF!</v>
      </c>
      <c r="M38" s="167" t="e">
        <f>IF(B38="","",IF(F38=0,0,IF(Simulador!$F$11='Tabla Parámetros'!$W$1,'Tabla Parámetros'!$W$28,IF(Simulador!$F$11='Tabla Parámetros'!$Y$1,'Tabla Parámetros'!$Y$12))))</f>
        <v>#REF!</v>
      </c>
      <c r="N38" s="167" t="e">
        <f>IF(F38="","",IF(Simulador!$N$7='Tabla Parámetros'!$C$31,AportPat!L24,0))</f>
        <v>#REF!</v>
      </c>
      <c r="O38" s="172" t="e">
        <f>Simulador!#REF!</f>
        <v>#REF!</v>
      </c>
      <c r="P38" s="167" t="e">
        <f t="shared" si="13"/>
        <v>#REF!</v>
      </c>
      <c r="Q38" s="167" t="e">
        <f t="shared" si="17"/>
        <v>#REF!</v>
      </c>
      <c r="T38" s="6"/>
      <c r="U38" s="6"/>
      <c r="V38" s="6"/>
      <c r="W38" s="29" t="e">
        <f t="shared" si="0"/>
        <v>#REF!</v>
      </c>
    </row>
    <row r="39" spans="2:23" x14ac:dyDescent="0.3">
      <c r="B39" s="181">
        <f t="shared" si="14"/>
        <v>22</v>
      </c>
      <c r="C39" s="180">
        <f t="shared" si="10"/>
        <v>30.4</v>
      </c>
      <c r="D39" s="193">
        <f t="shared" si="15"/>
        <v>0.11</v>
      </c>
      <c r="E39" s="167"/>
      <c r="F39" s="167" t="e">
        <f t="shared" si="16"/>
        <v>#REF!</v>
      </c>
      <c r="G39" s="166"/>
      <c r="H39" s="167" t="e">
        <f t="shared" si="11"/>
        <v>#REF!</v>
      </c>
      <c r="I39" s="167" t="e">
        <f t="shared" si="12"/>
        <v>#REF!</v>
      </c>
      <c r="J39" s="167" t="e">
        <f>IF(C39="","",IF(F39=0,0,IF(C39&lt;='Tabla Parámetros'!$J$23,I39,IF($E$2='Tabla Parámetros'!$J$19,((($H$2/1000*'Tabla Parámetros'!$K$19)/30.4*C39)*1.0212),IF($E$2='Tabla Parámetros'!$J$20,($H$2/1000*'Tabla Parámetros'!$K$20)/30.4*C39)*1.0201))))+N39+O39</f>
        <v>#REF!</v>
      </c>
      <c r="K39" s="167" t="e">
        <f t="shared" si="9"/>
        <v>#REF!</v>
      </c>
      <c r="L39" s="167" t="e">
        <f>IF(B39="","",IF(F39=0,0,Simulador!$N$13*$J$2))</f>
        <v>#REF!</v>
      </c>
      <c r="M39" s="167" t="e">
        <f>IF(B39="","",IF(F39=0,0,IF(Simulador!$F$11='Tabla Parámetros'!$W$1,'Tabla Parámetros'!$W$28,IF(Simulador!$F$11='Tabla Parámetros'!$Y$1,'Tabla Parámetros'!$Y$12))))</f>
        <v>#REF!</v>
      </c>
      <c r="N39" s="167" t="e">
        <f>IF(F39="","",IF(Simulador!$N$7='Tabla Parámetros'!$C$31,AportPat!L25,0))</f>
        <v>#REF!</v>
      </c>
      <c r="O39" s="172" t="e">
        <f>Simulador!#REF!</f>
        <v>#REF!</v>
      </c>
      <c r="P39" s="167" t="e">
        <f t="shared" si="13"/>
        <v>#REF!</v>
      </c>
      <c r="Q39" s="167" t="e">
        <f t="shared" si="17"/>
        <v>#REF!</v>
      </c>
      <c r="T39" s="6"/>
      <c r="U39" s="6"/>
      <c r="V39" s="6"/>
      <c r="W39" s="29" t="e">
        <f t="shared" si="0"/>
        <v>#REF!</v>
      </c>
    </row>
    <row r="40" spans="2:23" x14ac:dyDescent="0.3">
      <c r="B40" s="181">
        <f t="shared" si="14"/>
        <v>23</v>
      </c>
      <c r="C40" s="180">
        <f t="shared" si="10"/>
        <v>30.4</v>
      </c>
      <c r="D40" s="193">
        <f t="shared" si="15"/>
        <v>0.11</v>
      </c>
      <c r="E40" s="167"/>
      <c r="F40" s="167" t="e">
        <f t="shared" si="16"/>
        <v>#REF!</v>
      </c>
      <c r="G40" s="166"/>
      <c r="H40" s="167" t="e">
        <f t="shared" si="11"/>
        <v>#REF!</v>
      </c>
      <c r="I40" s="167" t="e">
        <f t="shared" si="12"/>
        <v>#REF!</v>
      </c>
      <c r="J40" s="167" t="e">
        <f>IF(C40="","",IF(F40=0,0,IF(C40&lt;='Tabla Parámetros'!$J$23,I40,IF($E$2='Tabla Parámetros'!$J$19,((($H$2/1000*'Tabla Parámetros'!$K$19)/30.4*C40)*1.0212),IF($E$2='Tabla Parámetros'!$J$20,($H$2/1000*'Tabla Parámetros'!$K$20)/30.4*C40)*1.0201))))+N40+O40</f>
        <v>#REF!</v>
      </c>
      <c r="K40" s="167" t="e">
        <f t="shared" si="9"/>
        <v>#REF!</v>
      </c>
      <c r="L40" s="167" t="e">
        <f>IF(B40="","",IF(F40=0,0,Simulador!$N$13*$J$2))</f>
        <v>#REF!</v>
      </c>
      <c r="M40" s="167" t="e">
        <f>IF(B40="","",IF(F40=0,0,IF(Simulador!$F$11='Tabla Parámetros'!$W$1,'Tabla Parámetros'!$W$28,IF(Simulador!$F$11='Tabla Parámetros'!$Y$1,'Tabla Parámetros'!$Y$12))))</f>
        <v>#REF!</v>
      </c>
      <c r="N40" s="167" t="e">
        <f>IF(F40="","",IF(Simulador!$N$7='Tabla Parámetros'!$C$31,AportPat!L26,0))</f>
        <v>#REF!</v>
      </c>
      <c r="O40" s="172" t="e">
        <f>Simulador!#REF!</f>
        <v>#REF!</v>
      </c>
      <c r="P40" s="167" t="e">
        <f t="shared" si="13"/>
        <v>#REF!</v>
      </c>
      <c r="Q40" s="167" t="e">
        <f t="shared" si="17"/>
        <v>#REF!</v>
      </c>
      <c r="T40" s="6"/>
      <c r="U40" s="6"/>
      <c r="V40" s="6"/>
      <c r="W40" s="29" t="e">
        <f t="shared" si="0"/>
        <v>#REF!</v>
      </c>
    </row>
    <row r="41" spans="2:23" x14ac:dyDescent="0.3">
      <c r="B41" s="181">
        <f t="shared" si="14"/>
        <v>24</v>
      </c>
      <c r="C41" s="180">
        <f t="shared" si="10"/>
        <v>30.4</v>
      </c>
      <c r="D41" s="193">
        <f t="shared" si="15"/>
        <v>0.11</v>
      </c>
      <c r="E41" s="167"/>
      <c r="F41" s="167" t="e">
        <f t="shared" si="16"/>
        <v>#REF!</v>
      </c>
      <c r="G41" s="166"/>
      <c r="H41" s="167" t="e">
        <f t="shared" si="11"/>
        <v>#REF!</v>
      </c>
      <c r="I41" s="167" t="e">
        <f t="shared" si="12"/>
        <v>#REF!</v>
      </c>
      <c r="J41" s="167" t="e">
        <f>IF(C41="","",IF(F41=0,0,IF(C41&lt;='Tabla Parámetros'!$J$23,I41,IF($E$2='Tabla Parámetros'!$J$19,((($H$2/1000*'Tabla Parámetros'!$K$19)/30.4*C41)*1.0212),IF($E$2='Tabla Parámetros'!$J$20,($H$2/1000*'Tabla Parámetros'!$K$20)/30.4*C41)*1.0201))))+N41+O41</f>
        <v>#REF!</v>
      </c>
      <c r="K41" s="167" t="e">
        <f t="shared" si="9"/>
        <v>#REF!</v>
      </c>
      <c r="L41" s="167" t="e">
        <f>IF(B41="","",IF(F41=0,0,Simulador!$N$13*$J$2))</f>
        <v>#REF!</v>
      </c>
      <c r="M41" s="167" t="e">
        <f>IF(B41="","",IF(F41=0,0,IF(Simulador!$F$11='Tabla Parámetros'!$W$1,'Tabla Parámetros'!$W$28,IF(Simulador!$F$11='Tabla Parámetros'!$Y$1,'Tabla Parámetros'!$Y$12))))</f>
        <v>#REF!</v>
      </c>
      <c r="N41" s="167" t="e">
        <f>IF(F41="","",IF(Simulador!$N$7='Tabla Parámetros'!$C$31,AportPat!L27,0))</f>
        <v>#REF!</v>
      </c>
      <c r="O41" s="172" t="e">
        <f>Simulador!#REF!</f>
        <v>#REF!</v>
      </c>
      <c r="P41" s="167" t="e">
        <f t="shared" si="13"/>
        <v>#REF!</v>
      </c>
      <c r="Q41" s="167" t="e">
        <f t="shared" si="17"/>
        <v>#REF!</v>
      </c>
      <c r="T41" s="6"/>
      <c r="U41" s="6"/>
      <c r="V41" s="6"/>
      <c r="W41" s="29" t="e">
        <f t="shared" si="0"/>
        <v>#REF!</v>
      </c>
    </row>
    <row r="42" spans="2:23" x14ac:dyDescent="0.3">
      <c r="B42" s="181">
        <f t="shared" si="14"/>
        <v>25</v>
      </c>
      <c r="C42" s="180">
        <f t="shared" si="10"/>
        <v>30.4</v>
      </c>
      <c r="D42" s="193">
        <f t="shared" si="15"/>
        <v>0.11</v>
      </c>
      <c r="E42" s="167"/>
      <c r="F42" s="167" t="e">
        <f t="shared" si="16"/>
        <v>#REF!</v>
      </c>
      <c r="G42" s="166"/>
      <c r="H42" s="167" t="e">
        <f t="shared" si="11"/>
        <v>#REF!</v>
      </c>
      <c r="I42" s="167" t="e">
        <f t="shared" si="12"/>
        <v>#REF!</v>
      </c>
      <c r="J42" s="167" t="e">
        <f>IF(C42="","",IF(F42=0,0,IF(C42&lt;='Tabla Parámetros'!$J$23,I42,IF($E$2='Tabla Parámetros'!$J$19,((($H$2/1000*'Tabla Parámetros'!$K$19)/30.4*C42)*1.0212),IF($E$2='Tabla Parámetros'!$J$20,($H$2/1000*'Tabla Parámetros'!$K$20)/30.4*C42)*1.0201))))+N42+O42</f>
        <v>#REF!</v>
      </c>
      <c r="K42" s="167" t="e">
        <f t="shared" si="9"/>
        <v>#REF!</v>
      </c>
      <c r="L42" s="167" t="e">
        <f>IF(B42="","",IF(F42=0,0,Simulador!$N$13*$J$2))</f>
        <v>#REF!</v>
      </c>
      <c r="M42" s="167" t="e">
        <f>IF(B42="","",IF(F42=0,0,IF(Simulador!$F$11='Tabla Parámetros'!$W$1,'Tabla Parámetros'!$W$28,IF(Simulador!$F$11='Tabla Parámetros'!$Y$1,'Tabla Parámetros'!$Y$12))))</f>
        <v>#REF!</v>
      </c>
      <c r="N42" s="167" t="e">
        <f>IF(F42="","",IF(Simulador!$N$7='Tabla Parámetros'!$C$31,AportPat!L28,0))</f>
        <v>#REF!</v>
      </c>
      <c r="O42" s="172" t="e">
        <f>Simulador!#REF!</f>
        <v>#REF!</v>
      </c>
      <c r="P42" s="167" t="e">
        <f t="shared" si="13"/>
        <v>#REF!</v>
      </c>
      <c r="Q42" s="167" t="e">
        <f t="shared" si="17"/>
        <v>#REF!</v>
      </c>
      <c r="T42" s="6"/>
      <c r="U42" s="6"/>
      <c r="V42" s="6"/>
      <c r="W42" s="29" t="e">
        <f t="shared" si="0"/>
        <v>#REF!</v>
      </c>
    </row>
    <row r="43" spans="2:23" x14ac:dyDescent="0.3">
      <c r="B43" s="181">
        <f t="shared" si="14"/>
        <v>26</v>
      </c>
      <c r="C43" s="180">
        <f t="shared" si="10"/>
        <v>30.4</v>
      </c>
      <c r="D43" s="193">
        <f t="shared" si="15"/>
        <v>0.11</v>
      </c>
      <c r="E43" s="167"/>
      <c r="F43" s="167" t="e">
        <f t="shared" si="16"/>
        <v>#REF!</v>
      </c>
      <c r="G43" s="166"/>
      <c r="H43" s="167" t="e">
        <f t="shared" si="11"/>
        <v>#REF!</v>
      </c>
      <c r="I43" s="167" t="e">
        <f t="shared" si="12"/>
        <v>#REF!</v>
      </c>
      <c r="J43" s="167" t="e">
        <f>IF(C43="","",IF(F43=0,0,IF(C43&lt;='Tabla Parámetros'!$J$23,I43,IF($E$2='Tabla Parámetros'!$J$19,((($H$2/1000*'Tabla Parámetros'!$K$19)/30.4*C43)*1.0212^2),IF($E$2='Tabla Parámetros'!$J$20,($H$2/1000*'Tabla Parámetros'!$K$20)/30.4*C43)*1.0201)*1.0201)))+N43+O43</f>
        <v>#REF!</v>
      </c>
      <c r="K43" s="167" t="e">
        <f t="shared" si="9"/>
        <v>#REF!</v>
      </c>
      <c r="L43" s="167" t="e">
        <f>IF(B43="","",IF(F43=0,0,Simulador!$N$13*$J$2))</f>
        <v>#REF!</v>
      </c>
      <c r="M43" s="167" t="e">
        <f>IF(B43="","",IF(F43=0,0,IF(Simulador!$F$11='Tabla Parámetros'!$W$1,'Tabla Parámetros'!$W$28,IF(Simulador!$F$11='Tabla Parámetros'!$Y$1,'Tabla Parámetros'!$Y$12))))</f>
        <v>#REF!</v>
      </c>
      <c r="N43" s="167" t="e">
        <f>IF(F43="","",IF(Simulador!$N$7='Tabla Parámetros'!$C$31,AportPat!L29,0))</f>
        <v>#REF!</v>
      </c>
      <c r="O43" s="172" t="e">
        <f>Simulador!#REF!</f>
        <v>#REF!</v>
      </c>
      <c r="P43" s="167" t="e">
        <f t="shared" si="13"/>
        <v>#REF!</v>
      </c>
      <c r="Q43" s="167" t="e">
        <f t="shared" si="17"/>
        <v>#REF!</v>
      </c>
      <c r="T43" s="6"/>
      <c r="U43" s="6"/>
      <c r="V43" s="6"/>
      <c r="W43" s="29" t="e">
        <f t="shared" si="0"/>
        <v>#REF!</v>
      </c>
    </row>
    <row r="44" spans="2:23" x14ac:dyDescent="0.3">
      <c r="B44" s="181">
        <f t="shared" si="14"/>
        <v>27</v>
      </c>
      <c r="C44" s="180">
        <f t="shared" si="10"/>
        <v>30.4</v>
      </c>
      <c r="D44" s="193">
        <f t="shared" si="15"/>
        <v>0.11</v>
      </c>
      <c r="E44" s="167"/>
      <c r="F44" s="167" t="e">
        <f t="shared" si="16"/>
        <v>#REF!</v>
      </c>
      <c r="G44" s="166"/>
      <c r="H44" s="167" t="e">
        <f t="shared" si="11"/>
        <v>#REF!</v>
      </c>
      <c r="I44" s="167" t="e">
        <f t="shared" si="12"/>
        <v>#REF!</v>
      </c>
      <c r="J44" s="167" t="e">
        <f>IF(C44="","",IF(F44=0,0,IF(C44&lt;='Tabla Parámetros'!$J$23,I44,IF($E$2='Tabla Parámetros'!$J$19,((($H$2/1000*'Tabla Parámetros'!$K$19)/30.4*C44)*1.0212^2),IF($E$2='Tabla Parámetros'!$J$20,($H$2/1000*'Tabla Parámetros'!$K$20)/30.4*C44)*1.0201)*1.0201)))+N44+O44</f>
        <v>#REF!</v>
      </c>
      <c r="K44" s="167" t="e">
        <f t="shared" si="9"/>
        <v>#REF!</v>
      </c>
      <c r="L44" s="167" t="e">
        <f>IF(B44="","",IF(F44=0,0,Simulador!$N$13*$J$2))</f>
        <v>#REF!</v>
      </c>
      <c r="M44" s="167" t="e">
        <f>IF(B44="","",IF(F44=0,0,IF(Simulador!$F$11='Tabla Parámetros'!$W$1,'Tabla Parámetros'!$W$28,IF(Simulador!$F$11='Tabla Parámetros'!$Y$1,'Tabla Parámetros'!$Y$12))))</f>
        <v>#REF!</v>
      </c>
      <c r="N44" s="167" t="e">
        <f>IF(F44="","",IF(Simulador!$N$7='Tabla Parámetros'!$C$31,AportPat!L30,0))</f>
        <v>#REF!</v>
      </c>
      <c r="O44" s="172" t="e">
        <f>Simulador!#REF!</f>
        <v>#REF!</v>
      </c>
      <c r="P44" s="167" t="e">
        <f t="shared" si="13"/>
        <v>#REF!</v>
      </c>
      <c r="Q44" s="167" t="e">
        <f t="shared" si="17"/>
        <v>#REF!</v>
      </c>
      <c r="T44" s="6"/>
      <c r="U44" s="6"/>
      <c r="V44" s="6"/>
      <c r="W44" s="29" t="e">
        <f t="shared" si="0"/>
        <v>#REF!</v>
      </c>
    </row>
    <row r="45" spans="2:23" x14ac:dyDescent="0.3">
      <c r="B45" s="181">
        <f t="shared" si="14"/>
        <v>28</v>
      </c>
      <c r="C45" s="180">
        <f t="shared" si="10"/>
        <v>30.4</v>
      </c>
      <c r="D45" s="193">
        <f t="shared" si="15"/>
        <v>0.11</v>
      </c>
      <c r="E45" s="167"/>
      <c r="F45" s="167" t="e">
        <f t="shared" si="16"/>
        <v>#REF!</v>
      </c>
      <c r="G45" s="166"/>
      <c r="H45" s="167" t="e">
        <f t="shared" si="11"/>
        <v>#REF!</v>
      </c>
      <c r="I45" s="167" t="e">
        <f t="shared" si="12"/>
        <v>#REF!</v>
      </c>
      <c r="J45" s="167" t="e">
        <f>IF(C45="","",IF(F45=0,0,IF(C45&lt;='Tabla Parámetros'!$J$23,I45,IF($E$2='Tabla Parámetros'!$J$19,((($H$2/1000*'Tabla Parámetros'!$K$19)/30.4*C45)*1.0212^2),IF($E$2='Tabla Parámetros'!$J$20,($H$2/1000*'Tabla Parámetros'!$K$20)/30.4*C45)*1.0201)*1.0201)))+N45+O45</f>
        <v>#REF!</v>
      </c>
      <c r="K45" s="167" t="e">
        <f t="shared" si="9"/>
        <v>#REF!</v>
      </c>
      <c r="L45" s="167" t="e">
        <f>IF(B45="","",IF(F45=0,0,Simulador!$N$13*$J$2))</f>
        <v>#REF!</v>
      </c>
      <c r="M45" s="167" t="e">
        <f>IF(B45="","",IF(F45=0,0,IF(Simulador!$F$11='Tabla Parámetros'!$W$1,'Tabla Parámetros'!$W$28,IF(Simulador!$F$11='Tabla Parámetros'!$Y$1,'Tabla Parámetros'!$Y$12))))</f>
        <v>#REF!</v>
      </c>
      <c r="N45" s="167" t="e">
        <f>IF(F45="","",IF(Simulador!$N$7='Tabla Parámetros'!$C$31,AportPat!L31,0))</f>
        <v>#REF!</v>
      </c>
      <c r="O45" s="172" t="e">
        <f>Simulador!#REF!</f>
        <v>#REF!</v>
      </c>
      <c r="P45" s="167" t="e">
        <f t="shared" si="13"/>
        <v>#REF!</v>
      </c>
      <c r="Q45" s="167" t="e">
        <f t="shared" si="17"/>
        <v>#REF!</v>
      </c>
      <c r="T45" s="6"/>
      <c r="U45" s="6"/>
      <c r="V45" s="6"/>
      <c r="W45" s="29" t="e">
        <f t="shared" si="0"/>
        <v>#REF!</v>
      </c>
    </row>
    <row r="46" spans="2:23" x14ac:dyDescent="0.3">
      <c r="B46" s="181">
        <f t="shared" si="14"/>
        <v>29</v>
      </c>
      <c r="C46" s="180">
        <f t="shared" si="10"/>
        <v>30.4</v>
      </c>
      <c r="D46" s="193">
        <f t="shared" si="15"/>
        <v>0.11</v>
      </c>
      <c r="E46" s="167"/>
      <c r="F46" s="167" t="e">
        <f t="shared" si="16"/>
        <v>#REF!</v>
      </c>
      <c r="G46" s="166"/>
      <c r="H46" s="167" t="e">
        <f t="shared" si="11"/>
        <v>#REF!</v>
      </c>
      <c r="I46" s="167" t="e">
        <f t="shared" si="12"/>
        <v>#REF!</v>
      </c>
      <c r="J46" s="167" t="e">
        <f>IF(C46="","",IF(F46=0,0,IF(C46&lt;='Tabla Parámetros'!$J$23,I46,IF($E$2='Tabla Parámetros'!$J$19,((($H$2/1000*'Tabla Parámetros'!$K$19)/30.4*C46)*1.0212^2),IF($E$2='Tabla Parámetros'!$J$20,($H$2/1000*'Tabla Parámetros'!$K$20)/30.4*C46)*1.0201)*1.0201)))+N46+O46</f>
        <v>#REF!</v>
      </c>
      <c r="K46" s="167" t="e">
        <f t="shared" si="9"/>
        <v>#REF!</v>
      </c>
      <c r="L46" s="167" t="e">
        <f>IF(B46="","",IF(F46=0,0,Simulador!$N$13*$J$2))</f>
        <v>#REF!</v>
      </c>
      <c r="M46" s="167" t="e">
        <f>IF(B46="","",IF(F46=0,0,IF(Simulador!$F$11='Tabla Parámetros'!$W$1,'Tabla Parámetros'!$W$28,IF(Simulador!$F$11='Tabla Parámetros'!$Y$1,'Tabla Parámetros'!$Y$12))))</f>
        <v>#REF!</v>
      </c>
      <c r="N46" s="167" t="e">
        <f>IF(F46="","",IF(Simulador!$N$7='Tabla Parámetros'!$C$31,AportPat!L32,0))</f>
        <v>#REF!</v>
      </c>
      <c r="O46" s="172" t="e">
        <f>Simulador!#REF!</f>
        <v>#REF!</v>
      </c>
      <c r="P46" s="167" t="e">
        <f t="shared" si="13"/>
        <v>#REF!</v>
      </c>
      <c r="Q46" s="167" t="e">
        <f t="shared" si="17"/>
        <v>#REF!</v>
      </c>
      <c r="T46" s="6"/>
      <c r="U46" s="6"/>
      <c r="V46" s="6"/>
      <c r="W46" s="29" t="e">
        <f t="shared" si="0"/>
        <v>#REF!</v>
      </c>
    </row>
    <row r="47" spans="2:23" x14ac:dyDescent="0.3">
      <c r="B47" s="181">
        <f t="shared" si="14"/>
        <v>30</v>
      </c>
      <c r="C47" s="180">
        <f t="shared" si="10"/>
        <v>30.4</v>
      </c>
      <c r="D47" s="193">
        <f t="shared" si="15"/>
        <v>0.11</v>
      </c>
      <c r="E47" s="167"/>
      <c r="F47" s="167" t="e">
        <f t="shared" si="16"/>
        <v>#REF!</v>
      </c>
      <c r="G47" s="166"/>
      <c r="H47" s="167" t="e">
        <f t="shared" si="11"/>
        <v>#REF!</v>
      </c>
      <c r="I47" s="167" t="e">
        <f t="shared" si="12"/>
        <v>#REF!</v>
      </c>
      <c r="J47" s="167" t="e">
        <f>IF(C47="","",IF(F47=0,0,IF(C47&lt;='Tabla Parámetros'!$J$23,I47,IF($E$2='Tabla Parámetros'!$J$19,((($H$2/1000*'Tabla Parámetros'!$K$19)/30.4*C47)*1.0212^2),IF($E$2='Tabla Parámetros'!$J$20,($H$2/1000*'Tabla Parámetros'!$K$20)/30.4*C47)*1.0201)*1.0201)))+N47+O47</f>
        <v>#REF!</v>
      </c>
      <c r="K47" s="167" t="e">
        <f t="shared" si="9"/>
        <v>#REF!</v>
      </c>
      <c r="L47" s="167" t="e">
        <f>IF(B47="","",IF(F47=0,0,Simulador!$N$13*$J$2))</f>
        <v>#REF!</v>
      </c>
      <c r="M47" s="167" t="e">
        <f>IF(B47="","",IF(F47=0,0,IF(Simulador!$F$11='Tabla Parámetros'!$W$1,'Tabla Parámetros'!$W$28,IF(Simulador!$F$11='Tabla Parámetros'!$Y$1,'Tabla Parámetros'!$Y$12))))</f>
        <v>#REF!</v>
      </c>
      <c r="N47" s="167" t="e">
        <f>IF(F47="","",IF(Simulador!$N$7='Tabla Parámetros'!$C$31,AportPat!L33,0))</f>
        <v>#REF!</v>
      </c>
      <c r="O47" s="172" t="e">
        <f>Simulador!#REF!</f>
        <v>#REF!</v>
      </c>
      <c r="P47" s="167" t="e">
        <f t="shared" si="13"/>
        <v>#REF!</v>
      </c>
      <c r="Q47" s="167" t="e">
        <f t="shared" si="17"/>
        <v>#REF!</v>
      </c>
      <c r="T47" s="6"/>
      <c r="U47" s="6"/>
      <c r="V47" s="6"/>
      <c r="W47" s="29" t="e">
        <f t="shared" si="0"/>
        <v>#REF!</v>
      </c>
    </row>
    <row r="48" spans="2:23" x14ac:dyDescent="0.3">
      <c r="B48" s="181">
        <f t="shared" si="14"/>
        <v>31</v>
      </c>
      <c r="C48" s="180">
        <f t="shared" si="10"/>
        <v>30.4</v>
      </c>
      <c r="D48" s="193">
        <f t="shared" si="15"/>
        <v>0.11</v>
      </c>
      <c r="E48" s="167"/>
      <c r="F48" s="167" t="e">
        <f t="shared" si="16"/>
        <v>#REF!</v>
      </c>
      <c r="G48" s="166"/>
      <c r="H48" s="167" t="e">
        <f t="shared" si="11"/>
        <v>#REF!</v>
      </c>
      <c r="I48" s="167" t="e">
        <f t="shared" si="12"/>
        <v>#REF!</v>
      </c>
      <c r="J48" s="167" t="e">
        <f>IF(C48="","",IF(F48=0,0,IF(C48&lt;='Tabla Parámetros'!$J$23,I48,IF($E$2='Tabla Parámetros'!$J$19,((($H$2/1000*'Tabla Parámetros'!$K$19)/30.4*C48)*1.0212^2),IF($E$2='Tabla Parámetros'!$J$20,($H$2/1000*'Tabla Parámetros'!$K$20)/30.4*C48)*1.0201)*1.0201)))+N48+O48</f>
        <v>#REF!</v>
      </c>
      <c r="K48" s="167" t="e">
        <f t="shared" si="9"/>
        <v>#REF!</v>
      </c>
      <c r="L48" s="167" t="e">
        <f>IF(B48="","",IF(F48=0,0,Simulador!$N$13*$J$2))</f>
        <v>#REF!</v>
      </c>
      <c r="M48" s="167" t="e">
        <f>IF(B48="","",IF(F48=0,0,IF(Simulador!$F$11='Tabla Parámetros'!$W$1,'Tabla Parámetros'!$W$28,IF(Simulador!$F$11='Tabla Parámetros'!$Y$1,'Tabla Parámetros'!$Y$12))))</f>
        <v>#REF!</v>
      </c>
      <c r="N48" s="167" t="e">
        <f>IF(F48="","",IF(Simulador!$N$7='Tabla Parámetros'!$C$31,AportPat!L34,0))</f>
        <v>#REF!</v>
      </c>
      <c r="O48" s="172" t="e">
        <f>Simulador!#REF!</f>
        <v>#REF!</v>
      </c>
      <c r="P48" s="167" t="e">
        <f t="shared" si="13"/>
        <v>#REF!</v>
      </c>
      <c r="Q48" s="167" t="e">
        <f t="shared" si="17"/>
        <v>#REF!</v>
      </c>
      <c r="T48" s="6"/>
      <c r="U48" s="6"/>
      <c r="V48" s="6"/>
      <c r="W48" s="29" t="e">
        <f t="shared" si="0"/>
        <v>#REF!</v>
      </c>
    </row>
    <row r="49" spans="2:23" x14ac:dyDescent="0.3">
      <c r="B49" s="181">
        <f t="shared" si="14"/>
        <v>32</v>
      </c>
      <c r="C49" s="180">
        <f t="shared" si="10"/>
        <v>30.4</v>
      </c>
      <c r="D49" s="193">
        <f t="shared" si="15"/>
        <v>0.11</v>
      </c>
      <c r="E49" s="167"/>
      <c r="F49" s="167" t="e">
        <f t="shared" si="16"/>
        <v>#REF!</v>
      </c>
      <c r="G49" s="166"/>
      <c r="H49" s="167" t="e">
        <f t="shared" si="11"/>
        <v>#REF!</v>
      </c>
      <c r="I49" s="167" t="e">
        <f t="shared" si="12"/>
        <v>#REF!</v>
      </c>
      <c r="J49" s="167" t="e">
        <f>IF(C49="","",IF(F49=0,0,IF(C49&lt;='Tabla Parámetros'!$J$23,I49,IF($E$2='Tabla Parámetros'!$J$19,((($H$2/1000*'Tabla Parámetros'!$K$19)/30.4*C49)*1.0212^2),IF($E$2='Tabla Parámetros'!$J$20,($H$2/1000*'Tabla Parámetros'!$K$20)/30.4*C49)*1.0201)*1.0201)))+N49+O49</f>
        <v>#REF!</v>
      </c>
      <c r="K49" s="167" t="e">
        <f t="shared" si="9"/>
        <v>#REF!</v>
      </c>
      <c r="L49" s="167" t="e">
        <f>IF(B49="","",IF(F49=0,0,Simulador!$N$13*$J$2))</f>
        <v>#REF!</v>
      </c>
      <c r="M49" s="167" t="e">
        <f>IF(B49="","",IF(F49=0,0,IF(Simulador!$F$11='Tabla Parámetros'!$W$1,'Tabla Parámetros'!$W$28,IF(Simulador!$F$11='Tabla Parámetros'!$Y$1,'Tabla Parámetros'!$Y$12))))</f>
        <v>#REF!</v>
      </c>
      <c r="N49" s="167" t="e">
        <f>IF(F49="","",IF(Simulador!$N$7='Tabla Parámetros'!$C$31,AportPat!L35,0))</f>
        <v>#REF!</v>
      </c>
      <c r="O49" s="172" t="e">
        <f>Simulador!#REF!</f>
        <v>#REF!</v>
      </c>
      <c r="P49" s="167" t="e">
        <f t="shared" si="13"/>
        <v>#REF!</v>
      </c>
      <c r="Q49" s="167" t="e">
        <f t="shared" si="17"/>
        <v>#REF!</v>
      </c>
      <c r="T49" s="6"/>
      <c r="U49" s="6"/>
      <c r="V49" s="6"/>
      <c r="W49" s="29" t="e">
        <f t="shared" si="0"/>
        <v>#REF!</v>
      </c>
    </row>
    <row r="50" spans="2:23" x14ac:dyDescent="0.3">
      <c r="B50" s="181">
        <f t="shared" si="14"/>
        <v>33</v>
      </c>
      <c r="C50" s="180">
        <f t="shared" si="10"/>
        <v>30.4</v>
      </c>
      <c r="D50" s="193">
        <f t="shared" si="15"/>
        <v>0.11</v>
      </c>
      <c r="E50" s="167"/>
      <c r="F50" s="167" t="e">
        <f t="shared" si="16"/>
        <v>#REF!</v>
      </c>
      <c r="G50" s="166"/>
      <c r="H50" s="167" t="e">
        <f t="shared" si="11"/>
        <v>#REF!</v>
      </c>
      <c r="I50" s="167" t="e">
        <f t="shared" si="12"/>
        <v>#REF!</v>
      </c>
      <c r="J50" s="167" t="e">
        <f>IF(C50="","",IF(F50=0,0,IF(C50&lt;='Tabla Parámetros'!$J$23,I50,IF($E$2='Tabla Parámetros'!$J$19,((($H$2/1000*'Tabla Parámetros'!$K$19)/30.4*C50)*1.0212^2),IF($E$2='Tabla Parámetros'!$J$20,($H$2/1000*'Tabla Parámetros'!$K$20)/30.4*C50)*1.0201)*1.0201)))+N50+O50</f>
        <v>#REF!</v>
      </c>
      <c r="K50" s="167" t="e">
        <f t="shared" si="9"/>
        <v>#REF!</v>
      </c>
      <c r="L50" s="167" t="e">
        <f>IF(B50="","",IF(F50=0,0,Simulador!$N$13*$J$2))</f>
        <v>#REF!</v>
      </c>
      <c r="M50" s="167" t="e">
        <f>IF(B50="","",IF(F50=0,0,IF(Simulador!$F$11='Tabla Parámetros'!$W$1,'Tabla Parámetros'!$W$28,IF(Simulador!$F$11='Tabla Parámetros'!$Y$1,'Tabla Parámetros'!$Y$12))))</f>
        <v>#REF!</v>
      </c>
      <c r="N50" s="167" t="e">
        <f>IF(F50="","",IF(Simulador!$N$7='Tabla Parámetros'!$C$31,AportPat!L36,0))</f>
        <v>#REF!</v>
      </c>
      <c r="O50" s="172" t="e">
        <f>Simulador!#REF!</f>
        <v>#REF!</v>
      </c>
      <c r="P50" s="167" t="e">
        <f t="shared" si="13"/>
        <v>#REF!</v>
      </c>
      <c r="Q50" s="167" t="e">
        <f t="shared" si="17"/>
        <v>#REF!</v>
      </c>
      <c r="T50" s="6"/>
      <c r="U50" s="6"/>
      <c r="V50" s="6"/>
      <c r="W50" s="29" t="e">
        <f t="shared" si="0"/>
        <v>#REF!</v>
      </c>
    </row>
    <row r="51" spans="2:23" x14ac:dyDescent="0.3">
      <c r="B51" s="181">
        <f t="shared" si="14"/>
        <v>34</v>
      </c>
      <c r="C51" s="180">
        <f t="shared" si="10"/>
        <v>30.4</v>
      </c>
      <c r="D51" s="193">
        <f t="shared" si="15"/>
        <v>0.11</v>
      </c>
      <c r="E51" s="167"/>
      <c r="F51" s="167" t="e">
        <f t="shared" si="16"/>
        <v>#REF!</v>
      </c>
      <c r="G51" s="166"/>
      <c r="H51" s="167" t="e">
        <f t="shared" si="11"/>
        <v>#REF!</v>
      </c>
      <c r="I51" s="167" t="e">
        <f t="shared" si="12"/>
        <v>#REF!</v>
      </c>
      <c r="J51" s="167" t="e">
        <f>IF(C51="","",IF(F51=0,0,IF(C51&lt;='Tabla Parámetros'!$J$23,I51,IF($E$2='Tabla Parámetros'!$J$19,((($H$2/1000*'Tabla Parámetros'!$K$19)/30.4*C51)*1.0212^2),IF($E$2='Tabla Parámetros'!$J$20,($H$2/1000*'Tabla Parámetros'!$K$20)/30.4*C51)*1.0201)*1.0201)))+N51+O51</f>
        <v>#REF!</v>
      </c>
      <c r="K51" s="167" t="e">
        <f t="shared" si="9"/>
        <v>#REF!</v>
      </c>
      <c r="L51" s="167" t="e">
        <f>IF(B51="","",IF(F51=0,0,Simulador!$N$13*$J$2))</f>
        <v>#REF!</v>
      </c>
      <c r="M51" s="167" t="e">
        <f>IF(B51="","",IF(F51=0,0,IF(Simulador!$F$11='Tabla Parámetros'!$W$1,'Tabla Parámetros'!$W$28,IF(Simulador!$F$11='Tabla Parámetros'!$Y$1,'Tabla Parámetros'!$Y$12))))</f>
        <v>#REF!</v>
      </c>
      <c r="N51" s="167" t="e">
        <f>IF(F51="","",IF(Simulador!$N$7='Tabla Parámetros'!$C$31,AportPat!L37,0))</f>
        <v>#REF!</v>
      </c>
      <c r="O51" s="172" t="e">
        <f>Simulador!#REF!</f>
        <v>#REF!</v>
      </c>
      <c r="P51" s="167" t="e">
        <f t="shared" si="13"/>
        <v>#REF!</v>
      </c>
      <c r="Q51" s="167" t="e">
        <f t="shared" si="17"/>
        <v>#REF!</v>
      </c>
      <c r="T51" s="6"/>
      <c r="U51" s="6"/>
      <c r="V51" s="6"/>
      <c r="W51" s="29" t="e">
        <f t="shared" si="0"/>
        <v>#REF!</v>
      </c>
    </row>
    <row r="52" spans="2:23" x14ac:dyDescent="0.3">
      <c r="B52" s="181">
        <f t="shared" si="14"/>
        <v>35</v>
      </c>
      <c r="C52" s="180">
        <f t="shared" si="10"/>
        <v>30.4</v>
      </c>
      <c r="D52" s="193">
        <f t="shared" si="15"/>
        <v>0.11</v>
      </c>
      <c r="E52" s="167"/>
      <c r="F52" s="167" t="e">
        <f t="shared" si="16"/>
        <v>#REF!</v>
      </c>
      <c r="G52" s="166"/>
      <c r="H52" s="167" t="e">
        <f t="shared" si="11"/>
        <v>#REF!</v>
      </c>
      <c r="I52" s="167" t="e">
        <f t="shared" si="12"/>
        <v>#REF!</v>
      </c>
      <c r="J52" s="167" t="e">
        <f>IF(C52="","",IF(F52=0,0,IF(C52&lt;='Tabla Parámetros'!$J$23,I52,IF($E$2='Tabla Parámetros'!$J$19,((($H$2/1000*'Tabla Parámetros'!$K$19)/30.4*C52)*1.0212^2),IF($E$2='Tabla Parámetros'!$J$20,($H$2/1000*'Tabla Parámetros'!$K$20)/30.4*C52)*1.0201)*1.0201)))+N52+O52</f>
        <v>#REF!</v>
      </c>
      <c r="K52" s="167" t="e">
        <f t="shared" si="9"/>
        <v>#REF!</v>
      </c>
      <c r="L52" s="167" t="e">
        <f>IF(B52="","",IF(F52=0,0,Simulador!$N$13*$J$2))</f>
        <v>#REF!</v>
      </c>
      <c r="M52" s="167" t="e">
        <f>IF(B52="","",IF(F52=0,0,IF(Simulador!$F$11='Tabla Parámetros'!$W$1,'Tabla Parámetros'!$W$28,IF(Simulador!$F$11='Tabla Parámetros'!$Y$1,'Tabla Parámetros'!$Y$12))))</f>
        <v>#REF!</v>
      </c>
      <c r="N52" s="167" t="e">
        <f>IF(F52="","",IF(Simulador!$N$7='Tabla Parámetros'!$C$31,AportPat!L38,0))</f>
        <v>#REF!</v>
      </c>
      <c r="O52" s="172" t="e">
        <f>Simulador!#REF!</f>
        <v>#REF!</v>
      </c>
      <c r="P52" s="167" t="e">
        <f t="shared" si="13"/>
        <v>#REF!</v>
      </c>
      <c r="Q52" s="167" t="e">
        <f t="shared" si="17"/>
        <v>#REF!</v>
      </c>
      <c r="T52" s="6"/>
      <c r="U52" s="6"/>
      <c r="V52" s="6"/>
      <c r="W52" s="29" t="e">
        <f t="shared" si="0"/>
        <v>#REF!</v>
      </c>
    </row>
    <row r="53" spans="2:23" x14ac:dyDescent="0.3">
      <c r="B53" s="181">
        <f t="shared" si="14"/>
        <v>36</v>
      </c>
      <c r="C53" s="180">
        <f t="shared" si="10"/>
        <v>30.4</v>
      </c>
      <c r="D53" s="193">
        <f t="shared" si="15"/>
        <v>0.11</v>
      </c>
      <c r="E53" s="167"/>
      <c r="F53" s="167" t="e">
        <f t="shared" si="16"/>
        <v>#REF!</v>
      </c>
      <c r="G53" s="166"/>
      <c r="H53" s="167" t="e">
        <f t="shared" si="11"/>
        <v>#REF!</v>
      </c>
      <c r="I53" s="167" t="e">
        <f t="shared" si="12"/>
        <v>#REF!</v>
      </c>
      <c r="J53" s="167" t="e">
        <f>IF(C53="","",IF(F53=0,0,IF(C53&lt;='Tabla Parámetros'!$J$23,I53,IF($E$2='Tabla Parámetros'!$J$19,((($H$2/1000*'Tabla Parámetros'!$K$19)/30.4*C53)*1.0212^2),IF($E$2='Tabla Parámetros'!$J$20,($H$2/1000*'Tabla Parámetros'!$K$20)/30.4*C53)*1.0201)*1.0201)))+N53+O53</f>
        <v>#REF!</v>
      </c>
      <c r="K53" s="167" t="e">
        <f t="shared" si="9"/>
        <v>#REF!</v>
      </c>
      <c r="L53" s="167" t="e">
        <f>IF(B53="","",IF(F53=0,0,Simulador!$N$13*$J$2))</f>
        <v>#REF!</v>
      </c>
      <c r="M53" s="167" t="e">
        <f>IF(B53="","",IF(F53=0,0,IF(Simulador!$F$11='Tabla Parámetros'!$W$1,'Tabla Parámetros'!$W$28,IF(Simulador!$F$11='Tabla Parámetros'!$Y$1,'Tabla Parámetros'!$Y$12))))</f>
        <v>#REF!</v>
      </c>
      <c r="N53" s="167" t="e">
        <f>IF(F53="","",IF(Simulador!$N$7='Tabla Parámetros'!$C$31,AportPat!L39,0))</f>
        <v>#REF!</v>
      </c>
      <c r="O53" s="172" t="e">
        <f>Simulador!#REF!</f>
        <v>#REF!</v>
      </c>
      <c r="P53" s="167" t="e">
        <f t="shared" si="13"/>
        <v>#REF!</v>
      </c>
      <c r="Q53" s="167" t="e">
        <f t="shared" si="17"/>
        <v>#REF!</v>
      </c>
      <c r="T53" s="6"/>
      <c r="U53" s="6"/>
      <c r="V53" s="6"/>
      <c r="W53" s="29" t="e">
        <f t="shared" si="0"/>
        <v>#REF!</v>
      </c>
    </row>
    <row r="54" spans="2:23" x14ac:dyDescent="0.3">
      <c r="B54" s="181">
        <f t="shared" si="14"/>
        <v>37</v>
      </c>
      <c r="C54" s="180">
        <f t="shared" si="10"/>
        <v>30.4</v>
      </c>
      <c r="D54" s="193">
        <f t="shared" si="15"/>
        <v>0.11</v>
      </c>
      <c r="E54" s="167"/>
      <c r="F54" s="167" t="e">
        <f t="shared" si="16"/>
        <v>#REF!</v>
      </c>
      <c r="G54" s="166"/>
      <c r="H54" s="167" t="e">
        <f t="shared" si="11"/>
        <v>#REF!</v>
      </c>
      <c r="I54" s="167" t="e">
        <f t="shared" si="12"/>
        <v>#REF!</v>
      </c>
      <c r="J54" s="167" t="e">
        <f>IF(C54="","",IF(F54=0,0,IF(C54&lt;='Tabla Parámetros'!$J$23,I54,IF($E$2='Tabla Parámetros'!$J$19,((($H$2/1000*'Tabla Parámetros'!$K$19)/30.4*C54)*1.0212^2),IF($E$2='Tabla Parámetros'!$J$20,($H$2/1000*'Tabla Parámetros'!$K$20)/30.4*C54)*1.0201)*1.0201)))+N54+O54</f>
        <v>#REF!</v>
      </c>
      <c r="K54" s="167" t="e">
        <f t="shared" si="9"/>
        <v>#REF!</v>
      </c>
      <c r="L54" s="167" t="e">
        <f>IF(B54="","",IF(F54=0,0,Simulador!$N$13*$J$2))</f>
        <v>#REF!</v>
      </c>
      <c r="M54" s="167" t="e">
        <f>IF(B54="","",IF(F54=0,0,IF(Simulador!$F$11='Tabla Parámetros'!$W$1,'Tabla Parámetros'!$W$28,IF(Simulador!$F$11='Tabla Parámetros'!$Y$1,'Tabla Parámetros'!$Y$12))))</f>
        <v>#REF!</v>
      </c>
      <c r="N54" s="167" t="e">
        <f>IF(F54="","",IF(Simulador!$N$7='Tabla Parámetros'!$C$31,AportPat!L40,0))</f>
        <v>#REF!</v>
      </c>
      <c r="O54" s="172" t="e">
        <f>Simulador!#REF!</f>
        <v>#REF!</v>
      </c>
      <c r="P54" s="167" t="e">
        <f t="shared" si="13"/>
        <v>#REF!</v>
      </c>
      <c r="Q54" s="167" t="e">
        <f t="shared" si="17"/>
        <v>#REF!</v>
      </c>
      <c r="T54" s="6"/>
      <c r="U54" s="6"/>
      <c r="V54" s="6"/>
      <c r="W54" s="29" t="e">
        <f t="shared" si="0"/>
        <v>#REF!</v>
      </c>
    </row>
    <row r="55" spans="2:23" x14ac:dyDescent="0.3">
      <c r="B55" s="181">
        <f t="shared" si="14"/>
        <v>38</v>
      </c>
      <c r="C55" s="180">
        <f t="shared" si="10"/>
        <v>30.4</v>
      </c>
      <c r="D55" s="193">
        <f>IF(B55="","",'Tabla Parámetros'!$G$4)</f>
        <v>0.11550000000000001</v>
      </c>
      <c r="E55" s="167"/>
      <c r="F55" s="167" t="e">
        <f t="shared" si="16"/>
        <v>#REF!</v>
      </c>
      <c r="G55" s="166"/>
      <c r="H55" s="167" t="e">
        <f t="shared" si="11"/>
        <v>#REF!</v>
      </c>
      <c r="I55" s="167" t="e">
        <f t="shared" si="12"/>
        <v>#REF!</v>
      </c>
      <c r="J55" s="167" t="e">
        <f>IF(C55="","",IF(F55=0,0,IF(C55&lt;='Tabla Parámetros'!$J$23,I55,IF($E$2='Tabla Parámetros'!$J$19,((($H$2/1000*'Tabla Parámetros'!$K$19)/30.4*C55)*1.0212^3),IF($E$2='Tabla Parámetros'!$J$20,($H$2/1000*'Tabla Parámetros'!$K$20)/30.4*C55)*1.0201^3)))+N55+O55)</f>
        <v>#REF!</v>
      </c>
      <c r="K55" s="167" t="e">
        <f t="shared" si="9"/>
        <v>#REF!</v>
      </c>
      <c r="L55" s="167" t="e">
        <f>IF(B55="","",IF(F55=0,0,Simulador!$N$13*$J$2))</f>
        <v>#REF!</v>
      </c>
      <c r="M55" s="167" t="e">
        <f>IF(B55="","",IF(F55=0,0,IF(Simulador!$F$11='Tabla Parámetros'!$W$1,'Tabla Parámetros'!$W$28,IF(Simulador!$F$11='Tabla Parámetros'!$Y$1,'Tabla Parámetros'!$Y$12))))</f>
        <v>#REF!</v>
      </c>
      <c r="N55" s="167" t="e">
        <f>IF(F55="","",IF(Simulador!$N$7='Tabla Parámetros'!$C$31,AportPat!L41,0))</f>
        <v>#REF!</v>
      </c>
      <c r="O55" s="172" t="e">
        <f>Simulador!#REF!</f>
        <v>#REF!</v>
      </c>
      <c r="P55" s="167" t="e">
        <f t="shared" si="13"/>
        <v>#REF!</v>
      </c>
      <c r="Q55" s="167" t="e">
        <f t="shared" si="17"/>
        <v>#REF!</v>
      </c>
      <c r="T55" s="6"/>
      <c r="U55" s="6"/>
      <c r="V55" s="6"/>
      <c r="W55" s="29" t="e">
        <f t="shared" si="0"/>
        <v>#REF!</v>
      </c>
    </row>
    <row r="56" spans="2:23" x14ac:dyDescent="0.3">
      <c r="B56" s="181">
        <f t="shared" si="14"/>
        <v>39</v>
      </c>
      <c r="C56" s="180">
        <f t="shared" si="10"/>
        <v>30.4</v>
      </c>
      <c r="D56" s="193">
        <f>IF(B56="","",'Tabla Parámetros'!$G$4)</f>
        <v>0.11550000000000001</v>
      </c>
      <c r="E56" s="167"/>
      <c r="F56" s="167" t="e">
        <f t="shared" si="16"/>
        <v>#REF!</v>
      </c>
      <c r="G56" s="166"/>
      <c r="H56" s="167" t="e">
        <f t="shared" si="11"/>
        <v>#REF!</v>
      </c>
      <c r="I56" s="167" t="e">
        <f t="shared" si="12"/>
        <v>#REF!</v>
      </c>
      <c r="J56" s="167" t="e">
        <f>IF(C56="","",IF(F56=0,0,IF(C56&lt;='Tabla Parámetros'!$J$23,I56,IF($E$2='Tabla Parámetros'!$J$19,((($H$2/1000*'Tabla Parámetros'!$K$19)/30.4*C56)*1.0212^3),IF($E$2='Tabla Parámetros'!$J$20,($H$2/1000*'Tabla Parámetros'!$K$20)/30.4*C56)*1.0201^3)))+N56+O56)</f>
        <v>#REF!</v>
      </c>
      <c r="K56" s="167" t="e">
        <f t="shared" si="9"/>
        <v>#REF!</v>
      </c>
      <c r="L56" s="167" t="e">
        <f>IF(B56="","",IF(F56=0,0,Simulador!$N$13*$J$2))</f>
        <v>#REF!</v>
      </c>
      <c r="M56" s="167" t="e">
        <f>IF(B56="","",IF(F56=0,0,IF(Simulador!$F$11='Tabla Parámetros'!$W$1,'Tabla Parámetros'!$W$28,IF(Simulador!$F$11='Tabla Parámetros'!$Y$1,'Tabla Parámetros'!$Y$12))))</f>
        <v>#REF!</v>
      </c>
      <c r="N56" s="167" t="e">
        <f>IF(F56="","",IF(Simulador!$N$7='Tabla Parámetros'!$C$31,AportPat!L42,0))</f>
        <v>#REF!</v>
      </c>
      <c r="O56" s="172" t="e">
        <f>Simulador!#REF!</f>
        <v>#REF!</v>
      </c>
      <c r="P56" s="167" t="e">
        <f t="shared" si="13"/>
        <v>#REF!</v>
      </c>
      <c r="Q56" s="167" t="e">
        <f t="shared" si="17"/>
        <v>#REF!</v>
      </c>
      <c r="T56" s="6"/>
      <c r="U56" s="6"/>
      <c r="V56" s="6"/>
      <c r="W56" s="29" t="e">
        <f t="shared" si="0"/>
        <v>#REF!</v>
      </c>
    </row>
    <row r="57" spans="2:23" x14ac:dyDescent="0.3">
      <c r="B57" s="181">
        <f t="shared" si="14"/>
        <v>40</v>
      </c>
      <c r="C57" s="180">
        <f t="shared" si="10"/>
        <v>30.4</v>
      </c>
      <c r="D57" s="193">
        <f>IF(B57="","",'Tabla Parámetros'!$G$4)</f>
        <v>0.11550000000000001</v>
      </c>
      <c r="E57" s="167"/>
      <c r="F57" s="167" t="e">
        <f t="shared" si="16"/>
        <v>#REF!</v>
      </c>
      <c r="G57" s="166"/>
      <c r="H57" s="167" t="e">
        <f t="shared" si="11"/>
        <v>#REF!</v>
      </c>
      <c r="I57" s="167" t="e">
        <f t="shared" si="12"/>
        <v>#REF!</v>
      </c>
      <c r="J57" s="167" t="e">
        <f>IF(C57="","",IF(F57=0,0,IF(C57&lt;='Tabla Parámetros'!$J$23,I57,IF($E$2='Tabla Parámetros'!$J$19,((($H$2/1000*'Tabla Parámetros'!$K$19)/30.4*C57)*1.0212^3),IF($E$2='Tabla Parámetros'!$J$20,($H$2/1000*'Tabla Parámetros'!$K$20)/30.4*C57)*1.0201^3)))+N57+O57)</f>
        <v>#REF!</v>
      </c>
      <c r="K57" s="167" t="e">
        <f t="shared" si="9"/>
        <v>#REF!</v>
      </c>
      <c r="L57" s="167" t="e">
        <f>IF(B57="","",IF(F57=0,0,Simulador!$N$13*$J$2))</f>
        <v>#REF!</v>
      </c>
      <c r="M57" s="167" t="e">
        <f>IF(B57="","",IF(F57=0,0,IF(Simulador!$F$11='Tabla Parámetros'!$W$1,'Tabla Parámetros'!$W$28,IF(Simulador!$F$11='Tabla Parámetros'!$Y$1,'Tabla Parámetros'!$Y$12))))</f>
        <v>#REF!</v>
      </c>
      <c r="N57" s="167" t="e">
        <f>IF(F57="","",IF(Simulador!$N$7='Tabla Parámetros'!$C$31,AportPat!L43,0))</f>
        <v>#REF!</v>
      </c>
      <c r="O57" s="172" t="e">
        <f>Simulador!#REF!</f>
        <v>#REF!</v>
      </c>
      <c r="P57" s="167" t="e">
        <f t="shared" si="13"/>
        <v>#REF!</v>
      </c>
      <c r="Q57" s="167" t="e">
        <f t="shared" si="17"/>
        <v>#REF!</v>
      </c>
      <c r="T57" s="6"/>
      <c r="U57" s="6"/>
      <c r="V57" s="6"/>
      <c r="W57" s="29" t="e">
        <f t="shared" si="0"/>
        <v>#REF!</v>
      </c>
    </row>
    <row r="58" spans="2:23" x14ac:dyDescent="0.3">
      <c r="B58" s="181">
        <f t="shared" si="14"/>
        <v>41</v>
      </c>
      <c r="C58" s="180">
        <f t="shared" si="10"/>
        <v>30.4</v>
      </c>
      <c r="D58" s="193">
        <f>IF(B58="","",'Tabla Parámetros'!$G$4)</f>
        <v>0.11550000000000001</v>
      </c>
      <c r="E58" s="167"/>
      <c r="F58" s="167" t="e">
        <f t="shared" si="16"/>
        <v>#REF!</v>
      </c>
      <c r="G58" s="166"/>
      <c r="H58" s="167" t="e">
        <f t="shared" si="11"/>
        <v>#REF!</v>
      </c>
      <c r="I58" s="167" t="e">
        <f t="shared" si="12"/>
        <v>#REF!</v>
      </c>
      <c r="J58" s="167" t="e">
        <f>IF(C58="","",IF(F58=0,0,IF(C58&lt;='Tabla Parámetros'!$J$23,I58,IF($E$2='Tabla Parámetros'!$J$19,((($H$2/1000*'Tabla Parámetros'!$K$19)/30.4*C58)*1.0212^3),IF($E$2='Tabla Parámetros'!$J$20,($H$2/1000*'Tabla Parámetros'!$K$20)/30.4*C58)*1.0201^3)))+N58+O58)</f>
        <v>#REF!</v>
      </c>
      <c r="K58" s="167" t="e">
        <f t="shared" si="9"/>
        <v>#REF!</v>
      </c>
      <c r="L58" s="167" t="e">
        <f>IF(B58="","",IF(F58=0,0,Simulador!$N$13*$J$2))</f>
        <v>#REF!</v>
      </c>
      <c r="M58" s="167" t="e">
        <f>IF(B58="","",IF(F58=0,0,IF(Simulador!$F$11='Tabla Parámetros'!$W$1,'Tabla Parámetros'!$W$28,IF(Simulador!$F$11='Tabla Parámetros'!$Y$1,'Tabla Parámetros'!$Y$12))))</f>
        <v>#REF!</v>
      </c>
      <c r="N58" s="167" t="e">
        <f>IF(F58="","",IF(Simulador!$N$7='Tabla Parámetros'!$C$31,AportPat!L44,0))</f>
        <v>#REF!</v>
      </c>
      <c r="O58" s="172" t="e">
        <f>Simulador!#REF!</f>
        <v>#REF!</v>
      </c>
      <c r="P58" s="167" t="e">
        <f t="shared" si="13"/>
        <v>#REF!</v>
      </c>
      <c r="Q58" s="167" t="e">
        <f t="shared" si="17"/>
        <v>#REF!</v>
      </c>
      <c r="T58" s="6"/>
      <c r="U58" s="6"/>
      <c r="V58" s="6"/>
      <c r="W58" s="29" t="e">
        <f t="shared" si="0"/>
        <v>#REF!</v>
      </c>
    </row>
    <row r="59" spans="2:23" x14ac:dyDescent="0.3">
      <c r="B59" s="181">
        <f t="shared" si="14"/>
        <v>42</v>
      </c>
      <c r="C59" s="180">
        <f t="shared" si="10"/>
        <v>30.4</v>
      </c>
      <c r="D59" s="193">
        <f>IF(B59="","",'Tabla Parámetros'!$G$4)</f>
        <v>0.11550000000000001</v>
      </c>
      <c r="E59" s="167"/>
      <c r="F59" s="167" t="e">
        <f t="shared" si="16"/>
        <v>#REF!</v>
      </c>
      <c r="G59" s="166"/>
      <c r="H59" s="167" t="e">
        <f t="shared" si="11"/>
        <v>#REF!</v>
      </c>
      <c r="I59" s="167" t="e">
        <f t="shared" si="12"/>
        <v>#REF!</v>
      </c>
      <c r="J59" s="167" t="e">
        <f>IF(C59="","",IF(F59=0,0,IF(C59&lt;='Tabla Parámetros'!$J$23,I59,IF($E$2='Tabla Parámetros'!$J$19,((($H$2/1000*'Tabla Parámetros'!$K$19)/30.4*C59)*1.0212^3),IF($E$2='Tabla Parámetros'!$J$20,($H$2/1000*'Tabla Parámetros'!$K$20)/30.4*C59)*1.0201^3)))+N59+O59)</f>
        <v>#REF!</v>
      </c>
      <c r="K59" s="167" t="e">
        <f t="shared" si="9"/>
        <v>#REF!</v>
      </c>
      <c r="L59" s="167" t="e">
        <f>IF(B59="","",IF(F59=0,0,Simulador!$N$13*$J$2))</f>
        <v>#REF!</v>
      </c>
      <c r="M59" s="167" t="e">
        <f>IF(B59="","",IF(F59=0,0,IF(Simulador!$F$11='Tabla Parámetros'!$W$1,'Tabla Parámetros'!$W$28,IF(Simulador!$F$11='Tabla Parámetros'!$Y$1,'Tabla Parámetros'!$Y$12))))</f>
        <v>#REF!</v>
      </c>
      <c r="N59" s="167" t="e">
        <f>IF(F59="","",IF(Simulador!$N$7='Tabla Parámetros'!$C$31,AportPat!L45,0))</f>
        <v>#REF!</v>
      </c>
      <c r="O59" s="172" t="e">
        <f>Simulador!#REF!</f>
        <v>#REF!</v>
      </c>
      <c r="P59" s="167" t="e">
        <f t="shared" si="13"/>
        <v>#REF!</v>
      </c>
      <c r="Q59" s="167" t="e">
        <f t="shared" si="17"/>
        <v>#REF!</v>
      </c>
      <c r="T59" s="6"/>
      <c r="U59" s="6"/>
      <c r="V59" s="6"/>
      <c r="W59" s="29" t="e">
        <f t="shared" si="0"/>
        <v>#REF!</v>
      </c>
    </row>
    <row r="60" spans="2:23" x14ac:dyDescent="0.3">
      <c r="B60" s="181">
        <f t="shared" si="14"/>
        <v>43</v>
      </c>
      <c r="C60" s="180">
        <f t="shared" si="10"/>
        <v>30.4</v>
      </c>
      <c r="D60" s="193">
        <f>IF(B60="","",'Tabla Parámetros'!$G$4)</f>
        <v>0.11550000000000001</v>
      </c>
      <c r="E60" s="167"/>
      <c r="F60" s="167" t="e">
        <f t="shared" si="16"/>
        <v>#REF!</v>
      </c>
      <c r="G60" s="166"/>
      <c r="H60" s="167" t="e">
        <f t="shared" si="11"/>
        <v>#REF!</v>
      </c>
      <c r="I60" s="167" t="e">
        <f t="shared" si="12"/>
        <v>#REF!</v>
      </c>
      <c r="J60" s="167" t="e">
        <f>IF(C60="","",IF(F60=0,0,IF(C60&lt;='Tabla Parámetros'!$J$23,I60,IF($E$2='Tabla Parámetros'!$J$19,((($H$2/1000*'Tabla Parámetros'!$K$19)/30.4*C60)*1.0212^3),IF($E$2='Tabla Parámetros'!$J$20,($H$2/1000*'Tabla Parámetros'!$K$20)/30.4*C60)*1.0201^3)))+N60+O60)</f>
        <v>#REF!</v>
      </c>
      <c r="K60" s="167" t="e">
        <f t="shared" si="9"/>
        <v>#REF!</v>
      </c>
      <c r="L60" s="167" t="e">
        <f>IF(B60="","",IF(F60=0,0,Simulador!$N$13*$J$2))</f>
        <v>#REF!</v>
      </c>
      <c r="M60" s="167" t="e">
        <f>IF(B60="","",IF(F60=0,0,IF(Simulador!$F$11='Tabla Parámetros'!$W$1,'Tabla Parámetros'!$W$28,IF(Simulador!$F$11='Tabla Parámetros'!$Y$1,'Tabla Parámetros'!$Y$12))))</f>
        <v>#REF!</v>
      </c>
      <c r="N60" s="167" t="e">
        <f>IF(F60="","",IF(Simulador!$N$7='Tabla Parámetros'!$C$31,AportPat!L46,0))</f>
        <v>#REF!</v>
      </c>
      <c r="O60" s="172" t="e">
        <f>Simulador!#REF!</f>
        <v>#REF!</v>
      </c>
      <c r="P60" s="167" t="e">
        <f t="shared" si="13"/>
        <v>#REF!</v>
      </c>
      <c r="Q60" s="167" t="e">
        <f t="shared" si="17"/>
        <v>#REF!</v>
      </c>
      <c r="T60" s="6"/>
      <c r="U60" s="6"/>
      <c r="V60" s="6"/>
      <c r="W60" s="29" t="e">
        <f t="shared" si="0"/>
        <v>#REF!</v>
      </c>
    </row>
    <row r="61" spans="2:23" x14ac:dyDescent="0.3">
      <c r="B61" s="181">
        <f t="shared" si="14"/>
        <v>44</v>
      </c>
      <c r="C61" s="180">
        <f t="shared" si="10"/>
        <v>30.4</v>
      </c>
      <c r="D61" s="193">
        <f>IF(B61="","",'Tabla Parámetros'!$G$4)</f>
        <v>0.11550000000000001</v>
      </c>
      <c r="E61" s="167"/>
      <c r="F61" s="167" t="e">
        <f t="shared" si="16"/>
        <v>#REF!</v>
      </c>
      <c r="G61" s="166"/>
      <c r="H61" s="167" t="e">
        <f t="shared" si="11"/>
        <v>#REF!</v>
      </c>
      <c r="I61" s="167" t="e">
        <f t="shared" si="12"/>
        <v>#REF!</v>
      </c>
      <c r="J61" s="167" t="e">
        <f>IF(C61="","",IF(F61=0,0,IF(C61&lt;='Tabla Parámetros'!$J$23,I61,IF($E$2='Tabla Parámetros'!$J$19,((($H$2/1000*'Tabla Parámetros'!$K$19)/30.4*C61)*1.0212^3),IF($E$2='Tabla Parámetros'!$J$20,($H$2/1000*'Tabla Parámetros'!$K$20)/30.4*C61)*1.0201^3)))+N61+O61)</f>
        <v>#REF!</v>
      </c>
      <c r="K61" s="167" t="e">
        <f t="shared" si="9"/>
        <v>#REF!</v>
      </c>
      <c r="L61" s="167" t="e">
        <f>IF(B61="","",IF(F61=0,0,Simulador!$N$13*$J$2))</f>
        <v>#REF!</v>
      </c>
      <c r="M61" s="167" t="e">
        <f>IF(B61="","",IF(F61=0,0,IF(Simulador!$F$11='Tabla Parámetros'!$W$1,'Tabla Parámetros'!$W$28,IF(Simulador!$F$11='Tabla Parámetros'!$Y$1,'Tabla Parámetros'!$Y$12))))</f>
        <v>#REF!</v>
      </c>
      <c r="N61" s="167" t="e">
        <f>IF(F61="","",IF(Simulador!$N$7='Tabla Parámetros'!$C$31,AportPat!L47,0))</f>
        <v>#REF!</v>
      </c>
      <c r="O61" s="172" t="e">
        <f>Simulador!#REF!</f>
        <v>#REF!</v>
      </c>
      <c r="P61" s="167" t="e">
        <f t="shared" si="13"/>
        <v>#REF!</v>
      </c>
      <c r="Q61" s="167" t="e">
        <f t="shared" si="17"/>
        <v>#REF!</v>
      </c>
      <c r="T61" s="6"/>
      <c r="U61" s="6"/>
      <c r="V61" s="6"/>
      <c r="W61" s="29" t="e">
        <f t="shared" si="0"/>
        <v>#REF!</v>
      </c>
    </row>
    <row r="62" spans="2:23" x14ac:dyDescent="0.3">
      <c r="B62" s="181">
        <f t="shared" si="14"/>
        <v>45</v>
      </c>
      <c r="C62" s="180">
        <f t="shared" si="10"/>
        <v>30.4</v>
      </c>
      <c r="D62" s="193">
        <f>IF(B62="","",'Tabla Parámetros'!$G$4)</f>
        <v>0.11550000000000001</v>
      </c>
      <c r="E62" s="167"/>
      <c r="F62" s="167" t="e">
        <f t="shared" si="16"/>
        <v>#REF!</v>
      </c>
      <c r="G62" s="166"/>
      <c r="H62" s="167" t="e">
        <f t="shared" si="11"/>
        <v>#REF!</v>
      </c>
      <c r="I62" s="167" t="e">
        <f t="shared" si="12"/>
        <v>#REF!</v>
      </c>
      <c r="J62" s="167" t="e">
        <f>IF(C62="","",IF(F62=0,0,IF(C62&lt;='Tabla Parámetros'!$J$23,I62,IF($E$2='Tabla Parámetros'!$J$19,((($H$2/1000*'Tabla Parámetros'!$K$19)/30.4*C62)*1.0212^3),IF($E$2='Tabla Parámetros'!$J$20,($H$2/1000*'Tabla Parámetros'!$K$20)/30.4*C62)*1.0201^3)))+N62+O62)</f>
        <v>#REF!</v>
      </c>
      <c r="K62" s="167" t="e">
        <f t="shared" si="9"/>
        <v>#REF!</v>
      </c>
      <c r="L62" s="167" t="e">
        <f>IF(B62="","",IF(F62=0,0,Simulador!$N$13*$J$2))</f>
        <v>#REF!</v>
      </c>
      <c r="M62" s="167" t="e">
        <f>IF(B62="","",IF(F62=0,0,IF(Simulador!$F$11='Tabla Parámetros'!$W$1,'Tabla Parámetros'!$W$28,IF(Simulador!$F$11='Tabla Parámetros'!$Y$1,'Tabla Parámetros'!$Y$12))))</f>
        <v>#REF!</v>
      </c>
      <c r="N62" s="167" t="e">
        <f>IF(F62="","",IF(Simulador!$N$7='Tabla Parámetros'!$C$31,AportPat!L48,0))</f>
        <v>#REF!</v>
      </c>
      <c r="O62" s="172" t="e">
        <f>Simulador!#REF!</f>
        <v>#REF!</v>
      </c>
      <c r="P62" s="167" t="e">
        <f t="shared" si="13"/>
        <v>#REF!</v>
      </c>
      <c r="Q62" s="167" t="e">
        <f t="shared" si="17"/>
        <v>#REF!</v>
      </c>
      <c r="T62" s="6"/>
      <c r="U62" s="6"/>
      <c r="V62" s="6"/>
      <c r="W62" s="29" t="e">
        <f t="shared" si="0"/>
        <v>#REF!</v>
      </c>
    </row>
    <row r="63" spans="2:23" x14ac:dyDescent="0.3">
      <c r="B63" s="181">
        <f t="shared" si="14"/>
        <v>46</v>
      </c>
      <c r="C63" s="180">
        <f t="shared" si="10"/>
        <v>30.4</v>
      </c>
      <c r="D63" s="193">
        <f>IF(B63="","",'Tabla Parámetros'!$G$4)</f>
        <v>0.11550000000000001</v>
      </c>
      <c r="E63" s="167"/>
      <c r="F63" s="167" t="e">
        <f t="shared" si="16"/>
        <v>#REF!</v>
      </c>
      <c r="G63" s="166"/>
      <c r="H63" s="167" t="e">
        <f t="shared" si="11"/>
        <v>#REF!</v>
      </c>
      <c r="I63" s="167" t="e">
        <f t="shared" si="12"/>
        <v>#REF!</v>
      </c>
      <c r="J63" s="167" t="e">
        <f>IF(C63="","",IF(F63=0,0,IF(C63&lt;='Tabla Parámetros'!$J$23,I63,IF($E$2='Tabla Parámetros'!$J$19,((($H$2/1000*'Tabla Parámetros'!$K$19)/30.4*C63)*1.0212^3),IF($E$2='Tabla Parámetros'!$J$20,($H$2/1000*'Tabla Parámetros'!$K$20)/30.4*C63)*1.0201^3)))+N63+O63)</f>
        <v>#REF!</v>
      </c>
      <c r="K63" s="167" t="e">
        <f t="shared" si="9"/>
        <v>#REF!</v>
      </c>
      <c r="L63" s="167" t="e">
        <f>IF(B63="","",IF(F63=0,0,Simulador!$N$13*$J$2))</f>
        <v>#REF!</v>
      </c>
      <c r="M63" s="167" t="e">
        <f>IF(B63="","",IF(F63=0,0,IF(Simulador!$F$11='Tabla Parámetros'!$W$1,'Tabla Parámetros'!$W$28,IF(Simulador!$F$11='Tabla Parámetros'!$Y$1,'Tabla Parámetros'!$Y$12))))</f>
        <v>#REF!</v>
      </c>
      <c r="N63" s="167" t="e">
        <f>IF(F63="","",IF(Simulador!$N$7='Tabla Parámetros'!$C$31,AportPat!L49,0))</f>
        <v>#REF!</v>
      </c>
      <c r="O63" s="172" t="e">
        <f>Simulador!#REF!</f>
        <v>#REF!</v>
      </c>
      <c r="P63" s="167" t="e">
        <f t="shared" si="13"/>
        <v>#REF!</v>
      </c>
      <c r="Q63" s="167" t="e">
        <f t="shared" si="17"/>
        <v>#REF!</v>
      </c>
      <c r="T63" s="6"/>
      <c r="U63" s="6"/>
      <c r="V63" s="6"/>
      <c r="W63" s="29" t="e">
        <f t="shared" si="0"/>
        <v>#REF!</v>
      </c>
    </row>
    <row r="64" spans="2:23" x14ac:dyDescent="0.3">
      <c r="B64" s="181">
        <f t="shared" si="14"/>
        <v>47</v>
      </c>
      <c r="C64" s="180">
        <f t="shared" si="10"/>
        <v>30.4</v>
      </c>
      <c r="D64" s="193">
        <f>IF(B64="","",'Tabla Parámetros'!$G$4)</f>
        <v>0.11550000000000001</v>
      </c>
      <c r="E64" s="167"/>
      <c r="F64" s="167" t="e">
        <f t="shared" si="16"/>
        <v>#REF!</v>
      </c>
      <c r="G64" s="166"/>
      <c r="H64" s="167" t="e">
        <f t="shared" si="11"/>
        <v>#REF!</v>
      </c>
      <c r="I64" s="167" t="e">
        <f t="shared" si="12"/>
        <v>#REF!</v>
      </c>
      <c r="J64" s="167" t="e">
        <f>IF(C64="","",IF(F64=0,0,IF(C64&lt;='Tabla Parámetros'!$J$23,I64,IF($E$2='Tabla Parámetros'!$J$19,((($H$2/1000*'Tabla Parámetros'!$K$19)/30.4*C64)*1.0212^3),IF($E$2='Tabla Parámetros'!$J$20,($H$2/1000*'Tabla Parámetros'!$K$20)/30.4*C64)*1.0201^3)))+N64+O64)</f>
        <v>#REF!</v>
      </c>
      <c r="K64" s="167" t="e">
        <f t="shared" si="9"/>
        <v>#REF!</v>
      </c>
      <c r="L64" s="167" t="e">
        <f>IF(B64="","",IF(F64=0,0,Simulador!$N$13*$J$2))</f>
        <v>#REF!</v>
      </c>
      <c r="M64" s="167" t="e">
        <f>IF(B64="","",IF(F64=0,0,IF(Simulador!$F$11='Tabla Parámetros'!$W$1,'Tabla Parámetros'!$W$28,IF(Simulador!$F$11='Tabla Parámetros'!$Y$1,'Tabla Parámetros'!$Y$12))))</f>
        <v>#REF!</v>
      </c>
      <c r="N64" s="167" t="e">
        <f>IF(F64="","",IF(Simulador!$N$7='Tabla Parámetros'!$C$31,AportPat!L50,0))</f>
        <v>#REF!</v>
      </c>
      <c r="O64" s="172" t="e">
        <f>Simulador!#REF!</f>
        <v>#REF!</v>
      </c>
      <c r="P64" s="167" t="e">
        <f t="shared" si="13"/>
        <v>#REF!</v>
      </c>
      <c r="Q64" s="167" t="e">
        <f t="shared" si="17"/>
        <v>#REF!</v>
      </c>
      <c r="T64" s="6"/>
      <c r="U64" s="6"/>
      <c r="V64" s="6"/>
      <c r="W64" s="29" t="e">
        <f t="shared" si="0"/>
        <v>#REF!</v>
      </c>
    </row>
    <row r="65" spans="2:23" x14ac:dyDescent="0.3">
      <c r="B65" s="181">
        <f t="shared" si="14"/>
        <v>48</v>
      </c>
      <c r="C65" s="180">
        <f t="shared" si="10"/>
        <v>30.4</v>
      </c>
      <c r="D65" s="193">
        <f>IF(B65="","",'Tabla Parámetros'!$G$4)</f>
        <v>0.11550000000000001</v>
      </c>
      <c r="E65" s="167"/>
      <c r="F65" s="167" t="e">
        <f t="shared" si="16"/>
        <v>#REF!</v>
      </c>
      <c r="G65" s="166"/>
      <c r="H65" s="167" t="e">
        <f t="shared" si="11"/>
        <v>#REF!</v>
      </c>
      <c r="I65" s="167" t="e">
        <f t="shared" si="12"/>
        <v>#REF!</v>
      </c>
      <c r="J65" s="167" t="e">
        <f>IF(C65="","",IF(F65=0,0,IF(C65&lt;='Tabla Parámetros'!$J$23,I65,IF($E$2='Tabla Parámetros'!$J$19,((($H$2/1000*'Tabla Parámetros'!$K$19)/30.4*C65)*1.0212^3),IF($E$2='Tabla Parámetros'!$J$20,($H$2/1000*'Tabla Parámetros'!$K$20)/30.4*C65)*1.0201^3)))+N65+O65)</f>
        <v>#REF!</v>
      </c>
      <c r="K65" s="167" t="e">
        <f t="shared" si="9"/>
        <v>#REF!</v>
      </c>
      <c r="L65" s="167" t="e">
        <f>IF(B65="","",IF(F65=0,0,Simulador!$N$13*$J$2))</f>
        <v>#REF!</v>
      </c>
      <c r="M65" s="167" t="e">
        <f>IF(B65="","",IF(F65=0,0,IF(Simulador!$F$11='Tabla Parámetros'!$W$1,'Tabla Parámetros'!$W$28,IF(Simulador!$F$11='Tabla Parámetros'!$Y$1,'Tabla Parámetros'!$Y$12))))</f>
        <v>#REF!</v>
      </c>
      <c r="N65" s="167" t="e">
        <f>IF(F65="","",IF(Simulador!$N$7='Tabla Parámetros'!$C$31,AportPat!L51,0))</f>
        <v>#REF!</v>
      </c>
      <c r="O65" s="172" t="e">
        <f>Simulador!#REF!</f>
        <v>#REF!</v>
      </c>
      <c r="P65" s="167" t="e">
        <f t="shared" si="13"/>
        <v>#REF!</v>
      </c>
      <c r="Q65" s="167" t="e">
        <f t="shared" si="17"/>
        <v>#REF!</v>
      </c>
      <c r="T65" s="6"/>
      <c r="U65" s="6"/>
      <c r="V65" s="6"/>
      <c r="W65" s="29" t="e">
        <f t="shared" si="0"/>
        <v>#REF!</v>
      </c>
    </row>
    <row r="66" spans="2:23" x14ac:dyDescent="0.3">
      <c r="B66" s="181">
        <f t="shared" si="14"/>
        <v>49</v>
      </c>
      <c r="C66" s="180">
        <f t="shared" si="10"/>
        <v>30.4</v>
      </c>
      <c r="D66" s="193">
        <f>IF(B66="","",'Tabla Parámetros'!$G$4)</f>
        <v>0.11550000000000001</v>
      </c>
      <c r="E66" s="167"/>
      <c r="F66" s="167" t="e">
        <f t="shared" si="16"/>
        <v>#REF!</v>
      </c>
      <c r="G66" s="166"/>
      <c r="H66" s="167" t="e">
        <f t="shared" si="11"/>
        <v>#REF!</v>
      </c>
      <c r="I66" s="167" t="e">
        <f t="shared" si="12"/>
        <v>#REF!</v>
      </c>
      <c r="J66" s="167" t="e">
        <f>IF(C66="","",IF(F66=0,0,IF(C66&lt;='Tabla Parámetros'!$J$23,I66,IF($E$2='Tabla Parámetros'!$J$19,((($H$2/1000*'Tabla Parámetros'!$K$19)/30.4*C66)*1.0212^3),IF($E$2='Tabla Parámetros'!$J$20,($H$2/1000*'Tabla Parámetros'!$K$20)/30.4*C66)*1.0201^3)))+N66+O66)</f>
        <v>#REF!</v>
      </c>
      <c r="K66" s="167" t="e">
        <f t="shared" si="9"/>
        <v>#REF!</v>
      </c>
      <c r="L66" s="167" t="e">
        <f>IF(B66="","",IF(F66=0,0,Simulador!$N$13*$J$2))</f>
        <v>#REF!</v>
      </c>
      <c r="M66" s="167" t="e">
        <f>IF(B66="","",IF(F66=0,0,IF(Simulador!$F$11='Tabla Parámetros'!$W$1,'Tabla Parámetros'!$W$28,IF(Simulador!$F$11='Tabla Parámetros'!$Y$1,'Tabla Parámetros'!$Y$12))))</f>
        <v>#REF!</v>
      </c>
      <c r="N66" s="167" t="e">
        <f>IF(F66="","",IF(Simulador!$N$7='Tabla Parámetros'!$C$31,AportPat!L52,0))</f>
        <v>#REF!</v>
      </c>
      <c r="O66" s="172" t="e">
        <f>Simulador!#REF!</f>
        <v>#REF!</v>
      </c>
      <c r="P66" s="167" t="e">
        <f t="shared" si="13"/>
        <v>#REF!</v>
      </c>
      <c r="Q66" s="167" t="e">
        <f t="shared" si="17"/>
        <v>#REF!</v>
      </c>
      <c r="T66" s="6"/>
      <c r="U66" s="6"/>
      <c r="V66" s="6"/>
      <c r="W66" s="29" t="e">
        <f t="shared" si="0"/>
        <v>#REF!</v>
      </c>
    </row>
    <row r="67" spans="2:23" x14ac:dyDescent="0.3">
      <c r="B67" s="181">
        <f t="shared" si="14"/>
        <v>50</v>
      </c>
      <c r="C67" s="180">
        <f t="shared" si="10"/>
        <v>30.4</v>
      </c>
      <c r="D67" s="193">
        <f>IF(B67="","",'Tabla Parámetros'!$G$4)</f>
        <v>0.11550000000000001</v>
      </c>
      <c r="E67" s="167"/>
      <c r="F67" s="167" t="e">
        <f t="shared" si="16"/>
        <v>#REF!</v>
      </c>
      <c r="G67" s="166"/>
      <c r="H67" s="167" t="e">
        <f t="shared" si="11"/>
        <v>#REF!</v>
      </c>
      <c r="I67" s="167" t="e">
        <f t="shared" si="12"/>
        <v>#REF!</v>
      </c>
      <c r="J67" s="167" t="e">
        <f>IF(C67="","",IF(F67=0,0,IF(C67&lt;='Tabla Parámetros'!$J$23,I67,IF($E$2='Tabla Parámetros'!$J$19,((($H$2/1000*'Tabla Parámetros'!$K$19)/30.4*C67)*1.0212^4),IF($E$2='Tabla Parámetros'!$J$20,($H$2/1000*'Tabla Parámetros'!$K$20)/30.4*C67)*1.0201^4)))+N67+O67)</f>
        <v>#REF!</v>
      </c>
      <c r="K67" s="167" t="e">
        <f t="shared" si="9"/>
        <v>#REF!</v>
      </c>
      <c r="L67" s="167" t="e">
        <f>IF(B67="","",IF(F67=0,0,Simulador!$N$13*$J$2))</f>
        <v>#REF!</v>
      </c>
      <c r="M67" s="167" t="e">
        <f>IF(B67="","",IF(F67=0,0,IF(Simulador!$F$11='Tabla Parámetros'!$W$1,'Tabla Parámetros'!$W$28,IF(Simulador!$F$11='Tabla Parámetros'!$Y$1,'Tabla Parámetros'!$Y$12))))</f>
        <v>#REF!</v>
      </c>
      <c r="N67" s="167" t="e">
        <f>IF(F67="","",IF(Simulador!$N$7='Tabla Parámetros'!$C$31,AportPat!L53,0))</f>
        <v>#REF!</v>
      </c>
      <c r="O67" s="172" t="e">
        <f>Simulador!#REF!</f>
        <v>#REF!</v>
      </c>
      <c r="P67" s="167" t="e">
        <f t="shared" si="13"/>
        <v>#REF!</v>
      </c>
      <c r="Q67" s="167" t="e">
        <f t="shared" si="17"/>
        <v>#REF!</v>
      </c>
      <c r="T67" s="6"/>
      <c r="U67" s="6"/>
      <c r="V67" s="6"/>
      <c r="W67" s="29" t="e">
        <f t="shared" si="0"/>
        <v>#REF!</v>
      </c>
    </row>
    <row r="68" spans="2:23" x14ac:dyDescent="0.3">
      <c r="B68" s="181">
        <f t="shared" si="14"/>
        <v>51</v>
      </c>
      <c r="C68" s="180">
        <f t="shared" si="10"/>
        <v>30.4</v>
      </c>
      <c r="D68" s="193">
        <f>IF(B68="","",'Tabla Parámetros'!$G$4)</f>
        <v>0.11550000000000001</v>
      </c>
      <c r="E68" s="167"/>
      <c r="F68" s="167" t="e">
        <f t="shared" si="16"/>
        <v>#REF!</v>
      </c>
      <c r="G68" s="166"/>
      <c r="H68" s="167" t="e">
        <f t="shared" si="11"/>
        <v>#REF!</v>
      </c>
      <c r="I68" s="167" t="e">
        <f t="shared" si="12"/>
        <v>#REF!</v>
      </c>
      <c r="J68" s="167" t="e">
        <f>IF(C68="","",IF(F68=0,0,IF(C68&lt;='Tabla Parámetros'!$J$23,I68,IF($E$2='Tabla Parámetros'!$J$19,((($H$2/1000*'Tabla Parámetros'!$K$19)/30.4*C68)*1.0212^4),IF($E$2='Tabla Parámetros'!$J$20,($H$2/1000*'Tabla Parámetros'!$K$20)/30.4*C68)*1.0201^4)))+N68+O68)</f>
        <v>#REF!</v>
      </c>
      <c r="K68" s="167" t="e">
        <f t="shared" si="9"/>
        <v>#REF!</v>
      </c>
      <c r="L68" s="167" t="e">
        <f>IF(B68="","",IF(F68=0,0,Simulador!$N$13*$J$2))</f>
        <v>#REF!</v>
      </c>
      <c r="M68" s="167" t="e">
        <f>IF(B68="","",IF(F68=0,0,IF(Simulador!$F$11='Tabla Parámetros'!$W$1,'Tabla Parámetros'!$W$28,IF(Simulador!$F$11='Tabla Parámetros'!$Y$1,'Tabla Parámetros'!$Y$12))))</f>
        <v>#REF!</v>
      </c>
      <c r="N68" s="167" t="e">
        <f>IF(F68="","",IF(Simulador!$N$7='Tabla Parámetros'!$C$31,AportPat!L54,0))</f>
        <v>#REF!</v>
      </c>
      <c r="O68" s="172" t="e">
        <f>Simulador!#REF!</f>
        <v>#REF!</v>
      </c>
      <c r="P68" s="167" t="e">
        <f t="shared" si="13"/>
        <v>#REF!</v>
      </c>
      <c r="Q68" s="167" t="e">
        <f t="shared" si="17"/>
        <v>#REF!</v>
      </c>
      <c r="T68" s="6"/>
      <c r="U68" s="6"/>
      <c r="V68" s="6"/>
      <c r="W68" s="29" t="e">
        <f t="shared" ref="W68:W131" si="18">P70</f>
        <v>#REF!</v>
      </c>
    </row>
    <row r="69" spans="2:23" x14ac:dyDescent="0.3">
      <c r="B69" s="181">
        <f t="shared" si="14"/>
        <v>52</v>
      </c>
      <c r="C69" s="180">
        <f t="shared" si="10"/>
        <v>30.4</v>
      </c>
      <c r="D69" s="193">
        <f>IF(B69="","",'Tabla Parámetros'!$G$4)</f>
        <v>0.11550000000000001</v>
      </c>
      <c r="E69" s="167"/>
      <c r="F69" s="167" t="e">
        <f t="shared" si="16"/>
        <v>#REF!</v>
      </c>
      <c r="G69" s="166"/>
      <c r="H69" s="167" t="e">
        <f t="shared" si="11"/>
        <v>#REF!</v>
      </c>
      <c r="I69" s="167" t="e">
        <f t="shared" si="12"/>
        <v>#REF!</v>
      </c>
      <c r="J69" s="167" t="e">
        <f>IF(C69="","",IF(F69=0,0,IF(C69&lt;='Tabla Parámetros'!$J$23,I69,IF($E$2='Tabla Parámetros'!$J$19,((($H$2/1000*'Tabla Parámetros'!$K$19)/30.4*C69)*1.0212^4),IF($E$2='Tabla Parámetros'!$J$20,($H$2/1000*'Tabla Parámetros'!$K$20)/30.4*C69)*1.0201^4)))+N69+O69)</f>
        <v>#REF!</v>
      </c>
      <c r="K69" s="167" t="e">
        <f t="shared" si="9"/>
        <v>#REF!</v>
      </c>
      <c r="L69" s="167" t="e">
        <f>IF(B69="","",IF(F69=0,0,Simulador!$N$13*$J$2))</f>
        <v>#REF!</v>
      </c>
      <c r="M69" s="167" t="e">
        <f>IF(B69="","",IF(F69=0,0,IF(Simulador!$F$11='Tabla Parámetros'!$W$1,'Tabla Parámetros'!$W$28,IF(Simulador!$F$11='Tabla Parámetros'!$Y$1,'Tabla Parámetros'!$Y$12))))</f>
        <v>#REF!</v>
      </c>
      <c r="N69" s="167" t="e">
        <f>IF(F69="","",IF(Simulador!$N$7='Tabla Parámetros'!$C$31,AportPat!L55,0))</f>
        <v>#REF!</v>
      </c>
      <c r="O69" s="172" t="e">
        <f>Simulador!#REF!</f>
        <v>#REF!</v>
      </c>
      <c r="P69" s="167" t="e">
        <f t="shared" si="13"/>
        <v>#REF!</v>
      </c>
      <c r="Q69" s="167" t="e">
        <f t="shared" si="17"/>
        <v>#REF!</v>
      </c>
      <c r="T69" s="6"/>
      <c r="U69" s="6"/>
      <c r="V69" s="6"/>
      <c r="W69" s="29" t="e">
        <f t="shared" si="18"/>
        <v>#REF!</v>
      </c>
    </row>
    <row r="70" spans="2:23" x14ac:dyDescent="0.3">
      <c r="B70" s="181">
        <f t="shared" si="14"/>
        <v>53</v>
      </c>
      <c r="C70" s="180">
        <f t="shared" si="10"/>
        <v>30.4</v>
      </c>
      <c r="D70" s="193">
        <f>IF(B70="","",'Tabla Parámetros'!$G$4)</f>
        <v>0.11550000000000001</v>
      </c>
      <c r="E70" s="167"/>
      <c r="F70" s="167" t="e">
        <f t="shared" si="16"/>
        <v>#REF!</v>
      </c>
      <c r="G70" s="166"/>
      <c r="H70" s="167" t="e">
        <f t="shared" si="11"/>
        <v>#REF!</v>
      </c>
      <c r="I70" s="167" t="e">
        <f t="shared" si="12"/>
        <v>#REF!</v>
      </c>
      <c r="J70" s="167" t="e">
        <f>IF(C70="","",IF(F70=0,0,IF(C70&lt;='Tabla Parámetros'!$J$23,I70,IF($E$2='Tabla Parámetros'!$J$19,((($H$2/1000*'Tabla Parámetros'!$K$19)/30.4*C70)*1.0212^4),IF($E$2='Tabla Parámetros'!$J$20,($H$2/1000*'Tabla Parámetros'!$K$20)/30.4*C70)*1.0201^4)))+N70+O70)</f>
        <v>#REF!</v>
      </c>
      <c r="K70" s="167" t="e">
        <f t="shared" si="9"/>
        <v>#REF!</v>
      </c>
      <c r="L70" s="167" t="e">
        <f>IF(B70="","",IF(F70=0,0,Simulador!$N$13*$J$2))</f>
        <v>#REF!</v>
      </c>
      <c r="M70" s="167" t="e">
        <f>IF(B70="","",IF(F70=0,0,IF(Simulador!$F$11='Tabla Parámetros'!$W$1,'Tabla Parámetros'!$W$28,IF(Simulador!$F$11='Tabla Parámetros'!$Y$1,'Tabla Parámetros'!$Y$12))))</f>
        <v>#REF!</v>
      </c>
      <c r="N70" s="167" t="e">
        <f>IF(F70="","",IF(Simulador!$N$7='Tabla Parámetros'!$C$31,AportPat!L56,0))</f>
        <v>#REF!</v>
      </c>
      <c r="O70" s="172" t="e">
        <f>Simulador!#REF!</f>
        <v>#REF!</v>
      </c>
      <c r="P70" s="167" t="e">
        <f t="shared" si="13"/>
        <v>#REF!</v>
      </c>
      <c r="Q70" s="167" t="e">
        <f t="shared" si="17"/>
        <v>#REF!</v>
      </c>
      <c r="T70" s="6"/>
      <c r="U70" s="6"/>
      <c r="V70" s="6"/>
      <c r="W70" s="29" t="e">
        <f t="shared" si="18"/>
        <v>#REF!</v>
      </c>
    </row>
    <row r="71" spans="2:23" x14ac:dyDescent="0.3">
      <c r="B71" s="181">
        <f t="shared" si="14"/>
        <v>54</v>
      </c>
      <c r="C71" s="180">
        <f t="shared" si="10"/>
        <v>30.4</v>
      </c>
      <c r="D71" s="193">
        <f>IF(B71="","",'Tabla Parámetros'!$G$4)</f>
        <v>0.11550000000000001</v>
      </c>
      <c r="E71" s="167"/>
      <c r="F71" s="167" t="e">
        <f t="shared" si="16"/>
        <v>#REF!</v>
      </c>
      <c r="G71" s="166"/>
      <c r="H71" s="167" t="e">
        <f t="shared" si="11"/>
        <v>#REF!</v>
      </c>
      <c r="I71" s="167" t="e">
        <f t="shared" si="12"/>
        <v>#REF!</v>
      </c>
      <c r="J71" s="167" t="e">
        <f>IF(C71="","",IF(F71=0,0,IF(C71&lt;='Tabla Parámetros'!$J$23,I71,IF($E$2='Tabla Parámetros'!$J$19,((($H$2/1000*'Tabla Parámetros'!$K$19)/30.4*C71)*1.0212^4),IF($E$2='Tabla Parámetros'!$J$20,($H$2/1000*'Tabla Parámetros'!$K$20)/30.4*C71)*1.0201^4)))+N71+O71)</f>
        <v>#REF!</v>
      </c>
      <c r="K71" s="167" t="e">
        <f t="shared" si="9"/>
        <v>#REF!</v>
      </c>
      <c r="L71" s="167" t="e">
        <f>IF(B71="","",IF(F71=0,0,Simulador!$N$13*$J$2))</f>
        <v>#REF!</v>
      </c>
      <c r="M71" s="167" t="e">
        <f>IF(B71="","",IF(F71=0,0,IF(Simulador!$F$11='Tabla Parámetros'!$W$1,'Tabla Parámetros'!$W$28,IF(Simulador!$F$11='Tabla Parámetros'!$Y$1,'Tabla Parámetros'!$Y$12))))</f>
        <v>#REF!</v>
      </c>
      <c r="N71" s="167" t="e">
        <f>IF(F71="","",IF(Simulador!$N$7='Tabla Parámetros'!$C$31,AportPat!L57,0))</f>
        <v>#REF!</v>
      </c>
      <c r="O71" s="172" t="e">
        <f>Simulador!#REF!</f>
        <v>#REF!</v>
      </c>
      <c r="P71" s="167" t="e">
        <f t="shared" si="13"/>
        <v>#REF!</v>
      </c>
      <c r="Q71" s="167" t="e">
        <f t="shared" si="17"/>
        <v>#REF!</v>
      </c>
      <c r="T71" s="6"/>
      <c r="U71" s="6"/>
      <c r="V71" s="6"/>
      <c r="W71" s="29" t="e">
        <f t="shared" si="18"/>
        <v>#REF!</v>
      </c>
    </row>
    <row r="72" spans="2:23" x14ac:dyDescent="0.3">
      <c r="B72" s="181">
        <f t="shared" si="14"/>
        <v>55</v>
      </c>
      <c r="C72" s="180">
        <f t="shared" si="10"/>
        <v>30.4</v>
      </c>
      <c r="D72" s="193">
        <f>IF(B72="","",'Tabla Parámetros'!$G$4)</f>
        <v>0.11550000000000001</v>
      </c>
      <c r="E72" s="167"/>
      <c r="F72" s="167" t="e">
        <f t="shared" si="16"/>
        <v>#REF!</v>
      </c>
      <c r="G72" s="166"/>
      <c r="H72" s="167" t="e">
        <f t="shared" si="11"/>
        <v>#REF!</v>
      </c>
      <c r="I72" s="167" t="e">
        <f t="shared" si="12"/>
        <v>#REF!</v>
      </c>
      <c r="J72" s="167" t="e">
        <f>IF(C72="","",IF(F72=0,0,IF(C72&lt;='Tabla Parámetros'!$J$23,I72,IF($E$2='Tabla Parámetros'!$J$19,((($H$2/1000*'Tabla Parámetros'!$K$19)/30.4*C72)*1.0212^4),IF($E$2='Tabla Parámetros'!$J$20,($H$2/1000*'Tabla Parámetros'!$K$20)/30.4*C72)*1.0201^4)))+N72+O72)</f>
        <v>#REF!</v>
      </c>
      <c r="K72" s="167" t="e">
        <f t="shared" si="9"/>
        <v>#REF!</v>
      </c>
      <c r="L72" s="167" t="e">
        <f>IF(B72="","",IF(F72=0,0,Simulador!$N$13*$J$2))</f>
        <v>#REF!</v>
      </c>
      <c r="M72" s="167" t="e">
        <f>IF(B72="","",IF(F72=0,0,IF(Simulador!$F$11='Tabla Parámetros'!$W$1,'Tabla Parámetros'!$W$28,IF(Simulador!$F$11='Tabla Parámetros'!$Y$1,'Tabla Parámetros'!$Y$12))))</f>
        <v>#REF!</v>
      </c>
      <c r="N72" s="167" t="e">
        <f>IF(F72="","",IF(Simulador!$N$7='Tabla Parámetros'!$C$31,AportPat!L58,0))</f>
        <v>#REF!</v>
      </c>
      <c r="O72" s="172" t="e">
        <f>Simulador!#REF!</f>
        <v>#REF!</v>
      </c>
      <c r="P72" s="167" t="e">
        <f t="shared" si="13"/>
        <v>#REF!</v>
      </c>
      <c r="Q72" s="167" t="e">
        <f t="shared" si="17"/>
        <v>#REF!</v>
      </c>
      <c r="T72" s="6"/>
      <c r="U72" s="6"/>
      <c r="V72" s="6"/>
      <c r="W72" s="29" t="e">
        <f t="shared" si="18"/>
        <v>#REF!</v>
      </c>
    </row>
    <row r="73" spans="2:23" x14ac:dyDescent="0.3">
      <c r="B73" s="181">
        <f t="shared" si="14"/>
        <v>56</v>
      </c>
      <c r="C73" s="180">
        <f t="shared" si="10"/>
        <v>30.4</v>
      </c>
      <c r="D73" s="193">
        <f>IF(B73="","",'Tabla Parámetros'!$G$4)</f>
        <v>0.11550000000000001</v>
      </c>
      <c r="E73" s="167"/>
      <c r="F73" s="167" t="e">
        <f t="shared" si="16"/>
        <v>#REF!</v>
      </c>
      <c r="G73" s="166"/>
      <c r="H73" s="167" t="e">
        <f t="shared" si="11"/>
        <v>#REF!</v>
      </c>
      <c r="I73" s="167" t="e">
        <f t="shared" si="12"/>
        <v>#REF!</v>
      </c>
      <c r="J73" s="167" t="e">
        <f>IF(C73="","",IF(F73=0,0,IF(C73&lt;='Tabla Parámetros'!$J$23,I73,IF($E$2='Tabla Parámetros'!$J$19,((($H$2/1000*'Tabla Parámetros'!$K$19)/30.4*C73)*1.0212^4),IF($E$2='Tabla Parámetros'!$J$20,($H$2/1000*'Tabla Parámetros'!$K$20)/30.4*C73)*1.0201^4)))+N73+O73)</f>
        <v>#REF!</v>
      </c>
      <c r="K73" s="167" t="e">
        <f t="shared" si="9"/>
        <v>#REF!</v>
      </c>
      <c r="L73" s="167" t="e">
        <f>IF(B73="","",IF(F73=0,0,Simulador!$N$13*$J$2))</f>
        <v>#REF!</v>
      </c>
      <c r="M73" s="167" t="e">
        <f>IF(B73="","",IF(F73=0,0,IF(Simulador!$F$11='Tabla Parámetros'!$W$1,'Tabla Parámetros'!$W$28,IF(Simulador!$F$11='Tabla Parámetros'!$Y$1,'Tabla Parámetros'!$Y$12))))</f>
        <v>#REF!</v>
      </c>
      <c r="N73" s="167" t="e">
        <f>IF(F73="","",IF(Simulador!$N$7='Tabla Parámetros'!$C$31,AportPat!L59,0))</f>
        <v>#REF!</v>
      </c>
      <c r="O73" s="172" t="e">
        <f>Simulador!#REF!</f>
        <v>#REF!</v>
      </c>
      <c r="P73" s="167" t="e">
        <f t="shared" si="13"/>
        <v>#REF!</v>
      </c>
      <c r="Q73" s="167" t="e">
        <f t="shared" si="17"/>
        <v>#REF!</v>
      </c>
      <c r="T73" s="6"/>
      <c r="U73" s="6"/>
      <c r="V73" s="6"/>
      <c r="W73" s="29" t="e">
        <f t="shared" si="18"/>
        <v>#REF!</v>
      </c>
    </row>
    <row r="74" spans="2:23" x14ac:dyDescent="0.3">
      <c r="B74" s="181">
        <f t="shared" si="14"/>
        <v>57</v>
      </c>
      <c r="C74" s="180">
        <f t="shared" si="10"/>
        <v>30.4</v>
      </c>
      <c r="D74" s="193">
        <f>IF(B74="","",'Tabla Parámetros'!$G$4)</f>
        <v>0.11550000000000001</v>
      </c>
      <c r="E74" s="167"/>
      <c r="F74" s="167" t="e">
        <f t="shared" si="16"/>
        <v>#REF!</v>
      </c>
      <c r="G74" s="166"/>
      <c r="H74" s="167" t="e">
        <f t="shared" si="11"/>
        <v>#REF!</v>
      </c>
      <c r="I74" s="167" t="e">
        <f t="shared" si="12"/>
        <v>#REF!</v>
      </c>
      <c r="J74" s="167" t="e">
        <f>IF(C74="","",IF(F74=0,0,IF(C74&lt;='Tabla Parámetros'!$J$23,I74,IF($E$2='Tabla Parámetros'!$J$19,((($H$2/1000*'Tabla Parámetros'!$K$19)/30.4*C74)*1.0212^4),IF($E$2='Tabla Parámetros'!$J$20,($H$2/1000*'Tabla Parámetros'!$K$20)/30.4*C74)*1.0201^4)))+N74+O74)</f>
        <v>#REF!</v>
      </c>
      <c r="K74" s="167" t="e">
        <f t="shared" si="9"/>
        <v>#REF!</v>
      </c>
      <c r="L74" s="167" t="e">
        <f>IF(B74="","",IF(F74=0,0,Simulador!$N$13*$J$2))</f>
        <v>#REF!</v>
      </c>
      <c r="M74" s="167" t="e">
        <f>IF(B74="","",IF(F74=0,0,IF(Simulador!$F$11='Tabla Parámetros'!$W$1,'Tabla Parámetros'!$W$28,IF(Simulador!$F$11='Tabla Parámetros'!$Y$1,'Tabla Parámetros'!$Y$12))))</f>
        <v>#REF!</v>
      </c>
      <c r="N74" s="167" t="e">
        <f>IF(F74="","",IF(Simulador!$N$7='Tabla Parámetros'!$C$31,AportPat!L60,0))</f>
        <v>#REF!</v>
      </c>
      <c r="O74" s="172" t="e">
        <f>Simulador!#REF!</f>
        <v>#REF!</v>
      </c>
      <c r="P74" s="167" t="e">
        <f t="shared" si="13"/>
        <v>#REF!</v>
      </c>
      <c r="Q74" s="167" t="e">
        <f t="shared" si="17"/>
        <v>#REF!</v>
      </c>
      <c r="T74" s="6"/>
      <c r="U74" s="6"/>
      <c r="V74" s="6"/>
      <c r="W74" s="29" t="e">
        <f t="shared" si="18"/>
        <v>#REF!</v>
      </c>
    </row>
    <row r="75" spans="2:23" x14ac:dyDescent="0.3">
      <c r="B75" s="181">
        <f t="shared" si="14"/>
        <v>58</v>
      </c>
      <c r="C75" s="180">
        <f t="shared" si="10"/>
        <v>30.4</v>
      </c>
      <c r="D75" s="193">
        <f>IF(B75="","",'Tabla Parámetros'!$G$4)</f>
        <v>0.11550000000000001</v>
      </c>
      <c r="E75" s="167"/>
      <c r="F75" s="167" t="e">
        <f t="shared" si="16"/>
        <v>#REF!</v>
      </c>
      <c r="G75" s="166"/>
      <c r="H75" s="167" t="e">
        <f t="shared" si="11"/>
        <v>#REF!</v>
      </c>
      <c r="I75" s="167" t="e">
        <f t="shared" si="12"/>
        <v>#REF!</v>
      </c>
      <c r="J75" s="167" t="e">
        <f>IF(C75="","",IF(F75=0,0,IF(C75&lt;='Tabla Parámetros'!$J$23,I75,IF($E$2='Tabla Parámetros'!$J$19,((($H$2/1000*'Tabla Parámetros'!$K$19)/30.4*C75)*1.0212^4),IF($E$2='Tabla Parámetros'!$J$20,($H$2/1000*'Tabla Parámetros'!$K$20)/30.4*C75)*1.0201^4)))+N75+O75)</f>
        <v>#REF!</v>
      </c>
      <c r="K75" s="167" t="e">
        <f t="shared" si="9"/>
        <v>#REF!</v>
      </c>
      <c r="L75" s="167" t="e">
        <f>IF(B75="","",IF(F75=0,0,Simulador!$N$13*$J$2))</f>
        <v>#REF!</v>
      </c>
      <c r="M75" s="167" t="e">
        <f>IF(B75="","",IF(F75=0,0,IF(Simulador!$F$11='Tabla Parámetros'!$W$1,'Tabla Parámetros'!$W$28,IF(Simulador!$F$11='Tabla Parámetros'!$Y$1,'Tabla Parámetros'!$Y$12))))</f>
        <v>#REF!</v>
      </c>
      <c r="N75" s="167" t="e">
        <f>IF(F75="","",IF(Simulador!$N$7='Tabla Parámetros'!$C$31,AportPat!L61,0))</f>
        <v>#REF!</v>
      </c>
      <c r="O75" s="172" t="e">
        <f>Simulador!#REF!</f>
        <v>#REF!</v>
      </c>
      <c r="P75" s="167" t="e">
        <f t="shared" si="13"/>
        <v>#REF!</v>
      </c>
      <c r="Q75" s="167" t="e">
        <f t="shared" si="17"/>
        <v>#REF!</v>
      </c>
      <c r="T75" s="6"/>
      <c r="U75" s="6"/>
      <c r="V75" s="6"/>
      <c r="W75" s="29" t="e">
        <f t="shared" si="18"/>
        <v>#REF!</v>
      </c>
    </row>
    <row r="76" spans="2:23" x14ac:dyDescent="0.3">
      <c r="B76" s="181">
        <f t="shared" si="14"/>
        <v>59</v>
      </c>
      <c r="C76" s="180">
        <f t="shared" si="10"/>
        <v>30.4</v>
      </c>
      <c r="D76" s="193">
        <f>IF(B76="","",'Tabla Parámetros'!$G$4)</f>
        <v>0.11550000000000001</v>
      </c>
      <c r="E76" s="167"/>
      <c r="F76" s="167" t="e">
        <f t="shared" si="16"/>
        <v>#REF!</v>
      </c>
      <c r="G76" s="166"/>
      <c r="H76" s="167" t="e">
        <f t="shared" si="11"/>
        <v>#REF!</v>
      </c>
      <c r="I76" s="167" t="e">
        <f t="shared" si="12"/>
        <v>#REF!</v>
      </c>
      <c r="J76" s="167" t="e">
        <f>IF(C76="","",IF(F76=0,0,IF(C76&lt;='Tabla Parámetros'!$J$23,I76,IF($E$2='Tabla Parámetros'!$J$19,((($H$2/1000*'Tabla Parámetros'!$K$19)/30.4*C76)*1.0212^4),IF($E$2='Tabla Parámetros'!$J$20,($H$2/1000*'Tabla Parámetros'!$K$20)/30.4*C76)*1.0201^4)))+N76+O76)</f>
        <v>#REF!</v>
      </c>
      <c r="K76" s="167" t="e">
        <f t="shared" si="9"/>
        <v>#REF!</v>
      </c>
      <c r="L76" s="167" t="e">
        <f>IF(B76="","",IF(F76=0,0,Simulador!$N$13*$J$2))</f>
        <v>#REF!</v>
      </c>
      <c r="M76" s="167" t="e">
        <f>IF(B76="","",IF(F76=0,0,IF(Simulador!$F$11='Tabla Parámetros'!$W$1,'Tabla Parámetros'!$W$28,IF(Simulador!$F$11='Tabla Parámetros'!$Y$1,'Tabla Parámetros'!$Y$12))))</f>
        <v>#REF!</v>
      </c>
      <c r="N76" s="167" t="e">
        <f>IF(F76="","",IF(Simulador!$N$7='Tabla Parámetros'!$C$31,AportPat!L62,0))</f>
        <v>#REF!</v>
      </c>
      <c r="O76" s="172" t="e">
        <f>Simulador!#REF!</f>
        <v>#REF!</v>
      </c>
      <c r="P76" s="167" t="e">
        <f t="shared" si="13"/>
        <v>#REF!</v>
      </c>
      <c r="Q76" s="167" t="e">
        <f t="shared" si="17"/>
        <v>#REF!</v>
      </c>
      <c r="T76" s="6"/>
      <c r="U76" s="6"/>
      <c r="V76" s="6"/>
      <c r="W76" s="29" t="e">
        <f t="shared" si="18"/>
        <v>#REF!</v>
      </c>
    </row>
    <row r="77" spans="2:23" x14ac:dyDescent="0.3">
      <c r="B77" s="181">
        <f t="shared" si="14"/>
        <v>60</v>
      </c>
      <c r="C77" s="180">
        <f t="shared" si="10"/>
        <v>30.4</v>
      </c>
      <c r="D77" s="193">
        <f>IF(B77="","",'Tabla Parámetros'!$G$4)</f>
        <v>0.11550000000000001</v>
      </c>
      <c r="E77" s="167"/>
      <c r="F77" s="167" t="e">
        <f t="shared" si="16"/>
        <v>#REF!</v>
      </c>
      <c r="G77" s="166"/>
      <c r="H77" s="167" t="e">
        <f t="shared" si="11"/>
        <v>#REF!</v>
      </c>
      <c r="I77" s="167" t="e">
        <f t="shared" si="12"/>
        <v>#REF!</v>
      </c>
      <c r="J77" s="167" t="e">
        <f>IF(C77="","",IF(F77=0,0,IF(C77&lt;='Tabla Parámetros'!$J$23,I77,IF($E$2='Tabla Parámetros'!$J$19,((($H$2/1000*'Tabla Parámetros'!$K$19)/30.4*C77)*1.0212^4),IF($E$2='Tabla Parámetros'!$J$20,($H$2/1000*'Tabla Parámetros'!$K$20)/30.4*C77)*1.0201^4)))+N77+O77)</f>
        <v>#REF!</v>
      </c>
      <c r="K77" s="167" t="e">
        <f t="shared" si="9"/>
        <v>#REF!</v>
      </c>
      <c r="L77" s="167" t="e">
        <f>IF(B77="","",IF(F77=0,0,Simulador!$N$13*$J$2))</f>
        <v>#REF!</v>
      </c>
      <c r="M77" s="167" t="e">
        <f>IF(B77="","",IF(F77=0,0,IF(Simulador!$F$11='Tabla Parámetros'!$W$1,'Tabla Parámetros'!$W$28,IF(Simulador!$F$11='Tabla Parámetros'!$Y$1,'Tabla Parámetros'!$Y$12))))</f>
        <v>#REF!</v>
      </c>
      <c r="N77" s="167" t="e">
        <f>IF(F77="","",IF(Simulador!$N$7='Tabla Parámetros'!$C$31,AportPat!L63,0))</f>
        <v>#REF!</v>
      </c>
      <c r="O77" s="172" t="e">
        <f>Simulador!#REF!</f>
        <v>#REF!</v>
      </c>
      <c r="P77" s="167" t="e">
        <f t="shared" si="13"/>
        <v>#REF!</v>
      </c>
      <c r="Q77" s="167" t="e">
        <f t="shared" si="17"/>
        <v>#REF!</v>
      </c>
      <c r="T77" s="6"/>
      <c r="U77" s="6"/>
      <c r="V77" s="6"/>
      <c r="W77" s="29" t="e">
        <f t="shared" si="18"/>
        <v>#REF!</v>
      </c>
    </row>
    <row r="78" spans="2:23" x14ac:dyDescent="0.3">
      <c r="B78" s="181">
        <f t="shared" si="14"/>
        <v>61</v>
      </c>
      <c r="C78" s="180">
        <f t="shared" si="10"/>
        <v>30.4</v>
      </c>
      <c r="D78" s="193">
        <f>IF(B78="","",'Tabla Parámetros'!$G$4)</f>
        <v>0.11550000000000001</v>
      </c>
      <c r="E78" s="167"/>
      <c r="F78" s="167" t="e">
        <f t="shared" si="16"/>
        <v>#REF!</v>
      </c>
      <c r="G78" s="166"/>
      <c r="H78" s="167" t="e">
        <f t="shared" si="11"/>
        <v>#REF!</v>
      </c>
      <c r="I78" s="167" t="e">
        <f t="shared" si="12"/>
        <v>#REF!</v>
      </c>
      <c r="J78" s="167" t="e">
        <f>IF(C78="","",IF(F78=0,0,IF(C78&lt;='Tabla Parámetros'!$J$23,I78,IF($E$2='Tabla Parámetros'!$J$19,((($H$2/1000*'Tabla Parámetros'!$K$19)/30.4*C78)*1.0212^4),IF($E$2='Tabla Parámetros'!$J$20,($H$2/1000*'Tabla Parámetros'!$K$20)/30.4*C78)*1.0201^4)))+N78+O78)</f>
        <v>#REF!</v>
      </c>
      <c r="K78" s="167" t="e">
        <f t="shared" si="9"/>
        <v>#REF!</v>
      </c>
      <c r="L78" s="167" t="e">
        <f>IF(B78="","",IF(F78=0,0,Simulador!$N$13*$J$2))</f>
        <v>#REF!</v>
      </c>
      <c r="M78" s="167" t="e">
        <f>IF(B78="","",IF(F78=0,0,IF(Simulador!$F$11='Tabla Parámetros'!$W$1,'Tabla Parámetros'!$W$28,IF(Simulador!$F$11='Tabla Parámetros'!$Y$1,'Tabla Parámetros'!$Y$12))))</f>
        <v>#REF!</v>
      </c>
      <c r="N78" s="167" t="e">
        <f>IF(F78="","",IF(Simulador!$N$7='Tabla Parámetros'!$C$31,AportPat!L64,0))</f>
        <v>#REF!</v>
      </c>
      <c r="O78" s="172" t="e">
        <f>Simulador!#REF!</f>
        <v>#REF!</v>
      </c>
      <c r="P78" s="167" t="e">
        <f t="shared" si="13"/>
        <v>#REF!</v>
      </c>
      <c r="Q78" s="167" t="e">
        <f t="shared" si="17"/>
        <v>#REF!</v>
      </c>
      <c r="T78" s="6"/>
      <c r="U78" s="6"/>
      <c r="V78" s="6"/>
      <c r="W78" s="29" t="e">
        <f t="shared" si="18"/>
        <v>#REF!</v>
      </c>
    </row>
    <row r="79" spans="2:23" x14ac:dyDescent="0.3">
      <c r="B79" s="181">
        <f t="shared" si="14"/>
        <v>62</v>
      </c>
      <c r="C79" s="180">
        <f t="shared" si="10"/>
        <v>30.4</v>
      </c>
      <c r="D79" s="193">
        <f>IF(B79="","",'Tabla Parámetros'!$G$4)</f>
        <v>0.11550000000000001</v>
      </c>
      <c r="E79" s="167"/>
      <c r="F79" s="167" t="e">
        <f t="shared" si="16"/>
        <v>#REF!</v>
      </c>
      <c r="G79" s="166"/>
      <c r="H79" s="167" t="e">
        <f t="shared" si="11"/>
        <v>#REF!</v>
      </c>
      <c r="I79" s="167" t="e">
        <f t="shared" si="12"/>
        <v>#REF!</v>
      </c>
      <c r="J79" s="167" t="e">
        <f>IF(C79="","",IF(F79=0,0,IF(C79&lt;='Tabla Parámetros'!$J$23,I79,IF($E$2='Tabla Parámetros'!$J$19,((($H$2/1000*'Tabla Parámetros'!$K$19)/30.4*C79)*1.0212^5),IF($E$2='Tabla Parámetros'!$J$20,($H$2/1000*'Tabla Parámetros'!$K$20)/30.4*C79)*1.0201^5)))+N79+O79)</f>
        <v>#REF!</v>
      </c>
      <c r="K79" s="167" t="e">
        <f t="shared" si="9"/>
        <v>#REF!</v>
      </c>
      <c r="L79" s="167" t="e">
        <f>IF(B79="","",IF(F79=0,0,Simulador!$N$13*$J$2))</f>
        <v>#REF!</v>
      </c>
      <c r="M79" s="167" t="e">
        <f>IF(B79="","",IF(F79=0,0,IF(Simulador!$F$11='Tabla Parámetros'!$W$1,'Tabla Parámetros'!$W$28,IF(Simulador!$F$11='Tabla Parámetros'!$Y$1,'Tabla Parámetros'!$Y$12))))</f>
        <v>#REF!</v>
      </c>
      <c r="N79" s="167" t="e">
        <f>IF(F79="","",IF(Simulador!$N$7='Tabla Parámetros'!$C$31,AportPat!L65,0))</f>
        <v>#REF!</v>
      </c>
      <c r="O79" s="172" t="e">
        <f>Simulador!#REF!</f>
        <v>#REF!</v>
      </c>
      <c r="P79" s="167" t="e">
        <f t="shared" si="13"/>
        <v>#REF!</v>
      </c>
      <c r="Q79" s="167" t="e">
        <f t="shared" si="17"/>
        <v>#REF!</v>
      </c>
      <c r="T79" s="6"/>
      <c r="U79" s="6"/>
      <c r="V79" s="6"/>
      <c r="W79" s="29" t="e">
        <f t="shared" si="18"/>
        <v>#REF!</v>
      </c>
    </row>
    <row r="80" spans="2:23" x14ac:dyDescent="0.3">
      <c r="B80" s="181">
        <f t="shared" si="14"/>
        <v>63</v>
      </c>
      <c r="C80" s="180">
        <f t="shared" si="10"/>
        <v>30.4</v>
      </c>
      <c r="D80" s="193">
        <f>IF(B80="","",'Tabla Parámetros'!$G$4)</f>
        <v>0.11550000000000001</v>
      </c>
      <c r="E80" s="167"/>
      <c r="F80" s="167" t="e">
        <f t="shared" si="16"/>
        <v>#REF!</v>
      </c>
      <c r="G80" s="166"/>
      <c r="H80" s="167" t="e">
        <f t="shared" si="11"/>
        <v>#REF!</v>
      </c>
      <c r="I80" s="167" t="e">
        <f t="shared" si="12"/>
        <v>#REF!</v>
      </c>
      <c r="J80" s="167" t="e">
        <f>IF(C80="","",IF(F80=0,0,IF(C80&lt;='Tabla Parámetros'!$J$23,I80,IF($E$2='Tabla Parámetros'!$J$19,((($H$2/1000*'Tabla Parámetros'!$K$19)/30.4*C80)*1.0212^5),IF($E$2='Tabla Parámetros'!$J$20,($H$2/1000*'Tabla Parámetros'!$K$20)/30.4*C80)*1.0201^5)))+N80+O80)</f>
        <v>#REF!</v>
      </c>
      <c r="K80" s="167" t="e">
        <f t="shared" si="9"/>
        <v>#REF!</v>
      </c>
      <c r="L80" s="167" t="e">
        <f>IF(B80="","",IF(F80=0,0,Simulador!$N$13*$J$2))</f>
        <v>#REF!</v>
      </c>
      <c r="M80" s="167" t="e">
        <f>IF(B80="","",IF(F80=0,0,IF(Simulador!$F$11='Tabla Parámetros'!$W$1,'Tabla Parámetros'!$W$28,IF(Simulador!$F$11='Tabla Parámetros'!$Y$1,'Tabla Parámetros'!$Y$12))))</f>
        <v>#REF!</v>
      </c>
      <c r="N80" s="167" t="e">
        <f>IF(F80="","",IF(Simulador!$N$7='Tabla Parámetros'!$C$31,AportPat!L66,0))</f>
        <v>#REF!</v>
      </c>
      <c r="O80" s="172" t="e">
        <f>Simulador!#REF!</f>
        <v>#REF!</v>
      </c>
      <c r="P80" s="167" t="e">
        <f t="shared" si="13"/>
        <v>#REF!</v>
      </c>
      <c r="Q80" s="167" t="e">
        <f t="shared" si="17"/>
        <v>#REF!</v>
      </c>
      <c r="T80" s="6"/>
      <c r="U80" s="6"/>
      <c r="V80" s="6"/>
      <c r="W80" s="29" t="e">
        <f t="shared" si="18"/>
        <v>#REF!</v>
      </c>
    </row>
    <row r="81" spans="2:23" x14ac:dyDescent="0.3">
      <c r="B81" s="181">
        <f t="shared" si="14"/>
        <v>64</v>
      </c>
      <c r="C81" s="180">
        <f t="shared" si="10"/>
        <v>30.4</v>
      </c>
      <c r="D81" s="193">
        <f>IF(B81="","",'Tabla Parámetros'!$G$4)</f>
        <v>0.11550000000000001</v>
      </c>
      <c r="E81" s="167"/>
      <c r="F81" s="167" t="e">
        <f t="shared" si="16"/>
        <v>#REF!</v>
      </c>
      <c r="G81" s="166"/>
      <c r="H81" s="167" t="e">
        <f t="shared" si="11"/>
        <v>#REF!</v>
      </c>
      <c r="I81" s="167" t="e">
        <f t="shared" si="12"/>
        <v>#REF!</v>
      </c>
      <c r="J81" s="167" t="e">
        <f>IF(C81="","",IF(F81=0,0,IF(C81&lt;='Tabla Parámetros'!$J$23,I81,IF($E$2='Tabla Parámetros'!$J$19,((($H$2/1000*'Tabla Parámetros'!$K$19)/30.4*C81)*1.0212^5),IF($E$2='Tabla Parámetros'!$J$20,($H$2/1000*'Tabla Parámetros'!$K$20)/30.4*C81)*1.0201^5)))+N81+O81)</f>
        <v>#REF!</v>
      </c>
      <c r="K81" s="167" t="e">
        <f t="shared" si="9"/>
        <v>#REF!</v>
      </c>
      <c r="L81" s="167" t="e">
        <f>IF(B81="","",IF(F81=0,0,Simulador!$N$13*$J$2))</f>
        <v>#REF!</v>
      </c>
      <c r="M81" s="167" t="e">
        <f>IF(B81="","",IF(F81=0,0,IF(Simulador!$F$11='Tabla Parámetros'!$W$1,'Tabla Parámetros'!$W$28,IF(Simulador!$F$11='Tabla Parámetros'!$Y$1,'Tabla Parámetros'!$Y$12))))</f>
        <v>#REF!</v>
      </c>
      <c r="N81" s="167" t="e">
        <f>IF(F81="","",IF(Simulador!$N$7='Tabla Parámetros'!$C$31,AportPat!L67,0))</f>
        <v>#REF!</v>
      </c>
      <c r="O81" s="172" t="e">
        <f>Simulador!#REF!</f>
        <v>#REF!</v>
      </c>
      <c r="P81" s="167" t="e">
        <f t="shared" si="13"/>
        <v>#REF!</v>
      </c>
      <c r="Q81" s="167" t="e">
        <f t="shared" si="17"/>
        <v>#REF!</v>
      </c>
      <c r="T81" s="6"/>
      <c r="U81" s="6"/>
      <c r="V81" s="6"/>
      <c r="W81" s="29" t="e">
        <f t="shared" si="18"/>
        <v>#REF!</v>
      </c>
    </row>
    <row r="82" spans="2:23" x14ac:dyDescent="0.3">
      <c r="B82" s="181">
        <f t="shared" si="14"/>
        <v>65</v>
      </c>
      <c r="C82" s="180">
        <f t="shared" si="10"/>
        <v>30.4</v>
      </c>
      <c r="D82" s="193">
        <f>IF(B82="","",'Tabla Parámetros'!$G$4)</f>
        <v>0.11550000000000001</v>
      </c>
      <c r="E82" s="167"/>
      <c r="F82" s="167" t="e">
        <f t="shared" si="16"/>
        <v>#REF!</v>
      </c>
      <c r="G82" s="166"/>
      <c r="H82" s="167" t="e">
        <f t="shared" si="11"/>
        <v>#REF!</v>
      </c>
      <c r="I82" s="167" t="e">
        <f t="shared" si="12"/>
        <v>#REF!</v>
      </c>
      <c r="J82" s="167" t="e">
        <f>IF(C82="","",IF(F82=0,0,IF(C82&lt;='Tabla Parámetros'!$J$23,I82,IF($E$2='Tabla Parámetros'!$J$19,((($H$2/1000*'Tabla Parámetros'!$K$19)/30.4*C82)*1.0212^5),IF($E$2='Tabla Parámetros'!$J$20,($H$2/1000*'Tabla Parámetros'!$K$20)/30.4*C82)*1.0201^5)))+N82+O82)</f>
        <v>#REF!</v>
      </c>
      <c r="K82" s="167" t="e">
        <f t="shared" ref="K82:K145" si="19">IF(B82="","",IF(F82=0,0,$H$2*$I$2))</f>
        <v>#REF!</v>
      </c>
      <c r="L82" s="167" t="e">
        <f>IF(B82="","",IF(F82=0,0,Simulador!$N$13*$J$2))</f>
        <v>#REF!</v>
      </c>
      <c r="M82" s="167" t="e">
        <f>IF(B82="","",IF(F82=0,0,IF(Simulador!$F$11='Tabla Parámetros'!$W$1,'Tabla Parámetros'!$W$28,IF(Simulador!$F$11='Tabla Parámetros'!$Y$1,'Tabla Parámetros'!$Y$12))))</f>
        <v>#REF!</v>
      </c>
      <c r="N82" s="167" t="e">
        <f>IF(F82="","",IF(Simulador!$N$7='Tabla Parámetros'!$C$31,AportPat!L68,0))</f>
        <v>#REF!</v>
      </c>
      <c r="O82" s="172" t="e">
        <f>Simulador!#REF!</f>
        <v>#REF!</v>
      </c>
      <c r="P82" s="167" t="e">
        <f t="shared" si="13"/>
        <v>#REF!</v>
      </c>
      <c r="Q82" s="167" t="e">
        <f t="shared" si="17"/>
        <v>#REF!</v>
      </c>
      <c r="T82" s="6"/>
      <c r="U82" s="6"/>
      <c r="V82" s="6"/>
      <c r="W82" s="29" t="e">
        <f t="shared" si="18"/>
        <v>#REF!</v>
      </c>
    </row>
    <row r="83" spans="2:23" x14ac:dyDescent="0.3">
      <c r="B83" s="181">
        <f t="shared" si="14"/>
        <v>66</v>
      </c>
      <c r="C83" s="180">
        <f t="shared" ref="C83:C146" si="20">IF(B83="","",30.4)</f>
        <v>30.4</v>
      </c>
      <c r="D83" s="193">
        <f>IF(B83="","",'Tabla Parámetros'!$G$4)</f>
        <v>0.11550000000000001</v>
      </c>
      <c r="E83" s="167"/>
      <c r="F83" s="167" t="e">
        <f t="shared" si="16"/>
        <v>#REF!</v>
      </c>
      <c r="G83" s="166"/>
      <c r="H83" s="167" t="e">
        <f t="shared" ref="H83:H146" si="21">IF(OR($B83="",$B83&lt;=1),"",IF($B83=$E$2,$F83,IF(($J83-$I83+$N83+$O83)&gt;$F83,$F83,$J83-$I83+$N83+$O83)))</f>
        <v>#REF!</v>
      </c>
      <c r="I83" s="167" t="e">
        <f t="shared" ref="I83:I146" si="22">IF(B83="","",((D83/360)*30.4)*F83)</f>
        <v>#REF!</v>
      </c>
      <c r="J83" s="167" t="e">
        <f>IF(C83="","",IF(F83=0,0,IF(C83&lt;='Tabla Parámetros'!$J$23,I83,IF($E$2='Tabla Parámetros'!$J$19,((($H$2/1000*'Tabla Parámetros'!$K$19)/30.4*C83)*1.0212^5),IF($E$2='Tabla Parámetros'!$J$20,($H$2/1000*'Tabla Parámetros'!$K$20)/30.4*C83)*1.0201^5)))+N83+O83)</f>
        <v>#REF!</v>
      </c>
      <c r="K83" s="167" t="e">
        <f t="shared" si="19"/>
        <v>#REF!</v>
      </c>
      <c r="L83" s="167" t="e">
        <f>IF(B83="","",IF(F83=0,0,Simulador!$N$13*$J$2))</f>
        <v>#REF!</v>
      </c>
      <c r="M83" s="167" t="e">
        <f>IF(B83="","",IF(F83=0,0,IF(Simulador!$F$11='Tabla Parámetros'!$W$1,'Tabla Parámetros'!$W$28,IF(Simulador!$F$11='Tabla Parámetros'!$Y$1,'Tabla Parámetros'!$Y$12))))</f>
        <v>#REF!</v>
      </c>
      <c r="N83" s="167" t="e">
        <f>IF(F83="","",IF(Simulador!$N$7='Tabla Parámetros'!$C$31,AportPat!L69,0))</f>
        <v>#REF!</v>
      </c>
      <c r="O83" s="172" t="e">
        <f>Simulador!#REF!</f>
        <v>#REF!</v>
      </c>
      <c r="P83" s="167" t="e">
        <f t="shared" ref="P83:P146" si="23">IF(F83="","",SUM(J83:M83)-(N83+O83))</f>
        <v>#REF!</v>
      </c>
      <c r="Q83" s="167" t="e">
        <f t="shared" si="17"/>
        <v>#REF!</v>
      </c>
      <c r="T83" s="6"/>
      <c r="U83" s="6"/>
      <c r="V83" s="6"/>
      <c r="W83" s="29" t="e">
        <f t="shared" si="18"/>
        <v>#REF!</v>
      </c>
    </row>
    <row r="84" spans="2:23" x14ac:dyDescent="0.3">
      <c r="B84" s="181">
        <f t="shared" ref="B84:B147" si="24">IF(B83=$E$2,"",IF(B83="","",B83+1))</f>
        <v>67</v>
      </c>
      <c r="C84" s="180">
        <f t="shared" si="20"/>
        <v>30.4</v>
      </c>
      <c r="D84" s="193">
        <f>IF(B84="","",'Tabla Parámetros'!$G$4)</f>
        <v>0.11550000000000001</v>
      </c>
      <c r="E84" s="167"/>
      <c r="F84" s="167" t="e">
        <f t="shared" ref="F84:F147" si="25">IF(B84="","",F83-H83)</f>
        <v>#REF!</v>
      </c>
      <c r="G84" s="166"/>
      <c r="H84" s="167" t="e">
        <f t="shared" si="21"/>
        <v>#REF!</v>
      </c>
      <c r="I84" s="167" t="e">
        <f t="shared" si="22"/>
        <v>#REF!</v>
      </c>
      <c r="J84" s="167" t="e">
        <f>IF(C84="","",IF(F84=0,0,IF(C84&lt;='Tabla Parámetros'!$J$23,I84,IF($E$2='Tabla Parámetros'!$J$19,((($H$2/1000*'Tabla Parámetros'!$K$19)/30.4*C84)*1.0212^5),IF($E$2='Tabla Parámetros'!$J$20,($H$2/1000*'Tabla Parámetros'!$K$20)/30.4*C84)*1.0201^5)))+N84+O84)</f>
        <v>#REF!</v>
      </c>
      <c r="K84" s="167" t="e">
        <f t="shared" si="19"/>
        <v>#REF!</v>
      </c>
      <c r="L84" s="167" t="e">
        <f>IF(B84="","",IF(F84=0,0,Simulador!$N$13*$J$2))</f>
        <v>#REF!</v>
      </c>
      <c r="M84" s="167" t="e">
        <f>IF(B84="","",IF(F84=0,0,IF(Simulador!$F$11='Tabla Parámetros'!$W$1,'Tabla Parámetros'!$W$28,IF(Simulador!$F$11='Tabla Parámetros'!$Y$1,'Tabla Parámetros'!$Y$12))))</f>
        <v>#REF!</v>
      </c>
      <c r="N84" s="167" t="e">
        <f>IF(F84="","",IF(Simulador!$N$7='Tabla Parámetros'!$C$31,AportPat!L70,0))</f>
        <v>#REF!</v>
      </c>
      <c r="O84" s="172" t="e">
        <f>Simulador!#REF!</f>
        <v>#REF!</v>
      </c>
      <c r="P84" s="167" t="e">
        <f t="shared" si="23"/>
        <v>#REF!</v>
      </c>
      <c r="Q84" s="167" t="e">
        <f t="shared" si="17"/>
        <v>#REF!</v>
      </c>
      <c r="T84" s="6"/>
      <c r="U84" s="6"/>
      <c r="V84" s="6"/>
      <c r="W84" s="29" t="e">
        <f t="shared" si="18"/>
        <v>#REF!</v>
      </c>
    </row>
    <row r="85" spans="2:23" x14ac:dyDescent="0.3">
      <c r="B85" s="181">
        <f t="shared" si="24"/>
        <v>68</v>
      </c>
      <c r="C85" s="180">
        <f t="shared" si="20"/>
        <v>30.4</v>
      </c>
      <c r="D85" s="193">
        <f>IF(B85="","",'Tabla Parámetros'!$G$4)</f>
        <v>0.11550000000000001</v>
      </c>
      <c r="E85" s="167"/>
      <c r="F85" s="167" t="e">
        <f t="shared" si="25"/>
        <v>#REF!</v>
      </c>
      <c r="G85" s="166"/>
      <c r="H85" s="167" t="e">
        <f t="shared" si="21"/>
        <v>#REF!</v>
      </c>
      <c r="I85" s="167" t="e">
        <f t="shared" si="22"/>
        <v>#REF!</v>
      </c>
      <c r="J85" s="167" t="e">
        <f>IF(C85="","",IF(F85=0,0,IF(C85&lt;='Tabla Parámetros'!$J$23,I85,IF($E$2='Tabla Parámetros'!$J$19,((($H$2/1000*'Tabla Parámetros'!$K$19)/30.4*C85)*1.0212^5),IF($E$2='Tabla Parámetros'!$J$20,($H$2/1000*'Tabla Parámetros'!$K$20)/30.4*C85)*1.0201^5)))+N85+O85)</f>
        <v>#REF!</v>
      </c>
      <c r="K85" s="167" t="e">
        <f t="shared" si="19"/>
        <v>#REF!</v>
      </c>
      <c r="L85" s="167" t="e">
        <f>IF(B85="","",IF(F85=0,0,Simulador!$N$13*$J$2))</f>
        <v>#REF!</v>
      </c>
      <c r="M85" s="167" t="e">
        <f>IF(B85="","",IF(F85=0,0,IF(Simulador!$F$11='Tabla Parámetros'!$W$1,'Tabla Parámetros'!$W$28,IF(Simulador!$F$11='Tabla Parámetros'!$Y$1,'Tabla Parámetros'!$Y$12))))</f>
        <v>#REF!</v>
      </c>
      <c r="N85" s="167" t="e">
        <f>IF(F85="","",IF(Simulador!$N$7='Tabla Parámetros'!$C$31,AportPat!L71,0))</f>
        <v>#REF!</v>
      </c>
      <c r="O85" s="172" t="e">
        <f>Simulador!#REF!</f>
        <v>#REF!</v>
      </c>
      <c r="P85" s="167" t="e">
        <f t="shared" si="23"/>
        <v>#REF!</v>
      </c>
      <c r="Q85" s="167" t="e">
        <f t="shared" ref="Q85:Q148" si="26">IF(B84="","",F85-H85)</f>
        <v>#REF!</v>
      </c>
      <c r="T85" s="6"/>
      <c r="U85" s="6"/>
      <c r="V85" s="6"/>
      <c r="W85" s="29" t="e">
        <f t="shared" si="18"/>
        <v>#REF!</v>
      </c>
    </row>
    <row r="86" spans="2:23" x14ac:dyDescent="0.3">
      <c r="B86" s="181">
        <f t="shared" si="24"/>
        <v>69</v>
      </c>
      <c r="C86" s="180">
        <f t="shared" si="20"/>
        <v>30.4</v>
      </c>
      <c r="D86" s="193">
        <f>IF(B86="","",'Tabla Parámetros'!$G$4)</f>
        <v>0.11550000000000001</v>
      </c>
      <c r="E86" s="167"/>
      <c r="F86" s="167" t="e">
        <f t="shared" si="25"/>
        <v>#REF!</v>
      </c>
      <c r="G86" s="166"/>
      <c r="H86" s="167" t="e">
        <f t="shared" si="21"/>
        <v>#REF!</v>
      </c>
      <c r="I86" s="167" t="e">
        <f t="shared" si="22"/>
        <v>#REF!</v>
      </c>
      <c r="J86" s="167" t="e">
        <f>IF(C86="","",IF(F86=0,0,IF(C86&lt;='Tabla Parámetros'!$J$23,I86,IF($E$2='Tabla Parámetros'!$J$19,((($H$2/1000*'Tabla Parámetros'!$K$19)/30.4*C86)*1.0212^5),IF($E$2='Tabla Parámetros'!$J$20,($H$2/1000*'Tabla Parámetros'!$K$20)/30.4*C86)*1.0201^5)))+N86+O86)</f>
        <v>#REF!</v>
      </c>
      <c r="K86" s="167" t="e">
        <f t="shared" si="19"/>
        <v>#REF!</v>
      </c>
      <c r="L86" s="167" t="e">
        <f>IF(B86="","",IF(F86=0,0,Simulador!$N$13*$J$2))</f>
        <v>#REF!</v>
      </c>
      <c r="M86" s="167" t="e">
        <f>IF(B86="","",IF(F86=0,0,IF(Simulador!$F$11='Tabla Parámetros'!$W$1,'Tabla Parámetros'!$W$28,IF(Simulador!$F$11='Tabla Parámetros'!$Y$1,'Tabla Parámetros'!$Y$12))))</f>
        <v>#REF!</v>
      </c>
      <c r="N86" s="167" t="e">
        <f>IF(F86="","",IF(Simulador!$N$7='Tabla Parámetros'!$C$31,AportPat!L72,0))</f>
        <v>#REF!</v>
      </c>
      <c r="O86" s="172" t="e">
        <f>Simulador!#REF!</f>
        <v>#REF!</v>
      </c>
      <c r="P86" s="167" t="e">
        <f t="shared" si="23"/>
        <v>#REF!</v>
      </c>
      <c r="Q86" s="167" t="e">
        <f t="shared" si="26"/>
        <v>#REF!</v>
      </c>
      <c r="T86" s="6"/>
      <c r="U86" s="6"/>
      <c r="V86" s="6"/>
      <c r="W86" s="29" t="e">
        <f t="shared" si="18"/>
        <v>#REF!</v>
      </c>
    </row>
    <row r="87" spans="2:23" x14ac:dyDescent="0.3">
      <c r="B87" s="181">
        <f t="shared" si="24"/>
        <v>70</v>
      </c>
      <c r="C87" s="180">
        <f t="shared" si="20"/>
        <v>30.4</v>
      </c>
      <c r="D87" s="193">
        <f>IF(B87="","",'Tabla Parámetros'!$G$4)</f>
        <v>0.11550000000000001</v>
      </c>
      <c r="E87" s="167"/>
      <c r="F87" s="167" t="e">
        <f t="shared" si="25"/>
        <v>#REF!</v>
      </c>
      <c r="G87" s="166"/>
      <c r="H87" s="167" t="e">
        <f t="shared" si="21"/>
        <v>#REF!</v>
      </c>
      <c r="I87" s="167" t="e">
        <f t="shared" si="22"/>
        <v>#REF!</v>
      </c>
      <c r="J87" s="167" t="e">
        <f>IF(C87="","",IF(F87=0,0,IF(C87&lt;='Tabla Parámetros'!$J$23,I87,IF($E$2='Tabla Parámetros'!$J$19,((($H$2/1000*'Tabla Parámetros'!$K$19)/30.4*C87)*1.0212^5),IF($E$2='Tabla Parámetros'!$J$20,($H$2/1000*'Tabla Parámetros'!$K$20)/30.4*C87)*1.0201^5)))+N87+O87)</f>
        <v>#REF!</v>
      </c>
      <c r="K87" s="167" t="e">
        <f t="shared" si="19"/>
        <v>#REF!</v>
      </c>
      <c r="L87" s="167" t="e">
        <f>IF(B87="","",IF(F87=0,0,Simulador!$N$13*$J$2))</f>
        <v>#REF!</v>
      </c>
      <c r="M87" s="167" t="e">
        <f>IF(B87="","",IF(F87=0,0,IF(Simulador!$F$11='Tabla Parámetros'!$W$1,'Tabla Parámetros'!$W$28,IF(Simulador!$F$11='Tabla Parámetros'!$Y$1,'Tabla Parámetros'!$Y$12))))</f>
        <v>#REF!</v>
      </c>
      <c r="N87" s="167" t="e">
        <f>IF(F87="","",IF(Simulador!$N$7='Tabla Parámetros'!$C$31,AportPat!L73,0))</f>
        <v>#REF!</v>
      </c>
      <c r="O87" s="172" t="e">
        <f>Simulador!#REF!</f>
        <v>#REF!</v>
      </c>
      <c r="P87" s="167" t="e">
        <f t="shared" si="23"/>
        <v>#REF!</v>
      </c>
      <c r="Q87" s="167" t="e">
        <f t="shared" si="26"/>
        <v>#REF!</v>
      </c>
      <c r="T87" s="6"/>
      <c r="U87" s="6"/>
      <c r="V87" s="6"/>
      <c r="W87" s="29" t="e">
        <f t="shared" si="18"/>
        <v>#REF!</v>
      </c>
    </row>
    <row r="88" spans="2:23" x14ac:dyDescent="0.3">
      <c r="B88" s="181">
        <f t="shared" si="24"/>
        <v>71</v>
      </c>
      <c r="C88" s="180">
        <f t="shared" si="20"/>
        <v>30.4</v>
      </c>
      <c r="D88" s="193">
        <f>IF(B88="","",'Tabla Parámetros'!$G$4)</f>
        <v>0.11550000000000001</v>
      </c>
      <c r="E88" s="167"/>
      <c r="F88" s="167" t="e">
        <f t="shared" si="25"/>
        <v>#REF!</v>
      </c>
      <c r="G88" s="166"/>
      <c r="H88" s="167" t="e">
        <f t="shared" si="21"/>
        <v>#REF!</v>
      </c>
      <c r="I88" s="167" t="e">
        <f t="shared" si="22"/>
        <v>#REF!</v>
      </c>
      <c r="J88" s="167" t="e">
        <f>IF(C88="","",IF(F88=0,0,IF(C88&lt;='Tabla Parámetros'!$J$23,I88,IF($E$2='Tabla Parámetros'!$J$19,((($H$2/1000*'Tabla Parámetros'!$K$19)/30.4*C88)*1.0212^5),IF($E$2='Tabla Parámetros'!$J$20,($H$2/1000*'Tabla Parámetros'!$K$20)/30.4*C88)*1.0201^5)))+N88+O88)</f>
        <v>#REF!</v>
      </c>
      <c r="K88" s="167" t="e">
        <f t="shared" si="19"/>
        <v>#REF!</v>
      </c>
      <c r="L88" s="167" t="e">
        <f>IF(B88="","",IF(F88=0,0,Simulador!$N$13*$J$2))</f>
        <v>#REF!</v>
      </c>
      <c r="M88" s="167" t="e">
        <f>IF(B88="","",IF(F88=0,0,IF(Simulador!$F$11='Tabla Parámetros'!$W$1,'Tabla Parámetros'!$W$28,IF(Simulador!$F$11='Tabla Parámetros'!$Y$1,'Tabla Parámetros'!$Y$12))))</f>
        <v>#REF!</v>
      </c>
      <c r="N88" s="167" t="e">
        <f>IF(F88="","",IF(Simulador!$N$7='Tabla Parámetros'!$C$31,AportPat!L74,0))</f>
        <v>#REF!</v>
      </c>
      <c r="O88" s="172" t="e">
        <f>Simulador!#REF!</f>
        <v>#REF!</v>
      </c>
      <c r="P88" s="167" t="e">
        <f t="shared" si="23"/>
        <v>#REF!</v>
      </c>
      <c r="Q88" s="167" t="e">
        <f t="shared" si="26"/>
        <v>#REF!</v>
      </c>
      <c r="T88" s="6"/>
      <c r="U88" s="6"/>
      <c r="V88" s="6"/>
      <c r="W88" s="29" t="e">
        <f t="shared" si="18"/>
        <v>#REF!</v>
      </c>
    </row>
    <row r="89" spans="2:23" x14ac:dyDescent="0.3">
      <c r="B89" s="181">
        <f t="shared" si="24"/>
        <v>72</v>
      </c>
      <c r="C89" s="180">
        <f t="shared" si="20"/>
        <v>30.4</v>
      </c>
      <c r="D89" s="193">
        <f>IF(B89="","",'Tabla Parámetros'!$G$4)</f>
        <v>0.11550000000000001</v>
      </c>
      <c r="E89" s="167"/>
      <c r="F89" s="167" t="e">
        <f t="shared" si="25"/>
        <v>#REF!</v>
      </c>
      <c r="G89" s="166"/>
      <c r="H89" s="167" t="e">
        <f t="shared" si="21"/>
        <v>#REF!</v>
      </c>
      <c r="I89" s="167" t="e">
        <f t="shared" si="22"/>
        <v>#REF!</v>
      </c>
      <c r="J89" s="167" t="e">
        <f>IF(C89="","",IF(F89=0,0,IF(C89&lt;='Tabla Parámetros'!$J$23,I89,IF($E$2='Tabla Parámetros'!$J$19,((($H$2/1000*'Tabla Parámetros'!$K$19)/30.4*C89)*1.0212^5),IF($E$2='Tabla Parámetros'!$J$20,($H$2/1000*'Tabla Parámetros'!$K$20)/30.4*C89)*1.0201^5)))+N89+O89)</f>
        <v>#REF!</v>
      </c>
      <c r="K89" s="167" t="e">
        <f t="shared" si="19"/>
        <v>#REF!</v>
      </c>
      <c r="L89" s="167" t="e">
        <f>IF(B89="","",IF(F89=0,0,Simulador!$N$13*$J$2))</f>
        <v>#REF!</v>
      </c>
      <c r="M89" s="167" t="e">
        <f>IF(B89="","",IF(F89=0,0,IF(Simulador!$F$11='Tabla Parámetros'!$W$1,'Tabla Parámetros'!$W$28,IF(Simulador!$F$11='Tabla Parámetros'!$Y$1,'Tabla Parámetros'!$Y$12))))</f>
        <v>#REF!</v>
      </c>
      <c r="N89" s="167" t="e">
        <f>IF(F89="","",IF(Simulador!$N$7='Tabla Parámetros'!$C$31,AportPat!L75,0))</f>
        <v>#REF!</v>
      </c>
      <c r="O89" s="172" t="e">
        <f>Simulador!#REF!</f>
        <v>#REF!</v>
      </c>
      <c r="P89" s="167" t="e">
        <f t="shared" si="23"/>
        <v>#REF!</v>
      </c>
      <c r="Q89" s="167" t="e">
        <f t="shared" si="26"/>
        <v>#REF!</v>
      </c>
      <c r="T89" s="6"/>
      <c r="U89" s="6"/>
      <c r="V89" s="6"/>
      <c r="W89" s="29" t="e">
        <f t="shared" si="18"/>
        <v>#REF!</v>
      </c>
    </row>
    <row r="90" spans="2:23" x14ac:dyDescent="0.3">
      <c r="B90" s="181">
        <f t="shared" si="24"/>
        <v>73</v>
      </c>
      <c r="C90" s="180">
        <f t="shared" si="20"/>
        <v>30.4</v>
      </c>
      <c r="D90" s="193">
        <f>IF(B90="","",'Tabla Parámetros'!$G$4)</f>
        <v>0.11550000000000001</v>
      </c>
      <c r="E90" s="167"/>
      <c r="F90" s="167" t="e">
        <f t="shared" si="25"/>
        <v>#REF!</v>
      </c>
      <c r="G90" s="166"/>
      <c r="H90" s="167" t="e">
        <f t="shared" si="21"/>
        <v>#REF!</v>
      </c>
      <c r="I90" s="167" t="e">
        <f t="shared" si="22"/>
        <v>#REF!</v>
      </c>
      <c r="J90" s="167" t="e">
        <f>IF(C90="","",IF(F90=0,0,IF(C90&lt;='Tabla Parámetros'!$J$23,I90,IF($E$2='Tabla Parámetros'!$J$19,((($H$2/1000*'Tabla Parámetros'!$K$19)/30.4*C90)*1.0212^5),IF($E$2='Tabla Parámetros'!$J$20,($H$2/1000*'Tabla Parámetros'!$K$20)/30.4*C90)*1.0201^5)))+N90+O90)</f>
        <v>#REF!</v>
      </c>
      <c r="K90" s="167" t="e">
        <f t="shared" si="19"/>
        <v>#REF!</v>
      </c>
      <c r="L90" s="167" t="e">
        <f>IF(B90="","",IF(F90=0,0,Simulador!$N$13*$J$2))</f>
        <v>#REF!</v>
      </c>
      <c r="M90" s="167" t="e">
        <f>IF(B90="","",IF(F90=0,0,IF(Simulador!$F$11='Tabla Parámetros'!$W$1,'Tabla Parámetros'!$W$28,IF(Simulador!$F$11='Tabla Parámetros'!$Y$1,'Tabla Parámetros'!$Y$12))))</f>
        <v>#REF!</v>
      </c>
      <c r="N90" s="167" t="e">
        <f>IF(F90="","",IF(Simulador!$N$7='Tabla Parámetros'!$C$31,AportPat!L76,0))</f>
        <v>#REF!</v>
      </c>
      <c r="O90" s="172" t="e">
        <f>Simulador!#REF!</f>
        <v>#REF!</v>
      </c>
      <c r="P90" s="167" t="e">
        <f t="shared" si="23"/>
        <v>#REF!</v>
      </c>
      <c r="Q90" s="167" t="e">
        <f t="shared" si="26"/>
        <v>#REF!</v>
      </c>
      <c r="T90" s="6"/>
      <c r="U90" s="6"/>
      <c r="V90" s="6"/>
      <c r="W90" s="29" t="e">
        <f t="shared" si="18"/>
        <v>#REF!</v>
      </c>
    </row>
    <row r="91" spans="2:23" x14ac:dyDescent="0.3">
      <c r="B91" s="181">
        <f t="shared" si="24"/>
        <v>74</v>
      </c>
      <c r="C91" s="180">
        <f t="shared" si="20"/>
        <v>30.4</v>
      </c>
      <c r="D91" s="193">
        <f>IF(B91="","",'Tabla Parámetros'!$G$5)</f>
        <v>0.11799999999999999</v>
      </c>
      <c r="E91" s="167"/>
      <c r="F91" s="167" t="e">
        <f t="shared" si="25"/>
        <v>#REF!</v>
      </c>
      <c r="G91" s="166"/>
      <c r="H91" s="167" t="e">
        <f t="shared" si="21"/>
        <v>#REF!</v>
      </c>
      <c r="I91" s="167" t="e">
        <f t="shared" si="22"/>
        <v>#REF!</v>
      </c>
      <c r="J91" s="167" t="e">
        <f>IF(C91="","",IF(F91=0,0,IF(C91&lt;='Tabla Parámetros'!$J$23,I91,IF($E$2='Tabla Parámetros'!$J$19,((($H$2/1000*'Tabla Parámetros'!$K$19)/30.4*C91)*1.0212^6),IF($E$2='Tabla Parámetros'!$J$20,($H$2/1000*'Tabla Parámetros'!$K$20)/30.4*C91)*1.0201^6)))+N91+O91)</f>
        <v>#REF!</v>
      </c>
      <c r="K91" s="167" t="e">
        <f t="shared" si="19"/>
        <v>#REF!</v>
      </c>
      <c r="L91" s="167" t="e">
        <f>IF(B91="","",IF(F91=0,0,Simulador!$N$13*$J$2))</f>
        <v>#REF!</v>
      </c>
      <c r="M91" s="167" t="e">
        <f>IF(B91="","",IF(F91=0,0,IF(Simulador!$F$11='Tabla Parámetros'!$W$1,'Tabla Parámetros'!$W$28,IF(Simulador!$F$11='Tabla Parámetros'!$Y$1,'Tabla Parámetros'!$Y$12))))</f>
        <v>#REF!</v>
      </c>
      <c r="N91" s="167" t="e">
        <f>IF(F91="","",IF(Simulador!$N$7='Tabla Parámetros'!$C$31,AportPat!L77,0))</f>
        <v>#REF!</v>
      </c>
      <c r="O91" s="172" t="e">
        <f>Simulador!#REF!</f>
        <v>#REF!</v>
      </c>
      <c r="P91" s="167" t="e">
        <f t="shared" si="23"/>
        <v>#REF!</v>
      </c>
      <c r="Q91" s="167" t="e">
        <f t="shared" si="26"/>
        <v>#REF!</v>
      </c>
      <c r="T91" s="6"/>
      <c r="U91" s="6"/>
      <c r="V91" s="6"/>
      <c r="W91" s="29" t="e">
        <f t="shared" si="18"/>
        <v>#REF!</v>
      </c>
    </row>
    <row r="92" spans="2:23" x14ac:dyDescent="0.3">
      <c r="B92" s="181">
        <f t="shared" si="24"/>
        <v>75</v>
      </c>
      <c r="C92" s="180">
        <f t="shared" si="20"/>
        <v>30.4</v>
      </c>
      <c r="D92" s="193">
        <f>IF(B92="","",'Tabla Parámetros'!$G$5)</f>
        <v>0.11799999999999999</v>
      </c>
      <c r="E92" s="167"/>
      <c r="F92" s="167" t="e">
        <f t="shared" si="25"/>
        <v>#REF!</v>
      </c>
      <c r="G92" s="166"/>
      <c r="H92" s="167" t="e">
        <f t="shared" si="21"/>
        <v>#REF!</v>
      </c>
      <c r="I92" s="167" t="e">
        <f t="shared" si="22"/>
        <v>#REF!</v>
      </c>
      <c r="J92" s="167" t="e">
        <f>IF(C92="","",IF(F92=0,0,IF(C92&lt;='Tabla Parámetros'!$J$23,I92,IF($E$2='Tabla Parámetros'!$J$19,((($H$2/1000*'Tabla Parámetros'!$K$19)/30.4*C92)*1.0212^6),IF($E$2='Tabla Parámetros'!$J$20,($H$2/1000*'Tabla Parámetros'!$K$20)/30.4*C92)*1.0201^6)))+N92+O92)</f>
        <v>#REF!</v>
      </c>
      <c r="K92" s="167" t="e">
        <f t="shared" si="19"/>
        <v>#REF!</v>
      </c>
      <c r="L92" s="167" t="e">
        <f>IF(B92="","",IF(F92=0,0,Simulador!$N$13*$J$2))</f>
        <v>#REF!</v>
      </c>
      <c r="M92" s="167" t="e">
        <f>IF(B92="","",IF(F92=0,0,IF(Simulador!$F$11='Tabla Parámetros'!$W$1,'Tabla Parámetros'!$W$28,IF(Simulador!$F$11='Tabla Parámetros'!$Y$1,'Tabla Parámetros'!$Y$12))))</f>
        <v>#REF!</v>
      </c>
      <c r="N92" s="167" t="e">
        <f>IF(F92="","",IF(Simulador!$N$7='Tabla Parámetros'!$C$31,AportPat!L78,0))</f>
        <v>#REF!</v>
      </c>
      <c r="O92" s="172" t="e">
        <f>Simulador!#REF!</f>
        <v>#REF!</v>
      </c>
      <c r="P92" s="167" t="e">
        <f t="shared" si="23"/>
        <v>#REF!</v>
      </c>
      <c r="Q92" s="167" t="e">
        <f t="shared" si="26"/>
        <v>#REF!</v>
      </c>
      <c r="T92" s="6"/>
      <c r="U92" s="6"/>
      <c r="V92" s="6"/>
      <c r="W92" s="29" t="e">
        <f t="shared" si="18"/>
        <v>#REF!</v>
      </c>
    </row>
    <row r="93" spans="2:23" x14ac:dyDescent="0.3">
      <c r="B93" s="181">
        <f t="shared" si="24"/>
        <v>76</v>
      </c>
      <c r="C93" s="180">
        <f t="shared" si="20"/>
        <v>30.4</v>
      </c>
      <c r="D93" s="193">
        <f>IF(B93="","",'Tabla Parámetros'!$G$5)</f>
        <v>0.11799999999999999</v>
      </c>
      <c r="E93" s="167"/>
      <c r="F93" s="167" t="e">
        <f t="shared" si="25"/>
        <v>#REF!</v>
      </c>
      <c r="G93" s="166"/>
      <c r="H93" s="167" t="e">
        <f t="shared" si="21"/>
        <v>#REF!</v>
      </c>
      <c r="I93" s="167" t="e">
        <f t="shared" si="22"/>
        <v>#REF!</v>
      </c>
      <c r="J93" s="167" t="e">
        <f>IF(C93="","",IF(F93=0,0,IF(C93&lt;='Tabla Parámetros'!$J$23,I93,IF($E$2='Tabla Parámetros'!$J$19,((($H$2/1000*'Tabla Parámetros'!$K$19)/30.4*C93)*1.0212^6),IF($E$2='Tabla Parámetros'!$J$20,($H$2/1000*'Tabla Parámetros'!$K$20)/30.4*C93)*1.0201^6)))+N93+O93)</f>
        <v>#REF!</v>
      </c>
      <c r="K93" s="167" t="e">
        <f t="shared" si="19"/>
        <v>#REF!</v>
      </c>
      <c r="L93" s="167" t="e">
        <f>IF(B93="","",IF(F93=0,0,Simulador!$N$13*$J$2))</f>
        <v>#REF!</v>
      </c>
      <c r="M93" s="167" t="e">
        <f>IF(B93="","",IF(F93=0,0,IF(Simulador!$F$11='Tabla Parámetros'!$W$1,'Tabla Parámetros'!$W$28,IF(Simulador!$F$11='Tabla Parámetros'!$Y$1,'Tabla Parámetros'!$Y$12))))</f>
        <v>#REF!</v>
      </c>
      <c r="N93" s="167" t="e">
        <f>IF(F93="","",IF(Simulador!$N$7='Tabla Parámetros'!$C$31,AportPat!L79,0))</f>
        <v>#REF!</v>
      </c>
      <c r="O93" s="172" t="e">
        <f>Simulador!#REF!</f>
        <v>#REF!</v>
      </c>
      <c r="P93" s="167" t="e">
        <f t="shared" si="23"/>
        <v>#REF!</v>
      </c>
      <c r="Q93" s="167" t="e">
        <f t="shared" si="26"/>
        <v>#REF!</v>
      </c>
      <c r="T93" s="6"/>
      <c r="U93" s="6"/>
      <c r="V93" s="6"/>
      <c r="W93" s="29" t="e">
        <f t="shared" si="18"/>
        <v>#REF!</v>
      </c>
    </row>
    <row r="94" spans="2:23" x14ac:dyDescent="0.3">
      <c r="B94" s="181">
        <f t="shared" si="24"/>
        <v>77</v>
      </c>
      <c r="C94" s="180">
        <f t="shared" si="20"/>
        <v>30.4</v>
      </c>
      <c r="D94" s="193">
        <f>IF(B94="","",'Tabla Parámetros'!$G$5)</f>
        <v>0.11799999999999999</v>
      </c>
      <c r="E94" s="167"/>
      <c r="F94" s="167" t="e">
        <f t="shared" si="25"/>
        <v>#REF!</v>
      </c>
      <c r="G94" s="166"/>
      <c r="H94" s="167" t="e">
        <f t="shared" si="21"/>
        <v>#REF!</v>
      </c>
      <c r="I94" s="167" t="e">
        <f t="shared" si="22"/>
        <v>#REF!</v>
      </c>
      <c r="J94" s="167" t="e">
        <f>IF(C94="","",IF(F94=0,0,IF(C94&lt;='Tabla Parámetros'!$J$23,I94,IF($E$2='Tabla Parámetros'!$J$19,((($H$2/1000*'Tabla Parámetros'!$K$19)/30.4*C94)*1.0212^6),IF($E$2='Tabla Parámetros'!$J$20,($H$2/1000*'Tabla Parámetros'!$K$20)/30.4*C94)*1.0201^6)))+N94+O94)</f>
        <v>#REF!</v>
      </c>
      <c r="K94" s="167" t="e">
        <f t="shared" si="19"/>
        <v>#REF!</v>
      </c>
      <c r="L94" s="167" t="e">
        <f>IF(B94="","",IF(F94=0,0,Simulador!$N$13*$J$2))</f>
        <v>#REF!</v>
      </c>
      <c r="M94" s="167" t="e">
        <f>IF(B94="","",IF(F94=0,0,IF(Simulador!$F$11='Tabla Parámetros'!$W$1,'Tabla Parámetros'!$W$28,IF(Simulador!$F$11='Tabla Parámetros'!$Y$1,'Tabla Parámetros'!$Y$12))))</f>
        <v>#REF!</v>
      </c>
      <c r="N94" s="167" t="e">
        <f>IF(F94="","",IF(Simulador!$N$7='Tabla Parámetros'!$C$31,AportPat!L80,0))</f>
        <v>#REF!</v>
      </c>
      <c r="O94" s="172" t="e">
        <f>Simulador!#REF!</f>
        <v>#REF!</v>
      </c>
      <c r="P94" s="167" t="e">
        <f t="shared" si="23"/>
        <v>#REF!</v>
      </c>
      <c r="Q94" s="167" t="e">
        <f t="shared" si="26"/>
        <v>#REF!</v>
      </c>
      <c r="T94" s="6"/>
      <c r="U94" s="6"/>
      <c r="V94" s="6"/>
      <c r="W94" s="29" t="e">
        <f t="shared" si="18"/>
        <v>#REF!</v>
      </c>
    </row>
    <row r="95" spans="2:23" x14ac:dyDescent="0.3">
      <c r="B95" s="181">
        <f t="shared" si="24"/>
        <v>78</v>
      </c>
      <c r="C95" s="180">
        <f t="shared" si="20"/>
        <v>30.4</v>
      </c>
      <c r="D95" s="193">
        <f>IF(B95="","",'Tabla Parámetros'!$G$5)</f>
        <v>0.11799999999999999</v>
      </c>
      <c r="E95" s="167"/>
      <c r="F95" s="167" t="e">
        <f t="shared" si="25"/>
        <v>#REF!</v>
      </c>
      <c r="G95" s="166"/>
      <c r="H95" s="167" t="e">
        <f t="shared" si="21"/>
        <v>#REF!</v>
      </c>
      <c r="I95" s="167" t="e">
        <f t="shared" si="22"/>
        <v>#REF!</v>
      </c>
      <c r="J95" s="167" t="e">
        <f>IF(C95="","",IF(F95=0,0,IF(C95&lt;='Tabla Parámetros'!$J$23,I95,IF($E$2='Tabla Parámetros'!$J$19,((($H$2/1000*'Tabla Parámetros'!$K$19)/30.4*C95)*1.0212^6),IF($E$2='Tabla Parámetros'!$J$20,($H$2/1000*'Tabla Parámetros'!$K$20)/30.4*C95)*1.0201^6)))+N95+O95)</f>
        <v>#REF!</v>
      </c>
      <c r="K95" s="167" t="e">
        <f t="shared" si="19"/>
        <v>#REF!</v>
      </c>
      <c r="L95" s="167" t="e">
        <f>IF(B95="","",IF(F95=0,0,Simulador!$N$13*$J$2))</f>
        <v>#REF!</v>
      </c>
      <c r="M95" s="167" t="e">
        <f>IF(B95="","",IF(F95=0,0,IF(Simulador!$F$11='Tabla Parámetros'!$W$1,'Tabla Parámetros'!$W$28,IF(Simulador!$F$11='Tabla Parámetros'!$Y$1,'Tabla Parámetros'!$Y$12))))</f>
        <v>#REF!</v>
      </c>
      <c r="N95" s="167" t="e">
        <f>IF(F95="","",IF(Simulador!$N$7='Tabla Parámetros'!$C$31,AportPat!L81,0))</f>
        <v>#REF!</v>
      </c>
      <c r="O95" s="172" t="e">
        <f>Simulador!#REF!</f>
        <v>#REF!</v>
      </c>
      <c r="P95" s="167" t="e">
        <f t="shared" si="23"/>
        <v>#REF!</v>
      </c>
      <c r="Q95" s="167" t="e">
        <f t="shared" si="26"/>
        <v>#REF!</v>
      </c>
      <c r="T95" s="6"/>
      <c r="U95" s="6"/>
      <c r="V95" s="6"/>
      <c r="W95" s="29" t="e">
        <f t="shared" si="18"/>
        <v>#REF!</v>
      </c>
    </row>
    <row r="96" spans="2:23" x14ac:dyDescent="0.3">
      <c r="B96" s="181">
        <f t="shared" si="24"/>
        <v>79</v>
      </c>
      <c r="C96" s="180">
        <f t="shared" si="20"/>
        <v>30.4</v>
      </c>
      <c r="D96" s="193">
        <f>IF(B96="","",'Tabla Parámetros'!$G$5)</f>
        <v>0.11799999999999999</v>
      </c>
      <c r="E96" s="167"/>
      <c r="F96" s="167" t="e">
        <f t="shared" si="25"/>
        <v>#REF!</v>
      </c>
      <c r="G96" s="166"/>
      <c r="H96" s="167" t="e">
        <f t="shared" si="21"/>
        <v>#REF!</v>
      </c>
      <c r="I96" s="167" t="e">
        <f t="shared" si="22"/>
        <v>#REF!</v>
      </c>
      <c r="J96" s="167" t="e">
        <f>IF(C96="","",IF(F96=0,0,IF(C96&lt;='Tabla Parámetros'!$J$23,I96,IF($E$2='Tabla Parámetros'!$J$19,((($H$2/1000*'Tabla Parámetros'!$K$19)/30.4*C96)*1.0212^6),IF($E$2='Tabla Parámetros'!$J$20,($H$2/1000*'Tabla Parámetros'!$K$20)/30.4*C96)*1.0201^6)))+N96+O96)</f>
        <v>#REF!</v>
      </c>
      <c r="K96" s="167" t="e">
        <f t="shared" si="19"/>
        <v>#REF!</v>
      </c>
      <c r="L96" s="167" t="e">
        <f>IF(B96="","",IF(F96=0,0,Simulador!$N$13*$J$2))</f>
        <v>#REF!</v>
      </c>
      <c r="M96" s="167" t="e">
        <f>IF(B96="","",IF(F96=0,0,IF(Simulador!$F$11='Tabla Parámetros'!$W$1,'Tabla Parámetros'!$W$28,IF(Simulador!$F$11='Tabla Parámetros'!$Y$1,'Tabla Parámetros'!$Y$12))))</f>
        <v>#REF!</v>
      </c>
      <c r="N96" s="167" t="e">
        <f>IF(F96="","",IF(Simulador!$N$7='Tabla Parámetros'!$C$31,AportPat!L82,0))</f>
        <v>#REF!</v>
      </c>
      <c r="O96" s="172" t="e">
        <f>Simulador!#REF!</f>
        <v>#REF!</v>
      </c>
      <c r="P96" s="167" t="e">
        <f t="shared" si="23"/>
        <v>#REF!</v>
      </c>
      <c r="Q96" s="167" t="e">
        <f t="shared" si="26"/>
        <v>#REF!</v>
      </c>
      <c r="T96" s="6"/>
      <c r="U96" s="6"/>
      <c r="V96" s="6"/>
      <c r="W96" s="29" t="e">
        <f t="shared" si="18"/>
        <v>#REF!</v>
      </c>
    </row>
    <row r="97" spans="2:23" x14ac:dyDescent="0.3">
      <c r="B97" s="181">
        <f t="shared" si="24"/>
        <v>80</v>
      </c>
      <c r="C97" s="180">
        <f t="shared" si="20"/>
        <v>30.4</v>
      </c>
      <c r="D97" s="193">
        <f>IF(B97="","",'Tabla Parámetros'!$G$5)</f>
        <v>0.11799999999999999</v>
      </c>
      <c r="E97" s="167"/>
      <c r="F97" s="167" t="e">
        <f t="shared" si="25"/>
        <v>#REF!</v>
      </c>
      <c r="G97" s="166"/>
      <c r="H97" s="167" t="e">
        <f t="shared" si="21"/>
        <v>#REF!</v>
      </c>
      <c r="I97" s="167" t="e">
        <f t="shared" si="22"/>
        <v>#REF!</v>
      </c>
      <c r="J97" s="167" t="e">
        <f>IF(C97="","",IF(F97=0,0,IF(C97&lt;='Tabla Parámetros'!$J$23,I97,IF($E$2='Tabla Parámetros'!$J$19,((($H$2/1000*'Tabla Parámetros'!$K$19)/30.4*C97)*1.0212^6),IF($E$2='Tabla Parámetros'!$J$20,($H$2/1000*'Tabla Parámetros'!$K$20)/30.4*C97)*1.0201^6)))+N97+O97)</f>
        <v>#REF!</v>
      </c>
      <c r="K97" s="167" t="e">
        <f t="shared" si="19"/>
        <v>#REF!</v>
      </c>
      <c r="L97" s="167" t="e">
        <f>IF(B97="","",IF(F97=0,0,Simulador!$N$13*$J$2))</f>
        <v>#REF!</v>
      </c>
      <c r="M97" s="167" t="e">
        <f>IF(B97="","",IF(F97=0,0,IF(Simulador!$F$11='Tabla Parámetros'!$W$1,'Tabla Parámetros'!$W$28,IF(Simulador!$F$11='Tabla Parámetros'!$Y$1,'Tabla Parámetros'!$Y$12))))</f>
        <v>#REF!</v>
      </c>
      <c r="N97" s="167" t="e">
        <f>IF(F97="","",IF(Simulador!$N$7='Tabla Parámetros'!$C$31,AportPat!L83,0))</f>
        <v>#REF!</v>
      </c>
      <c r="O97" s="172" t="e">
        <f>Simulador!#REF!</f>
        <v>#REF!</v>
      </c>
      <c r="P97" s="167" t="e">
        <f t="shared" si="23"/>
        <v>#REF!</v>
      </c>
      <c r="Q97" s="167" t="e">
        <f t="shared" si="26"/>
        <v>#REF!</v>
      </c>
      <c r="T97" s="6"/>
      <c r="U97" s="6"/>
      <c r="V97" s="6"/>
      <c r="W97" s="29" t="e">
        <f t="shared" si="18"/>
        <v>#REF!</v>
      </c>
    </row>
    <row r="98" spans="2:23" x14ac:dyDescent="0.3">
      <c r="B98" s="181">
        <f t="shared" si="24"/>
        <v>81</v>
      </c>
      <c r="C98" s="180">
        <f t="shared" si="20"/>
        <v>30.4</v>
      </c>
      <c r="D98" s="193">
        <f>IF(B98="","",'Tabla Parámetros'!$G$5)</f>
        <v>0.11799999999999999</v>
      </c>
      <c r="E98" s="167"/>
      <c r="F98" s="167" t="e">
        <f t="shared" si="25"/>
        <v>#REF!</v>
      </c>
      <c r="G98" s="166"/>
      <c r="H98" s="167" t="e">
        <f t="shared" si="21"/>
        <v>#REF!</v>
      </c>
      <c r="I98" s="167" t="e">
        <f t="shared" si="22"/>
        <v>#REF!</v>
      </c>
      <c r="J98" s="167" t="e">
        <f>IF(C98="","",IF(F98=0,0,IF(C98&lt;='Tabla Parámetros'!$J$23,I98,IF($E$2='Tabla Parámetros'!$J$19,((($H$2/1000*'Tabla Parámetros'!$K$19)/30.4*C98)*1.0212^6),IF($E$2='Tabla Parámetros'!$J$20,($H$2/1000*'Tabla Parámetros'!$K$20)/30.4*C98)*1.0201^6)))+N98+O98)</f>
        <v>#REF!</v>
      </c>
      <c r="K98" s="167" t="e">
        <f t="shared" si="19"/>
        <v>#REF!</v>
      </c>
      <c r="L98" s="167" t="e">
        <f>IF(B98="","",IF(F98=0,0,Simulador!$N$13*$J$2))</f>
        <v>#REF!</v>
      </c>
      <c r="M98" s="167" t="e">
        <f>IF(B98="","",IF(F98=0,0,IF(Simulador!$F$11='Tabla Parámetros'!$W$1,'Tabla Parámetros'!$W$28,IF(Simulador!$F$11='Tabla Parámetros'!$Y$1,'Tabla Parámetros'!$Y$12))))</f>
        <v>#REF!</v>
      </c>
      <c r="N98" s="167" t="e">
        <f>IF(F98="","",IF(Simulador!$N$7='Tabla Parámetros'!$C$31,AportPat!L84,0))</f>
        <v>#REF!</v>
      </c>
      <c r="O98" s="172" t="e">
        <f>Simulador!#REF!</f>
        <v>#REF!</v>
      </c>
      <c r="P98" s="167" t="e">
        <f t="shared" si="23"/>
        <v>#REF!</v>
      </c>
      <c r="Q98" s="167" t="e">
        <f t="shared" si="26"/>
        <v>#REF!</v>
      </c>
      <c r="T98" s="6"/>
      <c r="U98" s="6"/>
      <c r="V98" s="6"/>
      <c r="W98" s="29" t="e">
        <f t="shared" si="18"/>
        <v>#REF!</v>
      </c>
    </row>
    <row r="99" spans="2:23" x14ac:dyDescent="0.3">
      <c r="B99" s="181">
        <f t="shared" si="24"/>
        <v>82</v>
      </c>
      <c r="C99" s="180">
        <f t="shared" si="20"/>
        <v>30.4</v>
      </c>
      <c r="D99" s="193">
        <f>IF(B99="","",'Tabla Parámetros'!$G$5)</f>
        <v>0.11799999999999999</v>
      </c>
      <c r="E99" s="167"/>
      <c r="F99" s="167" t="e">
        <f t="shared" si="25"/>
        <v>#REF!</v>
      </c>
      <c r="G99" s="166"/>
      <c r="H99" s="167" t="e">
        <f t="shared" si="21"/>
        <v>#REF!</v>
      </c>
      <c r="I99" s="167" t="e">
        <f t="shared" si="22"/>
        <v>#REF!</v>
      </c>
      <c r="J99" s="167" t="e">
        <f>IF(C99="","",IF(F99=0,0,IF(C99&lt;='Tabla Parámetros'!$J$23,I99,IF($E$2='Tabla Parámetros'!$J$19,((($H$2/1000*'Tabla Parámetros'!$K$19)/30.4*C99)*1.0212^6),IF($E$2='Tabla Parámetros'!$J$20,($H$2/1000*'Tabla Parámetros'!$K$20)/30.4*C99)*1.0201^6)))+N99+O99)</f>
        <v>#REF!</v>
      </c>
      <c r="K99" s="167" t="e">
        <f t="shared" si="19"/>
        <v>#REF!</v>
      </c>
      <c r="L99" s="167" t="e">
        <f>IF(B99="","",IF(F99=0,0,Simulador!$N$13*$J$2))</f>
        <v>#REF!</v>
      </c>
      <c r="M99" s="167" t="e">
        <f>IF(B99="","",IF(F99=0,0,IF(Simulador!$F$11='Tabla Parámetros'!$W$1,'Tabla Parámetros'!$W$28,IF(Simulador!$F$11='Tabla Parámetros'!$Y$1,'Tabla Parámetros'!$Y$12))))</f>
        <v>#REF!</v>
      </c>
      <c r="N99" s="167" t="e">
        <f>IF(F99="","",IF(Simulador!$N$7='Tabla Parámetros'!$C$31,AportPat!L85,0))</f>
        <v>#REF!</v>
      </c>
      <c r="O99" s="172" t="e">
        <f>Simulador!#REF!</f>
        <v>#REF!</v>
      </c>
      <c r="P99" s="167" t="e">
        <f t="shared" si="23"/>
        <v>#REF!</v>
      </c>
      <c r="Q99" s="167" t="e">
        <f t="shared" si="26"/>
        <v>#REF!</v>
      </c>
      <c r="T99" s="6"/>
      <c r="U99" s="6"/>
      <c r="V99" s="6"/>
      <c r="W99" s="29" t="e">
        <f t="shared" si="18"/>
        <v>#REF!</v>
      </c>
    </row>
    <row r="100" spans="2:23" x14ac:dyDescent="0.3">
      <c r="B100" s="181">
        <f t="shared" si="24"/>
        <v>83</v>
      </c>
      <c r="C100" s="180">
        <f t="shared" si="20"/>
        <v>30.4</v>
      </c>
      <c r="D100" s="193">
        <f>IF(B100="","",'Tabla Parámetros'!$G$5)</f>
        <v>0.11799999999999999</v>
      </c>
      <c r="E100" s="167"/>
      <c r="F100" s="167" t="e">
        <f t="shared" si="25"/>
        <v>#REF!</v>
      </c>
      <c r="G100" s="166"/>
      <c r="H100" s="167" t="e">
        <f t="shared" si="21"/>
        <v>#REF!</v>
      </c>
      <c r="I100" s="167" t="e">
        <f t="shared" si="22"/>
        <v>#REF!</v>
      </c>
      <c r="J100" s="167" t="e">
        <f>IF(C100="","",IF(F100=0,0,IF(C100&lt;='Tabla Parámetros'!$J$23,I100,IF($E$2='Tabla Parámetros'!$J$19,((($H$2/1000*'Tabla Parámetros'!$K$19)/30.4*C100)*1.0212^6),IF($E$2='Tabla Parámetros'!$J$20,($H$2/1000*'Tabla Parámetros'!$K$20)/30.4*C100)*1.0201^6)))+N100+O100)</f>
        <v>#REF!</v>
      </c>
      <c r="K100" s="167" t="e">
        <f t="shared" si="19"/>
        <v>#REF!</v>
      </c>
      <c r="L100" s="167" t="e">
        <f>IF(B100="","",IF(F100=0,0,Simulador!$N$13*$J$2))</f>
        <v>#REF!</v>
      </c>
      <c r="M100" s="167" t="e">
        <f>IF(B100="","",IF(F100=0,0,IF(Simulador!$F$11='Tabla Parámetros'!$W$1,'Tabla Parámetros'!$W$28,IF(Simulador!$F$11='Tabla Parámetros'!$Y$1,'Tabla Parámetros'!$Y$12))))</f>
        <v>#REF!</v>
      </c>
      <c r="N100" s="167" t="e">
        <f>IF(F100="","",IF(Simulador!$N$7='Tabla Parámetros'!$C$31,AportPat!L86,0))</f>
        <v>#REF!</v>
      </c>
      <c r="O100" s="172" t="e">
        <f>Simulador!#REF!</f>
        <v>#REF!</v>
      </c>
      <c r="P100" s="167" t="e">
        <f t="shared" si="23"/>
        <v>#REF!</v>
      </c>
      <c r="Q100" s="167" t="e">
        <f t="shared" si="26"/>
        <v>#REF!</v>
      </c>
      <c r="T100" s="6"/>
      <c r="U100" s="6"/>
      <c r="V100" s="6"/>
      <c r="W100" s="29" t="e">
        <f t="shared" si="18"/>
        <v>#REF!</v>
      </c>
    </row>
    <row r="101" spans="2:23" x14ac:dyDescent="0.3">
      <c r="B101" s="181">
        <f t="shared" si="24"/>
        <v>84</v>
      </c>
      <c r="C101" s="180">
        <f t="shared" si="20"/>
        <v>30.4</v>
      </c>
      <c r="D101" s="193">
        <f>IF(B101="","",'Tabla Parámetros'!$G$5)</f>
        <v>0.11799999999999999</v>
      </c>
      <c r="E101" s="167"/>
      <c r="F101" s="167" t="e">
        <f t="shared" si="25"/>
        <v>#REF!</v>
      </c>
      <c r="G101" s="166"/>
      <c r="H101" s="167" t="e">
        <f t="shared" si="21"/>
        <v>#REF!</v>
      </c>
      <c r="I101" s="167" t="e">
        <f t="shared" si="22"/>
        <v>#REF!</v>
      </c>
      <c r="J101" s="167" t="e">
        <f>IF(C101="","",IF(F101=0,0,IF(C101&lt;='Tabla Parámetros'!$J$23,I101,IF($E$2='Tabla Parámetros'!$J$19,((($H$2/1000*'Tabla Parámetros'!$K$19)/30.4*C101)*1.0212^6),IF($E$2='Tabla Parámetros'!$J$20,($H$2/1000*'Tabla Parámetros'!$K$20)/30.4*C101)*1.0201^6)))+N101+O101)</f>
        <v>#REF!</v>
      </c>
      <c r="K101" s="167" t="e">
        <f t="shared" si="19"/>
        <v>#REF!</v>
      </c>
      <c r="L101" s="167" t="e">
        <f>IF(B101="","",IF(F101=0,0,Simulador!$N$13*$J$2))</f>
        <v>#REF!</v>
      </c>
      <c r="M101" s="167" t="e">
        <f>IF(B101="","",IF(F101=0,0,IF(Simulador!$F$11='Tabla Parámetros'!$W$1,'Tabla Parámetros'!$W$28,IF(Simulador!$F$11='Tabla Parámetros'!$Y$1,'Tabla Parámetros'!$Y$12))))</f>
        <v>#REF!</v>
      </c>
      <c r="N101" s="167" t="e">
        <f>IF(F101="","",IF(Simulador!$N$7='Tabla Parámetros'!$C$31,AportPat!L87,0))</f>
        <v>#REF!</v>
      </c>
      <c r="O101" s="172" t="e">
        <f>Simulador!#REF!</f>
        <v>#REF!</v>
      </c>
      <c r="P101" s="167" t="e">
        <f t="shared" si="23"/>
        <v>#REF!</v>
      </c>
      <c r="Q101" s="167" t="e">
        <f t="shared" si="26"/>
        <v>#REF!</v>
      </c>
      <c r="T101" s="6"/>
      <c r="U101" s="6"/>
      <c r="V101" s="6"/>
      <c r="W101" s="29" t="e">
        <f t="shared" si="18"/>
        <v>#REF!</v>
      </c>
    </row>
    <row r="102" spans="2:23" x14ac:dyDescent="0.3">
      <c r="B102" s="181">
        <f t="shared" si="24"/>
        <v>85</v>
      </c>
      <c r="C102" s="180">
        <f t="shared" si="20"/>
        <v>30.4</v>
      </c>
      <c r="D102" s="193">
        <f>IF(B102="","",'Tabla Parámetros'!$G$5)</f>
        <v>0.11799999999999999</v>
      </c>
      <c r="E102" s="167"/>
      <c r="F102" s="167" t="e">
        <f t="shared" si="25"/>
        <v>#REF!</v>
      </c>
      <c r="G102" s="166"/>
      <c r="H102" s="167" t="e">
        <f t="shared" si="21"/>
        <v>#REF!</v>
      </c>
      <c r="I102" s="167" t="e">
        <f t="shared" si="22"/>
        <v>#REF!</v>
      </c>
      <c r="J102" s="167" t="e">
        <f>IF(C102="","",IF(F102=0,0,IF(C102&lt;='Tabla Parámetros'!$J$23,I102,IF($E$2='Tabla Parámetros'!$J$19,((($H$2/1000*'Tabla Parámetros'!$K$19)/30.4*C102)*1.0212^6),IF($E$2='Tabla Parámetros'!$J$20,($H$2/1000*'Tabla Parámetros'!$K$20)/30.4*C102)*1.0201^6)))+N102+O102)</f>
        <v>#REF!</v>
      </c>
      <c r="K102" s="167" t="e">
        <f t="shared" si="19"/>
        <v>#REF!</v>
      </c>
      <c r="L102" s="167" t="e">
        <f>IF(B102="","",IF(F102=0,0,Simulador!$N$13*$J$2))</f>
        <v>#REF!</v>
      </c>
      <c r="M102" s="167" t="e">
        <f>IF(B102="","",IF(F102=0,0,IF(Simulador!$F$11='Tabla Parámetros'!$W$1,'Tabla Parámetros'!$W$28,IF(Simulador!$F$11='Tabla Parámetros'!$Y$1,'Tabla Parámetros'!$Y$12))))</f>
        <v>#REF!</v>
      </c>
      <c r="N102" s="167" t="e">
        <f>IF(F102="","",IF(Simulador!$N$7='Tabla Parámetros'!$C$31,AportPat!L88,0))</f>
        <v>#REF!</v>
      </c>
      <c r="O102" s="172" t="e">
        <f>Simulador!#REF!</f>
        <v>#REF!</v>
      </c>
      <c r="P102" s="167" t="e">
        <f t="shared" si="23"/>
        <v>#REF!</v>
      </c>
      <c r="Q102" s="167" t="e">
        <f t="shared" si="26"/>
        <v>#REF!</v>
      </c>
      <c r="T102" s="6"/>
      <c r="U102" s="6"/>
      <c r="V102" s="6"/>
      <c r="W102" s="29" t="e">
        <f t="shared" si="18"/>
        <v>#REF!</v>
      </c>
    </row>
    <row r="103" spans="2:23" x14ac:dyDescent="0.3">
      <c r="B103" s="181">
        <f t="shared" si="24"/>
        <v>86</v>
      </c>
      <c r="C103" s="180">
        <f t="shared" si="20"/>
        <v>30.4</v>
      </c>
      <c r="D103" s="193">
        <f>IF(B103="","",'Tabla Parámetros'!$G$5)</f>
        <v>0.11799999999999999</v>
      </c>
      <c r="E103" s="167"/>
      <c r="F103" s="167" t="e">
        <f t="shared" si="25"/>
        <v>#REF!</v>
      </c>
      <c r="G103" s="166"/>
      <c r="H103" s="167" t="e">
        <f t="shared" si="21"/>
        <v>#REF!</v>
      </c>
      <c r="I103" s="167" t="e">
        <f t="shared" si="22"/>
        <v>#REF!</v>
      </c>
      <c r="J103" s="167" t="e">
        <f>IF(C103="","",IF(F103=0,0,IF(C103&lt;='Tabla Parámetros'!$J$23,I103,IF($E$2='Tabla Parámetros'!$J$19,((($H$2/1000*'Tabla Parámetros'!$K$19)/30.4*C103)*1.0212^7),IF($E$2='Tabla Parámetros'!$J$20,($H$2/1000*'Tabla Parámetros'!$K$20)/30.4*C103)*1.0201^7)))+N103+O103)</f>
        <v>#REF!</v>
      </c>
      <c r="K103" s="167" t="e">
        <f t="shared" si="19"/>
        <v>#REF!</v>
      </c>
      <c r="L103" s="167" t="e">
        <f>IF(B103="","",IF(F103=0,0,Simulador!$N$13*$J$2))</f>
        <v>#REF!</v>
      </c>
      <c r="M103" s="167" t="e">
        <f>IF(B103="","",IF(F103=0,0,IF(Simulador!$F$11='Tabla Parámetros'!$W$1,'Tabla Parámetros'!$W$28,IF(Simulador!$F$11='Tabla Parámetros'!$Y$1,'Tabla Parámetros'!$Y$12))))</f>
        <v>#REF!</v>
      </c>
      <c r="N103" s="167" t="e">
        <f>IF(F103="","",IF(Simulador!$N$7='Tabla Parámetros'!$C$31,AportPat!L89,0))</f>
        <v>#REF!</v>
      </c>
      <c r="O103" s="172" t="e">
        <f>Simulador!#REF!</f>
        <v>#REF!</v>
      </c>
      <c r="P103" s="167" t="e">
        <f t="shared" si="23"/>
        <v>#REF!</v>
      </c>
      <c r="Q103" s="167" t="e">
        <f t="shared" si="26"/>
        <v>#REF!</v>
      </c>
      <c r="T103" s="6"/>
      <c r="U103" s="6"/>
      <c r="V103" s="6"/>
      <c r="W103" s="29" t="e">
        <f t="shared" si="18"/>
        <v>#REF!</v>
      </c>
    </row>
    <row r="104" spans="2:23" x14ac:dyDescent="0.3">
      <c r="B104" s="181">
        <f t="shared" si="24"/>
        <v>87</v>
      </c>
      <c r="C104" s="180">
        <f t="shared" si="20"/>
        <v>30.4</v>
      </c>
      <c r="D104" s="193">
        <f>IF(B104="","",'Tabla Parámetros'!$G$5)</f>
        <v>0.11799999999999999</v>
      </c>
      <c r="E104" s="167"/>
      <c r="F104" s="167" t="e">
        <f t="shared" si="25"/>
        <v>#REF!</v>
      </c>
      <c r="G104" s="166"/>
      <c r="H104" s="167" t="e">
        <f t="shared" si="21"/>
        <v>#REF!</v>
      </c>
      <c r="I104" s="167" t="e">
        <f t="shared" si="22"/>
        <v>#REF!</v>
      </c>
      <c r="J104" s="167" t="e">
        <f>IF(C104="","",IF(F104=0,0,IF(C104&lt;='Tabla Parámetros'!$J$23,I104,IF($E$2='Tabla Parámetros'!$J$19,((($H$2/1000*'Tabla Parámetros'!$K$19)/30.4*C104)*1.0212^7),IF($E$2='Tabla Parámetros'!$J$20,($H$2/1000*'Tabla Parámetros'!$K$20)/30.4*C104)*1.0201^7)))+N104+O104)</f>
        <v>#REF!</v>
      </c>
      <c r="K104" s="167" t="e">
        <f t="shared" si="19"/>
        <v>#REF!</v>
      </c>
      <c r="L104" s="167" t="e">
        <f>IF(B104="","",IF(F104=0,0,Simulador!$N$13*$J$2))</f>
        <v>#REF!</v>
      </c>
      <c r="M104" s="167" t="e">
        <f>IF(B104="","",IF(F104=0,0,IF(Simulador!$F$11='Tabla Parámetros'!$W$1,'Tabla Parámetros'!$W$28,IF(Simulador!$F$11='Tabla Parámetros'!$Y$1,'Tabla Parámetros'!$Y$12))))</f>
        <v>#REF!</v>
      </c>
      <c r="N104" s="167" t="e">
        <f>IF(F104="","",IF(Simulador!$N$7='Tabla Parámetros'!$C$31,AportPat!L90,0))</f>
        <v>#REF!</v>
      </c>
      <c r="O104" s="172" t="e">
        <f>Simulador!#REF!</f>
        <v>#REF!</v>
      </c>
      <c r="P104" s="167" t="e">
        <f t="shared" si="23"/>
        <v>#REF!</v>
      </c>
      <c r="Q104" s="167" t="e">
        <f t="shared" si="26"/>
        <v>#REF!</v>
      </c>
      <c r="T104" s="6"/>
      <c r="U104" s="6"/>
      <c r="V104" s="6"/>
      <c r="W104" s="29" t="e">
        <f t="shared" si="18"/>
        <v>#REF!</v>
      </c>
    </row>
    <row r="105" spans="2:23" x14ac:dyDescent="0.3">
      <c r="B105" s="181">
        <f t="shared" si="24"/>
        <v>88</v>
      </c>
      <c r="C105" s="180">
        <f t="shared" si="20"/>
        <v>30.4</v>
      </c>
      <c r="D105" s="193">
        <f>IF(B105="","",'Tabla Parámetros'!$G$5)</f>
        <v>0.11799999999999999</v>
      </c>
      <c r="E105" s="167"/>
      <c r="F105" s="167" t="e">
        <f t="shared" si="25"/>
        <v>#REF!</v>
      </c>
      <c r="G105" s="166"/>
      <c r="H105" s="167" t="e">
        <f t="shared" si="21"/>
        <v>#REF!</v>
      </c>
      <c r="I105" s="167" t="e">
        <f t="shared" si="22"/>
        <v>#REF!</v>
      </c>
      <c r="J105" s="167" t="e">
        <f>IF(C105="","",IF(F105=0,0,IF(C105&lt;='Tabla Parámetros'!$J$23,I105,IF($E$2='Tabla Parámetros'!$J$19,((($H$2/1000*'Tabla Parámetros'!$K$19)/30.4*C105)*1.0212^7),IF($E$2='Tabla Parámetros'!$J$20,($H$2/1000*'Tabla Parámetros'!$K$20)/30.4*C105)*1.0201^7)))+N105+O105)</f>
        <v>#REF!</v>
      </c>
      <c r="K105" s="167" t="e">
        <f t="shared" si="19"/>
        <v>#REF!</v>
      </c>
      <c r="L105" s="167" t="e">
        <f>IF(B105="","",IF(F105=0,0,Simulador!$N$13*$J$2))</f>
        <v>#REF!</v>
      </c>
      <c r="M105" s="167" t="e">
        <f>IF(B105="","",IF(F105=0,0,IF(Simulador!$F$11='Tabla Parámetros'!$W$1,'Tabla Parámetros'!$W$28,IF(Simulador!$F$11='Tabla Parámetros'!$Y$1,'Tabla Parámetros'!$Y$12))))</f>
        <v>#REF!</v>
      </c>
      <c r="N105" s="167" t="e">
        <f>IF(F105="","",IF(Simulador!$N$7='Tabla Parámetros'!$C$31,AportPat!L91,0))</f>
        <v>#REF!</v>
      </c>
      <c r="O105" s="172" t="e">
        <f>Simulador!#REF!</f>
        <v>#REF!</v>
      </c>
      <c r="P105" s="167" t="e">
        <f t="shared" si="23"/>
        <v>#REF!</v>
      </c>
      <c r="Q105" s="167" t="e">
        <f t="shared" si="26"/>
        <v>#REF!</v>
      </c>
      <c r="T105" s="6"/>
      <c r="U105" s="6"/>
      <c r="V105" s="6"/>
      <c r="W105" s="29" t="e">
        <f t="shared" si="18"/>
        <v>#REF!</v>
      </c>
    </row>
    <row r="106" spans="2:23" x14ac:dyDescent="0.3">
      <c r="B106" s="181">
        <f t="shared" si="24"/>
        <v>89</v>
      </c>
      <c r="C106" s="180">
        <f t="shared" si="20"/>
        <v>30.4</v>
      </c>
      <c r="D106" s="193">
        <f>IF(B106="","",'Tabla Parámetros'!$G$5)</f>
        <v>0.11799999999999999</v>
      </c>
      <c r="E106" s="167"/>
      <c r="F106" s="167" t="e">
        <f t="shared" si="25"/>
        <v>#REF!</v>
      </c>
      <c r="G106" s="166"/>
      <c r="H106" s="167" t="e">
        <f t="shared" si="21"/>
        <v>#REF!</v>
      </c>
      <c r="I106" s="167" t="e">
        <f t="shared" si="22"/>
        <v>#REF!</v>
      </c>
      <c r="J106" s="167" t="e">
        <f>IF(C106="","",IF(F106=0,0,IF(C106&lt;='Tabla Parámetros'!$J$23,I106,IF($E$2='Tabla Parámetros'!$J$19,((($H$2/1000*'Tabla Parámetros'!$K$19)/30.4*C106)*1.0212^7),IF($E$2='Tabla Parámetros'!$J$20,($H$2/1000*'Tabla Parámetros'!$K$20)/30.4*C106)*1.0201^7)))+N106+O106)</f>
        <v>#REF!</v>
      </c>
      <c r="K106" s="167" t="e">
        <f t="shared" si="19"/>
        <v>#REF!</v>
      </c>
      <c r="L106" s="167" t="e">
        <f>IF(B106="","",IF(F106=0,0,Simulador!$N$13*$J$2))</f>
        <v>#REF!</v>
      </c>
      <c r="M106" s="167" t="e">
        <f>IF(B106="","",IF(F106=0,0,IF(Simulador!$F$11='Tabla Parámetros'!$W$1,'Tabla Parámetros'!$W$28,IF(Simulador!$F$11='Tabla Parámetros'!$Y$1,'Tabla Parámetros'!$Y$12))))</f>
        <v>#REF!</v>
      </c>
      <c r="N106" s="167" t="e">
        <f>IF(F106="","",IF(Simulador!$N$7='Tabla Parámetros'!$C$31,AportPat!L92,0))</f>
        <v>#REF!</v>
      </c>
      <c r="O106" s="172" t="e">
        <f>Simulador!#REF!</f>
        <v>#REF!</v>
      </c>
      <c r="P106" s="167" t="e">
        <f t="shared" si="23"/>
        <v>#REF!</v>
      </c>
      <c r="Q106" s="167" t="e">
        <f t="shared" si="26"/>
        <v>#REF!</v>
      </c>
      <c r="T106" s="6"/>
      <c r="U106" s="6"/>
      <c r="V106" s="6"/>
      <c r="W106" s="29" t="e">
        <f t="shared" si="18"/>
        <v>#REF!</v>
      </c>
    </row>
    <row r="107" spans="2:23" x14ac:dyDescent="0.3">
      <c r="B107" s="181">
        <f t="shared" si="24"/>
        <v>90</v>
      </c>
      <c r="C107" s="180">
        <f t="shared" si="20"/>
        <v>30.4</v>
      </c>
      <c r="D107" s="193">
        <f>IF(B107="","",'Tabla Parámetros'!$G$5)</f>
        <v>0.11799999999999999</v>
      </c>
      <c r="E107" s="167"/>
      <c r="F107" s="167" t="e">
        <f t="shared" si="25"/>
        <v>#REF!</v>
      </c>
      <c r="G107" s="166"/>
      <c r="H107" s="167" t="e">
        <f t="shared" si="21"/>
        <v>#REF!</v>
      </c>
      <c r="I107" s="167" t="e">
        <f t="shared" si="22"/>
        <v>#REF!</v>
      </c>
      <c r="J107" s="167" t="e">
        <f>IF(C107="","",IF(F107=0,0,IF(C107&lt;='Tabla Parámetros'!$J$23,I107,IF($E$2='Tabla Parámetros'!$J$19,((($H$2/1000*'Tabla Parámetros'!$K$19)/30.4*C107)*1.0212^7),IF($E$2='Tabla Parámetros'!$J$20,($H$2/1000*'Tabla Parámetros'!$K$20)/30.4*C107)*1.0201^7)))+N107+O107)</f>
        <v>#REF!</v>
      </c>
      <c r="K107" s="167" t="e">
        <f t="shared" si="19"/>
        <v>#REF!</v>
      </c>
      <c r="L107" s="167" t="e">
        <f>IF(B107="","",IF(F107=0,0,Simulador!$N$13*$J$2))</f>
        <v>#REF!</v>
      </c>
      <c r="M107" s="167" t="e">
        <f>IF(B107="","",IF(F107=0,0,IF(Simulador!$F$11='Tabla Parámetros'!$W$1,'Tabla Parámetros'!$W$28,IF(Simulador!$F$11='Tabla Parámetros'!$Y$1,'Tabla Parámetros'!$Y$12))))</f>
        <v>#REF!</v>
      </c>
      <c r="N107" s="167" t="e">
        <f>IF(F107="","",IF(Simulador!$N$7='Tabla Parámetros'!$C$31,AportPat!L93,0))</f>
        <v>#REF!</v>
      </c>
      <c r="O107" s="172" t="e">
        <f>Simulador!#REF!</f>
        <v>#REF!</v>
      </c>
      <c r="P107" s="167" t="e">
        <f t="shared" si="23"/>
        <v>#REF!</v>
      </c>
      <c r="Q107" s="167" t="e">
        <f t="shared" si="26"/>
        <v>#REF!</v>
      </c>
      <c r="T107" s="6"/>
      <c r="U107" s="6"/>
      <c r="V107" s="6"/>
      <c r="W107" s="29" t="e">
        <f t="shared" si="18"/>
        <v>#REF!</v>
      </c>
    </row>
    <row r="108" spans="2:23" x14ac:dyDescent="0.3">
      <c r="B108" s="181">
        <f t="shared" si="24"/>
        <v>91</v>
      </c>
      <c r="C108" s="180">
        <f t="shared" si="20"/>
        <v>30.4</v>
      </c>
      <c r="D108" s="193">
        <f>IF(B108="","",'Tabla Parámetros'!$G$5)</f>
        <v>0.11799999999999999</v>
      </c>
      <c r="E108" s="167"/>
      <c r="F108" s="167" t="e">
        <f t="shared" si="25"/>
        <v>#REF!</v>
      </c>
      <c r="G108" s="166"/>
      <c r="H108" s="167" t="e">
        <f t="shared" si="21"/>
        <v>#REF!</v>
      </c>
      <c r="I108" s="167" t="e">
        <f t="shared" si="22"/>
        <v>#REF!</v>
      </c>
      <c r="J108" s="167" t="e">
        <f>IF(C108="","",IF(F108=0,0,IF(C108&lt;='Tabla Parámetros'!$J$23,I108,IF($E$2='Tabla Parámetros'!$J$19,((($H$2/1000*'Tabla Parámetros'!$K$19)/30.4*C108)*1.0212^7),IF($E$2='Tabla Parámetros'!$J$20,($H$2/1000*'Tabla Parámetros'!$K$20)/30.4*C108)*1.0201^7)))+N108+O108)</f>
        <v>#REF!</v>
      </c>
      <c r="K108" s="167" t="e">
        <f t="shared" si="19"/>
        <v>#REF!</v>
      </c>
      <c r="L108" s="167" t="e">
        <f>IF(B108="","",IF(F108=0,0,Simulador!$N$13*$J$2))</f>
        <v>#REF!</v>
      </c>
      <c r="M108" s="167" t="e">
        <f>IF(B108="","",IF(F108=0,0,IF(Simulador!$F$11='Tabla Parámetros'!$W$1,'Tabla Parámetros'!$W$28,IF(Simulador!$F$11='Tabla Parámetros'!$Y$1,'Tabla Parámetros'!$Y$12))))</f>
        <v>#REF!</v>
      </c>
      <c r="N108" s="167" t="e">
        <f>IF(F108="","",IF(Simulador!$N$7='Tabla Parámetros'!$C$31,AportPat!L94,0))</f>
        <v>#REF!</v>
      </c>
      <c r="O108" s="172" t="e">
        <f>Simulador!#REF!</f>
        <v>#REF!</v>
      </c>
      <c r="P108" s="167" t="e">
        <f t="shared" si="23"/>
        <v>#REF!</v>
      </c>
      <c r="Q108" s="167" t="e">
        <f t="shared" si="26"/>
        <v>#REF!</v>
      </c>
      <c r="T108" s="6"/>
      <c r="U108" s="6"/>
      <c r="V108" s="6"/>
      <c r="W108" s="29" t="e">
        <f t="shared" si="18"/>
        <v>#REF!</v>
      </c>
    </row>
    <row r="109" spans="2:23" x14ac:dyDescent="0.3">
      <c r="B109" s="181">
        <f t="shared" si="24"/>
        <v>92</v>
      </c>
      <c r="C109" s="180">
        <f t="shared" si="20"/>
        <v>30.4</v>
      </c>
      <c r="D109" s="193">
        <f>IF(B109="","",'Tabla Parámetros'!$G$5)</f>
        <v>0.11799999999999999</v>
      </c>
      <c r="E109" s="167"/>
      <c r="F109" s="167" t="e">
        <f t="shared" si="25"/>
        <v>#REF!</v>
      </c>
      <c r="G109" s="166"/>
      <c r="H109" s="167" t="e">
        <f t="shared" si="21"/>
        <v>#REF!</v>
      </c>
      <c r="I109" s="167" t="e">
        <f t="shared" si="22"/>
        <v>#REF!</v>
      </c>
      <c r="J109" s="167" t="e">
        <f>IF(C109="","",IF(F109=0,0,IF(C109&lt;='Tabla Parámetros'!$J$23,I109,IF($E$2='Tabla Parámetros'!$J$19,((($H$2/1000*'Tabla Parámetros'!$K$19)/30.4*C109)*1.0212^7),IF($E$2='Tabla Parámetros'!$J$20,($H$2/1000*'Tabla Parámetros'!$K$20)/30.4*C109)*1.0201^7)))+N109+O109)</f>
        <v>#REF!</v>
      </c>
      <c r="K109" s="167" t="e">
        <f t="shared" si="19"/>
        <v>#REF!</v>
      </c>
      <c r="L109" s="167" t="e">
        <f>IF(B109="","",IF(F109=0,0,Simulador!$N$13*$J$2))</f>
        <v>#REF!</v>
      </c>
      <c r="M109" s="167" t="e">
        <f>IF(B109="","",IF(F109=0,0,IF(Simulador!$F$11='Tabla Parámetros'!$W$1,'Tabla Parámetros'!$W$28,IF(Simulador!$F$11='Tabla Parámetros'!$Y$1,'Tabla Parámetros'!$Y$12))))</f>
        <v>#REF!</v>
      </c>
      <c r="N109" s="167" t="e">
        <f>IF(F109="","",IF(Simulador!$N$7='Tabla Parámetros'!$C$31,AportPat!L95,0))</f>
        <v>#REF!</v>
      </c>
      <c r="O109" s="172" t="e">
        <f>Simulador!#REF!</f>
        <v>#REF!</v>
      </c>
      <c r="P109" s="167" t="e">
        <f t="shared" si="23"/>
        <v>#REF!</v>
      </c>
      <c r="Q109" s="167" t="e">
        <f t="shared" si="26"/>
        <v>#REF!</v>
      </c>
      <c r="T109" s="6"/>
      <c r="U109" s="6"/>
      <c r="V109" s="6"/>
      <c r="W109" s="29" t="e">
        <f t="shared" si="18"/>
        <v>#REF!</v>
      </c>
    </row>
    <row r="110" spans="2:23" x14ac:dyDescent="0.3">
      <c r="B110" s="181">
        <f t="shared" si="24"/>
        <v>93</v>
      </c>
      <c r="C110" s="180">
        <f t="shared" si="20"/>
        <v>30.4</v>
      </c>
      <c r="D110" s="193">
        <f>IF(B110="","",'Tabla Parámetros'!$G$5)</f>
        <v>0.11799999999999999</v>
      </c>
      <c r="E110" s="167"/>
      <c r="F110" s="167" t="e">
        <f t="shared" si="25"/>
        <v>#REF!</v>
      </c>
      <c r="G110" s="166"/>
      <c r="H110" s="167" t="e">
        <f t="shared" si="21"/>
        <v>#REF!</v>
      </c>
      <c r="I110" s="167" t="e">
        <f t="shared" si="22"/>
        <v>#REF!</v>
      </c>
      <c r="J110" s="167" t="e">
        <f>IF(C110="","",IF(F110=0,0,IF(C110&lt;='Tabla Parámetros'!$J$23,I110,IF($E$2='Tabla Parámetros'!$J$19,((($H$2/1000*'Tabla Parámetros'!$K$19)/30.4*C110)*1.0212^7),IF($E$2='Tabla Parámetros'!$J$20,($H$2/1000*'Tabla Parámetros'!$K$20)/30.4*C110)*1.0201^7)))+N110+O110)</f>
        <v>#REF!</v>
      </c>
      <c r="K110" s="167" t="e">
        <f t="shared" si="19"/>
        <v>#REF!</v>
      </c>
      <c r="L110" s="167" t="e">
        <f>IF(B110="","",IF(F110=0,0,Simulador!$N$13*$J$2))</f>
        <v>#REF!</v>
      </c>
      <c r="M110" s="167" t="e">
        <f>IF(B110="","",IF(F110=0,0,IF(Simulador!$F$11='Tabla Parámetros'!$W$1,'Tabla Parámetros'!$W$28,IF(Simulador!$F$11='Tabla Parámetros'!$Y$1,'Tabla Parámetros'!$Y$12))))</f>
        <v>#REF!</v>
      </c>
      <c r="N110" s="167" t="e">
        <f>IF(F110="","",IF(Simulador!$N$7='Tabla Parámetros'!$C$31,AportPat!L96,0))</f>
        <v>#REF!</v>
      </c>
      <c r="O110" s="172" t="e">
        <f>Simulador!#REF!</f>
        <v>#REF!</v>
      </c>
      <c r="P110" s="167" t="e">
        <f t="shared" si="23"/>
        <v>#REF!</v>
      </c>
      <c r="Q110" s="167" t="e">
        <f t="shared" si="26"/>
        <v>#REF!</v>
      </c>
      <c r="T110" s="6"/>
      <c r="U110" s="6"/>
      <c r="V110" s="6"/>
      <c r="W110" s="29" t="e">
        <f t="shared" si="18"/>
        <v>#REF!</v>
      </c>
    </row>
    <row r="111" spans="2:23" x14ac:dyDescent="0.3">
      <c r="B111" s="181">
        <f t="shared" si="24"/>
        <v>94</v>
      </c>
      <c r="C111" s="180">
        <f t="shared" si="20"/>
        <v>30.4</v>
      </c>
      <c r="D111" s="193">
        <f>IF(B111="","",'Tabla Parámetros'!$G$5)</f>
        <v>0.11799999999999999</v>
      </c>
      <c r="E111" s="167"/>
      <c r="F111" s="167" t="e">
        <f t="shared" si="25"/>
        <v>#REF!</v>
      </c>
      <c r="G111" s="166"/>
      <c r="H111" s="167" t="e">
        <f t="shared" si="21"/>
        <v>#REF!</v>
      </c>
      <c r="I111" s="167" t="e">
        <f t="shared" si="22"/>
        <v>#REF!</v>
      </c>
      <c r="J111" s="167" t="e">
        <f>IF(C111="","",IF(F111=0,0,IF(C111&lt;='Tabla Parámetros'!$J$23,I111,IF($E$2='Tabla Parámetros'!$J$19,((($H$2/1000*'Tabla Parámetros'!$K$19)/30.4*C111)*1.0212^7),IF($E$2='Tabla Parámetros'!$J$20,($H$2/1000*'Tabla Parámetros'!$K$20)/30.4*C111)*1.0201^7)))+N111+O111)</f>
        <v>#REF!</v>
      </c>
      <c r="K111" s="167" t="e">
        <f t="shared" si="19"/>
        <v>#REF!</v>
      </c>
      <c r="L111" s="167" t="e">
        <f>IF(B111="","",IF(F111=0,0,Simulador!$N$13*$J$2))</f>
        <v>#REF!</v>
      </c>
      <c r="M111" s="167" t="e">
        <f>IF(B111="","",IF(F111=0,0,IF(Simulador!$F$11='Tabla Parámetros'!$W$1,'Tabla Parámetros'!$W$28,IF(Simulador!$F$11='Tabla Parámetros'!$Y$1,'Tabla Parámetros'!$Y$12))))</f>
        <v>#REF!</v>
      </c>
      <c r="N111" s="167" t="e">
        <f>IF(F111="","",IF(Simulador!$N$7='Tabla Parámetros'!$C$31,AportPat!L97,0))</f>
        <v>#REF!</v>
      </c>
      <c r="O111" s="172" t="e">
        <f>Simulador!#REF!</f>
        <v>#REF!</v>
      </c>
      <c r="P111" s="167" t="e">
        <f t="shared" si="23"/>
        <v>#REF!</v>
      </c>
      <c r="Q111" s="167" t="e">
        <f t="shared" si="26"/>
        <v>#REF!</v>
      </c>
      <c r="T111" s="6"/>
      <c r="U111" s="6"/>
      <c r="V111" s="6"/>
      <c r="W111" s="29" t="e">
        <f t="shared" si="18"/>
        <v>#REF!</v>
      </c>
    </row>
    <row r="112" spans="2:23" x14ac:dyDescent="0.3">
      <c r="B112" s="181">
        <f t="shared" si="24"/>
        <v>95</v>
      </c>
      <c r="C112" s="180">
        <f t="shared" si="20"/>
        <v>30.4</v>
      </c>
      <c r="D112" s="193">
        <f>IF(B112="","",'Tabla Parámetros'!$G$5)</f>
        <v>0.11799999999999999</v>
      </c>
      <c r="E112" s="167"/>
      <c r="F112" s="167" t="e">
        <f t="shared" si="25"/>
        <v>#REF!</v>
      </c>
      <c r="G112" s="166"/>
      <c r="H112" s="167" t="e">
        <f t="shared" si="21"/>
        <v>#REF!</v>
      </c>
      <c r="I112" s="167" t="e">
        <f t="shared" si="22"/>
        <v>#REF!</v>
      </c>
      <c r="J112" s="167" t="e">
        <f>IF(C112="","",IF(F112=0,0,IF(C112&lt;='Tabla Parámetros'!$J$23,I112,IF($E$2='Tabla Parámetros'!$J$19,((($H$2/1000*'Tabla Parámetros'!$K$19)/30.4*C112)*1.0212^7),IF($E$2='Tabla Parámetros'!$J$20,($H$2/1000*'Tabla Parámetros'!$K$20)/30.4*C112)*1.0201^7)))+N112+O112)</f>
        <v>#REF!</v>
      </c>
      <c r="K112" s="167" t="e">
        <f t="shared" si="19"/>
        <v>#REF!</v>
      </c>
      <c r="L112" s="167" t="e">
        <f>IF(B112="","",IF(F112=0,0,Simulador!$N$13*$J$2))</f>
        <v>#REF!</v>
      </c>
      <c r="M112" s="167" t="e">
        <f>IF(B112="","",IF(F112=0,0,IF(Simulador!$F$11='Tabla Parámetros'!$W$1,'Tabla Parámetros'!$W$28,IF(Simulador!$F$11='Tabla Parámetros'!$Y$1,'Tabla Parámetros'!$Y$12))))</f>
        <v>#REF!</v>
      </c>
      <c r="N112" s="167" t="e">
        <f>IF(F112="","",IF(Simulador!$N$7='Tabla Parámetros'!$C$31,AportPat!L98,0))</f>
        <v>#REF!</v>
      </c>
      <c r="O112" s="172" t="e">
        <f>Simulador!#REF!</f>
        <v>#REF!</v>
      </c>
      <c r="P112" s="167" t="e">
        <f t="shared" si="23"/>
        <v>#REF!</v>
      </c>
      <c r="Q112" s="167" t="e">
        <f t="shared" si="26"/>
        <v>#REF!</v>
      </c>
      <c r="T112" s="6"/>
      <c r="U112" s="6"/>
      <c r="V112" s="6"/>
      <c r="W112" s="29" t="e">
        <f t="shared" si="18"/>
        <v>#REF!</v>
      </c>
    </row>
    <row r="113" spans="2:23" x14ac:dyDescent="0.3">
      <c r="B113" s="181">
        <f t="shared" si="24"/>
        <v>96</v>
      </c>
      <c r="C113" s="180">
        <f t="shared" si="20"/>
        <v>30.4</v>
      </c>
      <c r="D113" s="193">
        <f>IF(B113="","",'Tabla Parámetros'!$G$5)</f>
        <v>0.11799999999999999</v>
      </c>
      <c r="E113" s="167"/>
      <c r="F113" s="167" t="e">
        <f t="shared" si="25"/>
        <v>#REF!</v>
      </c>
      <c r="G113" s="166"/>
      <c r="H113" s="167" t="e">
        <f t="shared" si="21"/>
        <v>#REF!</v>
      </c>
      <c r="I113" s="167" t="e">
        <f t="shared" si="22"/>
        <v>#REF!</v>
      </c>
      <c r="J113" s="167" t="e">
        <f>IF(C113="","",IF(F113=0,0,IF(C113&lt;='Tabla Parámetros'!$J$23,I113,IF($E$2='Tabla Parámetros'!$J$19,((($H$2/1000*'Tabla Parámetros'!$K$19)/30.4*C113)*1.0212^7),IF($E$2='Tabla Parámetros'!$J$20,($H$2/1000*'Tabla Parámetros'!$K$20)/30.4*C113)*1.0201^7)))+N113+O113)</f>
        <v>#REF!</v>
      </c>
      <c r="K113" s="167" t="e">
        <f t="shared" si="19"/>
        <v>#REF!</v>
      </c>
      <c r="L113" s="167" t="e">
        <f>IF(B113="","",IF(F113=0,0,Simulador!$N$13*$J$2))</f>
        <v>#REF!</v>
      </c>
      <c r="M113" s="167" t="e">
        <f>IF(B113="","",IF(F113=0,0,IF(Simulador!$F$11='Tabla Parámetros'!$W$1,'Tabla Parámetros'!$W$28,IF(Simulador!$F$11='Tabla Parámetros'!$Y$1,'Tabla Parámetros'!$Y$12))))</f>
        <v>#REF!</v>
      </c>
      <c r="N113" s="167" t="e">
        <f>IF(F113="","",IF(Simulador!$N$7='Tabla Parámetros'!$C$31,AportPat!L99,0))</f>
        <v>#REF!</v>
      </c>
      <c r="O113" s="172" t="e">
        <f>Simulador!#REF!</f>
        <v>#REF!</v>
      </c>
      <c r="P113" s="167" t="e">
        <f t="shared" si="23"/>
        <v>#REF!</v>
      </c>
      <c r="Q113" s="167" t="e">
        <f t="shared" si="26"/>
        <v>#REF!</v>
      </c>
      <c r="T113" s="6"/>
      <c r="U113" s="6"/>
      <c r="V113" s="6"/>
      <c r="W113" s="29" t="e">
        <f t="shared" si="18"/>
        <v>#REF!</v>
      </c>
    </row>
    <row r="114" spans="2:23" x14ac:dyDescent="0.3">
      <c r="B114" s="181">
        <f t="shared" si="24"/>
        <v>97</v>
      </c>
      <c r="C114" s="180">
        <f t="shared" si="20"/>
        <v>30.4</v>
      </c>
      <c r="D114" s="193">
        <f>IF(B114="","",'Tabla Parámetros'!$G$5)</f>
        <v>0.11799999999999999</v>
      </c>
      <c r="E114" s="167"/>
      <c r="F114" s="167" t="e">
        <f t="shared" si="25"/>
        <v>#REF!</v>
      </c>
      <c r="G114" s="166"/>
      <c r="H114" s="167" t="e">
        <f t="shared" si="21"/>
        <v>#REF!</v>
      </c>
      <c r="I114" s="167" t="e">
        <f t="shared" si="22"/>
        <v>#REF!</v>
      </c>
      <c r="J114" s="167" t="e">
        <f>IF(C114="","",IF(F114=0,0,IF(C114&lt;='Tabla Parámetros'!$J$23,I114,IF($E$2='Tabla Parámetros'!$J$19,((($H$2/1000*'Tabla Parámetros'!$K$19)/30.4*C114)*1.0212^7),IF($E$2='Tabla Parámetros'!$J$20,($H$2/1000*'Tabla Parámetros'!$K$20)/30.4*C114)*1.0201^7)))+N114+O114)</f>
        <v>#REF!</v>
      </c>
      <c r="K114" s="167" t="e">
        <f t="shared" si="19"/>
        <v>#REF!</v>
      </c>
      <c r="L114" s="167" t="e">
        <f>IF(B114="","",IF(F114=0,0,Simulador!$N$13*$J$2))</f>
        <v>#REF!</v>
      </c>
      <c r="M114" s="167" t="e">
        <f>IF(B114="","",IF(F114=0,0,IF(Simulador!$F$11='Tabla Parámetros'!$W$1,'Tabla Parámetros'!$W$28,IF(Simulador!$F$11='Tabla Parámetros'!$Y$1,'Tabla Parámetros'!$Y$12))))</f>
        <v>#REF!</v>
      </c>
      <c r="N114" s="167" t="e">
        <f>IF(F114="","",IF(Simulador!$N$7='Tabla Parámetros'!$C$31,AportPat!L100,0))</f>
        <v>#REF!</v>
      </c>
      <c r="O114" s="172" t="e">
        <f>Simulador!#REF!</f>
        <v>#REF!</v>
      </c>
      <c r="P114" s="167" t="e">
        <f t="shared" si="23"/>
        <v>#REF!</v>
      </c>
      <c r="Q114" s="167" t="e">
        <f t="shared" si="26"/>
        <v>#REF!</v>
      </c>
      <c r="T114" s="6"/>
      <c r="U114" s="6"/>
      <c r="V114" s="6"/>
      <c r="W114" s="29" t="e">
        <f t="shared" si="18"/>
        <v>#REF!</v>
      </c>
    </row>
    <row r="115" spans="2:23" x14ac:dyDescent="0.3">
      <c r="B115" s="181">
        <f t="shared" si="24"/>
        <v>98</v>
      </c>
      <c r="C115" s="180">
        <f t="shared" si="20"/>
        <v>30.4</v>
      </c>
      <c r="D115" s="193">
        <f>IF(B115="","",'Tabla Parámetros'!$G$5)</f>
        <v>0.11799999999999999</v>
      </c>
      <c r="E115" s="167"/>
      <c r="F115" s="167" t="e">
        <f t="shared" si="25"/>
        <v>#REF!</v>
      </c>
      <c r="G115" s="166"/>
      <c r="H115" s="167" t="e">
        <f t="shared" si="21"/>
        <v>#REF!</v>
      </c>
      <c r="I115" s="167" t="e">
        <f t="shared" si="22"/>
        <v>#REF!</v>
      </c>
      <c r="J115" s="167" t="e">
        <f>IF(C115="","",IF(F115=0,0,IF(C115&lt;='Tabla Parámetros'!$J$23,I115,IF($E$2='Tabla Parámetros'!$J$19,((($H$2/1000*'Tabla Parámetros'!$K$19)/30.4*C115)*1.0212^8),IF($E$2='Tabla Parámetros'!$J$20,($H$2/1000*'Tabla Parámetros'!$K$20)/30.4*C115)*1.0201^8)))+N115+O115)</f>
        <v>#REF!</v>
      </c>
      <c r="K115" s="167" t="e">
        <f t="shared" si="19"/>
        <v>#REF!</v>
      </c>
      <c r="L115" s="167" t="e">
        <f>IF(B115="","",IF(F115=0,0,Simulador!$N$13*$J$2))</f>
        <v>#REF!</v>
      </c>
      <c r="M115" s="167" t="e">
        <f>IF(B115="","",IF(F115=0,0,IF(Simulador!$F$11='Tabla Parámetros'!$W$1,'Tabla Parámetros'!$W$28,IF(Simulador!$F$11='Tabla Parámetros'!$Y$1,'Tabla Parámetros'!$Y$12))))</f>
        <v>#REF!</v>
      </c>
      <c r="N115" s="167" t="e">
        <f>IF(F115="","",IF(Simulador!$N$7='Tabla Parámetros'!$C$31,AportPat!L101,0))</f>
        <v>#REF!</v>
      </c>
      <c r="O115" s="172" t="e">
        <f>Simulador!#REF!</f>
        <v>#REF!</v>
      </c>
      <c r="P115" s="167" t="e">
        <f t="shared" si="23"/>
        <v>#REF!</v>
      </c>
      <c r="Q115" s="167" t="e">
        <f t="shared" si="26"/>
        <v>#REF!</v>
      </c>
      <c r="T115" s="6"/>
      <c r="U115" s="6"/>
      <c r="V115" s="6"/>
      <c r="W115" s="29" t="e">
        <f t="shared" si="18"/>
        <v>#REF!</v>
      </c>
    </row>
    <row r="116" spans="2:23" x14ac:dyDescent="0.3">
      <c r="B116" s="181">
        <f t="shared" si="24"/>
        <v>99</v>
      </c>
      <c r="C116" s="180">
        <f t="shared" si="20"/>
        <v>30.4</v>
      </c>
      <c r="D116" s="193">
        <f>IF(B116="","",'Tabla Parámetros'!$G$5)</f>
        <v>0.11799999999999999</v>
      </c>
      <c r="E116" s="167"/>
      <c r="F116" s="167" t="e">
        <f t="shared" si="25"/>
        <v>#REF!</v>
      </c>
      <c r="G116" s="166"/>
      <c r="H116" s="167" t="e">
        <f t="shared" si="21"/>
        <v>#REF!</v>
      </c>
      <c r="I116" s="167" t="e">
        <f t="shared" si="22"/>
        <v>#REF!</v>
      </c>
      <c r="J116" s="167" t="e">
        <f>IF(C116="","",IF(F116=0,0,IF(C116&lt;='Tabla Parámetros'!$J$23,I116,IF($E$2='Tabla Parámetros'!$J$19,((($H$2/1000*'Tabla Parámetros'!$K$19)/30.4*C116)*1.0212^8),IF($E$2='Tabla Parámetros'!$J$20,($H$2/1000*'Tabla Parámetros'!$K$20)/30.4*C116)*1.0201^8)))+N116+O116)</f>
        <v>#REF!</v>
      </c>
      <c r="K116" s="167" t="e">
        <f t="shared" si="19"/>
        <v>#REF!</v>
      </c>
      <c r="L116" s="167" t="e">
        <f>IF(B116="","",IF(F116=0,0,Simulador!$N$13*$J$2))</f>
        <v>#REF!</v>
      </c>
      <c r="M116" s="167" t="e">
        <f>IF(B116="","",IF(F116=0,0,IF(Simulador!$F$11='Tabla Parámetros'!$W$1,'Tabla Parámetros'!$W$28,IF(Simulador!$F$11='Tabla Parámetros'!$Y$1,'Tabla Parámetros'!$Y$12))))</f>
        <v>#REF!</v>
      </c>
      <c r="N116" s="167" t="e">
        <f>IF(F116="","",IF(Simulador!$N$7='Tabla Parámetros'!$C$31,AportPat!L102,0))</f>
        <v>#REF!</v>
      </c>
      <c r="O116" s="172" t="e">
        <f>Simulador!#REF!</f>
        <v>#REF!</v>
      </c>
      <c r="P116" s="167" t="e">
        <f t="shared" si="23"/>
        <v>#REF!</v>
      </c>
      <c r="Q116" s="167" t="e">
        <f t="shared" si="26"/>
        <v>#REF!</v>
      </c>
      <c r="T116" s="6"/>
      <c r="U116" s="6"/>
      <c r="V116" s="6"/>
      <c r="W116" s="29" t="e">
        <f t="shared" si="18"/>
        <v>#REF!</v>
      </c>
    </row>
    <row r="117" spans="2:23" x14ac:dyDescent="0.3">
      <c r="B117" s="181">
        <f t="shared" si="24"/>
        <v>100</v>
      </c>
      <c r="C117" s="180">
        <f t="shared" si="20"/>
        <v>30.4</v>
      </c>
      <c r="D117" s="193">
        <f>IF(B117="","",'Tabla Parámetros'!$G$5)</f>
        <v>0.11799999999999999</v>
      </c>
      <c r="E117" s="167"/>
      <c r="F117" s="167" t="e">
        <f t="shared" si="25"/>
        <v>#REF!</v>
      </c>
      <c r="G117" s="166"/>
      <c r="H117" s="167" t="e">
        <f t="shared" si="21"/>
        <v>#REF!</v>
      </c>
      <c r="I117" s="167" t="e">
        <f t="shared" si="22"/>
        <v>#REF!</v>
      </c>
      <c r="J117" s="167" t="e">
        <f>IF(C117="","",IF(F117=0,0,IF(C117&lt;='Tabla Parámetros'!$J$23,I117,IF($E$2='Tabla Parámetros'!$J$19,((($H$2/1000*'Tabla Parámetros'!$K$19)/30.4*C117)*1.0212^8),IF($E$2='Tabla Parámetros'!$J$20,($H$2/1000*'Tabla Parámetros'!$K$20)/30.4*C117)*1.0201^8)))+N117+O117)</f>
        <v>#REF!</v>
      </c>
      <c r="K117" s="167" t="e">
        <f t="shared" si="19"/>
        <v>#REF!</v>
      </c>
      <c r="L117" s="167" t="e">
        <f>IF(B117="","",IF(F117=0,0,Simulador!$N$13*$J$2))</f>
        <v>#REF!</v>
      </c>
      <c r="M117" s="167" t="e">
        <f>IF(B117="","",IF(F117=0,0,IF(Simulador!$F$11='Tabla Parámetros'!$W$1,'Tabla Parámetros'!$W$28,IF(Simulador!$F$11='Tabla Parámetros'!$Y$1,'Tabla Parámetros'!$Y$12))))</f>
        <v>#REF!</v>
      </c>
      <c r="N117" s="167" t="e">
        <f>IF(F117="","",IF(Simulador!$N$7='Tabla Parámetros'!$C$31,AportPat!L103,0))</f>
        <v>#REF!</v>
      </c>
      <c r="O117" s="172" t="e">
        <f>Simulador!#REF!</f>
        <v>#REF!</v>
      </c>
      <c r="P117" s="167" t="e">
        <f t="shared" si="23"/>
        <v>#REF!</v>
      </c>
      <c r="Q117" s="167" t="e">
        <f t="shared" si="26"/>
        <v>#REF!</v>
      </c>
      <c r="T117" s="6"/>
      <c r="U117" s="6"/>
      <c r="V117" s="6"/>
      <c r="W117" s="29" t="e">
        <f t="shared" si="18"/>
        <v>#REF!</v>
      </c>
    </row>
    <row r="118" spans="2:23" x14ac:dyDescent="0.3">
      <c r="B118" s="181">
        <f t="shared" si="24"/>
        <v>101</v>
      </c>
      <c r="C118" s="180">
        <f t="shared" si="20"/>
        <v>30.4</v>
      </c>
      <c r="D118" s="193">
        <f>IF(B118="","",'Tabla Parámetros'!$G$5)</f>
        <v>0.11799999999999999</v>
      </c>
      <c r="E118" s="167"/>
      <c r="F118" s="167" t="e">
        <f t="shared" si="25"/>
        <v>#REF!</v>
      </c>
      <c r="G118" s="166"/>
      <c r="H118" s="167" t="e">
        <f t="shared" si="21"/>
        <v>#REF!</v>
      </c>
      <c r="I118" s="167" t="e">
        <f t="shared" si="22"/>
        <v>#REF!</v>
      </c>
      <c r="J118" s="167" t="e">
        <f>IF(C118="","",IF(F118=0,0,IF(C118&lt;='Tabla Parámetros'!$J$23,I118,IF($E$2='Tabla Parámetros'!$J$19,((($H$2/1000*'Tabla Parámetros'!$K$19)/30.4*C118)*1.0212^8),IF($E$2='Tabla Parámetros'!$J$20,($H$2/1000*'Tabla Parámetros'!$K$20)/30.4*C118)*1.0201^8)))+N118+O118)</f>
        <v>#REF!</v>
      </c>
      <c r="K118" s="167" t="e">
        <f t="shared" si="19"/>
        <v>#REF!</v>
      </c>
      <c r="L118" s="167" t="e">
        <f>IF(B118="","",IF(F118=0,0,Simulador!$N$13*$J$2))</f>
        <v>#REF!</v>
      </c>
      <c r="M118" s="167" t="e">
        <f>IF(B118="","",IF(F118=0,0,IF(Simulador!$F$11='Tabla Parámetros'!$W$1,'Tabla Parámetros'!$W$28,IF(Simulador!$F$11='Tabla Parámetros'!$Y$1,'Tabla Parámetros'!$Y$12))))</f>
        <v>#REF!</v>
      </c>
      <c r="N118" s="167" t="e">
        <f>IF(F118="","",IF(Simulador!$N$7='Tabla Parámetros'!$C$31,AportPat!L104,0))</f>
        <v>#REF!</v>
      </c>
      <c r="O118" s="172" t="e">
        <f>Simulador!#REF!</f>
        <v>#REF!</v>
      </c>
      <c r="P118" s="167" t="e">
        <f t="shared" si="23"/>
        <v>#REF!</v>
      </c>
      <c r="Q118" s="167" t="e">
        <f t="shared" si="26"/>
        <v>#REF!</v>
      </c>
      <c r="T118" s="6"/>
      <c r="U118" s="6"/>
      <c r="V118" s="6"/>
      <c r="W118" s="29" t="e">
        <f t="shared" si="18"/>
        <v>#REF!</v>
      </c>
    </row>
    <row r="119" spans="2:23" x14ac:dyDescent="0.3">
      <c r="B119" s="181">
        <f t="shared" si="24"/>
        <v>102</v>
      </c>
      <c r="C119" s="180">
        <f t="shared" si="20"/>
        <v>30.4</v>
      </c>
      <c r="D119" s="193">
        <f>IF(B119="","",'Tabla Parámetros'!$G$5)</f>
        <v>0.11799999999999999</v>
      </c>
      <c r="E119" s="167"/>
      <c r="F119" s="167" t="e">
        <f t="shared" si="25"/>
        <v>#REF!</v>
      </c>
      <c r="G119" s="166"/>
      <c r="H119" s="167" t="e">
        <f t="shared" si="21"/>
        <v>#REF!</v>
      </c>
      <c r="I119" s="167" t="e">
        <f t="shared" si="22"/>
        <v>#REF!</v>
      </c>
      <c r="J119" s="167" t="e">
        <f>IF(C119="","",IF(F119=0,0,IF(C119&lt;='Tabla Parámetros'!$J$23,I119,IF($E$2='Tabla Parámetros'!$J$19,((($H$2/1000*'Tabla Parámetros'!$K$19)/30.4*C119)*1.0212^8),IF($E$2='Tabla Parámetros'!$J$20,($H$2/1000*'Tabla Parámetros'!$K$20)/30.4*C119)*1.0201^8)))+N119+O119)</f>
        <v>#REF!</v>
      </c>
      <c r="K119" s="167" t="e">
        <f t="shared" si="19"/>
        <v>#REF!</v>
      </c>
      <c r="L119" s="167" t="e">
        <f>IF(B119="","",IF(F119=0,0,Simulador!$N$13*$J$2))</f>
        <v>#REF!</v>
      </c>
      <c r="M119" s="167" t="e">
        <f>IF(B119="","",IF(F119=0,0,IF(Simulador!$F$11='Tabla Parámetros'!$W$1,'Tabla Parámetros'!$W$28,IF(Simulador!$F$11='Tabla Parámetros'!$Y$1,'Tabla Parámetros'!$Y$12))))</f>
        <v>#REF!</v>
      </c>
      <c r="N119" s="167" t="e">
        <f>IF(F119="","",IF(Simulador!$N$7='Tabla Parámetros'!$C$31,AportPat!L105,0))</f>
        <v>#REF!</v>
      </c>
      <c r="O119" s="172" t="e">
        <f>Simulador!#REF!</f>
        <v>#REF!</v>
      </c>
      <c r="P119" s="167" t="e">
        <f t="shared" si="23"/>
        <v>#REF!</v>
      </c>
      <c r="Q119" s="167" t="e">
        <f t="shared" si="26"/>
        <v>#REF!</v>
      </c>
      <c r="T119" s="6"/>
      <c r="U119" s="6"/>
      <c r="V119" s="6"/>
      <c r="W119" s="29" t="e">
        <f t="shared" si="18"/>
        <v>#REF!</v>
      </c>
    </row>
    <row r="120" spans="2:23" x14ac:dyDescent="0.3">
      <c r="B120" s="181">
        <f t="shared" si="24"/>
        <v>103</v>
      </c>
      <c r="C120" s="180">
        <f t="shared" si="20"/>
        <v>30.4</v>
      </c>
      <c r="D120" s="193">
        <f>IF(B120="","",'Tabla Parámetros'!$G$5)</f>
        <v>0.11799999999999999</v>
      </c>
      <c r="E120" s="167"/>
      <c r="F120" s="167" t="e">
        <f t="shared" si="25"/>
        <v>#REF!</v>
      </c>
      <c r="G120" s="166"/>
      <c r="H120" s="167" t="e">
        <f t="shared" si="21"/>
        <v>#REF!</v>
      </c>
      <c r="I120" s="167" t="e">
        <f t="shared" si="22"/>
        <v>#REF!</v>
      </c>
      <c r="J120" s="167" t="e">
        <f>IF(C120="","",IF(F120=0,0,IF(C120&lt;='Tabla Parámetros'!$J$23,I120,IF($E$2='Tabla Parámetros'!$J$19,((($H$2/1000*'Tabla Parámetros'!$K$19)/30.4*C120)*1.0212^8),IF($E$2='Tabla Parámetros'!$J$20,($H$2/1000*'Tabla Parámetros'!$K$20)/30.4*C120)*1.0201^8)))+N120+O120)</f>
        <v>#REF!</v>
      </c>
      <c r="K120" s="167" t="e">
        <f t="shared" si="19"/>
        <v>#REF!</v>
      </c>
      <c r="L120" s="167" t="e">
        <f>IF(B120="","",IF(F120=0,0,Simulador!$N$13*$J$2))</f>
        <v>#REF!</v>
      </c>
      <c r="M120" s="167" t="e">
        <f>IF(B120="","",IF(F120=0,0,IF(Simulador!$F$11='Tabla Parámetros'!$W$1,'Tabla Parámetros'!$W$28,IF(Simulador!$F$11='Tabla Parámetros'!$Y$1,'Tabla Parámetros'!$Y$12))))</f>
        <v>#REF!</v>
      </c>
      <c r="N120" s="167" t="e">
        <f>IF(F120="","",IF(Simulador!$N$7='Tabla Parámetros'!$C$31,AportPat!L106,0))</f>
        <v>#REF!</v>
      </c>
      <c r="O120" s="172" t="e">
        <f>Simulador!#REF!</f>
        <v>#REF!</v>
      </c>
      <c r="P120" s="167" t="e">
        <f t="shared" si="23"/>
        <v>#REF!</v>
      </c>
      <c r="Q120" s="167" t="e">
        <f t="shared" si="26"/>
        <v>#REF!</v>
      </c>
      <c r="T120" s="6"/>
      <c r="U120" s="6"/>
      <c r="V120" s="6"/>
      <c r="W120" s="29" t="e">
        <f t="shared" si="18"/>
        <v>#REF!</v>
      </c>
    </row>
    <row r="121" spans="2:23" x14ac:dyDescent="0.3">
      <c r="B121" s="181">
        <f t="shared" si="24"/>
        <v>104</v>
      </c>
      <c r="C121" s="180">
        <f t="shared" si="20"/>
        <v>30.4</v>
      </c>
      <c r="D121" s="193">
        <f>IF(B121="","",'Tabla Parámetros'!$G$5)</f>
        <v>0.11799999999999999</v>
      </c>
      <c r="E121" s="167"/>
      <c r="F121" s="167" t="e">
        <f t="shared" si="25"/>
        <v>#REF!</v>
      </c>
      <c r="G121" s="166"/>
      <c r="H121" s="167" t="e">
        <f t="shared" si="21"/>
        <v>#REF!</v>
      </c>
      <c r="I121" s="167" t="e">
        <f t="shared" si="22"/>
        <v>#REF!</v>
      </c>
      <c r="J121" s="167" t="e">
        <f>IF(C121="","",IF(F121=0,0,IF(C121&lt;='Tabla Parámetros'!$J$23,I121,IF($E$2='Tabla Parámetros'!$J$19,((($H$2/1000*'Tabla Parámetros'!$K$19)/30.4*C121)*1.0212^8),IF($E$2='Tabla Parámetros'!$J$20,($H$2/1000*'Tabla Parámetros'!$K$20)/30.4*C121)*1.0201^8)))+N121+O121)</f>
        <v>#REF!</v>
      </c>
      <c r="K121" s="167" t="e">
        <f t="shared" si="19"/>
        <v>#REF!</v>
      </c>
      <c r="L121" s="167" t="e">
        <f>IF(B121="","",IF(F121=0,0,Simulador!$N$13*$J$2))</f>
        <v>#REF!</v>
      </c>
      <c r="M121" s="167" t="e">
        <f>IF(B121="","",IF(F121=0,0,IF(Simulador!$F$11='Tabla Parámetros'!$W$1,'Tabla Parámetros'!$W$28,IF(Simulador!$F$11='Tabla Parámetros'!$Y$1,'Tabla Parámetros'!$Y$12))))</f>
        <v>#REF!</v>
      </c>
      <c r="N121" s="167" t="e">
        <f>IF(F121="","",IF(Simulador!$N$7='Tabla Parámetros'!$C$31,AportPat!L107,0))</f>
        <v>#REF!</v>
      </c>
      <c r="O121" s="172" t="e">
        <f>Simulador!#REF!</f>
        <v>#REF!</v>
      </c>
      <c r="P121" s="167" t="e">
        <f t="shared" si="23"/>
        <v>#REF!</v>
      </c>
      <c r="Q121" s="167" t="e">
        <f t="shared" si="26"/>
        <v>#REF!</v>
      </c>
      <c r="T121" s="6"/>
      <c r="U121" s="6"/>
      <c r="V121" s="6"/>
      <c r="W121" s="29" t="e">
        <f t="shared" si="18"/>
        <v>#REF!</v>
      </c>
    </row>
    <row r="122" spans="2:23" x14ac:dyDescent="0.3">
      <c r="B122" s="181">
        <f t="shared" si="24"/>
        <v>105</v>
      </c>
      <c r="C122" s="180">
        <f t="shared" si="20"/>
        <v>30.4</v>
      </c>
      <c r="D122" s="193">
        <f>IF(B122="","",'Tabla Parámetros'!$G$5)</f>
        <v>0.11799999999999999</v>
      </c>
      <c r="E122" s="167"/>
      <c r="F122" s="167" t="e">
        <f t="shared" si="25"/>
        <v>#REF!</v>
      </c>
      <c r="G122" s="166"/>
      <c r="H122" s="167" t="e">
        <f t="shared" si="21"/>
        <v>#REF!</v>
      </c>
      <c r="I122" s="167" t="e">
        <f t="shared" si="22"/>
        <v>#REF!</v>
      </c>
      <c r="J122" s="167" t="e">
        <f>IF(C122="","",IF(F122=0,0,IF(C122&lt;='Tabla Parámetros'!$J$23,I122,IF($E$2='Tabla Parámetros'!$J$19,((($H$2/1000*'Tabla Parámetros'!$K$19)/30.4*C122)*1.0212^8),IF($E$2='Tabla Parámetros'!$J$20,($H$2/1000*'Tabla Parámetros'!$K$20)/30.4*C122)*1.0201^8)))+N122+O122)</f>
        <v>#REF!</v>
      </c>
      <c r="K122" s="167" t="e">
        <f t="shared" si="19"/>
        <v>#REF!</v>
      </c>
      <c r="L122" s="167" t="e">
        <f>IF(B122="","",IF(F122=0,0,Simulador!$N$13*$J$2))</f>
        <v>#REF!</v>
      </c>
      <c r="M122" s="167" t="e">
        <f>IF(B122="","",IF(F122=0,0,IF(Simulador!$F$11='Tabla Parámetros'!$W$1,'Tabla Parámetros'!$W$28,IF(Simulador!$F$11='Tabla Parámetros'!$Y$1,'Tabla Parámetros'!$Y$12))))</f>
        <v>#REF!</v>
      </c>
      <c r="N122" s="167" t="e">
        <f>IF(F122="","",IF(Simulador!$N$7='Tabla Parámetros'!$C$31,AportPat!L108,0))</f>
        <v>#REF!</v>
      </c>
      <c r="O122" s="172" t="e">
        <f>Simulador!#REF!</f>
        <v>#REF!</v>
      </c>
      <c r="P122" s="167" t="e">
        <f t="shared" si="23"/>
        <v>#REF!</v>
      </c>
      <c r="Q122" s="167" t="e">
        <f t="shared" si="26"/>
        <v>#REF!</v>
      </c>
      <c r="T122" s="6"/>
      <c r="U122" s="6"/>
      <c r="V122" s="6"/>
      <c r="W122" s="29" t="e">
        <f t="shared" si="18"/>
        <v>#REF!</v>
      </c>
    </row>
    <row r="123" spans="2:23" x14ac:dyDescent="0.3">
      <c r="B123" s="181">
        <f t="shared" si="24"/>
        <v>106</v>
      </c>
      <c r="C123" s="180">
        <f t="shared" si="20"/>
        <v>30.4</v>
      </c>
      <c r="D123" s="193">
        <f>IF(B123="","",'Tabla Parámetros'!$G$5)</f>
        <v>0.11799999999999999</v>
      </c>
      <c r="E123" s="167"/>
      <c r="F123" s="167" t="e">
        <f t="shared" si="25"/>
        <v>#REF!</v>
      </c>
      <c r="G123" s="166"/>
      <c r="H123" s="167" t="e">
        <f t="shared" si="21"/>
        <v>#REF!</v>
      </c>
      <c r="I123" s="167" t="e">
        <f t="shared" si="22"/>
        <v>#REF!</v>
      </c>
      <c r="J123" s="167" t="e">
        <f>IF(C123="","",IF(F123=0,0,IF(C123&lt;='Tabla Parámetros'!$J$23,I123,IF($E$2='Tabla Parámetros'!$J$19,((($H$2/1000*'Tabla Parámetros'!$K$19)/30.4*C123)*1.0212^8),IF($E$2='Tabla Parámetros'!$J$20,($H$2/1000*'Tabla Parámetros'!$K$20)/30.4*C123)*1.0201^8)))+N123+O123)</f>
        <v>#REF!</v>
      </c>
      <c r="K123" s="167" t="e">
        <f t="shared" si="19"/>
        <v>#REF!</v>
      </c>
      <c r="L123" s="167" t="e">
        <f>IF(B123="","",IF(F123=0,0,Simulador!$N$13*$J$2))</f>
        <v>#REF!</v>
      </c>
      <c r="M123" s="167" t="e">
        <f>IF(B123="","",IF(F123=0,0,IF(Simulador!$F$11='Tabla Parámetros'!$W$1,'Tabla Parámetros'!$W$28,IF(Simulador!$F$11='Tabla Parámetros'!$Y$1,'Tabla Parámetros'!$Y$12))))</f>
        <v>#REF!</v>
      </c>
      <c r="N123" s="167" t="e">
        <f>IF(F123="","",IF(Simulador!$N$7='Tabla Parámetros'!$C$31,AportPat!L109,0))</f>
        <v>#REF!</v>
      </c>
      <c r="O123" s="172" t="e">
        <f>Simulador!#REF!</f>
        <v>#REF!</v>
      </c>
      <c r="P123" s="167" t="e">
        <f t="shared" si="23"/>
        <v>#REF!</v>
      </c>
      <c r="Q123" s="167" t="e">
        <f t="shared" si="26"/>
        <v>#REF!</v>
      </c>
      <c r="T123" s="6"/>
      <c r="U123" s="6"/>
      <c r="V123" s="6"/>
      <c r="W123" s="29" t="e">
        <f t="shared" si="18"/>
        <v>#REF!</v>
      </c>
    </row>
    <row r="124" spans="2:23" x14ac:dyDescent="0.3">
      <c r="B124" s="181">
        <f t="shared" si="24"/>
        <v>107</v>
      </c>
      <c r="C124" s="180">
        <f t="shared" si="20"/>
        <v>30.4</v>
      </c>
      <c r="D124" s="193">
        <f>IF(B124="","",'Tabla Parámetros'!$G$5)</f>
        <v>0.11799999999999999</v>
      </c>
      <c r="E124" s="167"/>
      <c r="F124" s="167" t="e">
        <f t="shared" si="25"/>
        <v>#REF!</v>
      </c>
      <c r="G124" s="166"/>
      <c r="H124" s="167" t="e">
        <f t="shared" si="21"/>
        <v>#REF!</v>
      </c>
      <c r="I124" s="167" t="e">
        <f t="shared" si="22"/>
        <v>#REF!</v>
      </c>
      <c r="J124" s="167" t="e">
        <f>IF(C124="","",IF(F124=0,0,IF(C124&lt;='Tabla Parámetros'!$J$23,I124,IF($E$2='Tabla Parámetros'!$J$19,((($H$2/1000*'Tabla Parámetros'!$K$19)/30.4*C124)*1.0212^8),IF($E$2='Tabla Parámetros'!$J$20,($H$2/1000*'Tabla Parámetros'!$K$20)/30.4*C124)*1.0201^8)))+N124+O124)</f>
        <v>#REF!</v>
      </c>
      <c r="K124" s="167" t="e">
        <f t="shared" si="19"/>
        <v>#REF!</v>
      </c>
      <c r="L124" s="167" t="e">
        <f>IF(B124="","",IF(F124=0,0,Simulador!$N$13*$J$2))</f>
        <v>#REF!</v>
      </c>
      <c r="M124" s="167" t="e">
        <f>IF(B124="","",IF(F124=0,0,IF(Simulador!$F$11='Tabla Parámetros'!$W$1,'Tabla Parámetros'!$W$28,IF(Simulador!$F$11='Tabla Parámetros'!$Y$1,'Tabla Parámetros'!$Y$12))))</f>
        <v>#REF!</v>
      </c>
      <c r="N124" s="167" t="e">
        <f>IF(F124="","",IF(Simulador!$N$7='Tabla Parámetros'!$C$31,AportPat!L110,0))</f>
        <v>#REF!</v>
      </c>
      <c r="O124" s="172" t="e">
        <f>Simulador!#REF!</f>
        <v>#REF!</v>
      </c>
      <c r="P124" s="167" t="e">
        <f t="shared" si="23"/>
        <v>#REF!</v>
      </c>
      <c r="Q124" s="167" t="e">
        <f t="shared" si="26"/>
        <v>#REF!</v>
      </c>
      <c r="T124" s="6"/>
      <c r="U124" s="6"/>
      <c r="V124" s="6"/>
      <c r="W124" s="29" t="e">
        <f t="shared" si="18"/>
        <v>#REF!</v>
      </c>
    </row>
    <row r="125" spans="2:23" x14ac:dyDescent="0.3">
      <c r="B125" s="181">
        <f t="shared" si="24"/>
        <v>108</v>
      </c>
      <c r="C125" s="180">
        <f t="shared" si="20"/>
        <v>30.4</v>
      </c>
      <c r="D125" s="193">
        <f>IF(B125="","",'Tabla Parámetros'!$G$5)</f>
        <v>0.11799999999999999</v>
      </c>
      <c r="E125" s="167"/>
      <c r="F125" s="167" t="e">
        <f t="shared" si="25"/>
        <v>#REF!</v>
      </c>
      <c r="G125" s="166"/>
      <c r="H125" s="167" t="e">
        <f t="shared" si="21"/>
        <v>#REF!</v>
      </c>
      <c r="I125" s="167" t="e">
        <f t="shared" si="22"/>
        <v>#REF!</v>
      </c>
      <c r="J125" s="167" t="e">
        <f>IF(C125="","",IF(F125=0,0,IF(C125&lt;='Tabla Parámetros'!$J$23,I125,IF($E$2='Tabla Parámetros'!$J$19,((($H$2/1000*'Tabla Parámetros'!$K$19)/30.4*C125)*1.0212^8),IF($E$2='Tabla Parámetros'!$J$20,($H$2/1000*'Tabla Parámetros'!$K$20)/30.4*C125)*1.0201^8)))+N125+O125)</f>
        <v>#REF!</v>
      </c>
      <c r="K125" s="167" t="e">
        <f t="shared" si="19"/>
        <v>#REF!</v>
      </c>
      <c r="L125" s="167" t="e">
        <f>IF(B125="","",IF(F125=0,0,Simulador!$N$13*$J$2))</f>
        <v>#REF!</v>
      </c>
      <c r="M125" s="167" t="e">
        <f>IF(B125="","",IF(F125=0,0,IF(Simulador!$F$11='Tabla Parámetros'!$W$1,'Tabla Parámetros'!$W$28,IF(Simulador!$F$11='Tabla Parámetros'!$Y$1,'Tabla Parámetros'!$Y$12))))</f>
        <v>#REF!</v>
      </c>
      <c r="N125" s="167" t="e">
        <f>IF(F125="","",IF(Simulador!$N$7='Tabla Parámetros'!$C$31,AportPat!L111,0))</f>
        <v>#REF!</v>
      </c>
      <c r="O125" s="172" t="e">
        <f>Simulador!#REF!</f>
        <v>#REF!</v>
      </c>
      <c r="P125" s="167" t="e">
        <f t="shared" si="23"/>
        <v>#REF!</v>
      </c>
      <c r="Q125" s="167" t="e">
        <f t="shared" si="26"/>
        <v>#REF!</v>
      </c>
      <c r="T125" s="6"/>
      <c r="U125" s="6"/>
      <c r="V125" s="6"/>
      <c r="W125" s="29" t="e">
        <f t="shared" si="18"/>
        <v>#REF!</v>
      </c>
    </row>
    <row r="126" spans="2:23" x14ac:dyDescent="0.3">
      <c r="B126" s="181">
        <f t="shared" si="24"/>
        <v>109</v>
      </c>
      <c r="C126" s="180">
        <f t="shared" si="20"/>
        <v>30.4</v>
      </c>
      <c r="D126" s="193">
        <f>IF(B126="","",'Tabla Parámetros'!$G$5)</f>
        <v>0.11799999999999999</v>
      </c>
      <c r="E126" s="167"/>
      <c r="F126" s="167" t="e">
        <f t="shared" si="25"/>
        <v>#REF!</v>
      </c>
      <c r="G126" s="166"/>
      <c r="H126" s="167" t="e">
        <f t="shared" si="21"/>
        <v>#REF!</v>
      </c>
      <c r="I126" s="167" t="e">
        <f t="shared" si="22"/>
        <v>#REF!</v>
      </c>
      <c r="J126" s="167" t="e">
        <f>IF(C126="","",IF(F126=0,0,IF(C126&lt;='Tabla Parámetros'!$J$23,I126,IF($E$2='Tabla Parámetros'!$J$19,((($H$2/1000*'Tabla Parámetros'!$K$19)/30.4*C126)*1.0212^8),IF($E$2='Tabla Parámetros'!$J$20,($H$2/1000*'Tabla Parámetros'!$K$20)/30.4*C126)*1.0201^8)))+N126+O126)</f>
        <v>#REF!</v>
      </c>
      <c r="K126" s="167" t="e">
        <f t="shared" si="19"/>
        <v>#REF!</v>
      </c>
      <c r="L126" s="167" t="e">
        <f>IF(B126="","",IF(F126=0,0,Simulador!$N$13*$J$2))</f>
        <v>#REF!</v>
      </c>
      <c r="M126" s="167" t="e">
        <f>IF(B126="","",IF(F126=0,0,IF(Simulador!$F$11='Tabla Parámetros'!$W$1,'Tabla Parámetros'!$W$28,IF(Simulador!$F$11='Tabla Parámetros'!$Y$1,'Tabla Parámetros'!$Y$12))))</f>
        <v>#REF!</v>
      </c>
      <c r="N126" s="167" t="e">
        <f>IF(F126="","",IF(Simulador!$N$7='Tabla Parámetros'!$C$31,AportPat!L112,0))</f>
        <v>#REF!</v>
      </c>
      <c r="O126" s="172" t="e">
        <f>Simulador!#REF!</f>
        <v>#REF!</v>
      </c>
      <c r="P126" s="167" t="e">
        <f t="shared" si="23"/>
        <v>#REF!</v>
      </c>
      <c r="Q126" s="167" t="e">
        <f t="shared" si="26"/>
        <v>#REF!</v>
      </c>
      <c r="T126" s="6"/>
      <c r="U126" s="6"/>
      <c r="V126" s="6"/>
      <c r="W126" s="29" t="e">
        <f t="shared" si="18"/>
        <v>#REF!</v>
      </c>
    </row>
    <row r="127" spans="2:23" x14ac:dyDescent="0.3">
      <c r="B127" s="181">
        <f t="shared" si="24"/>
        <v>110</v>
      </c>
      <c r="C127" s="180">
        <f t="shared" si="20"/>
        <v>30.4</v>
      </c>
      <c r="D127" s="193">
        <f>IF(B127="","",'Tabla Parámetros'!$G$5)</f>
        <v>0.11799999999999999</v>
      </c>
      <c r="E127" s="167"/>
      <c r="F127" s="167" t="e">
        <f t="shared" si="25"/>
        <v>#REF!</v>
      </c>
      <c r="G127" s="166"/>
      <c r="H127" s="167" t="e">
        <f t="shared" si="21"/>
        <v>#REF!</v>
      </c>
      <c r="I127" s="167" t="e">
        <f t="shared" si="22"/>
        <v>#REF!</v>
      </c>
      <c r="J127" s="167" t="e">
        <f>IF(C127="","",IF(F127=0,0,IF(C127&lt;='Tabla Parámetros'!$J$23,I127,IF($E$2='Tabla Parámetros'!$J$19,((($H$2/1000*'Tabla Parámetros'!$K$19)/30.4*C127)*1.0212^9),IF($E$2='Tabla Parámetros'!$J$20,($H$2/1000*'Tabla Parámetros'!$K$20)/30.4*C127)*1.0201^9)))+N127+O127)</f>
        <v>#REF!</v>
      </c>
      <c r="K127" s="167" t="e">
        <f t="shared" si="19"/>
        <v>#REF!</v>
      </c>
      <c r="L127" s="167" t="e">
        <f>IF(B127="","",IF(F127=0,0,Simulador!$N$13*$J$2))</f>
        <v>#REF!</v>
      </c>
      <c r="M127" s="167" t="e">
        <f>IF(B127="","",IF(F127=0,0,IF(Simulador!$F$11='Tabla Parámetros'!$W$1,'Tabla Parámetros'!$W$28,IF(Simulador!$F$11='Tabla Parámetros'!$Y$1,'Tabla Parámetros'!$Y$12))))</f>
        <v>#REF!</v>
      </c>
      <c r="N127" s="167" t="e">
        <f>IF(F127="","",IF(Simulador!$N$7='Tabla Parámetros'!$C$31,AportPat!L113,0))</f>
        <v>#REF!</v>
      </c>
      <c r="O127" s="172" t="e">
        <f>Simulador!#REF!</f>
        <v>#REF!</v>
      </c>
      <c r="P127" s="167" t="e">
        <f t="shared" si="23"/>
        <v>#REF!</v>
      </c>
      <c r="Q127" s="167" t="e">
        <f t="shared" si="26"/>
        <v>#REF!</v>
      </c>
      <c r="T127" s="6"/>
      <c r="U127" s="6"/>
      <c r="V127" s="6"/>
      <c r="W127" s="29" t="e">
        <f t="shared" si="18"/>
        <v>#REF!</v>
      </c>
    </row>
    <row r="128" spans="2:23" x14ac:dyDescent="0.3">
      <c r="B128" s="181">
        <f t="shared" si="24"/>
        <v>111</v>
      </c>
      <c r="C128" s="180">
        <f t="shared" si="20"/>
        <v>30.4</v>
      </c>
      <c r="D128" s="193">
        <f>IF(B128="","",'Tabla Parámetros'!$G$5)</f>
        <v>0.11799999999999999</v>
      </c>
      <c r="E128" s="167"/>
      <c r="F128" s="167" t="e">
        <f t="shared" si="25"/>
        <v>#REF!</v>
      </c>
      <c r="G128" s="166"/>
      <c r="H128" s="167" t="e">
        <f t="shared" si="21"/>
        <v>#REF!</v>
      </c>
      <c r="I128" s="167" t="e">
        <f t="shared" si="22"/>
        <v>#REF!</v>
      </c>
      <c r="J128" s="167" t="e">
        <f>IF(C128="","",IF(F128=0,0,IF(C128&lt;='Tabla Parámetros'!$J$23,I128,IF($E$2='Tabla Parámetros'!$J$19,((($H$2/1000*'Tabla Parámetros'!$K$19)/30.4*C128)*1.0212^9),IF($E$2='Tabla Parámetros'!$J$20,($H$2/1000*'Tabla Parámetros'!$K$20)/30.4*C128)*1.0201^9)))+N128+O128)</f>
        <v>#REF!</v>
      </c>
      <c r="K128" s="167" t="e">
        <f t="shared" si="19"/>
        <v>#REF!</v>
      </c>
      <c r="L128" s="167" t="e">
        <f>IF(B128="","",IF(F128=0,0,Simulador!$N$13*$J$2))</f>
        <v>#REF!</v>
      </c>
      <c r="M128" s="167" t="e">
        <f>IF(B128="","",IF(F128=0,0,IF(Simulador!$F$11='Tabla Parámetros'!$W$1,'Tabla Parámetros'!$W$28,IF(Simulador!$F$11='Tabla Parámetros'!$Y$1,'Tabla Parámetros'!$Y$12))))</f>
        <v>#REF!</v>
      </c>
      <c r="N128" s="167" t="e">
        <f>IF(F128="","",IF(Simulador!$N$7='Tabla Parámetros'!$C$31,AportPat!L114,0))</f>
        <v>#REF!</v>
      </c>
      <c r="O128" s="172" t="e">
        <f>Simulador!#REF!</f>
        <v>#REF!</v>
      </c>
      <c r="P128" s="167" t="e">
        <f t="shared" si="23"/>
        <v>#REF!</v>
      </c>
      <c r="Q128" s="167" t="e">
        <f t="shared" si="26"/>
        <v>#REF!</v>
      </c>
      <c r="T128" s="6"/>
      <c r="U128" s="6"/>
      <c r="V128" s="6"/>
      <c r="W128" s="29" t="e">
        <f t="shared" si="18"/>
        <v>#REF!</v>
      </c>
    </row>
    <row r="129" spans="2:23" x14ac:dyDescent="0.3">
      <c r="B129" s="181">
        <f t="shared" si="24"/>
        <v>112</v>
      </c>
      <c r="C129" s="180">
        <f t="shared" si="20"/>
        <v>30.4</v>
      </c>
      <c r="D129" s="193">
        <f>IF(B129="","",'Tabla Parámetros'!$G$5)</f>
        <v>0.11799999999999999</v>
      </c>
      <c r="E129" s="167"/>
      <c r="F129" s="167" t="e">
        <f t="shared" si="25"/>
        <v>#REF!</v>
      </c>
      <c r="G129" s="166"/>
      <c r="H129" s="167" t="e">
        <f t="shared" si="21"/>
        <v>#REF!</v>
      </c>
      <c r="I129" s="167" t="e">
        <f t="shared" si="22"/>
        <v>#REF!</v>
      </c>
      <c r="J129" s="167" t="e">
        <f>IF(C129="","",IF(F129=0,0,IF(C129&lt;='Tabla Parámetros'!$J$23,I129,IF($E$2='Tabla Parámetros'!$J$19,((($H$2/1000*'Tabla Parámetros'!$K$19)/30.4*C129)*1.0212^9),IF($E$2='Tabla Parámetros'!$J$20,($H$2/1000*'Tabla Parámetros'!$K$20)/30.4*C129)*1.0201^9)))+N129+O129)</f>
        <v>#REF!</v>
      </c>
      <c r="K129" s="167" t="e">
        <f t="shared" si="19"/>
        <v>#REF!</v>
      </c>
      <c r="L129" s="167" t="e">
        <f>IF(B129="","",IF(F129=0,0,Simulador!$N$13*$J$2))</f>
        <v>#REF!</v>
      </c>
      <c r="M129" s="167" t="e">
        <f>IF(B129="","",IF(F129=0,0,IF(Simulador!$F$11='Tabla Parámetros'!$W$1,'Tabla Parámetros'!$W$28,IF(Simulador!$F$11='Tabla Parámetros'!$Y$1,'Tabla Parámetros'!$Y$12))))</f>
        <v>#REF!</v>
      </c>
      <c r="N129" s="167" t="e">
        <f>IF(F129="","",IF(Simulador!$N$7='Tabla Parámetros'!$C$31,AportPat!L115,0))</f>
        <v>#REF!</v>
      </c>
      <c r="O129" s="172" t="e">
        <f>Simulador!#REF!</f>
        <v>#REF!</v>
      </c>
      <c r="P129" s="167" t="e">
        <f t="shared" si="23"/>
        <v>#REF!</v>
      </c>
      <c r="Q129" s="167" t="e">
        <f t="shared" si="26"/>
        <v>#REF!</v>
      </c>
      <c r="T129" s="6"/>
      <c r="U129" s="6"/>
      <c r="V129" s="6"/>
      <c r="W129" s="29" t="e">
        <f t="shared" si="18"/>
        <v>#REF!</v>
      </c>
    </row>
    <row r="130" spans="2:23" x14ac:dyDescent="0.3">
      <c r="B130" s="181">
        <f t="shared" si="24"/>
        <v>113</v>
      </c>
      <c r="C130" s="180">
        <f t="shared" si="20"/>
        <v>30.4</v>
      </c>
      <c r="D130" s="193">
        <f>IF(B130="","",'Tabla Parámetros'!$G$5)</f>
        <v>0.11799999999999999</v>
      </c>
      <c r="E130" s="167"/>
      <c r="F130" s="167" t="e">
        <f t="shared" si="25"/>
        <v>#REF!</v>
      </c>
      <c r="G130" s="166"/>
      <c r="H130" s="167" t="e">
        <f t="shared" si="21"/>
        <v>#REF!</v>
      </c>
      <c r="I130" s="167" t="e">
        <f t="shared" si="22"/>
        <v>#REF!</v>
      </c>
      <c r="J130" s="167" t="e">
        <f>IF(C130="","",IF(F130=0,0,IF(C130&lt;='Tabla Parámetros'!$J$23,I130,IF($E$2='Tabla Parámetros'!$J$19,((($H$2/1000*'Tabla Parámetros'!$K$19)/30.4*C130)*1.0212^9),IF($E$2='Tabla Parámetros'!$J$20,($H$2/1000*'Tabla Parámetros'!$K$20)/30.4*C130)*1.0201^9)))+N130+O130)</f>
        <v>#REF!</v>
      </c>
      <c r="K130" s="167" t="e">
        <f t="shared" si="19"/>
        <v>#REF!</v>
      </c>
      <c r="L130" s="167" t="e">
        <f>IF(B130="","",IF(F130=0,0,Simulador!$N$13*$J$2))</f>
        <v>#REF!</v>
      </c>
      <c r="M130" s="167" t="e">
        <f>IF(B130="","",IF(F130=0,0,IF(Simulador!$F$11='Tabla Parámetros'!$W$1,'Tabla Parámetros'!$W$28,IF(Simulador!$F$11='Tabla Parámetros'!$Y$1,'Tabla Parámetros'!$Y$12))))</f>
        <v>#REF!</v>
      </c>
      <c r="N130" s="167" t="e">
        <f>IF(F130="","",IF(Simulador!$N$7='Tabla Parámetros'!$C$31,AportPat!L116,0))</f>
        <v>#REF!</v>
      </c>
      <c r="O130" s="172" t="e">
        <f>Simulador!#REF!</f>
        <v>#REF!</v>
      </c>
      <c r="P130" s="167" t="e">
        <f t="shared" si="23"/>
        <v>#REF!</v>
      </c>
      <c r="Q130" s="167" t="e">
        <f t="shared" si="26"/>
        <v>#REF!</v>
      </c>
      <c r="T130" s="6"/>
      <c r="U130" s="6"/>
      <c r="V130" s="6"/>
      <c r="W130" s="29" t="e">
        <f t="shared" si="18"/>
        <v>#REF!</v>
      </c>
    </row>
    <row r="131" spans="2:23" x14ac:dyDescent="0.3">
      <c r="B131" s="181">
        <f t="shared" si="24"/>
        <v>114</v>
      </c>
      <c r="C131" s="180">
        <f t="shared" si="20"/>
        <v>30.4</v>
      </c>
      <c r="D131" s="193">
        <f>IF(B131="","",'Tabla Parámetros'!$G$5)</f>
        <v>0.11799999999999999</v>
      </c>
      <c r="E131" s="167"/>
      <c r="F131" s="167" t="e">
        <f t="shared" si="25"/>
        <v>#REF!</v>
      </c>
      <c r="G131" s="166"/>
      <c r="H131" s="167" t="e">
        <f t="shared" si="21"/>
        <v>#REF!</v>
      </c>
      <c r="I131" s="167" t="e">
        <f t="shared" si="22"/>
        <v>#REF!</v>
      </c>
      <c r="J131" s="167" t="e">
        <f>IF(C131="","",IF(F131=0,0,IF(C131&lt;='Tabla Parámetros'!$J$23,I131,IF($E$2='Tabla Parámetros'!$J$19,((($H$2/1000*'Tabla Parámetros'!$K$19)/30.4*C131)*1.0212^9),IF($E$2='Tabla Parámetros'!$J$20,($H$2/1000*'Tabla Parámetros'!$K$20)/30.4*C131)*1.0201^9)))+N131+O131)</f>
        <v>#REF!</v>
      </c>
      <c r="K131" s="167" t="e">
        <f t="shared" si="19"/>
        <v>#REF!</v>
      </c>
      <c r="L131" s="167" t="e">
        <f>IF(B131="","",IF(F131=0,0,Simulador!$N$13*$J$2))</f>
        <v>#REF!</v>
      </c>
      <c r="M131" s="167" t="e">
        <f>IF(B131="","",IF(F131=0,0,IF(Simulador!$F$11='Tabla Parámetros'!$W$1,'Tabla Parámetros'!$W$28,IF(Simulador!$F$11='Tabla Parámetros'!$Y$1,'Tabla Parámetros'!$Y$12))))</f>
        <v>#REF!</v>
      </c>
      <c r="N131" s="167" t="e">
        <f>IF(F131="","",IF(Simulador!$N$7='Tabla Parámetros'!$C$31,AportPat!L117,0))</f>
        <v>#REF!</v>
      </c>
      <c r="O131" s="172" t="e">
        <f>Simulador!#REF!</f>
        <v>#REF!</v>
      </c>
      <c r="P131" s="167" t="e">
        <f t="shared" si="23"/>
        <v>#REF!</v>
      </c>
      <c r="Q131" s="167" t="e">
        <f t="shared" si="26"/>
        <v>#REF!</v>
      </c>
      <c r="T131" s="6"/>
      <c r="U131" s="6"/>
      <c r="V131" s="6"/>
      <c r="W131" s="29" t="e">
        <f t="shared" si="18"/>
        <v>#REF!</v>
      </c>
    </row>
    <row r="132" spans="2:23" x14ac:dyDescent="0.3">
      <c r="B132" s="181">
        <f t="shared" si="24"/>
        <v>115</v>
      </c>
      <c r="C132" s="180">
        <f t="shared" si="20"/>
        <v>30.4</v>
      </c>
      <c r="D132" s="193">
        <f>IF(B132="","",'Tabla Parámetros'!$G$5)</f>
        <v>0.11799999999999999</v>
      </c>
      <c r="E132" s="167"/>
      <c r="F132" s="167" t="e">
        <f t="shared" si="25"/>
        <v>#REF!</v>
      </c>
      <c r="G132" s="166"/>
      <c r="H132" s="167" t="e">
        <f t="shared" si="21"/>
        <v>#REF!</v>
      </c>
      <c r="I132" s="167" t="e">
        <f t="shared" si="22"/>
        <v>#REF!</v>
      </c>
      <c r="J132" s="167" t="e">
        <f>IF(C132="","",IF(F132=0,0,IF(C132&lt;='Tabla Parámetros'!$J$23,I132,IF($E$2='Tabla Parámetros'!$J$19,((($H$2/1000*'Tabla Parámetros'!$K$19)/30.4*C132)*1.0212^9),IF($E$2='Tabla Parámetros'!$J$20,($H$2/1000*'Tabla Parámetros'!$K$20)/30.4*C132)*1.0201^9)))+N132+O132)</f>
        <v>#REF!</v>
      </c>
      <c r="K132" s="167" t="e">
        <f t="shared" si="19"/>
        <v>#REF!</v>
      </c>
      <c r="L132" s="167" t="e">
        <f>IF(B132="","",IF(F132=0,0,Simulador!$N$13*$J$2))</f>
        <v>#REF!</v>
      </c>
      <c r="M132" s="167" t="e">
        <f>IF(B132="","",IF(F132=0,0,IF(Simulador!$F$11='Tabla Parámetros'!$W$1,'Tabla Parámetros'!$W$28,IF(Simulador!$F$11='Tabla Parámetros'!$Y$1,'Tabla Parámetros'!$Y$12))))</f>
        <v>#REF!</v>
      </c>
      <c r="N132" s="167" t="e">
        <f>IF(F132="","",IF(Simulador!$N$7='Tabla Parámetros'!$C$31,AportPat!L118,0))</f>
        <v>#REF!</v>
      </c>
      <c r="O132" s="172" t="e">
        <f>Simulador!#REF!</f>
        <v>#REF!</v>
      </c>
      <c r="P132" s="167" t="e">
        <f t="shared" si="23"/>
        <v>#REF!</v>
      </c>
      <c r="Q132" s="167" t="e">
        <f t="shared" si="26"/>
        <v>#REF!</v>
      </c>
      <c r="T132" s="6"/>
      <c r="U132" s="6"/>
      <c r="V132" s="6"/>
      <c r="W132" s="29" t="e">
        <f t="shared" ref="W132:W195" si="27">P134</f>
        <v>#REF!</v>
      </c>
    </row>
    <row r="133" spans="2:23" x14ac:dyDescent="0.3">
      <c r="B133" s="181">
        <f t="shared" si="24"/>
        <v>116</v>
      </c>
      <c r="C133" s="180">
        <f t="shared" si="20"/>
        <v>30.4</v>
      </c>
      <c r="D133" s="193">
        <f>IF(B133="","",'Tabla Parámetros'!$G$5)</f>
        <v>0.11799999999999999</v>
      </c>
      <c r="E133" s="167"/>
      <c r="F133" s="167" t="e">
        <f t="shared" si="25"/>
        <v>#REF!</v>
      </c>
      <c r="G133" s="166"/>
      <c r="H133" s="167" t="e">
        <f t="shared" si="21"/>
        <v>#REF!</v>
      </c>
      <c r="I133" s="167" t="e">
        <f t="shared" si="22"/>
        <v>#REF!</v>
      </c>
      <c r="J133" s="167" t="e">
        <f>IF(C133="","",IF(F133=0,0,IF(C133&lt;='Tabla Parámetros'!$J$23,I133,IF($E$2='Tabla Parámetros'!$J$19,((($H$2/1000*'Tabla Parámetros'!$K$19)/30.4*C133)*1.0212^9),IF($E$2='Tabla Parámetros'!$J$20,($H$2/1000*'Tabla Parámetros'!$K$20)/30.4*C133)*1.0201^9)))+N133+O133)</f>
        <v>#REF!</v>
      </c>
      <c r="K133" s="167" t="e">
        <f t="shared" si="19"/>
        <v>#REF!</v>
      </c>
      <c r="L133" s="167" t="e">
        <f>IF(B133="","",IF(F133=0,0,Simulador!$N$13*$J$2))</f>
        <v>#REF!</v>
      </c>
      <c r="M133" s="167" t="e">
        <f>IF(B133="","",IF(F133=0,0,IF(Simulador!$F$11='Tabla Parámetros'!$W$1,'Tabla Parámetros'!$W$28,IF(Simulador!$F$11='Tabla Parámetros'!$Y$1,'Tabla Parámetros'!$Y$12))))</f>
        <v>#REF!</v>
      </c>
      <c r="N133" s="167" t="e">
        <f>IF(F133="","",IF(Simulador!$N$7='Tabla Parámetros'!$C$31,AportPat!L119,0))</f>
        <v>#REF!</v>
      </c>
      <c r="O133" s="172" t="e">
        <f>Simulador!#REF!</f>
        <v>#REF!</v>
      </c>
      <c r="P133" s="167" t="e">
        <f t="shared" si="23"/>
        <v>#REF!</v>
      </c>
      <c r="Q133" s="167" t="e">
        <f t="shared" si="26"/>
        <v>#REF!</v>
      </c>
      <c r="T133" s="6"/>
      <c r="U133" s="6"/>
      <c r="V133" s="6"/>
      <c r="W133" s="29" t="e">
        <f t="shared" si="27"/>
        <v>#REF!</v>
      </c>
    </row>
    <row r="134" spans="2:23" x14ac:dyDescent="0.3">
      <c r="B134" s="181">
        <f t="shared" si="24"/>
        <v>117</v>
      </c>
      <c r="C134" s="180">
        <f t="shared" si="20"/>
        <v>30.4</v>
      </c>
      <c r="D134" s="193">
        <f>IF(B134="","",'Tabla Parámetros'!$G$5)</f>
        <v>0.11799999999999999</v>
      </c>
      <c r="E134" s="167"/>
      <c r="F134" s="167" t="e">
        <f t="shared" si="25"/>
        <v>#REF!</v>
      </c>
      <c r="G134" s="166"/>
      <c r="H134" s="167" t="e">
        <f t="shared" si="21"/>
        <v>#REF!</v>
      </c>
      <c r="I134" s="167" t="e">
        <f t="shared" si="22"/>
        <v>#REF!</v>
      </c>
      <c r="J134" s="167" t="e">
        <f>IF(C134="","",IF(F134=0,0,IF(C134&lt;='Tabla Parámetros'!$J$23,I134,IF($E$2='Tabla Parámetros'!$J$19,((($H$2/1000*'Tabla Parámetros'!$K$19)/30.4*C134)*1.0212^9),IF($E$2='Tabla Parámetros'!$J$20,($H$2/1000*'Tabla Parámetros'!$K$20)/30.4*C134)*1.0201^9)))+N134+O134)</f>
        <v>#REF!</v>
      </c>
      <c r="K134" s="167" t="e">
        <f t="shared" si="19"/>
        <v>#REF!</v>
      </c>
      <c r="L134" s="167" t="e">
        <f>IF(B134="","",IF(F134=0,0,Simulador!$N$13*$J$2))</f>
        <v>#REF!</v>
      </c>
      <c r="M134" s="167" t="e">
        <f>IF(B134="","",IF(F134=0,0,IF(Simulador!$F$11='Tabla Parámetros'!$W$1,'Tabla Parámetros'!$W$28,IF(Simulador!$F$11='Tabla Parámetros'!$Y$1,'Tabla Parámetros'!$Y$12))))</f>
        <v>#REF!</v>
      </c>
      <c r="N134" s="167" t="e">
        <f>IF(F134="","",IF(Simulador!$N$7='Tabla Parámetros'!$C$31,AportPat!L120,0))</f>
        <v>#REF!</v>
      </c>
      <c r="O134" s="172" t="e">
        <f>Simulador!#REF!</f>
        <v>#REF!</v>
      </c>
      <c r="P134" s="167" t="e">
        <f t="shared" si="23"/>
        <v>#REF!</v>
      </c>
      <c r="Q134" s="167" t="e">
        <f t="shared" si="26"/>
        <v>#REF!</v>
      </c>
      <c r="T134" s="6"/>
      <c r="U134" s="6"/>
      <c r="V134" s="6"/>
      <c r="W134" s="29" t="e">
        <f t="shared" si="27"/>
        <v>#REF!</v>
      </c>
    </row>
    <row r="135" spans="2:23" x14ac:dyDescent="0.3">
      <c r="B135" s="181">
        <f t="shared" si="24"/>
        <v>118</v>
      </c>
      <c r="C135" s="180">
        <f t="shared" si="20"/>
        <v>30.4</v>
      </c>
      <c r="D135" s="193">
        <f>IF(B135="","",'Tabla Parámetros'!$G$5)</f>
        <v>0.11799999999999999</v>
      </c>
      <c r="E135" s="167"/>
      <c r="F135" s="167" t="e">
        <f t="shared" si="25"/>
        <v>#REF!</v>
      </c>
      <c r="G135" s="166"/>
      <c r="H135" s="167" t="e">
        <f t="shared" si="21"/>
        <v>#REF!</v>
      </c>
      <c r="I135" s="167" t="e">
        <f t="shared" si="22"/>
        <v>#REF!</v>
      </c>
      <c r="J135" s="167" t="e">
        <f>IF(C135="","",IF(F135=0,0,IF(C135&lt;='Tabla Parámetros'!$J$23,I135,IF($E$2='Tabla Parámetros'!$J$19,((($H$2/1000*'Tabla Parámetros'!$K$19)/30.4*C135)*1.0212^9),IF($E$2='Tabla Parámetros'!$J$20,($H$2/1000*'Tabla Parámetros'!$K$20)/30.4*C135)*1.0201^9)))+N135+O135)</f>
        <v>#REF!</v>
      </c>
      <c r="K135" s="167" t="e">
        <f t="shared" si="19"/>
        <v>#REF!</v>
      </c>
      <c r="L135" s="167" t="e">
        <f>IF(B135="","",IF(F135=0,0,Simulador!$N$13*$J$2))</f>
        <v>#REF!</v>
      </c>
      <c r="M135" s="167" t="e">
        <f>IF(B135="","",IF(F135=0,0,IF(Simulador!$F$11='Tabla Parámetros'!$W$1,'Tabla Parámetros'!$W$28,IF(Simulador!$F$11='Tabla Parámetros'!$Y$1,'Tabla Parámetros'!$Y$12))))</f>
        <v>#REF!</v>
      </c>
      <c r="N135" s="167" t="e">
        <f>IF(F135="","",IF(Simulador!$N$7='Tabla Parámetros'!$C$31,AportPat!L121,0))</f>
        <v>#REF!</v>
      </c>
      <c r="O135" s="172" t="e">
        <f>Simulador!#REF!</f>
        <v>#REF!</v>
      </c>
      <c r="P135" s="167" t="e">
        <f t="shared" si="23"/>
        <v>#REF!</v>
      </c>
      <c r="Q135" s="167" t="e">
        <f t="shared" si="26"/>
        <v>#REF!</v>
      </c>
      <c r="T135" s="6"/>
      <c r="U135" s="6"/>
      <c r="V135" s="6"/>
      <c r="W135" s="29" t="e">
        <f t="shared" si="27"/>
        <v>#REF!</v>
      </c>
    </row>
    <row r="136" spans="2:23" x14ac:dyDescent="0.3">
      <c r="B136" s="181">
        <f t="shared" si="24"/>
        <v>119</v>
      </c>
      <c r="C136" s="180">
        <f t="shared" si="20"/>
        <v>30.4</v>
      </c>
      <c r="D136" s="193">
        <f>IF(B136="","",'Tabla Parámetros'!$G$5)</f>
        <v>0.11799999999999999</v>
      </c>
      <c r="E136" s="167"/>
      <c r="F136" s="167" t="e">
        <f t="shared" si="25"/>
        <v>#REF!</v>
      </c>
      <c r="G136" s="166"/>
      <c r="H136" s="167" t="e">
        <f t="shared" si="21"/>
        <v>#REF!</v>
      </c>
      <c r="I136" s="167" t="e">
        <f t="shared" si="22"/>
        <v>#REF!</v>
      </c>
      <c r="J136" s="167" t="e">
        <f>IF(C136="","",IF(F136=0,0,IF(C136&lt;='Tabla Parámetros'!$J$23,I136,IF($E$2='Tabla Parámetros'!$J$19,((($H$2/1000*'Tabla Parámetros'!$K$19)/30.4*C136)*1.0212^9),IF($E$2='Tabla Parámetros'!$J$20,($H$2/1000*'Tabla Parámetros'!$K$20)/30.4*C136)*1.0201^9)))+N136+O136)</f>
        <v>#REF!</v>
      </c>
      <c r="K136" s="167" t="e">
        <f t="shared" si="19"/>
        <v>#REF!</v>
      </c>
      <c r="L136" s="167" t="e">
        <f>IF(B136="","",IF(F136=0,0,Simulador!$N$13*$J$2))</f>
        <v>#REF!</v>
      </c>
      <c r="M136" s="167" t="e">
        <f>IF(B136="","",IF(F136=0,0,IF(Simulador!$F$11='Tabla Parámetros'!$W$1,'Tabla Parámetros'!$W$28,IF(Simulador!$F$11='Tabla Parámetros'!$Y$1,'Tabla Parámetros'!$Y$12))))</f>
        <v>#REF!</v>
      </c>
      <c r="N136" s="167" t="e">
        <f>IF(F136="","",IF(Simulador!$N$7='Tabla Parámetros'!$C$31,AportPat!L122,0))</f>
        <v>#REF!</v>
      </c>
      <c r="O136" s="172" t="e">
        <f>Simulador!#REF!</f>
        <v>#REF!</v>
      </c>
      <c r="P136" s="167" t="e">
        <f t="shared" si="23"/>
        <v>#REF!</v>
      </c>
      <c r="Q136" s="167" t="e">
        <f t="shared" si="26"/>
        <v>#REF!</v>
      </c>
      <c r="T136" s="6"/>
      <c r="U136" s="6"/>
      <c r="V136" s="6"/>
      <c r="W136" s="29" t="e">
        <f t="shared" si="27"/>
        <v>#REF!</v>
      </c>
    </row>
    <row r="137" spans="2:23" x14ac:dyDescent="0.3">
      <c r="B137" s="181">
        <f t="shared" si="24"/>
        <v>120</v>
      </c>
      <c r="C137" s="180">
        <f t="shared" si="20"/>
        <v>30.4</v>
      </c>
      <c r="D137" s="193">
        <f>IF(B137="","",'Tabla Parámetros'!$G$5)</f>
        <v>0.11799999999999999</v>
      </c>
      <c r="E137" s="167"/>
      <c r="F137" s="167" t="e">
        <f t="shared" si="25"/>
        <v>#REF!</v>
      </c>
      <c r="G137" s="166"/>
      <c r="H137" s="167" t="e">
        <f t="shared" si="21"/>
        <v>#REF!</v>
      </c>
      <c r="I137" s="167" t="e">
        <f t="shared" si="22"/>
        <v>#REF!</v>
      </c>
      <c r="J137" s="167" t="e">
        <f>IF(C137="","",IF(F137=0,0,IF(C137&lt;='Tabla Parámetros'!$J$23,I137,IF($E$2='Tabla Parámetros'!$J$19,((($H$2/1000*'Tabla Parámetros'!$K$19)/30.4*C137)*1.0212^9),IF($E$2='Tabla Parámetros'!$J$20,($H$2/1000*'Tabla Parámetros'!$K$20)/30.4*C137)*1.0201^9)))+N137+O137)</f>
        <v>#REF!</v>
      </c>
      <c r="K137" s="167" t="e">
        <f t="shared" si="19"/>
        <v>#REF!</v>
      </c>
      <c r="L137" s="167" t="e">
        <f>IF(B137="","",IF(F137=0,0,Simulador!$N$13*$J$2))</f>
        <v>#REF!</v>
      </c>
      <c r="M137" s="167" t="e">
        <f>IF(B137="","",IF(F137=0,0,IF(Simulador!$F$11='Tabla Parámetros'!$W$1,'Tabla Parámetros'!$W$28,IF(Simulador!$F$11='Tabla Parámetros'!$Y$1,'Tabla Parámetros'!$Y$12))))</f>
        <v>#REF!</v>
      </c>
      <c r="N137" s="167" t="e">
        <f>IF(F137="","",IF(Simulador!$N$7='Tabla Parámetros'!$C$31,AportPat!L123,0))</f>
        <v>#REF!</v>
      </c>
      <c r="O137" s="172" t="e">
        <f>Simulador!#REF!</f>
        <v>#REF!</v>
      </c>
      <c r="P137" s="167" t="e">
        <f t="shared" si="23"/>
        <v>#REF!</v>
      </c>
      <c r="Q137" s="167" t="e">
        <f t="shared" si="26"/>
        <v>#REF!</v>
      </c>
      <c r="T137" s="6"/>
      <c r="U137" s="6"/>
      <c r="V137" s="6"/>
      <c r="W137" s="29" t="e">
        <f t="shared" si="27"/>
        <v>#REF!</v>
      </c>
    </row>
    <row r="138" spans="2:23" x14ac:dyDescent="0.3">
      <c r="B138" s="181">
        <f t="shared" si="24"/>
        <v>121</v>
      </c>
      <c r="C138" s="180">
        <f t="shared" si="20"/>
        <v>30.4</v>
      </c>
      <c r="D138" s="193">
        <f>IF(B138="","",'Tabla Parámetros'!$G$5)</f>
        <v>0.11799999999999999</v>
      </c>
      <c r="E138" s="167"/>
      <c r="F138" s="167" t="e">
        <f t="shared" si="25"/>
        <v>#REF!</v>
      </c>
      <c r="G138" s="166"/>
      <c r="H138" s="167" t="e">
        <f t="shared" si="21"/>
        <v>#REF!</v>
      </c>
      <c r="I138" s="167" t="e">
        <f t="shared" si="22"/>
        <v>#REF!</v>
      </c>
      <c r="J138" s="167" t="e">
        <f>IF(C138="","",IF(F138=0,0,IF(C138&lt;='Tabla Parámetros'!$J$23,I138,IF($E$2='Tabla Parámetros'!$J$19,((($H$2/1000*'Tabla Parámetros'!$K$19)/30.4*C138)*1.0212^9),IF($E$2='Tabla Parámetros'!$J$20,($H$2/1000*'Tabla Parámetros'!$K$20)/30.4*C138)*1.0201^9)))+N138+O138)</f>
        <v>#REF!</v>
      </c>
      <c r="K138" s="167" t="e">
        <f t="shared" si="19"/>
        <v>#REF!</v>
      </c>
      <c r="L138" s="167" t="e">
        <f>IF(B138="","",IF(F138=0,0,Simulador!$N$13*$J$2))</f>
        <v>#REF!</v>
      </c>
      <c r="M138" s="167" t="e">
        <f>IF(B138="","",IF(F138=0,0,IF(Simulador!$F$11='Tabla Parámetros'!$W$1,'Tabla Parámetros'!$W$28,IF(Simulador!$F$11='Tabla Parámetros'!$Y$1,'Tabla Parámetros'!$Y$12))))</f>
        <v>#REF!</v>
      </c>
      <c r="N138" s="167" t="e">
        <f>IF(F138="","",IF(Simulador!$N$7='Tabla Parámetros'!$C$31,AportPat!L124,0))</f>
        <v>#REF!</v>
      </c>
      <c r="O138" s="172" t="e">
        <f>Simulador!#REF!</f>
        <v>#REF!</v>
      </c>
      <c r="P138" s="167" t="e">
        <f t="shared" si="23"/>
        <v>#REF!</v>
      </c>
      <c r="Q138" s="167" t="e">
        <f t="shared" si="26"/>
        <v>#REF!</v>
      </c>
      <c r="T138" s="6"/>
      <c r="U138" s="6"/>
      <c r="V138" s="6"/>
      <c r="W138" s="29" t="e">
        <f t="shared" si="27"/>
        <v>#REF!</v>
      </c>
    </row>
    <row r="139" spans="2:23" x14ac:dyDescent="0.3">
      <c r="B139" s="181">
        <f t="shared" si="24"/>
        <v>122</v>
      </c>
      <c r="C139" s="180">
        <f t="shared" si="20"/>
        <v>30.4</v>
      </c>
      <c r="D139" s="193">
        <f>IF(B139="","",'Tabla Parámetros'!$G$5)</f>
        <v>0.11799999999999999</v>
      </c>
      <c r="E139" s="167"/>
      <c r="F139" s="167" t="e">
        <f t="shared" si="25"/>
        <v>#REF!</v>
      </c>
      <c r="G139" s="166"/>
      <c r="H139" s="167" t="e">
        <f t="shared" si="21"/>
        <v>#REF!</v>
      </c>
      <c r="I139" s="167" t="e">
        <f t="shared" si="22"/>
        <v>#REF!</v>
      </c>
      <c r="J139" s="167" t="e">
        <f>IF(C139="","",IF(F139=0,0,IF(C139&lt;='Tabla Parámetros'!$J$23,I139,IF($E$2='Tabla Parámetros'!$J$19,((($H$2/1000*'Tabla Parámetros'!$K$19)/30.4*C139)*1.0212^10),IF($E$2='Tabla Parámetros'!$J$20,($H$2/1000*'Tabla Parámetros'!$K$20)/30.4*C139)*1.0201^10)))+N139+O139)</f>
        <v>#REF!</v>
      </c>
      <c r="K139" s="167" t="e">
        <f t="shared" si="19"/>
        <v>#REF!</v>
      </c>
      <c r="L139" s="167" t="e">
        <f>IF(B139="","",IF(F139=0,0,Simulador!$N$13*$J$2))</f>
        <v>#REF!</v>
      </c>
      <c r="M139" s="167" t="e">
        <f>IF(B139="","",IF(F139=0,0,IF(Simulador!$F$11='Tabla Parámetros'!$W$1,'Tabla Parámetros'!$W$28,IF(Simulador!$F$11='Tabla Parámetros'!$Y$1,'Tabla Parámetros'!$Y$12))))</f>
        <v>#REF!</v>
      </c>
      <c r="N139" s="167" t="e">
        <f>IF(F139="","",IF(Simulador!$N$7='Tabla Parámetros'!$C$31,AportPat!L125,0))</f>
        <v>#REF!</v>
      </c>
      <c r="O139" s="172" t="e">
        <f>Simulador!#REF!</f>
        <v>#REF!</v>
      </c>
      <c r="P139" s="167" t="e">
        <f t="shared" si="23"/>
        <v>#REF!</v>
      </c>
      <c r="Q139" s="167" t="e">
        <f t="shared" si="26"/>
        <v>#REF!</v>
      </c>
      <c r="T139" s="6"/>
      <c r="U139" s="6"/>
      <c r="V139" s="6"/>
      <c r="W139" s="29" t="e">
        <f t="shared" si="27"/>
        <v>#REF!</v>
      </c>
    </row>
    <row r="140" spans="2:23" x14ac:dyDescent="0.3">
      <c r="B140" s="181">
        <f t="shared" si="24"/>
        <v>123</v>
      </c>
      <c r="C140" s="180">
        <f t="shared" si="20"/>
        <v>30.4</v>
      </c>
      <c r="D140" s="193">
        <f>IF(B140="","",'Tabla Parámetros'!$G$5)</f>
        <v>0.11799999999999999</v>
      </c>
      <c r="E140" s="167"/>
      <c r="F140" s="167" t="e">
        <f t="shared" si="25"/>
        <v>#REF!</v>
      </c>
      <c r="G140" s="166"/>
      <c r="H140" s="167" t="e">
        <f t="shared" si="21"/>
        <v>#REF!</v>
      </c>
      <c r="I140" s="167" t="e">
        <f t="shared" si="22"/>
        <v>#REF!</v>
      </c>
      <c r="J140" s="167" t="e">
        <f>IF(C140="","",IF(F140=0,0,IF(C140&lt;='Tabla Parámetros'!$J$23,I140,IF($E$2='Tabla Parámetros'!$J$19,((($H$2/1000*'Tabla Parámetros'!$K$19)/30.4*C140)*1.0212^10),IF($E$2='Tabla Parámetros'!$J$20,($H$2/1000*'Tabla Parámetros'!$K$20)/30.4*C140)*1.0201^10)))+N140+O140)</f>
        <v>#REF!</v>
      </c>
      <c r="K140" s="167" t="e">
        <f t="shared" si="19"/>
        <v>#REF!</v>
      </c>
      <c r="L140" s="167" t="e">
        <f>IF(B140="","",IF(F140=0,0,Simulador!$N$13*$J$2))</f>
        <v>#REF!</v>
      </c>
      <c r="M140" s="167" t="e">
        <f>IF(B140="","",IF(F140=0,0,IF(Simulador!$F$11='Tabla Parámetros'!$W$1,'Tabla Parámetros'!$W$28,IF(Simulador!$F$11='Tabla Parámetros'!$Y$1,'Tabla Parámetros'!$Y$12))))</f>
        <v>#REF!</v>
      </c>
      <c r="N140" s="167" t="e">
        <f>IF(F140="","",IF(Simulador!$N$7='Tabla Parámetros'!$C$31,AportPat!L126,0))</f>
        <v>#REF!</v>
      </c>
      <c r="O140" s="172" t="e">
        <f>Simulador!#REF!</f>
        <v>#REF!</v>
      </c>
      <c r="P140" s="167" t="e">
        <f t="shared" si="23"/>
        <v>#REF!</v>
      </c>
      <c r="Q140" s="167" t="e">
        <f t="shared" si="26"/>
        <v>#REF!</v>
      </c>
      <c r="T140" s="6"/>
      <c r="U140" s="6"/>
      <c r="V140" s="6"/>
      <c r="W140" s="29" t="e">
        <f t="shared" si="27"/>
        <v>#REF!</v>
      </c>
    </row>
    <row r="141" spans="2:23" x14ac:dyDescent="0.3">
      <c r="B141" s="181">
        <f t="shared" si="24"/>
        <v>124</v>
      </c>
      <c r="C141" s="180">
        <f t="shared" si="20"/>
        <v>30.4</v>
      </c>
      <c r="D141" s="193">
        <f>IF(B141="","",'Tabla Parámetros'!$G$5)</f>
        <v>0.11799999999999999</v>
      </c>
      <c r="E141" s="167"/>
      <c r="F141" s="167" t="e">
        <f t="shared" si="25"/>
        <v>#REF!</v>
      </c>
      <c r="G141" s="166"/>
      <c r="H141" s="167" t="e">
        <f t="shared" si="21"/>
        <v>#REF!</v>
      </c>
      <c r="I141" s="167" t="e">
        <f t="shared" si="22"/>
        <v>#REF!</v>
      </c>
      <c r="J141" s="167" t="e">
        <f>IF(C141="","",IF(F141=0,0,IF(C141&lt;='Tabla Parámetros'!$J$23,I141,IF($E$2='Tabla Parámetros'!$J$19,((($H$2/1000*'Tabla Parámetros'!$K$19)/30.4*C141)*1.0212^10),IF($E$2='Tabla Parámetros'!$J$20,($H$2/1000*'Tabla Parámetros'!$K$20)/30.4*C141)*1.0201^10)))+N141+O141)</f>
        <v>#REF!</v>
      </c>
      <c r="K141" s="167" t="e">
        <f t="shared" si="19"/>
        <v>#REF!</v>
      </c>
      <c r="L141" s="167" t="e">
        <f>IF(B141="","",IF(F141=0,0,Simulador!$N$13*$J$2))</f>
        <v>#REF!</v>
      </c>
      <c r="M141" s="167" t="e">
        <f>IF(B141="","",IF(F141=0,0,IF(Simulador!$F$11='Tabla Parámetros'!$W$1,'Tabla Parámetros'!$W$28,IF(Simulador!$F$11='Tabla Parámetros'!$Y$1,'Tabla Parámetros'!$Y$12))))</f>
        <v>#REF!</v>
      </c>
      <c r="N141" s="167" t="e">
        <f>IF(F141="","",IF(Simulador!$N$7='Tabla Parámetros'!$C$31,AportPat!L127,0))</f>
        <v>#REF!</v>
      </c>
      <c r="O141" s="172" t="e">
        <f>Simulador!#REF!</f>
        <v>#REF!</v>
      </c>
      <c r="P141" s="167" t="e">
        <f t="shared" si="23"/>
        <v>#REF!</v>
      </c>
      <c r="Q141" s="167" t="e">
        <f t="shared" si="26"/>
        <v>#REF!</v>
      </c>
      <c r="T141" s="6"/>
      <c r="U141" s="6"/>
      <c r="V141" s="6"/>
      <c r="W141" s="29" t="e">
        <f t="shared" si="27"/>
        <v>#REF!</v>
      </c>
    </row>
    <row r="142" spans="2:23" x14ac:dyDescent="0.3">
      <c r="B142" s="181">
        <f t="shared" si="24"/>
        <v>125</v>
      </c>
      <c r="C142" s="180">
        <f t="shared" si="20"/>
        <v>30.4</v>
      </c>
      <c r="D142" s="193">
        <f>IF(B142="","",'Tabla Parámetros'!$G$5)</f>
        <v>0.11799999999999999</v>
      </c>
      <c r="E142" s="167"/>
      <c r="F142" s="167" t="e">
        <f t="shared" si="25"/>
        <v>#REF!</v>
      </c>
      <c r="G142" s="166"/>
      <c r="H142" s="167" t="e">
        <f t="shared" si="21"/>
        <v>#REF!</v>
      </c>
      <c r="I142" s="167" t="e">
        <f t="shared" si="22"/>
        <v>#REF!</v>
      </c>
      <c r="J142" s="167" t="e">
        <f>IF(C142="","",IF(F142=0,0,IF(C142&lt;='Tabla Parámetros'!$J$23,I142,IF($E$2='Tabla Parámetros'!$J$19,((($H$2/1000*'Tabla Parámetros'!$K$19)/30.4*C142)*1.0212^10),IF($E$2='Tabla Parámetros'!$J$20,($H$2/1000*'Tabla Parámetros'!$K$20)/30.4*C142)*1.0201^10)))+N142+O142)</f>
        <v>#REF!</v>
      </c>
      <c r="K142" s="167" t="e">
        <f t="shared" si="19"/>
        <v>#REF!</v>
      </c>
      <c r="L142" s="167" t="e">
        <f>IF(B142="","",IF(F142=0,0,Simulador!$N$13*$J$2))</f>
        <v>#REF!</v>
      </c>
      <c r="M142" s="167" t="e">
        <f>IF(B142="","",IF(F142=0,0,IF(Simulador!$F$11='Tabla Parámetros'!$W$1,'Tabla Parámetros'!$W$28,IF(Simulador!$F$11='Tabla Parámetros'!$Y$1,'Tabla Parámetros'!$Y$12))))</f>
        <v>#REF!</v>
      </c>
      <c r="N142" s="167" t="e">
        <f>IF(F142="","",IF(Simulador!$N$7='Tabla Parámetros'!$C$31,AportPat!L128,0))</f>
        <v>#REF!</v>
      </c>
      <c r="O142" s="172" t="e">
        <f>Simulador!#REF!</f>
        <v>#REF!</v>
      </c>
      <c r="P142" s="167" t="e">
        <f t="shared" si="23"/>
        <v>#REF!</v>
      </c>
      <c r="Q142" s="167" t="e">
        <f t="shared" si="26"/>
        <v>#REF!</v>
      </c>
      <c r="T142" s="6"/>
      <c r="U142" s="6"/>
      <c r="V142" s="6"/>
      <c r="W142" s="29" t="e">
        <f t="shared" si="27"/>
        <v>#REF!</v>
      </c>
    </row>
    <row r="143" spans="2:23" x14ac:dyDescent="0.3">
      <c r="B143" s="181">
        <f t="shared" si="24"/>
        <v>126</v>
      </c>
      <c r="C143" s="180">
        <f t="shared" si="20"/>
        <v>30.4</v>
      </c>
      <c r="D143" s="193">
        <f>IF(B143="","",'Tabla Parámetros'!$G$5)</f>
        <v>0.11799999999999999</v>
      </c>
      <c r="E143" s="167"/>
      <c r="F143" s="167" t="e">
        <f t="shared" si="25"/>
        <v>#REF!</v>
      </c>
      <c r="G143" s="166"/>
      <c r="H143" s="167" t="e">
        <f t="shared" si="21"/>
        <v>#REF!</v>
      </c>
      <c r="I143" s="167" t="e">
        <f t="shared" si="22"/>
        <v>#REF!</v>
      </c>
      <c r="J143" s="167" t="e">
        <f>IF(C143="","",IF(F143=0,0,IF(C143&lt;='Tabla Parámetros'!$J$23,I143,IF($E$2='Tabla Parámetros'!$J$19,((($H$2/1000*'Tabla Parámetros'!$K$19)/30.4*C143)*1.0212^10),IF($E$2='Tabla Parámetros'!$J$20,($H$2/1000*'Tabla Parámetros'!$K$20)/30.4*C143)*1.0201^10)))+N143+O143)</f>
        <v>#REF!</v>
      </c>
      <c r="K143" s="167" t="e">
        <f t="shared" si="19"/>
        <v>#REF!</v>
      </c>
      <c r="L143" s="167" t="e">
        <f>IF(B143="","",IF(F143=0,0,Simulador!$N$13*$J$2))</f>
        <v>#REF!</v>
      </c>
      <c r="M143" s="167" t="e">
        <f>IF(B143="","",IF(F143=0,0,IF(Simulador!$F$11='Tabla Parámetros'!$W$1,'Tabla Parámetros'!$W$28,IF(Simulador!$F$11='Tabla Parámetros'!$Y$1,'Tabla Parámetros'!$Y$12))))</f>
        <v>#REF!</v>
      </c>
      <c r="N143" s="167" t="e">
        <f>IF(F143="","",IF(Simulador!$N$7='Tabla Parámetros'!$C$31,AportPat!L129,0))</f>
        <v>#REF!</v>
      </c>
      <c r="O143" s="172" t="e">
        <f>Simulador!#REF!</f>
        <v>#REF!</v>
      </c>
      <c r="P143" s="167" t="e">
        <f t="shared" si="23"/>
        <v>#REF!</v>
      </c>
      <c r="Q143" s="167" t="e">
        <f t="shared" si="26"/>
        <v>#REF!</v>
      </c>
      <c r="T143" s="6"/>
      <c r="U143" s="6"/>
      <c r="V143" s="6"/>
      <c r="W143" s="29" t="e">
        <f t="shared" si="27"/>
        <v>#REF!</v>
      </c>
    </row>
    <row r="144" spans="2:23" x14ac:dyDescent="0.3">
      <c r="B144" s="181">
        <f t="shared" si="24"/>
        <v>127</v>
      </c>
      <c r="C144" s="180">
        <f t="shared" si="20"/>
        <v>30.4</v>
      </c>
      <c r="D144" s="193">
        <f>IF(B144="","",'Tabla Parámetros'!$G$5)</f>
        <v>0.11799999999999999</v>
      </c>
      <c r="E144" s="167"/>
      <c r="F144" s="167" t="e">
        <f t="shared" si="25"/>
        <v>#REF!</v>
      </c>
      <c r="G144" s="166"/>
      <c r="H144" s="167" t="e">
        <f t="shared" si="21"/>
        <v>#REF!</v>
      </c>
      <c r="I144" s="167" t="e">
        <f t="shared" si="22"/>
        <v>#REF!</v>
      </c>
      <c r="J144" s="167" t="e">
        <f>IF(C144="","",IF(F144=0,0,IF(C144&lt;='Tabla Parámetros'!$J$23,I144,IF($E$2='Tabla Parámetros'!$J$19,((($H$2/1000*'Tabla Parámetros'!$K$19)/30.4*C144)*1.0212^10),IF($E$2='Tabla Parámetros'!$J$20,($H$2/1000*'Tabla Parámetros'!$K$20)/30.4*C144)*1.0201^10)))+N144+O144)</f>
        <v>#REF!</v>
      </c>
      <c r="K144" s="167" t="e">
        <f t="shared" si="19"/>
        <v>#REF!</v>
      </c>
      <c r="L144" s="167" t="e">
        <f>IF(B144="","",IF(F144=0,0,Simulador!$N$13*$J$2))</f>
        <v>#REF!</v>
      </c>
      <c r="M144" s="167" t="e">
        <f>IF(B144="","",IF(F144=0,0,IF(Simulador!$F$11='Tabla Parámetros'!$W$1,'Tabla Parámetros'!$W$28,IF(Simulador!$F$11='Tabla Parámetros'!$Y$1,'Tabla Parámetros'!$Y$12))))</f>
        <v>#REF!</v>
      </c>
      <c r="N144" s="167" t="e">
        <f>IF(F144="","",IF(Simulador!$N$7='Tabla Parámetros'!$C$31,AportPat!L130,0))</f>
        <v>#REF!</v>
      </c>
      <c r="O144" s="172" t="e">
        <f>Simulador!#REF!</f>
        <v>#REF!</v>
      </c>
      <c r="P144" s="167" t="e">
        <f t="shared" si="23"/>
        <v>#REF!</v>
      </c>
      <c r="Q144" s="167" t="e">
        <f t="shared" si="26"/>
        <v>#REF!</v>
      </c>
      <c r="T144" s="6"/>
      <c r="U144" s="6"/>
      <c r="V144" s="6"/>
      <c r="W144" s="29" t="e">
        <f t="shared" si="27"/>
        <v>#REF!</v>
      </c>
    </row>
    <row r="145" spans="2:23" x14ac:dyDescent="0.3">
      <c r="B145" s="181">
        <f t="shared" si="24"/>
        <v>128</v>
      </c>
      <c r="C145" s="180">
        <f t="shared" si="20"/>
        <v>30.4</v>
      </c>
      <c r="D145" s="193">
        <f>IF(B145="","",'Tabla Parámetros'!$G$5)</f>
        <v>0.11799999999999999</v>
      </c>
      <c r="E145" s="167"/>
      <c r="F145" s="167" t="e">
        <f t="shared" si="25"/>
        <v>#REF!</v>
      </c>
      <c r="G145" s="166"/>
      <c r="H145" s="167" t="e">
        <f t="shared" si="21"/>
        <v>#REF!</v>
      </c>
      <c r="I145" s="167" t="e">
        <f t="shared" si="22"/>
        <v>#REF!</v>
      </c>
      <c r="J145" s="167" t="e">
        <f>IF(C145="","",IF(F145=0,0,IF(C145&lt;='Tabla Parámetros'!$J$23,I145,IF($E$2='Tabla Parámetros'!$J$19,((($H$2/1000*'Tabla Parámetros'!$K$19)/30.4*C145)*1.0212^10),IF($E$2='Tabla Parámetros'!$J$20,($H$2/1000*'Tabla Parámetros'!$K$20)/30.4*C145)*1.0201^10)))+N145+O145)</f>
        <v>#REF!</v>
      </c>
      <c r="K145" s="167" t="e">
        <f t="shared" si="19"/>
        <v>#REF!</v>
      </c>
      <c r="L145" s="167" t="e">
        <f>IF(B145="","",IF(F145=0,0,Simulador!$N$13*$J$2))</f>
        <v>#REF!</v>
      </c>
      <c r="M145" s="167" t="e">
        <f>IF(B145="","",IF(F145=0,0,IF(Simulador!$F$11='Tabla Parámetros'!$W$1,'Tabla Parámetros'!$W$28,IF(Simulador!$F$11='Tabla Parámetros'!$Y$1,'Tabla Parámetros'!$Y$12))))</f>
        <v>#REF!</v>
      </c>
      <c r="N145" s="167" t="e">
        <f>IF(F145="","",IF(Simulador!$N$7='Tabla Parámetros'!$C$31,AportPat!L131,0))</f>
        <v>#REF!</v>
      </c>
      <c r="O145" s="172" t="e">
        <f>Simulador!#REF!</f>
        <v>#REF!</v>
      </c>
      <c r="P145" s="167" t="e">
        <f t="shared" si="23"/>
        <v>#REF!</v>
      </c>
      <c r="Q145" s="167" t="e">
        <f t="shared" si="26"/>
        <v>#REF!</v>
      </c>
      <c r="T145" s="6"/>
      <c r="U145" s="6"/>
      <c r="V145" s="6"/>
      <c r="W145" s="29" t="e">
        <f t="shared" si="27"/>
        <v>#REF!</v>
      </c>
    </row>
    <row r="146" spans="2:23" x14ac:dyDescent="0.3">
      <c r="B146" s="181">
        <f t="shared" si="24"/>
        <v>129</v>
      </c>
      <c r="C146" s="180">
        <f t="shared" si="20"/>
        <v>30.4</v>
      </c>
      <c r="D146" s="193">
        <f>IF(B146="","",'Tabla Parámetros'!$G$5)</f>
        <v>0.11799999999999999</v>
      </c>
      <c r="E146" s="167"/>
      <c r="F146" s="167" t="e">
        <f t="shared" si="25"/>
        <v>#REF!</v>
      </c>
      <c r="G146" s="166"/>
      <c r="H146" s="167" t="e">
        <f t="shared" si="21"/>
        <v>#REF!</v>
      </c>
      <c r="I146" s="167" t="e">
        <f t="shared" si="22"/>
        <v>#REF!</v>
      </c>
      <c r="J146" s="167" t="e">
        <f>IF(C146="","",IF(F146=0,0,IF(C146&lt;='Tabla Parámetros'!$J$23,I146,IF($E$2='Tabla Parámetros'!$J$19,((($H$2/1000*'Tabla Parámetros'!$K$19)/30.4*C146)*1.0212^10),IF($E$2='Tabla Parámetros'!$J$20,($H$2/1000*'Tabla Parámetros'!$K$20)/30.4*C146)*1.0201^10)))+N146+O146)</f>
        <v>#REF!</v>
      </c>
      <c r="K146" s="167" t="e">
        <f t="shared" ref="K146:K197" si="28">IF(B146="","",IF(F146=0,0,$H$2*$I$2))</f>
        <v>#REF!</v>
      </c>
      <c r="L146" s="167" t="e">
        <f>IF(B146="","",IF(F146=0,0,Simulador!$N$13*$J$2))</f>
        <v>#REF!</v>
      </c>
      <c r="M146" s="167" t="e">
        <f>IF(B146="","",IF(F146=0,0,IF(Simulador!$F$11='Tabla Parámetros'!$W$1,'Tabla Parámetros'!$W$28,IF(Simulador!$F$11='Tabla Parámetros'!$Y$1,'Tabla Parámetros'!$Y$12))))</f>
        <v>#REF!</v>
      </c>
      <c r="N146" s="167" t="e">
        <f>IF(F146="","",IF(Simulador!$N$7='Tabla Parámetros'!$C$31,AportPat!L132,0))</f>
        <v>#REF!</v>
      </c>
      <c r="O146" s="172" t="e">
        <f>Simulador!#REF!</f>
        <v>#REF!</v>
      </c>
      <c r="P146" s="167" t="e">
        <f t="shared" si="23"/>
        <v>#REF!</v>
      </c>
      <c r="Q146" s="167" t="e">
        <f t="shared" si="26"/>
        <v>#REF!</v>
      </c>
      <c r="T146" s="6"/>
      <c r="U146" s="6"/>
      <c r="V146" s="6"/>
      <c r="W146" s="29" t="e">
        <f t="shared" si="27"/>
        <v>#REF!</v>
      </c>
    </row>
    <row r="147" spans="2:23" x14ac:dyDescent="0.3">
      <c r="B147" s="181">
        <f t="shared" si="24"/>
        <v>130</v>
      </c>
      <c r="C147" s="180">
        <f t="shared" ref="C147:C197" si="29">IF(B147="","",30.4)</f>
        <v>30.4</v>
      </c>
      <c r="D147" s="193">
        <f>IF(B147="","",'Tabla Parámetros'!$G$5)</f>
        <v>0.11799999999999999</v>
      </c>
      <c r="E147" s="167"/>
      <c r="F147" s="167" t="e">
        <f t="shared" si="25"/>
        <v>#REF!</v>
      </c>
      <c r="G147" s="166"/>
      <c r="H147" s="167" t="e">
        <f t="shared" ref="H147:H197" si="30">IF(OR($B147="",$B147&lt;=1),"",IF($B147=$E$2,$F147,IF(($J147-$I147+$N147+$O147)&gt;$F147,$F147,$J147-$I147+$N147+$O147)))</f>
        <v>#REF!</v>
      </c>
      <c r="I147" s="167" t="e">
        <f t="shared" ref="I147:I197" si="31">IF(B147="","",((D147/360)*30.4)*F147)</f>
        <v>#REF!</v>
      </c>
      <c r="J147" s="167" t="e">
        <f>IF(C147="","",IF(F147=0,0,IF(C147&lt;='Tabla Parámetros'!$J$23,I147,IF($E$2='Tabla Parámetros'!$J$19,((($H$2/1000*'Tabla Parámetros'!$K$19)/30.4*C147)*1.0212^10),IF($E$2='Tabla Parámetros'!$J$20,($H$2/1000*'Tabla Parámetros'!$K$20)/30.4*C147)*1.0201^10)))+N147+O147)</f>
        <v>#REF!</v>
      </c>
      <c r="K147" s="167" t="e">
        <f t="shared" si="28"/>
        <v>#REF!</v>
      </c>
      <c r="L147" s="167" t="e">
        <f>IF(B147="","",IF(F147=0,0,Simulador!$N$13*$J$2))</f>
        <v>#REF!</v>
      </c>
      <c r="M147" s="167" t="e">
        <f>IF(B147="","",IF(F147=0,0,IF(Simulador!$F$11='Tabla Parámetros'!$W$1,'Tabla Parámetros'!$W$28,IF(Simulador!$F$11='Tabla Parámetros'!$Y$1,'Tabla Parámetros'!$Y$12))))</f>
        <v>#REF!</v>
      </c>
      <c r="N147" s="167" t="e">
        <f>IF(F147="","",IF(Simulador!$N$7='Tabla Parámetros'!$C$31,AportPat!L133,0))</f>
        <v>#REF!</v>
      </c>
      <c r="O147" s="172" t="e">
        <f>Simulador!#REF!</f>
        <v>#REF!</v>
      </c>
      <c r="P147" s="167" t="e">
        <f t="shared" ref="P147:P197" si="32">IF(F147="","",SUM(J147:M147)-(N147+O147))</f>
        <v>#REF!</v>
      </c>
      <c r="Q147" s="167" t="e">
        <f t="shared" si="26"/>
        <v>#REF!</v>
      </c>
      <c r="T147" s="6"/>
      <c r="U147" s="6"/>
      <c r="V147" s="6"/>
      <c r="W147" s="29" t="e">
        <f t="shared" si="27"/>
        <v>#REF!</v>
      </c>
    </row>
    <row r="148" spans="2:23" x14ac:dyDescent="0.3">
      <c r="B148" s="181">
        <f t="shared" ref="B148:B211" si="33">IF(B147=$E$2,"",IF(B147="","",B147+1))</f>
        <v>131</v>
      </c>
      <c r="C148" s="180">
        <f t="shared" si="29"/>
        <v>30.4</v>
      </c>
      <c r="D148" s="193">
        <f>IF(B148="","",'Tabla Parámetros'!$G$5)</f>
        <v>0.11799999999999999</v>
      </c>
      <c r="E148" s="167"/>
      <c r="F148" s="167" t="e">
        <f t="shared" ref="F148:F211" si="34">IF(B148="","",F147-H147)</f>
        <v>#REF!</v>
      </c>
      <c r="G148" s="166"/>
      <c r="H148" s="167" t="e">
        <f t="shared" si="30"/>
        <v>#REF!</v>
      </c>
      <c r="I148" s="167" t="e">
        <f t="shared" si="31"/>
        <v>#REF!</v>
      </c>
      <c r="J148" s="167" t="e">
        <f>IF(C148="","",IF(F148=0,0,IF(C148&lt;='Tabla Parámetros'!$J$23,I148,IF($E$2='Tabla Parámetros'!$J$19,((($H$2/1000*'Tabla Parámetros'!$K$19)/30.4*C148)*1.0212^10),IF($E$2='Tabla Parámetros'!$J$20,($H$2/1000*'Tabla Parámetros'!$K$20)/30.4*C148)*1.0201^10)))+N148+O148)</f>
        <v>#REF!</v>
      </c>
      <c r="K148" s="167" t="e">
        <f t="shared" si="28"/>
        <v>#REF!</v>
      </c>
      <c r="L148" s="167" t="e">
        <f>IF(B148="","",IF(F148=0,0,Simulador!$N$13*$J$2))</f>
        <v>#REF!</v>
      </c>
      <c r="M148" s="167" t="e">
        <f>IF(B148="","",IF(F148=0,0,IF(Simulador!$F$11='Tabla Parámetros'!$W$1,'Tabla Parámetros'!$W$28,IF(Simulador!$F$11='Tabla Parámetros'!$Y$1,'Tabla Parámetros'!$Y$12))))</f>
        <v>#REF!</v>
      </c>
      <c r="N148" s="167" t="e">
        <f>IF(F148="","",IF(Simulador!$N$7='Tabla Parámetros'!$C$31,AportPat!L134,0))</f>
        <v>#REF!</v>
      </c>
      <c r="O148" s="172" t="e">
        <f>Simulador!#REF!</f>
        <v>#REF!</v>
      </c>
      <c r="P148" s="167" t="e">
        <f t="shared" si="32"/>
        <v>#REF!</v>
      </c>
      <c r="Q148" s="167" t="e">
        <f t="shared" si="26"/>
        <v>#REF!</v>
      </c>
      <c r="T148" s="6"/>
      <c r="U148" s="6"/>
      <c r="V148" s="6"/>
      <c r="W148" s="29" t="e">
        <f t="shared" si="27"/>
        <v>#REF!</v>
      </c>
    </row>
    <row r="149" spans="2:23" x14ac:dyDescent="0.3">
      <c r="B149" s="181">
        <f t="shared" si="33"/>
        <v>132</v>
      </c>
      <c r="C149" s="180">
        <f t="shared" si="29"/>
        <v>30.4</v>
      </c>
      <c r="D149" s="193">
        <f>IF(B149="","",'Tabla Parámetros'!$G$5)</f>
        <v>0.11799999999999999</v>
      </c>
      <c r="E149" s="167"/>
      <c r="F149" s="167" t="e">
        <f t="shared" si="34"/>
        <v>#REF!</v>
      </c>
      <c r="G149" s="166"/>
      <c r="H149" s="167" t="e">
        <f t="shared" si="30"/>
        <v>#REF!</v>
      </c>
      <c r="I149" s="167" t="e">
        <f t="shared" si="31"/>
        <v>#REF!</v>
      </c>
      <c r="J149" s="167" t="e">
        <f>IF(C149="","",IF(F149=0,0,IF(C149&lt;='Tabla Parámetros'!$J$23,I149,IF($E$2='Tabla Parámetros'!$J$19,((($H$2/1000*'Tabla Parámetros'!$K$19)/30.4*C149)*1.0212^10),IF($E$2='Tabla Parámetros'!$J$20,($H$2/1000*'Tabla Parámetros'!$K$20)/30.4*C149)*1.0201^10)))+N149+O149)</f>
        <v>#REF!</v>
      </c>
      <c r="K149" s="167" t="e">
        <f t="shared" si="28"/>
        <v>#REF!</v>
      </c>
      <c r="L149" s="167" t="e">
        <f>IF(B149="","",IF(F149=0,0,Simulador!$N$13*$J$2))</f>
        <v>#REF!</v>
      </c>
      <c r="M149" s="167" t="e">
        <f>IF(B149="","",IF(F149=0,0,IF(Simulador!$F$11='Tabla Parámetros'!$W$1,'Tabla Parámetros'!$W$28,IF(Simulador!$F$11='Tabla Parámetros'!$Y$1,'Tabla Parámetros'!$Y$12))))</f>
        <v>#REF!</v>
      </c>
      <c r="N149" s="167" t="e">
        <f>IF(F149="","",IF(Simulador!$N$7='Tabla Parámetros'!$C$31,AportPat!L135,0))</f>
        <v>#REF!</v>
      </c>
      <c r="O149" s="172" t="e">
        <f>Simulador!#REF!</f>
        <v>#REF!</v>
      </c>
      <c r="P149" s="167" t="e">
        <f t="shared" si="32"/>
        <v>#REF!</v>
      </c>
      <c r="Q149" s="167" t="e">
        <f t="shared" ref="Q149:Q197" si="35">IF(B148="","",F149-H149)</f>
        <v>#REF!</v>
      </c>
      <c r="T149" s="6"/>
      <c r="U149" s="6"/>
      <c r="V149" s="6"/>
      <c r="W149" s="29" t="e">
        <f t="shared" si="27"/>
        <v>#REF!</v>
      </c>
    </row>
    <row r="150" spans="2:23" x14ac:dyDescent="0.3">
      <c r="B150" s="181">
        <f t="shared" si="33"/>
        <v>133</v>
      </c>
      <c r="C150" s="180">
        <f t="shared" si="29"/>
        <v>30.4</v>
      </c>
      <c r="D150" s="193">
        <f>IF(B150="","",'Tabla Parámetros'!$G$5)</f>
        <v>0.11799999999999999</v>
      </c>
      <c r="E150" s="167"/>
      <c r="F150" s="167" t="e">
        <f t="shared" si="34"/>
        <v>#REF!</v>
      </c>
      <c r="G150" s="166"/>
      <c r="H150" s="167" t="e">
        <f t="shared" si="30"/>
        <v>#REF!</v>
      </c>
      <c r="I150" s="167" t="e">
        <f t="shared" si="31"/>
        <v>#REF!</v>
      </c>
      <c r="J150" s="167" t="e">
        <f>IF(C150="","",IF(F150=0,0,IF(C150&lt;='Tabla Parámetros'!$J$23,I150,IF($E$2='Tabla Parámetros'!$J$19,((($H$2/1000*'Tabla Parámetros'!$K$19)/30.4*C150)*1.0212^10),IF($E$2='Tabla Parámetros'!$J$20,($H$2/1000*'Tabla Parámetros'!$K$20)/30.4*C150)*1.0201^10)))+N150+O150)</f>
        <v>#REF!</v>
      </c>
      <c r="K150" s="167" t="e">
        <f t="shared" si="28"/>
        <v>#REF!</v>
      </c>
      <c r="L150" s="167" t="e">
        <f>IF(B150="","",IF(F150=0,0,Simulador!$N$13*$J$2))</f>
        <v>#REF!</v>
      </c>
      <c r="M150" s="167" t="e">
        <f>IF(B150="","",IF(F150=0,0,IF(Simulador!$F$11='Tabla Parámetros'!$W$1,'Tabla Parámetros'!$W$28,IF(Simulador!$F$11='Tabla Parámetros'!$Y$1,'Tabla Parámetros'!$Y$12))))</f>
        <v>#REF!</v>
      </c>
      <c r="N150" s="167" t="e">
        <f>IF(F150="","",IF(Simulador!$N$7='Tabla Parámetros'!$C$31,AportPat!L136,0))</f>
        <v>#REF!</v>
      </c>
      <c r="O150" s="172" t="e">
        <f>Simulador!#REF!</f>
        <v>#REF!</v>
      </c>
      <c r="P150" s="167" t="e">
        <f t="shared" si="32"/>
        <v>#REF!</v>
      </c>
      <c r="Q150" s="167" t="e">
        <f t="shared" si="35"/>
        <v>#REF!</v>
      </c>
      <c r="T150" s="6"/>
      <c r="U150" s="6"/>
      <c r="V150" s="6"/>
      <c r="W150" s="29" t="e">
        <f t="shared" si="27"/>
        <v>#REF!</v>
      </c>
    </row>
    <row r="151" spans="2:23" x14ac:dyDescent="0.3">
      <c r="B151" s="181">
        <f t="shared" si="33"/>
        <v>134</v>
      </c>
      <c r="C151" s="180">
        <f t="shared" si="29"/>
        <v>30.4</v>
      </c>
      <c r="D151" s="193">
        <f>IF(B151="","",'Tabla Parámetros'!$G$5)</f>
        <v>0.11799999999999999</v>
      </c>
      <c r="E151" s="167"/>
      <c r="F151" s="167" t="e">
        <f t="shared" si="34"/>
        <v>#REF!</v>
      </c>
      <c r="G151" s="166"/>
      <c r="H151" s="167" t="e">
        <f t="shared" si="30"/>
        <v>#REF!</v>
      </c>
      <c r="I151" s="167" t="e">
        <f t="shared" si="31"/>
        <v>#REF!</v>
      </c>
      <c r="J151" s="167" t="e">
        <f>IF(C151="","",IF(F151=0,0,IF(C151&lt;='Tabla Parámetros'!$J$23,I151,IF($E$2='Tabla Parámetros'!$J$19,((($H$2/1000*'Tabla Parámetros'!$K$19)/30.4*C151)*1.0212^11),IF($E$2='Tabla Parámetros'!$J$20,($H$2/1000*'Tabla Parámetros'!$K$20)/30.4*C151)*1.0201^11)))+N151+O151)</f>
        <v>#REF!</v>
      </c>
      <c r="K151" s="167" t="e">
        <f t="shared" si="28"/>
        <v>#REF!</v>
      </c>
      <c r="L151" s="167" t="e">
        <f>IF(B151="","",IF(F151=0,0,Simulador!$N$13*$J$2))</f>
        <v>#REF!</v>
      </c>
      <c r="M151" s="167" t="e">
        <f>IF(B151="","",IF(F151=0,0,IF(Simulador!$F$11='Tabla Parámetros'!$W$1,'Tabla Parámetros'!$W$28,IF(Simulador!$F$11='Tabla Parámetros'!$Y$1,'Tabla Parámetros'!$Y$12))))</f>
        <v>#REF!</v>
      </c>
      <c r="N151" s="167" t="e">
        <f>IF(F151="","",IF(Simulador!$N$7='Tabla Parámetros'!$C$31,AportPat!L137,0))</f>
        <v>#REF!</v>
      </c>
      <c r="O151" s="172" t="e">
        <f>Simulador!#REF!</f>
        <v>#REF!</v>
      </c>
      <c r="P151" s="167" t="e">
        <f t="shared" si="32"/>
        <v>#REF!</v>
      </c>
      <c r="Q151" s="167" t="e">
        <f t="shared" si="35"/>
        <v>#REF!</v>
      </c>
      <c r="T151" s="6"/>
      <c r="U151" s="6"/>
      <c r="V151" s="6"/>
      <c r="W151" s="29" t="e">
        <f t="shared" si="27"/>
        <v>#REF!</v>
      </c>
    </row>
    <row r="152" spans="2:23" x14ac:dyDescent="0.3">
      <c r="B152" s="181">
        <f t="shared" si="33"/>
        <v>135</v>
      </c>
      <c r="C152" s="180">
        <f t="shared" si="29"/>
        <v>30.4</v>
      </c>
      <c r="D152" s="193">
        <f>IF(B152="","",'Tabla Parámetros'!$G$5)</f>
        <v>0.11799999999999999</v>
      </c>
      <c r="E152" s="167"/>
      <c r="F152" s="167" t="e">
        <f t="shared" si="34"/>
        <v>#REF!</v>
      </c>
      <c r="G152" s="166"/>
      <c r="H152" s="167" t="e">
        <f t="shared" si="30"/>
        <v>#REF!</v>
      </c>
      <c r="I152" s="167" t="e">
        <f t="shared" si="31"/>
        <v>#REF!</v>
      </c>
      <c r="J152" s="167" t="e">
        <f>IF(C152="","",IF(F152=0,0,IF(C152&lt;='Tabla Parámetros'!$J$23,I152,IF($E$2='Tabla Parámetros'!$J$19,((($H$2/1000*'Tabla Parámetros'!$K$19)/30.4*C152)*1.0212^11),IF($E$2='Tabla Parámetros'!$J$20,($H$2/1000*'Tabla Parámetros'!$K$20)/30.4*C152)*1.0201^11)))+N152+O152)</f>
        <v>#REF!</v>
      </c>
      <c r="K152" s="167" t="e">
        <f t="shared" si="28"/>
        <v>#REF!</v>
      </c>
      <c r="L152" s="167" t="e">
        <f>IF(B152="","",IF(F152=0,0,Simulador!$N$13*$J$2))</f>
        <v>#REF!</v>
      </c>
      <c r="M152" s="167" t="e">
        <f>IF(B152="","",IF(F152=0,0,IF(Simulador!$F$11='Tabla Parámetros'!$W$1,'Tabla Parámetros'!$W$28,IF(Simulador!$F$11='Tabla Parámetros'!$Y$1,'Tabla Parámetros'!$Y$12))))</f>
        <v>#REF!</v>
      </c>
      <c r="N152" s="167" t="e">
        <f>IF(F152="","",IF(Simulador!$N$7='Tabla Parámetros'!$C$31,AportPat!L138,0))</f>
        <v>#REF!</v>
      </c>
      <c r="O152" s="172" t="e">
        <f>Simulador!#REF!</f>
        <v>#REF!</v>
      </c>
      <c r="P152" s="167" t="e">
        <f t="shared" si="32"/>
        <v>#REF!</v>
      </c>
      <c r="Q152" s="167" t="e">
        <f t="shared" si="35"/>
        <v>#REF!</v>
      </c>
      <c r="T152" s="6"/>
      <c r="U152" s="6"/>
      <c r="V152" s="6"/>
      <c r="W152" s="29" t="e">
        <f t="shared" si="27"/>
        <v>#REF!</v>
      </c>
    </row>
    <row r="153" spans="2:23" x14ac:dyDescent="0.3">
      <c r="B153" s="181">
        <f t="shared" si="33"/>
        <v>136</v>
      </c>
      <c r="C153" s="180">
        <f t="shared" si="29"/>
        <v>30.4</v>
      </c>
      <c r="D153" s="193">
        <f>IF(B153="","",'Tabla Parámetros'!$G$5)</f>
        <v>0.11799999999999999</v>
      </c>
      <c r="E153" s="167"/>
      <c r="F153" s="167" t="e">
        <f t="shared" si="34"/>
        <v>#REF!</v>
      </c>
      <c r="G153" s="166"/>
      <c r="H153" s="167" t="e">
        <f t="shared" si="30"/>
        <v>#REF!</v>
      </c>
      <c r="I153" s="167" t="e">
        <f t="shared" si="31"/>
        <v>#REF!</v>
      </c>
      <c r="J153" s="167" t="e">
        <f>IF(C153="","",IF(F153=0,0,IF(C153&lt;='Tabla Parámetros'!$J$23,I153,IF($E$2='Tabla Parámetros'!$J$19,((($H$2/1000*'Tabla Parámetros'!$K$19)/30.4*C153)*1.0212^11),IF($E$2='Tabla Parámetros'!$J$20,($H$2/1000*'Tabla Parámetros'!$K$20)/30.4*C153)*1.0201^11)))+N153+O153)</f>
        <v>#REF!</v>
      </c>
      <c r="K153" s="167" t="e">
        <f t="shared" si="28"/>
        <v>#REF!</v>
      </c>
      <c r="L153" s="167" t="e">
        <f>IF(B153="","",IF(F153=0,0,Simulador!$N$13*$J$2))</f>
        <v>#REF!</v>
      </c>
      <c r="M153" s="167" t="e">
        <f>IF(B153="","",IF(F153=0,0,IF(Simulador!$F$11='Tabla Parámetros'!$W$1,'Tabla Parámetros'!$W$28,IF(Simulador!$F$11='Tabla Parámetros'!$Y$1,'Tabla Parámetros'!$Y$12))))</f>
        <v>#REF!</v>
      </c>
      <c r="N153" s="167" t="e">
        <f>IF(F153="","",IF(Simulador!$N$7='Tabla Parámetros'!$C$31,AportPat!L139,0))</f>
        <v>#REF!</v>
      </c>
      <c r="O153" s="172" t="e">
        <f>Simulador!#REF!</f>
        <v>#REF!</v>
      </c>
      <c r="P153" s="167" t="e">
        <f t="shared" si="32"/>
        <v>#REF!</v>
      </c>
      <c r="Q153" s="167" t="e">
        <f t="shared" si="35"/>
        <v>#REF!</v>
      </c>
      <c r="T153" s="6"/>
      <c r="U153" s="6"/>
      <c r="V153" s="6"/>
      <c r="W153" s="29" t="e">
        <f t="shared" si="27"/>
        <v>#REF!</v>
      </c>
    </row>
    <row r="154" spans="2:23" x14ac:dyDescent="0.3">
      <c r="B154" s="181">
        <f t="shared" si="33"/>
        <v>137</v>
      </c>
      <c r="C154" s="180">
        <f t="shared" si="29"/>
        <v>30.4</v>
      </c>
      <c r="D154" s="193">
        <f>IF(B154="","",'Tabla Parámetros'!$G$5)</f>
        <v>0.11799999999999999</v>
      </c>
      <c r="E154" s="167"/>
      <c r="F154" s="167" t="e">
        <f t="shared" si="34"/>
        <v>#REF!</v>
      </c>
      <c r="G154" s="166"/>
      <c r="H154" s="167" t="e">
        <f t="shared" si="30"/>
        <v>#REF!</v>
      </c>
      <c r="I154" s="167" t="e">
        <f t="shared" si="31"/>
        <v>#REF!</v>
      </c>
      <c r="J154" s="167" t="e">
        <f>IF(C154="","",IF(F154=0,0,IF(C154&lt;='Tabla Parámetros'!$J$23,I154,IF($E$2='Tabla Parámetros'!$J$19,((($H$2/1000*'Tabla Parámetros'!$K$19)/30.4*C154)*1.0212^11),IF($E$2='Tabla Parámetros'!$J$20,($H$2/1000*'Tabla Parámetros'!$K$20)/30.4*C154)*1.0201^11)))+N154+O154)</f>
        <v>#REF!</v>
      </c>
      <c r="K154" s="167" t="e">
        <f t="shared" si="28"/>
        <v>#REF!</v>
      </c>
      <c r="L154" s="167" t="e">
        <f>IF(B154="","",IF(F154=0,0,Simulador!$N$13*$J$2))</f>
        <v>#REF!</v>
      </c>
      <c r="M154" s="167" t="e">
        <f>IF(B154="","",IF(F154=0,0,IF(Simulador!$F$11='Tabla Parámetros'!$W$1,'Tabla Parámetros'!$W$28,IF(Simulador!$F$11='Tabla Parámetros'!$Y$1,'Tabla Parámetros'!$Y$12))))</f>
        <v>#REF!</v>
      </c>
      <c r="N154" s="167" t="e">
        <f>IF(F154="","",IF(Simulador!$N$7='Tabla Parámetros'!$C$31,AportPat!L140,0))</f>
        <v>#REF!</v>
      </c>
      <c r="O154" s="172" t="e">
        <f>Simulador!#REF!</f>
        <v>#REF!</v>
      </c>
      <c r="P154" s="167" t="e">
        <f t="shared" si="32"/>
        <v>#REF!</v>
      </c>
      <c r="Q154" s="167" t="e">
        <f t="shared" si="35"/>
        <v>#REF!</v>
      </c>
      <c r="T154" s="6"/>
      <c r="U154" s="6"/>
      <c r="V154" s="6"/>
      <c r="W154" s="29" t="e">
        <f t="shared" si="27"/>
        <v>#REF!</v>
      </c>
    </row>
    <row r="155" spans="2:23" x14ac:dyDescent="0.3">
      <c r="B155" s="181">
        <f t="shared" si="33"/>
        <v>138</v>
      </c>
      <c r="C155" s="180">
        <f t="shared" si="29"/>
        <v>30.4</v>
      </c>
      <c r="D155" s="193">
        <f>IF(B155="","",'Tabla Parámetros'!$G$5)</f>
        <v>0.11799999999999999</v>
      </c>
      <c r="E155" s="167"/>
      <c r="F155" s="167" t="e">
        <f t="shared" si="34"/>
        <v>#REF!</v>
      </c>
      <c r="G155" s="166"/>
      <c r="H155" s="167" t="e">
        <f t="shared" si="30"/>
        <v>#REF!</v>
      </c>
      <c r="I155" s="167" t="e">
        <f t="shared" si="31"/>
        <v>#REF!</v>
      </c>
      <c r="J155" s="167" t="e">
        <f>IF(C155="","",IF(F155=0,0,IF(C155&lt;='Tabla Parámetros'!$J$23,I155,IF($E$2='Tabla Parámetros'!$J$19,((($H$2/1000*'Tabla Parámetros'!$K$19)/30.4*C155)*1.0212^11),IF($E$2='Tabla Parámetros'!$J$20,($H$2/1000*'Tabla Parámetros'!$K$20)/30.4*C155)*1.0201^11)))+N155+O155)</f>
        <v>#REF!</v>
      </c>
      <c r="K155" s="167" t="e">
        <f t="shared" si="28"/>
        <v>#REF!</v>
      </c>
      <c r="L155" s="167" t="e">
        <f>IF(B155="","",IF(F155=0,0,Simulador!$N$13*$J$2))</f>
        <v>#REF!</v>
      </c>
      <c r="M155" s="167" t="e">
        <f>IF(B155="","",IF(F155=0,0,IF(Simulador!$F$11='Tabla Parámetros'!$W$1,'Tabla Parámetros'!$W$28,IF(Simulador!$F$11='Tabla Parámetros'!$Y$1,'Tabla Parámetros'!$Y$12))))</f>
        <v>#REF!</v>
      </c>
      <c r="N155" s="167" t="e">
        <f>IF(F155="","",IF(Simulador!$N$7='Tabla Parámetros'!$C$31,AportPat!L141,0))</f>
        <v>#REF!</v>
      </c>
      <c r="O155" s="172" t="e">
        <f>Simulador!#REF!</f>
        <v>#REF!</v>
      </c>
      <c r="P155" s="167" t="e">
        <f t="shared" si="32"/>
        <v>#REF!</v>
      </c>
      <c r="Q155" s="167" t="e">
        <f t="shared" si="35"/>
        <v>#REF!</v>
      </c>
      <c r="T155" s="6"/>
      <c r="U155" s="6"/>
      <c r="V155" s="6"/>
      <c r="W155" s="29" t="e">
        <f t="shared" si="27"/>
        <v>#REF!</v>
      </c>
    </row>
    <row r="156" spans="2:23" x14ac:dyDescent="0.3">
      <c r="B156" s="181">
        <f t="shared" si="33"/>
        <v>139</v>
      </c>
      <c r="C156" s="180">
        <f t="shared" si="29"/>
        <v>30.4</v>
      </c>
      <c r="D156" s="193">
        <f>IF(B156="","",'Tabla Parámetros'!$G$5)</f>
        <v>0.11799999999999999</v>
      </c>
      <c r="E156" s="167"/>
      <c r="F156" s="167" t="e">
        <f t="shared" si="34"/>
        <v>#REF!</v>
      </c>
      <c r="G156" s="166"/>
      <c r="H156" s="167" t="e">
        <f t="shared" si="30"/>
        <v>#REF!</v>
      </c>
      <c r="I156" s="167" t="e">
        <f t="shared" si="31"/>
        <v>#REF!</v>
      </c>
      <c r="J156" s="167" t="e">
        <f>IF(C156="","",IF(F156=0,0,IF(C156&lt;='Tabla Parámetros'!$J$23,I156,IF($E$2='Tabla Parámetros'!$J$19,((($H$2/1000*'Tabla Parámetros'!$K$19)/30.4*C156)*1.0212^11),IF($E$2='Tabla Parámetros'!$J$20,($H$2/1000*'Tabla Parámetros'!$K$20)/30.4*C156)*1.0201^11)))+N156+O156)</f>
        <v>#REF!</v>
      </c>
      <c r="K156" s="167" t="e">
        <f t="shared" si="28"/>
        <v>#REF!</v>
      </c>
      <c r="L156" s="167" t="e">
        <f>IF(B156="","",IF(F156=0,0,Simulador!$N$13*$J$2))</f>
        <v>#REF!</v>
      </c>
      <c r="M156" s="167" t="e">
        <f>IF(B156="","",IF(F156=0,0,IF(Simulador!$F$11='Tabla Parámetros'!$W$1,'Tabla Parámetros'!$W$28,IF(Simulador!$F$11='Tabla Parámetros'!$Y$1,'Tabla Parámetros'!$Y$12))))</f>
        <v>#REF!</v>
      </c>
      <c r="N156" s="167" t="e">
        <f>IF(F156="","",IF(Simulador!$N$7='Tabla Parámetros'!$C$31,AportPat!L142,0))</f>
        <v>#REF!</v>
      </c>
      <c r="O156" s="172" t="e">
        <f>Simulador!#REF!</f>
        <v>#REF!</v>
      </c>
      <c r="P156" s="167" t="e">
        <f t="shared" si="32"/>
        <v>#REF!</v>
      </c>
      <c r="Q156" s="167" t="e">
        <f t="shared" si="35"/>
        <v>#REF!</v>
      </c>
      <c r="T156" s="6"/>
      <c r="U156" s="6"/>
      <c r="V156" s="6"/>
      <c r="W156" s="29" t="e">
        <f t="shared" si="27"/>
        <v>#REF!</v>
      </c>
    </row>
    <row r="157" spans="2:23" x14ac:dyDescent="0.3">
      <c r="B157" s="181">
        <f t="shared" si="33"/>
        <v>140</v>
      </c>
      <c r="C157" s="180">
        <f t="shared" si="29"/>
        <v>30.4</v>
      </c>
      <c r="D157" s="193">
        <f>IF(B157="","",'Tabla Parámetros'!$G$5)</f>
        <v>0.11799999999999999</v>
      </c>
      <c r="E157" s="167"/>
      <c r="F157" s="167" t="e">
        <f t="shared" si="34"/>
        <v>#REF!</v>
      </c>
      <c r="G157" s="166"/>
      <c r="H157" s="167" t="e">
        <f t="shared" si="30"/>
        <v>#REF!</v>
      </c>
      <c r="I157" s="167" t="e">
        <f t="shared" si="31"/>
        <v>#REF!</v>
      </c>
      <c r="J157" s="167" t="e">
        <f>IF(C157="","",IF(F157=0,0,IF(C157&lt;='Tabla Parámetros'!$J$23,I157,IF($E$2='Tabla Parámetros'!$J$19,((($H$2/1000*'Tabla Parámetros'!$K$19)/30.4*C157)*1.0212^11),IF($E$2='Tabla Parámetros'!$J$20,($H$2/1000*'Tabla Parámetros'!$K$20)/30.4*C157)*1.0201^11)))+N157+O157)</f>
        <v>#REF!</v>
      </c>
      <c r="K157" s="167" t="e">
        <f t="shared" si="28"/>
        <v>#REF!</v>
      </c>
      <c r="L157" s="167" t="e">
        <f>IF(B157="","",IF(F157=0,0,Simulador!$N$13*$J$2))</f>
        <v>#REF!</v>
      </c>
      <c r="M157" s="167" t="e">
        <f>IF(B157="","",IF(F157=0,0,IF(Simulador!$F$11='Tabla Parámetros'!$W$1,'Tabla Parámetros'!$W$28,IF(Simulador!$F$11='Tabla Parámetros'!$Y$1,'Tabla Parámetros'!$Y$12))))</f>
        <v>#REF!</v>
      </c>
      <c r="N157" s="167" t="e">
        <f>IF(F157="","",IF(Simulador!$N$7='Tabla Parámetros'!$C$31,AportPat!L143,0))</f>
        <v>#REF!</v>
      </c>
      <c r="O157" s="172" t="e">
        <f>Simulador!#REF!</f>
        <v>#REF!</v>
      </c>
      <c r="P157" s="167" t="e">
        <f t="shared" si="32"/>
        <v>#REF!</v>
      </c>
      <c r="Q157" s="167" t="e">
        <f t="shared" si="35"/>
        <v>#REF!</v>
      </c>
      <c r="T157" s="6"/>
      <c r="U157" s="6"/>
      <c r="V157" s="6"/>
      <c r="W157" s="29" t="e">
        <f t="shared" si="27"/>
        <v>#REF!</v>
      </c>
    </row>
    <row r="158" spans="2:23" x14ac:dyDescent="0.3">
      <c r="B158" s="181">
        <f t="shared" si="33"/>
        <v>141</v>
      </c>
      <c r="C158" s="180">
        <f t="shared" si="29"/>
        <v>30.4</v>
      </c>
      <c r="D158" s="193">
        <f>IF(B158="","",'Tabla Parámetros'!$G$5)</f>
        <v>0.11799999999999999</v>
      </c>
      <c r="E158" s="167"/>
      <c r="F158" s="167" t="e">
        <f t="shared" si="34"/>
        <v>#REF!</v>
      </c>
      <c r="G158" s="166"/>
      <c r="H158" s="167" t="e">
        <f t="shared" si="30"/>
        <v>#REF!</v>
      </c>
      <c r="I158" s="167" t="e">
        <f t="shared" si="31"/>
        <v>#REF!</v>
      </c>
      <c r="J158" s="167" t="e">
        <f>IF(C158="","",IF(F158=0,0,IF(C158&lt;='Tabla Parámetros'!$J$23,I158,IF($E$2='Tabla Parámetros'!$J$19,((($H$2/1000*'Tabla Parámetros'!$K$19)/30.4*C158)*1.0212^11),IF($E$2='Tabla Parámetros'!$J$20,($H$2/1000*'Tabla Parámetros'!$K$20)/30.4*C158)*1.0201^11)))+N158+O158)</f>
        <v>#REF!</v>
      </c>
      <c r="K158" s="167" t="e">
        <f t="shared" si="28"/>
        <v>#REF!</v>
      </c>
      <c r="L158" s="167" t="e">
        <f>IF(B158="","",IF(F158=0,0,Simulador!$N$13*$J$2))</f>
        <v>#REF!</v>
      </c>
      <c r="M158" s="167" t="e">
        <f>IF(B158="","",IF(F158=0,0,IF(Simulador!$F$11='Tabla Parámetros'!$W$1,'Tabla Parámetros'!$W$28,IF(Simulador!$F$11='Tabla Parámetros'!$Y$1,'Tabla Parámetros'!$Y$12))))</f>
        <v>#REF!</v>
      </c>
      <c r="N158" s="167" t="e">
        <f>IF(F158="","",IF(Simulador!$N$7='Tabla Parámetros'!$C$31,AportPat!L144,0))</f>
        <v>#REF!</v>
      </c>
      <c r="O158" s="172" t="e">
        <f>Simulador!#REF!</f>
        <v>#REF!</v>
      </c>
      <c r="P158" s="167" t="e">
        <f t="shared" si="32"/>
        <v>#REF!</v>
      </c>
      <c r="Q158" s="167" t="e">
        <f t="shared" si="35"/>
        <v>#REF!</v>
      </c>
      <c r="T158" s="6"/>
      <c r="U158" s="6"/>
      <c r="V158" s="6"/>
      <c r="W158" s="29" t="e">
        <f t="shared" si="27"/>
        <v>#REF!</v>
      </c>
    </row>
    <row r="159" spans="2:23" x14ac:dyDescent="0.3">
      <c r="B159" s="181">
        <f t="shared" si="33"/>
        <v>142</v>
      </c>
      <c r="C159" s="180">
        <f t="shared" si="29"/>
        <v>30.4</v>
      </c>
      <c r="D159" s="193">
        <f>IF(B159="","",'Tabla Parámetros'!$G$5)</f>
        <v>0.11799999999999999</v>
      </c>
      <c r="E159" s="167"/>
      <c r="F159" s="167" t="e">
        <f t="shared" si="34"/>
        <v>#REF!</v>
      </c>
      <c r="G159" s="166"/>
      <c r="H159" s="167" t="e">
        <f t="shared" si="30"/>
        <v>#REF!</v>
      </c>
      <c r="I159" s="167" t="e">
        <f t="shared" si="31"/>
        <v>#REF!</v>
      </c>
      <c r="J159" s="167" t="e">
        <f>IF(C159="","",IF(F159=0,0,IF(C159&lt;='Tabla Parámetros'!$J$23,I159,IF($E$2='Tabla Parámetros'!$J$19,((($H$2/1000*'Tabla Parámetros'!$K$19)/30.4*C159)*1.0212^11),IF($E$2='Tabla Parámetros'!$J$20,($H$2/1000*'Tabla Parámetros'!$K$20)/30.4*C159)*1.0201^11)))+N159+O159)</f>
        <v>#REF!</v>
      </c>
      <c r="K159" s="167" t="e">
        <f t="shared" si="28"/>
        <v>#REF!</v>
      </c>
      <c r="L159" s="167" t="e">
        <f>IF(B159="","",IF(F159=0,0,Simulador!$N$13*$J$2))</f>
        <v>#REF!</v>
      </c>
      <c r="M159" s="167" t="e">
        <f>IF(B159="","",IF(F159=0,0,IF(Simulador!$F$11='Tabla Parámetros'!$W$1,'Tabla Parámetros'!$W$28,IF(Simulador!$F$11='Tabla Parámetros'!$Y$1,'Tabla Parámetros'!$Y$12))))</f>
        <v>#REF!</v>
      </c>
      <c r="N159" s="167" t="e">
        <f>IF(F159="","",IF(Simulador!$N$7='Tabla Parámetros'!$C$31,AportPat!L145,0))</f>
        <v>#REF!</v>
      </c>
      <c r="O159" s="172" t="e">
        <f>Simulador!#REF!</f>
        <v>#REF!</v>
      </c>
      <c r="P159" s="167" t="e">
        <f t="shared" si="32"/>
        <v>#REF!</v>
      </c>
      <c r="Q159" s="167" t="e">
        <f t="shared" si="35"/>
        <v>#REF!</v>
      </c>
      <c r="T159" s="6"/>
      <c r="U159" s="6"/>
      <c r="V159" s="6"/>
      <c r="W159" s="29" t="e">
        <f t="shared" si="27"/>
        <v>#REF!</v>
      </c>
    </row>
    <row r="160" spans="2:23" x14ac:dyDescent="0.3">
      <c r="B160" s="181">
        <f t="shared" si="33"/>
        <v>143</v>
      </c>
      <c r="C160" s="180">
        <f t="shared" si="29"/>
        <v>30.4</v>
      </c>
      <c r="D160" s="193">
        <f>IF(B160="","",'Tabla Parámetros'!$G$5)</f>
        <v>0.11799999999999999</v>
      </c>
      <c r="E160" s="167"/>
      <c r="F160" s="167" t="e">
        <f t="shared" si="34"/>
        <v>#REF!</v>
      </c>
      <c r="G160" s="166"/>
      <c r="H160" s="167" t="e">
        <f t="shared" si="30"/>
        <v>#REF!</v>
      </c>
      <c r="I160" s="167" t="e">
        <f t="shared" si="31"/>
        <v>#REF!</v>
      </c>
      <c r="J160" s="167" t="e">
        <f>IF(C160="","",IF(F160=0,0,IF(C160&lt;='Tabla Parámetros'!$J$23,I160,IF($E$2='Tabla Parámetros'!$J$19,((($H$2/1000*'Tabla Parámetros'!$K$19)/30.4*C160)*1.0212^11),IF($E$2='Tabla Parámetros'!$J$20,($H$2/1000*'Tabla Parámetros'!$K$20)/30.4*C160)*1.0201^11)))+N160+O160)</f>
        <v>#REF!</v>
      </c>
      <c r="K160" s="167" t="e">
        <f t="shared" si="28"/>
        <v>#REF!</v>
      </c>
      <c r="L160" s="167" t="e">
        <f>IF(B160="","",IF(F160=0,0,Simulador!$N$13*$J$2))</f>
        <v>#REF!</v>
      </c>
      <c r="M160" s="167" t="e">
        <f>IF(B160="","",IF(F160=0,0,IF(Simulador!$F$11='Tabla Parámetros'!$W$1,'Tabla Parámetros'!$W$28,IF(Simulador!$F$11='Tabla Parámetros'!$Y$1,'Tabla Parámetros'!$Y$12))))</f>
        <v>#REF!</v>
      </c>
      <c r="N160" s="167" t="e">
        <f>IF(F160="","",IF(Simulador!$N$7='Tabla Parámetros'!$C$31,AportPat!L146,0))</f>
        <v>#REF!</v>
      </c>
      <c r="O160" s="172" t="e">
        <f>Simulador!#REF!</f>
        <v>#REF!</v>
      </c>
      <c r="P160" s="167" t="e">
        <f t="shared" si="32"/>
        <v>#REF!</v>
      </c>
      <c r="Q160" s="167" t="e">
        <f t="shared" si="35"/>
        <v>#REF!</v>
      </c>
      <c r="T160" s="6"/>
      <c r="U160" s="6"/>
      <c r="V160" s="6"/>
      <c r="W160" s="29" t="e">
        <f t="shared" si="27"/>
        <v>#REF!</v>
      </c>
    </row>
    <row r="161" spans="2:23" x14ac:dyDescent="0.3">
      <c r="B161" s="181">
        <f t="shared" si="33"/>
        <v>144</v>
      </c>
      <c r="C161" s="180">
        <f t="shared" si="29"/>
        <v>30.4</v>
      </c>
      <c r="D161" s="193">
        <f>IF(B161="","",'Tabla Parámetros'!$G$5)</f>
        <v>0.11799999999999999</v>
      </c>
      <c r="E161" s="167"/>
      <c r="F161" s="167" t="e">
        <f t="shared" si="34"/>
        <v>#REF!</v>
      </c>
      <c r="G161" s="166"/>
      <c r="H161" s="167" t="e">
        <f t="shared" si="30"/>
        <v>#REF!</v>
      </c>
      <c r="I161" s="167" t="e">
        <f t="shared" si="31"/>
        <v>#REF!</v>
      </c>
      <c r="J161" s="167" t="e">
        <f>IF(C161="","",IF(F161=0,0,IF(C161&lt;='Tabla Parámetros'!$J$23,I161,IF($E$2='Tabla Parámetros'!$J$19,((($H$2/1000*'Tabla Parámetros'!$K$19)/30.4*C161)*1.0212^11),IF($E$2='Tabla Parámetros'!$J$20,($H$2/1000*'Tabla Parámetros'!$K$20)/30.4*C161)*1.0201^11)))+N161+O161)</f>
        <v>#REF!</v>
      </c>
      <c r="K161" s="167" t="e">
        <f t="shared" si="28"/>
        <v>#REF!</v>
      </c>
      <c r="L161" s="167" t="e">
        <f>IF(B161="","",IF(F161=0,0,Simulador!$N$13*$J$2))</f>
        <v>#REF!</v>
      </c>
      <c r="M161" s="167" t="e">
        <f>IF(B161="","",IF(F161=0,0,IF(Simulador!$F$11='Tabla Parámetros'!$W$1,'Tabla Parámetros'!$W$28,IF(Simulador!$F$11='Tabla Parámetros'!$Y$1,'Tabla Parámetros'!$Y$12))))</f>
        <v>#REF!</v>
      </c>
      <c r="N161" s="167" t="e">
        <f>IF(F161="","",IF(Simulador!$N$7='Tabla Parámetros'!$C$31,AportPat!L147,0))</f>
        <v>#REF!</v>
      </c>
      <c r="O161" s="172" t="e">
        <f>Simulador!#REF!</f>
        <v>#REF!</v>
      </c>
      <c r="P161" s="167" t="e">
        <f t="shared" si="32"/>
        <v>#REF!</v>
      </c>
      <c r="Q161" s="167" t="e">
        <f t="shared" si="35"/>
        <v>#REF!</v>
      </c>
      <c r="T161" s="6"/>
      <c r="U161" s="6"/>
      <c r="V161" s="6"/>
      <c r="W161" s="29" t="e">
        <f t="shared" si="27"/>
        <v>#REF!</v>
      </c>
    </row>
    <row r="162" spans="2:23" x14ac:dyDescent="0.3">
      <c r="B162" s="181">
        <f t="shared" si="33"/>
        <v>145</v>
      </c>
      <c r="C162" s="180">
        <f t="shared" si="29"/>
        <v>30.4</v>
      </c>
      <c r="D162" s="193">
        <f>IF(B162="","",'Tabla Parámetros'!$G$5)</f>
        <v>0.11799999999999999</v>
      </c>
      <c r="E162" s="167"/>
      <c r="F162" s="167" t="e">
        <f t="shared" si="34"/>
        <v>#REF!</v>
      </c>
      <c r="G162" s="166"/>
      <c r="H162" s="167" t="e">
        <f t="shared" si="30"/>
        <v>#REF!</v>
      </c>
      <c r="I162" s="167" t="e">
        <f t="shared" si="31"/>
        <v>#REF!</v>
      </c>
      <c r="J162" s="167" t="e">
        <f>IF(C162="","",IF(F162=0,0,IF(C162&lt;='Tabla Parámetros'!$J$23,I162,IF($E$2='Tabla Parámetros'!$J$19,((($H$2/1000*'Tabla Parámetros'!$K$19)/30.4*C162)*1.0212^11),IF($E$2='Tabla Parámetros'!$J$20,($H$2/1000*'Tabla Parámetros'!$K$20)/30.4*C162)*1.0201^11)))+N162+O162)</f>
        <v>#REF!</v>
      </c>
      <c r="K162" s="167" t="e">
        <f t="shared" si="28"/>
        <v>#REF!</v>
      </c>
      <c r="L162" s="167" t="e">
        <f>IF(B162="","",IF(F162=0,0,Simulador!$N$13*$J$2))</f>
        <v>#REF!</v>
      </c>
      <c r="M162" s="167" t="e">
        <f>IF(B162="","",IF(F162=0,0,IF(Simulador!$F$11='Tabla Parámetros'!$W$1,'Tabla Parámetros'!$W$28,IF(Simulador!$F$11='Tabla Parámetros'!$Y$1,'Tabla Parámetros'!$Y$12))))</f>
        <v>#REF!</v>
      </c>
      <c r="N162" s="167" t="e">
        <f>IF(F162="","",IF(Simulador!$N$7='Tabla Parámetros'!$C$31,AportPat!L148,0))</f>
        <v>#REF!</v>
      </c>
      <c r="O162" s="172" t="e">
        <f>Simulador!#REF!</f>
        <v>#REF!</v>
      </c>
      <c r="P162" s="167" t="e">
        <f t="shared" si="32"/>
        <v>#REF!</v>
      </c>
      <c r="Q162" s="167" t="e">
        <f t="shared" si="35"/>
        <v>#REF!</v>
      </c>
      <c r="T162" s="6"/>
      <c r="U162" s="6"/>
      <c r="V162" s="6"/>
      <c r="W162" s="29" t="e">
        <f t="shared" si="27"/>
        <v>#REF!</v>
      </c>
    </row>
    <row r="163" spans="2:23" x14ac:dyDescent="0.3">
      <c r="B163" s="181">
        <f t="shared" si="33"/>
        <v>146</v>
      </c>
      <c r="C163" s="180">
        <f t="shared" si="29"/>
        <v>30.4</v>
      </c>
      <c r="D163" s="193">
        <f>IF(B163="","",'Tabla Parámetros'!$G$5)</f>
        <v>0.11799999999999999</v>
      </c>
      <c r="E163" s="167"/>
      <c r="F163" s="167" t="e">
        <f t="shared" si="34"/>
        <v>#REF!</v>
      </c>
      <c r="G163" s="166"/>
      <c r="H163" s="167" t="e">
        <f t="shared" si="30"/>
        <v>#REF!</v>
      </c>
      <c r="I163" s="167" t="e">
        <f t="shared" si="31"/>
        <v>#REF!</v>
      </c>
      <c r="J163" s="167" t="e">
        <f>IF(C163="","",IF(F163=0,0,IF(C163&lt;='Tabla Parámetros'!$J$23,I163,IF($E$2='Tabla Parámetros'!$J$19,((($H$2/1000*'Tabla Parámetros'!$K$19)/30.4*C163)*1.0212^12),IF($E$2='Tabla Parámetros'!$J$20,($H$2/1000*'Tabla Parámetros'!$K$20)/30.4*C163)*1.0201^12)))+N163+O163)</f>
        <v>#REF!</v>
      </c>
      <c r="K163" s="167" t="e">
        <f t="shared" si="28"/>
        <v>#REF!</v>
      </c>
      <c r="L163" s="167" t="e">
        <f>IF(B163="","",IF(F163=0,0,Simulador!$N$13*$J$2))</f>
        <v>#REF!</v>
      </c>
      <c r="M163" s="167" t="e">
        <f>IF(B163="","",IF(F163=0,0,IF(Simulador!$F$11='Tabla Parámetros'!$W$1,'Tabla Parámetros'!$W$28,IF(Simulador!$F$11='Tabla Parámetros'!$Y$1,'Tabla Parámetros'!$Y$12))))</f>
        <v>#REF!</v>
      </c>
      <c r="N163" s="167" t="e">
        <f>IF(F163="","",IF(Simulador!$N$7='Tabla Parámetros'!$C$31,AportPat!L149,0))</f>
        <v>#REF!</v>
      </c>
      <c r="O163" s="172" t="e">
        <f>Simulador!#REF!</f>
        <v>#REF!</v>
      </c>
      <c r="P163" s="167" t="e">
        <f t="shared" si="32"/>
        <v>#REF!</v>
      </c>
      <c r="Q163" s="167" t="e">
        <f t="shared" si="35"/>
        <v>#REF!</v>
      </c>
      <c r="T163" s="6"/>
      <c r="U163" s="6"/>
      <c r="V163" s="6"/>
      <c r="W163" s="29" t="e">
        <f t="shared" si="27"/>
        <v>#REF!</v>
      </c>
    </row>
    <row r="164" spans="2:23" x14ac:dyDescent="0.3">
      <c r="B164" s="181">
        <f t="shared" si="33"/>
        <v>147</v>
      </c>
      <c r="C164" s="180">
        <f t="shared" si="29"/>
        <v>30.4</v>
      </c>
      <c r="D164" s="193">
        <f>IF(B164="","",'Tabla Parámetros'!$G$5)</f>
        <v>0.11799999999999999</v>
      </c>
      <c r="E164" s="167"/>
      <c r="F164" s="167" t="e">
        <f t="shared" si="34"/>
        <v>#REF!</v>
      </c>
      <c r="G164" s="166"/>
      <c r="H164" s="167" t="e">
        <f t="shared" si="30"/>
        <v>#REF!</v>
      </c>
      <c r="I164" s="167" t="e">
        <f t="shared" si="31"/>
        <v>#REF!</v>
      </c>
      <c r="J164" s="167" t="e">
        <f>IF(C164="","",IF(F164=0,0,IF(C164&lt;='Tabla Parámetros'!$J$23,I164,IF($E$2='Tabla Parámetros'!$J$19,((($H$2/1000*'Tabla Parámetros'!$K$19)/30.4*C164)*1.0212^12),IF($E$2='Tabla Parámetros'!$J$20,($H$2/1000*'Tabla Parámetros'!$K$20)/30.4*C164)*1.0201^12)))+N164+O164)</f>
        <v>#REF!</v>
      </c>
      <c r="K164" s="167" t="e">
        <f t="shared" si="28"/>
        <v>#REF!</v>
      </c>
      <c r="L164" s="167" t="e">
        <f>IF(B164="","",IF(F164=0,0,Simulador!$N$13*$J$2))</f>
        <v>#REF!</v>
      </c>
      <c r="M164" s="167" t="e">
        <f>IF(B164="","",IF(F164=0,0,IF(Simulador!$F$11='Tabla Parámetros'!$W$1,'Tabla Parámetros'!$W$28,IF(Simulador!$F$11='Tabla Parámetros'!$Y$1,'Tabla Parámetros'!$Y$12))))</f>
        <v>#REF!</v>
      </c>
      <c r="N164" s="167" t="e">
        <f>IF(F164="","",IF(Simulador!$N$7='Tabla Parámetros'!$C$31,AportPat!L150,0))</f>
        <v>#REF!</v>
      </c>
      <c r="O164" s="172" t="e">
        <f>Simulador!#REF!</f>
        <v>#REF!</v>
      </c>
      <c r="P164" s="167" t="e">
        <f t="shared" si="32"/>
        <v>#REF!</v>
      </c>
      <c r="Q164" s="167" t="e">
        <f t="shared" si="35"/>
        <v>#REF!</v>
      </c>
      <c r="T164" s="6"/>
      <c r="U164" s="6"/>
      <c r="V164" s="6"/>
      <c r="W164" s="29" t="e">
        <f t="shared" si="27"/>
        <v>#REF!</v>
      </c>
    </row>
    <row r="165" spans="2:23" x14ac:dyDescent="0.3">
      <c r="B165" s="181">
        <f t="shared" si="33"/>
        <v>148</v>
      </c>
      <c r="C165" s="180">
        <f t="shared" si="29"/>
        <v>30.4</v>
      </c>
      <c r="D165" s="193">
        <f>IF(B165="","",'Tabla Parámetros'!$G$5)</f>
        <v>0.11799999999999999</v>
      </c>
      <c r="E165" s="167"/>
      <c r="F165" s="167" t="e">
        <f t="shared" si="34"/>
        <v>#REF!</v>
      </c>
      <c r="G165" s="166"/>
      <c r="H165" s="167" t="e">
        <f t="shared" si="30"/>
        <v>#REF!</v>
      </c>
      <c r="I165" s="167" t="e">
        <f t="shared" si="31"/>
        <v>#REF!</v>
      </c>
      <c r="J165" s="167" t="e">
        <f>IF(C165="","",IF(F165=0,0,IF(C165&lt;='Tabla Parámetros'!$J$23,I165,IF($E$2='Tabla Parámetros'!$J$19,((($H$2/1000*'Tabla Parámetros'!$K$19)/30.4*C165)*1.0212^12),IF($E$2='Tabla Parámetros'!$J$20,($H$2/1000*'Tabla Parámetros'!$K$20)/30.4*C165)*1.0201^12)))+N165+O165)</f>
        <v>#REF!</v>
      </c>
      <c r="K165" s="167" t="e">
        <f t="shared" si="28"/>
        <v>#REF!</v>
      </c>
      <c r="L165" s="167" t="e">
        <f>IF(B165="","",IF(F165=0,0,Simulador!$N$13*$J$2))</f>
        <v>#REF!</v>
      </c>
      <c r="M165" s="167" t="e">
        <f>IF(B165="","",IF(F165=0,0,IF(Simulador!$F$11='Tabla Parámetros'!$W$1,'Tabla Parámetros'!$W$28,IF(Simulador!$F$11='Tabla Parámetros'!$Y$1,'Tabla Parámetros'!$Y$12))))</f>
        <v>#REF!</v>
      </c>
      <c r="N165" s="167" t="e">
        <f>IF(F165="","",IF(Simulador!$N$7='Tabla Parámetros'!$C$31,AportPat!L151,0))</f>
        <v>#REF!</v>
      </c>
      <c r="O165" s="172" t="e">
        <f>Simulador!#REF!</f>
        <v>#REF!</v>
      </c>
      <c r="P165" s="167" t="e">
        <f t="shared" si="32"/>
        <v>#REF!</v>
      </c>
      <c r="Q165" s="167" t="e">
        <f t="shared" si="35"/>
        <v>#REF!</v>
      </c>
      <c r="T165" s="6"/>
      <c r="U165" s="6"/>
      <c r="V165" s="6"/>
      <c r="W165" s="29" t="e">
        <f t="shared" si="27"/>
        <v>#REF!</v>
      </c>
    </row>
    <row r="166" spans="2:23" x14ac:dyDescent="0.3">
      <c r="B166" s="181">
        <f t="shared" si="33"/>
        <v>149</v>
      </c>
      <c r="C166" s="180">
        <f t="shared" si="29"/>
        <v>30.4</v>
      </c>
      <c r="D166" s="193">
        <f>IF(B166="","",'Tabla Parámetros'!$G$5)</f>
        <v>0.11799999999999999</v>
      </c>
      <c r="E166" s="167"/>
      <c r="F166" s="167" t="e">
        <f t="shared" si="34"/>
        <v>#REF!</v>
      </c>
      <c r="G166" s="166"/>
      <c r="H166" s="167" t="e">
        <f t="shared" si="30"/>
        <v>#REF!</v>
      </c>
      <c r="I166" s="167" t="e">
        <f t="shared" si="31"/>
        <v>#REF!</v>
      </c>
      <c r="J166" s="167" t="e">
        <f>IF(C166="","",IF(F166=0,0,IF(C166&lt;='Tabla Parámetros'!$J$23,I166,IF($E$2='Tabla Parámetros'!$J$19,((($H$2/1000*'Tabla Parámetros'!$K$19)/30.4*C166)*1.0212^12),IF($E$2='Tabla Parámetros'!$J$20,($H$2/1000*'Tabla Parámetros'!$K$20)/30.4*C166)*1.0201^12)))+N166+O166)</f>
        <v>#REF!</v>
      </c>
      <c r="K166" s="167" t="e">
        <f t="shared" si="28"/>
        <v>#REF!</v>
      </c>
      <c r="L166" s="167" t="e">
        <f>IF(B166="","",IF(F166=0,0,Simulador!$N$13*$J$2))</f>
        <v>#REF!</v>
      </c>
      <c r="M166" s="167" t="e">
        <f>IF(B166="","",IF(F166=0,0,IF(Simulador!$F$11='Tabla Parámetros'!$W$1,'Tabla Parámetros'!$W$28,IF(Simulador!$F$11='Tabla Parámetros'!$Y$1,'Tabla Parámetros'!$Y$12))))</f>
        <v>#REF!</v>
      </c>
      <c r="N166" s="167" t="e">
        <f>IF(F166="","",IF(Simulador!$N$7='Tabla Parámetros'!$C$31,AportPat!L152,0))</f>
        <v>#REF!</v>
      </c>
      <c r="O166" s="172" t="e">
        <f>Simulador!#REF!</f>
        <v>#REF!</v>
      </c>
      <c r="P166" s="167" t="e">
        <f t="shared" si="32"/>
        <v>#REF!</v>
      </c>
      <c r="Q166" s="167" t="e">
        <f t="shared" si="35"/>
        <v>#REF!</v>
      </c>
      <c r="T166" s="6"/>
      <c r="U166" s="6"/>
      <c r="V166" s="6"/>
      <c r="W166" s="29" t="e">
        <f t="shared" si="27"/>
        <v>#REF!</v>
      </c>
    </row>
    <row r="167" spans="2:23" x14ac:dyDescent="0.3">
      <c r="B167" s="181">
        <f t="shared" si="33"/>
        <v>150</v>
      </c>
      <c r="C167" s="180">
        <f t="shared" si="29"/>
        <v>30.4</v>
      </c>
      <c r="D167" s="193">
        <f>IF(B167="","",'Tabla Parámetros'!$G$5)</f>
        <v>0.11799999999999999</v>
      </c>
      <c r="E167" s="167"/>
      <c r="F167" s="167" t="e">
        <f t="shared" si="34"/>
        <v>#REF!</v>
      </c>
      <c r="G167" s="166"/>
      <c r="H167" s="167" t="e">
        <f t="shared" si="30"/>
        <v>#REF!</v>
      </c>
      <c r="I167" s="167" t="e">
        <f t="shared" si="31"/>
        <v>#REF!</v>
      </c>
      <c r="J167" s="167" t="e">
        <f>IF(C167="","",IF(F167=0,0,IF(C167&lt;='Tabla Parámetros'!$J$23,I167,IF($E$2='Tabla Parámetros'!$J$19,((($H$2/1000*'Tabla Parámetros'!$K$19)/30.4*C167)*1.0212^12),IF($E$2='Tabla Parámetros'!$J$20,($H$2/1000*'Tabla Parámetros'!$K$20)/30.4*C167)*1.0201^12)))+N167+O167)</f>
        <v>#REF!</v>
      </c>
      <c r="K167" s="167" t="e">
        <f t="shared" si="28"/>
        <v>#REF!</v>
      </c>
      <c r="L167" s="167" t="e">
        <f>IF(B167="","",IF(F167=0,0,Simulador!$N$13*$J$2))</f>
        <v>#REF!</v>
      </c>
      <c r="M167" s="167" t="e">
        <f>IF(B167="","",IF(F167=0,0,IF(Simulador!$F$11='Tabla Parámetros'!$W$1,'Tabla Parámetros'!$W$28,IF(Simulador!$F$11='Tabla Parámetros'!$Y$1,'Tabla Parámetros'!$Y$12))))</f>
        <v>#REF!</v>
      </c>
      <c r="N167" s="167" t="e">
        <f>IF(F167="","",IF(Simulador!$N$7='Tabla Parámetros'!$C$31,AportPat!L153,0))</f>
        <v>#REF!</v>
      </c>
      <c r="O167" s="172" t="e">
        <f>Simulador!#REF!</f>
        <v>#REF!</v>
      </c>
      <c r="P167" s="167" t="e">
        <f t="shared" si="32"/>
        <v>#REF!</v>
      </c>
      <c r="Q167" s="167" t="e">
        <f t="shared" si="35"/>
        <v>#REF!</v>
      </c>
      <c r="T167" s="6"/>
      <c r="U167" s="6"/>
      <c r="V167" s="6"/>
      <c r="W167" s="29" t="e">
        <f t="shared" si="27"/>
        <v>#REF!</v>
      </c>
    </row>
    <row r="168" spans="2:23" x14ac:dyDescent="0.3">
      <c r="B168" s="181">
        <f t="shared" si="33"/>
        <v>151</v>
      </c>
      <c r="C168" s="180">
        <f t="shared" si="29"/>
        <v>30.4</v>
      </c>
      <c r="D168" s="193">
        <f>IF(B168="","",'Tabla Parámetros'!$G$5)</f>
        <v>0.11799999999999999</v>
      </c>
      <c r="E168" s="167"/>
      <c r="F168" s="167" t="e">
        <f t="shared" si="34"/>
        <v>#REF!</v>
      </c>
      <c r="G168" s="166"/>
      <c r="H168" s="167" t="e">
        <f t="shared" si="30"/>
        <v>#REF!</v>
      </c>
      <c r="I168" s="167" t="e">
        <f t="shared" si="31"/>
        <v>#REF!</v>
      </c>
      <c r="J168" s="167" t="e">
        <f>IF(C168="","",IF(F168=0,0,IF(C168&lt;='Tabla Parámetros'!$J$23,I168,IF($E$2='Tabla Parámetros'!$J$19,((($H$2/1000*'Tabla Parámetros'!$K$19)/30.4*C168)*1.0212^12),IF($E$2='Tabla Parámetros'!$J$20,($H$2/1000*'Tabla Parámetros'!$K$20)/30.4*C168)*1.0201^12)))+N168+O168)</f>
        <v>#REF!</v>
      </c>
      <c r="K168" s="167" t="e">
        <f t="shared" si="28"/>
        <v>#REF!</v>
      </c>
      <c r="L168" s="167" t="e">
        <f>IF(B168="","",IF(F168=0,0,Simulador!$N$13*$J$2))</f>
        <v>#REF!</v>
      </c>
      <c r="M168" s="167" t="e">
        <f>IF(B168="","",IF(F168=0,0,IF(Simulador!$F$11='Tabla Parámetros'!$W$1,'Tabla Parámetros'!$W$28,IF(Simulador!$F$11='Tabla Parámetros'!$Y$1,'Tabla Parámetros'!$Y$12))))</f>
        <v>#REF!</v>
      </c>
      <c r="N168" s="167" t="e">
        <f>IF(F168="","",IF(Simulador!$N$7='Tabla Parámetros'!$C$31,AportPat!L154,0))</f>
        <v>#REF!</v>
      </c>
      <c r="O168" s="172" t="e">
        <f>Simulador!#REF!</f>
        <v>#REF!</v>
      </c>
      <c r="P168" s="167" t="e">
        <f t="shared" si="32"/>
        <v>#REF!</v>
      </c>
      <c r="Q168" s="167" t="e">
        <f t="shared" si="35"/>
        <v>#REF!</v>
      </c>
      <c r="T168" s="6"/>
      <c r="U168" s="6"/>
      <c r="V168" s="6"/>
      <c r="W168" s="29" t="e">
        <f t="shared" si="27"/>
        <v>#REF!</v>
      </c>
    </row>
    <row r="169" spans="2:23" x14ac:dyDescent="0.3">
      <c r="B169" s="181">
        <f t="shared" si="33"/>
        <v>152</v>
      </c>
      <c r="C169" s="180">
        <f t="shared" si="29"/>
        <v>30.4</v>
      </c>
      <c r="D169" s="193">
        <f>IF(B169="","",'Tabla Parámetros'!$G$5)</f>
        <v>0.11799999999999999</v>
      </c>
      <c r="E169" s="167"/>
      <c r="F169" s="167" t="e">
        <f t="shared" si="34"/>
        <v>#REF!</v>
      </c>
      <c r="G169" s="166"/>
      <c r="H169" s="167" t="e">
        <f t="shared" si="30"/>
        <v>#REF!</v>
      </c>
      <c r="I169" s="167" t="e">
        <f t="shared" si="31"/>
        <v>#REF!</v>
      </c>
      <c r="J169" s="167" t="e">
        <f>IF(C169="","",IF(F169=0,0,IF(C169&lt;='Tabla Parámetros'!$J$23,I169,IF($E$2='Tabla Parámetros'!$J$19,((($H$2/1000*'Tabla Parámetros'!$K$19)/30.4*C169)*1.0212^12),IF($E$2='Tabla Parámetros'!$J$20,($H$2/1000*'Tabla Parámetros'!$K$20)/30.4*C169)*1.0201^12)))+N169+O169)</f>
        <v>#REF!</v>
      </c>
      <c r="K169" s="167" t="e">
        <f t="shared" si="28"/>
        <v>#REF!</v>
      </c>
      <c r="L169" s="167" t="e">
        <f>IF(B169="","",IF(F169=0,0,Simulador!$N$13*$J$2))</f>
        <v>#REF!</v>
      </c>
      <c r="M169" s="167" t="e">
        <f>IF(B169="","",IF(F169=0,0,IF(Simulador!$F$11='Tabla Parámetros'!$W$1,'Tabla Parámetros'!$W$28,IF(Simulador!$F$11='Tabla Parámetros'!$Y$1,'Tabla Parámetros'!$Y$12))))</f>
        <v>#REF!</v>
      </c>
      <c r="N169" s="167" t="e">
        <f>IF(F169="","",IF(Simulador!$N$7='Tabla Parámetros'!$C$31,AportPat!L155,0))</f>
        <v>#REF!</v>
      </c>
      <c r="O169" s="172" t="e">
        <f>Simulador!#REF!</f>
        <v>#REF!</v>
      </c>
      <c r="P169" s="167" t="e">
        <f t="shared" si="32"/>
        <v>#REF!</v>
      </c>
      <c r="Q169" s="167" t="e">
        <f t="shared" si="35"/>
        <v>#REF!</v>
      </c>
      <c r="T169" s="6"/>
      <c r="U169" s="6"/>
      <c r="V169" s="6"/>
      <c r="W169" s="29" t="e">
        <f t="shared" si="27"/>
        <v>#REF!</v>
      </c>
    </row>
    <row r="170" spans="2:23" x14ac:dyDescent="0.3">
      <c r="B170" s="181">
        <f t="shared" si="33"/>
        <v>153</v>
      </c>
      <c r="C170" s="180">
        <f t="shared" si="29"/>
        <v>30.4</v>
      </c>
      <c r="D170" s="193">
        <f>IF(B170="","",'Tabla Parámetros'!$G$5)</f>
        <v>0.11799999999999999</v>
      </c>
      <c r="E170" s="167"/>
      <c r="F170" s="167" t="e">
        <f t="shared" si="34"/>
        <v>#REF!</v>
      </c>
      <c r="G170" s="166"/>
      <c r="H170" s="167" t="e">
        <f t="shared" si="30"/>
        <v>#REF!</v>
      </c>
      <c r="I170" s="167" t="e">
        <f t="shared" si="31"/>
        <v>#REF!</v>
      </c>
      <c r="J170" s="167" t="e">
        <f>IF(C170="","",IF(F170=0,0,IF(C170&lt;='Tabla Parámetros'!$J$23,I170,IF($E$2='Tabla Parámetros'!$J$19,((($H$2/1000*'Tabla Parámetros'!$K$19)/30.4*C170)*1.0212^12),IF($E$2='Tabla Parámetros'!$J$20,($H$2/1000*'Tabla Parámetros'!$K$20)/30.4*C170)*1.0201^12)))+N170+O170)</f>
        <v>#REF!</v>
      </c>
      <c r="K170" s="167" t="e">
        <f t="shared" si="28"/>
        <v>#REF!</v>
      </c>
      <c r="L170" s="167" t="e">
        <f>IF(B170="","",IF(F170=0,0,Simulador!$N$13*$J$2))</f>
        <v>#REF!</v>
      </c>
      <c r="M170" s="167" t="e">
        <f>IF(B170="","",IF(F170=0,0,IF(Simulador!$F$11='Tabla Parámetros'!$W$1,'Tabla Parámetros'!$W$28,IF(Simulador!$F$11='Tabla Parámetros'!$Y$1,'Tabla Parámetros'!$Y$12))))</f>
        <v>#REF!</v>
      </c>
      <c r="N170" s="167" t="e">
        <f>IF(F170="","",IF(Simulador!$N$7='Tabla Parámetros'!$C$31,AportPat!L156,0))</f>
        <v>#REF!</v>
      </c>
      <c r="O170" s="172" t="e">
        <f>Simulador!#REF!</f>
        <v>#REF!</v>
      </c>
      <c r="P170" s="167" t="e">
        <f t="shared" si="32"/>
        <v>#REF!</v>
      </c>
      <c r="Q170" s="167" t="e">
        <f t="shared" si="35"/>
        <v>#REF!</v>
      </c>
      <c r="T170" s="6"/>
      <c r="U170" s="6"/>
      <c r="V170" s="6"/>
      <c r="W170" s="29" t="e">
        <f t="shared" si="27"/>
        <v>#REF!</v>
      </c>
    </row>
    <row r="171" spans="2:23" x14ac:dyDescent="0.3">
      <c r="B171" s="181">
        <f t="shared" si="33"/>
        <v>154</v>
      </c>
      <c r="C171" s="180">
        <f t="shared" si="29"/>
        <v>30.4</v>
      </c>
      <c r="D171" s="193">
        <f>IF(B171="","",'Tabla Parámetros'!$G$5)</f>
        <v>0.11799999999999999</v>
      </c>
      <c r="E171" s="167"/>
      <c r="F171" s="167" t="e">
        <f t="shared" si="34"/>
        <v>#REF!</v>
      </c>
      <c r="G171" s="166"/>
      <c r="H171" s="167" t="e">
        <f t="shared" si="30"/>
        <v>#REF!</v>
      </c>
      <c r="I171" s="167" t="e">
        <f t="shared" si="31"/>
        <v>#REF!</v>
      </c>
      <c r="J171" s="167" t="e">
        <f>IF(C171="","",IF(F171=0,0,IF(C171&lt;='Tabla Parámetros'!$J$23,I171,IF($E$2='Tabla Parámetros'!$J$19,((($H$2/1000*'Tabla Parámetros'!$K$19)/30.4*C171)*1.0212^12),IF($E$2='Tabla Parámetros'!$J$20,($H$2/1000*'Tabla Parámetros'!$K$20)/30.4*C171)*1.0201^12)))+N171+O171)</f>
        <v>#REF!</v>
      </c>
      <c r="K171" s="167" t="e">
        <f t="shared" si="28"/>
        <v>#REF!</v>
      </c>
      <c r="L171" s="167" t="e">
        <f>IF(B171="","",IF(F171=0,0,Simulador!$N$13*$J$2))</f>
        <v>#REF!</v>
      </c>
      <c r="M171" s="167" t="e">
        <f>IF(B171="","",IF(F171=0,0,IF(Simulador!$F$11='Tabla Parámetros'!$W$1,'Tabla Parámetros'!$W$28,IF(Simulador!$F$11='Tabla Parámetros'!$Y$1,'Tabla Parámetros'!$Y$12))))</f>
        <v>#REF!</v>
      </c>
      <c r="N171" s="167" t="e">
        <f>IF(F171="","",IF(Simulador!$N$7='Tabla Parámetros'!$C$31,AportPat!L157,0))</f>
        <v>#REF!</v>
      </c>
      <c r="O171" s="172" t="e">
        <f>Simulador!#REF!</f>
        <v>#REF!</v>
      </c>
      <c r="P171" s="167" t="e">
        <f t="shared" si="32"/>
        <v>#REF!</v>
      </c>
      <c r="Q171" s="167" t="e">
        <f t="shared" si="35"/>
        <v>#REF!</v>
      </c>
      <c r="T171" s="6"/>
      <c r="U171" s="6"/>
      <c r="V171" s="6"/>
      <c r="W171" s="29" t="e">
        <f t="shared" si="27"/>
        <v>#REF!</v>
      </c>
    </row>
    <row r="172" spans="2:23" x14ac:dyDescent="0.3">
      <c r="B172" s="181">
        <f t="shared" si="33"/>
        <v>155</v>
      </c>
      <c r="C172" s="180">
        <f t="shared" si="29"/>
        <v>30.4</v>
      </c>
      <c r="D172" s="193">
        <f>IF(B172="","",'Tabla Parámetros'!$G$5)</f>
        <v>0.11799999999999999</v>
      </c>
      <c r="E172" s="167"/>
      <c r="F172" s="167" t="e">
        <f t="shared" si="34"/>
        <v>#REF!</v>
      </c>
      <c r="G172" s="166"/>
      <c r="H172" s="167" t="e">
        <f t="shared" si="30"/>
        <v>#REF!</v>
      </c>
      <c r="I172" s="167" t="e">
        <f t="shared" si="31"/>
        <v>#REF!</v>
      </c>
      <c r="J172" s="167" t="e">
        <f>IF(C172="","",IF(F172=0,0,IF(C172&lt;='Tabla Parámetros'!$J$23,I172,IF($E$2='Tabla Parámetros'!$J$19,((($H$2/1000*'Tabla Parámetros'!$K$19)/30.4*C172)*1.0212^12),IF($E$2='Tabla Parámetros'!$J$20,($H$2/1000*'Tabla Parámetros'!$K$20)/30.4*C172)*1.0201^12)))+N172+O172)</f>
        <v>#REF!</v>
      </c>
      <c r="K172" s="167" t="e">
        <f t="shared" si="28"/>
        <v>#REF!</v>
      </c>
      <c r="L172" s="167" t="e">
        <f>IF(B172="","",IF(F172=0,0,Simulador!$N$13*$J$2))</f>
        <v>#REF!</v>
      </c>
      <c r="M172" s="167" t="e">
        <f>IF(B172="","",IF(F172=0,0,IF(Simulador!$F$11='Tabla Parámetros'!$W$1,'Tabla Parámetros'!$W$28,IF(Simulador!$F$11='Tabla Parámetros'!$Y$1,'Tabla Parámetros'!$Y$12))))</f>
        <v>#REF!</v>
      </c>
      <c r="N172" s="167" t="e">
        <f>IF(F172="","",IF(Simulador!$N$7='Tabla Parámetros'!$C$31,AportPat!L158,0))</f>
        <v>#REF!</v>
      </c>
      <c r="O172" s="172" t="e">
        <f>Simulador!#REF!</f>
        <v>#REF!</v>
      </c>
      <c r="P172" s="167" t="e">
        <f t="shared" si="32"/>
        <v>#REF!</v>
      </c>
      <c r="Q172" s="167" t="e">
        <f t="shared" si="35"/>
        <v>#REF!</v>
      </c>
      <c r="T172" s="6"/>
      <c r="U172" s="6"/>
      <c r="V172" s="6"/>
      <c r="W172" s="29" t="e">
        <f t="shared" si="27"/>
        <v>#REF!</v>
      </c>
    </row>
    <row r="173" spans="2:23" x14ac:dyDescent="0.3">
      <c r="B173" s="181">
        <f t="shared" si="33"/>
        <v>156</v>
      </c>
      <c r="C173" s="180">
        <f t="shared" si="29"/>
        <v>30.4</v>
      </c>
      <c r="D173" s="193">
        <f>IF(B173="","",'Tabla Parámetros'!$G$5)</f>
        <v>0.11799999999999999</v>
      </c>
      <c r="E173" s="167"/>
      <c r="F173" s="167" t="e">
        <f t="shared" si="34"/>
        <v>#REF!</v>
      </c>
      <c r="G173" s="166"/>
      <c r="H173" s="167" t="e">
        <f t="shared" si="30"/>
        <v>#REF!</v>
      </c>
      <c r="I173" s="167" t="e">
        <f t="shared" si="31"/>
        <v>#REF!</v>
      </c>
      <c r="J173" s="167" t="e">
        <f>IF(C173="","",IF(F173=0,0,IF(C173&lt;='Tabla Parámetros'!$J$23,I173,IF($E$2='Tabla Parámetros'!$J$19,((($H$2/1000*'Tabla Parámetros'!$K$19)/30.4*C173)*1.0212^12),IF($E$2='Tabla Parámetros'!$J$20,($H$2/1000*'Tabla Parámetros'!$K$20)/30.4*C173)*1.0201^12)))+N173+O173)</f>
        <v>#REF!</v>
      </c>
      <c r="K173" s="167" t="e">
        <f t="shared" si="28"/>
        <v>#REF!</v>
      </c>
      <c r="L173" s="167" t="e">
        <f>IF(B173="","",IF(F173=0,0,Simulador!$N$13*$J$2))</f>
        <v>#REF!</v>
      </c>
      <c r="M173" s="167" t="e">
        <f>IF(B173="","",IF(F173=0,0,IF(Simulador!$F$11='Tabla Parámetros'!$W$1,'Tabla Parámetros'!$W$28,IF(Simulador!$F$11='Tabla Parámetros'!$Y$1,'Tabla Parámetros'!$Y$12))))</f>
        <v>#REF!</v>
      </c>
      <c r="N173" s="167" t="e">
        <f>IF(F173="","",IF(Simulador!$N$7='Tabla Parámetros'!$C$31,AportPat!L159,0))</f>
        <v>#REF!</v>
      </c>
      <c r="O173" s="172" t="e">
        <f>Simulador!#REF!</f>
        <v>#REF!</v>
      </c>
      <c r="P173" s="167" t="e">
        <f t="shared" si="32"/>
        <v>#REF!</v>
      </c>
      <c r="Q173" s="167" t="e">
        <f t="shared" si="35"/>
        <v>#REF!</v>
      </c>
      <c r="T173" s="6"/>
      <c r="U173" s="6"/>
      <c r="V173" s="6"/>
      <c r="W173" s="29" t="e">
        <f t="shared" si="27"/>
        <v>#REF!</v>
      </c>
    </row>
    <row r="174" spans="2:23" x14ac:dyDescent="0.3">
      <c r="B174" s="181">
        <f t="shared" si="33"/>
        <v>157</v>
      </c>
      <c r="C174" s="180">
        <f t="shared" si="29"/>
        <v>30.4</v>
      </c>
      <c r="D174" s="193">
        <f>IF(B174="","",'Tabla Parámetros'!$G$5)</f>
        <v>0.11799999999999999</v>
      </c>
      <c r="E174" s="167"/>
      <c r="F174" s="167" t="e">
        <f t="shared" si="34"/>
        <v>#REF!</v>
      </c>
      <c r="G174" s="166"/>
      <c r="H174" s="167" t="e">
        <f t="shared" si="30"/>
        <v>#REF!</v>
      </c>
      <c r="I174" s="167" t="e">
        <f t="shared" si="31"/>
        <v>#REF!</v>
      </c>
      <c r="J174" s="167" t="e">
        <f>IF(C174="","",IF(F174=0,0,IF(C174&lt;='Tabla Parámetros'!$J$23,I174,IF($E$2='Tabla Parámetros'!$J$19,((($H$2/1000*'Tabla Parámetros'!$K$19)/30.4*C174)*1.0212^12),IF($E$2='Tabla Parámetros'!$J$20,($H$2/1000*'Tabla Parámetros'!$K$20)/30.4*C174)*1.0201^12)))+N174+O174)</f>
        <v>#REF!</v>
      </c>
      <c r="K174" s="167" t="e">
        <f t="shared" si="28"/>
        <v>#REF!</v>
      </c>
      <c r="L174" s="167" t="e">
        <f>IF(B174="","",IF(F174=0,0,Simulador!$N$13*$J$2))</f>
        <v>#REF!</v>
      </c>
      <c r="M174" s="167" t="e">
        <f>IF(B174="","",IF(F174=0,0,IF(Simulador!$F$11='Tabla Parámetros'!$W$1,'Tabla Parámetros'!$W$28,IF(Simulador!$F$11='Tabla Parámetros'!$Y$1,'Tabla Parámetros'!$Y$12))))</f>
        <v>#REF!</v>
      </c>
      <c r="N174" s="167" t="e">
        <f>IF(F174="","",IF(Simulador!$N$7='Tabla Parámetros'!$C$31,AportPat!L160,0))</f>
        <v>#REF!</v>
      </c>
      <c r="O174" s="172" t="e">
        <f>Simulador!#REF!</f>
        <v>#REF!</v>
      </c>
      <c r="P174" s="167" t="e">
        <f t="shared" si="32"/>
        <v>#REF!</v>
      </c>
      <c r="Q174" s="167" t="e">
        <f t="shared" si="35"/>
        <v>#REF!</v>
      </c>
      <c r="T174" s="6"/>
      <c r="U174" s="6"/>
      <c r="V174" s="6"/>
      <c r="W174" s="29" t="e">
        <f t="shared" si="27"/>
        <v>#REF!</v>
      </c>
    </row>
    <row r="175" spans="2:23" x14ac:dyDescent="0.3">
      <c r="B175" s="181">
        <f t="shared" si="33"/>
        <v>158</v>
      </c>
      <c r="C175" s="180">
        <f t="shared" si="29"/>
        <v>30.4</v>
      </c>
      <c r="D175" s="193">
        <f>IF(B175="","",'Tabla Parámetros'!$G$5)</f>
        <v>0.11799999999999999</v>
      </c>
      <c r="E175" s="167"/>
      <c r="F175" s="167" t="e">
        <f t="shared" si="34"/>
        <v>#REF!</v>
      </c>
      <c r="G175" s="166"/>
      <c r="H175" s="167" t="e">
        <f t="shared" si="30"/>
        <v>#REF!</v>
      </c>
      <c r="I175" s="167" t="e">
        <f t="shared" si="31"/>
        <v>#REF!</v>
      </c>
      <c r="J175" s="167" t="e">
        <f>IF(C175="","",IF(F175=0,0,IF(C175&lt;='Tabla Parámetros'!$J$23,I175,IF($E$2='Tabla Parámetros'!$J$19,((($H$2/1000*'Tabla Parámetros'!$K$19)/30.4*C175)*1.0212^13),IF($E$2='Tabla Parámetros'!$J$20,($H$2/1000*'Tabla Parámetros'!$K$20)/30.4*C175)*1.0201^13)))+N175+O175)</f>
        <v>#REF!</v>
      </c>
      <c r="K175" s="167" t="e">
        <f t="shared" si="28"/>
        <v>#REF!</v>
      </c>
      <c r="L175" s="167" t="e">
        <f>IF(B175="","",IF(F175=0,0,Simulador!$N$13*$J$2))</f>
        <v>#REF!</v>
      </c>
      <c r="M175" s="167" t="e">
        <f>IF(B175="","",IF(F175=0,0,IF(Simulador!$F$11='Tabla Parámetros'!$W$1,'Tabla Parámetros'!$W$28,IF(Simulador!$F$11='Tabla Parámetros'!$Y$1,'Tabla Parámetros'!$Y$12))))</f>
        <v>#REF!</v>
      </c>
      <c r="N175" s="167" t="e">
        <f>IF(F175="","",IF(Simulador!$N$7='Tabla Parámetros'!$C$31,AportPat!L161,0))</f>
        <v>#REF!</v>
      </c>
      <c r="O175" s="172" t="e">
        <f>Simulador!#REF!</f>
        <v>#REF!</v>
      </c>
      <c r="P175" s="167" t="e">
        <f t="shared" si="32"/>
        <v>#REF!</v>
      </c>
      <c r="Q175" s="167" t="e">
        <f t="shared" si="35"/>
        <v>#REF!</v>
      </c>
      <c r="T175" s="6"/>
      <c r="U175" s="6"/>
      <c r="V175" s="6"/>
      <c r="W175" s="29" t="e">
        <f t="shared" si="27"/>
        <v>#REF!</v>
      </c>
    </row>
    <row r="176" spans="2:23" x14ac:dyDescent="0.3">
      <c r="B176" s="181">
        <f t="shared" si="33"/>
        <v>159</v>
      </c>
      <c r="C176" s="180">
        <f t="shared" si="29"/>
        <v>30.4</v>
      </c>
      <c r="D176" s="193">
        <f>IF(B176="","",'Tabla Parámetros'!$G$5)</f>
        <v>0.11799999999999999</v>
      </c>
      <c r="E176" s="167"/>
      <c r="F176" s="167" t="e">
        <f t="shared" si="34"/>
        <v>#REF!</v>
      </c>
      <c r="G176" s="166"/>
      <c r="H176" s="167" t="e">
        <f t="shared" si="30"/>
        <v>#REF!</v>
      </c>
      <c r="I176" s="167" t="e">
        <f t="shared" si="31"/>
        <v>#REF!</v>
      </c>
      <c r="J176" s="167" t="e">
        <f>IF(C176="","",IF(F176=0,0,IF(C176&lt;='Tabla Parámetros'!$J$23,I176,IF($E$2='Tabla Parámetros'!$J$19,((($H$2/1000*'Tabla Parámetros'!$K$19)/30.4*C176)*1.0212^13),IF($E$2='Tabla Parámetros'!$J$20,($H$2/1000*'Tabla Parámetros'!$K$20)/30.4*C176)*1.0201^13)))+N176+O176)</f>
        <v>#REF!</v>
      </c>
      <c r="K176" s="167" t="e">
        <f t="shared" si="28"/>
        <v>#REF!</v>
      </c>
      <c r="L176" s="167" t="e">
        <f>IF(B176="","",IF(F176=0,0,Simulador!$N$13*$J$2))</f>
        <v>#REF!</v>
      </c>
      <c r="M176" s="167" t="e">
        <f>IF(B176="","",IF(F176=0,0,IF(Simulador!$F$11='Tabla Parámetros'!$W$1,'Tabla Parámetros'!$W$28,IF(Simulador!$F$11='Tabla Parámetros'!$Y$1,'Tabla Parámetros'!$Y$12))))</f>
        <v>#REF!</v>
      </c>
      <c r="N176" s="167" t="e">
        <f>IF(F176="","",IF(Simulador!$N$7='Tabla Parámetros'!$C$31,AportPat!L162,0))</f>
        <v>#REF!</v>
      </c>
      <c r="O176" s="172" t="e">
        <f>Simulador!#REF!</f>
        <v>#REF!</v>
      </c>
      <c r="P176" s="167" t="e">
        <f t="shared" si="32"/>
        <v>#REF!</v>
      </c>
      <c r="Q176" s="167" t="e">
        <f t="shared" si="35"/>
        <v>#REF!</v>
      </c>
      <c r="T176" s="6"/>
      <c r="U176" s="6"/>
      <c r="V176" s="6"/>
      <c r="W176" s="29" t="e">
        <f t="shared" si="27"/>
        <v>#REF!</v>
      </c>
    </row>
    <row r="177" spans="2:23" x14ac:dyDescent="0.3">
      <c r="B177" s="181">
        <f t="shared" si="33"/>
        <v>160</v>
      </c>
      <c r="C177" s="180">
        <f t="shared" si="29"/>
        <v>30.4</v>
      </c>
      <c r="D177" s="193">
        <f>IF(B177="","",'Tabla Parámetros'!$G$5)</f>
        <v>0.11799999999999999</v>
      </c>
      <c r="E177" s="167"/>
      <c r="F177" s="167" t="e">
        <f t="shared" si="34"/>
        <v>#REF!</v>
      </c>
      <c r="G177" s="166"/>
      <c r="H177" s="167" t="e">
        <f t="shared" si="30"/>
        <v>#REF!</v>
      </c>
      <c r="I177" s="167" t="e">
        <f t="shared" si="31"/>
        <v>#REF!</v>
      </c>
      <c r="J177" s="167" t="e">
        <f>IF(C177="","",IF(F177=0,0,IF(C177&lt;='Tabla Parámetros'!$J$23,I177,IF($E$2='Tabla Parámetros'!$J$19,((($H$2/1000*'Tabla Parámetros'!$K$19)/30.4*C177)*1.0212^13),IF($E$2='Tabla Parámetros'!$J$20,($H$2/1000*'Tabla Parámetros'!$K$20)/30.4*C177)*1.0201^13)))+N177+O177)</f>
        <v>#REF!</v>
      </c>
      <c r="K177" s="167" t="e">
        <f t="shared" si="28"/>
        <v>#REF!</v>
      </c>
      <c r="L177" s="167" t="e">
        <f>IF(B177="","",IF(F177=0,0,Simulador!$N$13*$J$2))</f>
        <v>#REF!</v>
      </c>
      <c r="M177" s="167" t="e">
        <f>IF(B177="","",IF(F177=0,0,IF(Simulador!$F$11='Tabla Parámetros'!$W$1,'Tabla Parámetros'!$W$28,IF(Simulador!$F$11='Tabla Parámetros'!$Y$1,'Tabla Parámetros'!$Y$12))))</f>
        <v>#REF!</v>
      </c>
      <c r="N177" s="167" t="e">
        <f>IF(F177="","",IF(Simulador!$N$7='Tabla Parámetros'!$C$31,AportPat!L163,0))</f>
        <v>#REF!</v>
      </c>
      <c r="O177" s="172" t="e">
        <f>Simulador!#REF!</f>
        <v>#REF!</v>
      </c>
      <c r="P177" s="167" t="e">
        <f t="shared" si="32"/>
        <v>#REF!</v>
      </c>
      <c r="Q177" s="167" t="e">
        <f t="shared" si="35"/>
        <v>#REF!</v>
      </c>
      <c r="T177" s="6"/>
      <c r="U177" s="6"/>
      <c r="V177" s="6"/>
      <c r="W177" s="29" t="e">
        <f t="shared" si="27"/>
        <v>#REF!</v>
      </c>
    </row>
    <row r="178" spans="2:23" x14ac:dyDescent="0.3">
      <c r="B178" s="181">
        <f t="shared" si="33"/>
        <v>161</v>
      </c>
      <c r="C178" s="180">
        <f t="shared" si="29"/>
        <v>30.4</v>
      </c>
      <c r="D178" s="193">
        <f>IF(B178="","",'Tabla Parámetros'!$G$5)</f>
        <v>0.11799999999999999</v>
      </c>
      <c r="E178" s="167"/>
      <c r="F178" s="167" t="e">
        <f t="shared" si="34"/>
        <v>#REF!</v>
      </c>
      <c r="G178" s="166"/>
      <c r="H178" s="167" t="e">
        <f t="shared" si="30"/>
        <v>#REF!</v>
      </c>
      <c r="I178" s="167" t="e">
        <f t="shared" si="31"/>
        <v>#REF!</v>
      </c>
      <c r="J178" s="167" t="e">
        <f>IF(C178="","",IF(F178=0,0,IF(C178&lt;='Tabla Parámetros'!$J$23,I178,IF($E$2='Tabla Parámetros'!$J$19,((($H$2/1000*'Tabla Parámetros'!$K$19)/30.4*C178)*1.0212^13),IF($E$2='Tabla Parámetros'!$J$20,($H$2/1000*'Tabla Parámetros'!$K$20)/30.4*C178)*1.0201^13)))+N178+O178)</f>
        <v>#REF!</v>
      </c>
      <c r="K178" s="167" t="e">
        <f t="shared" si="28"/>
        <v>#REF!</v>
      </c>
      <c r="L178" s="167" t="e">
        <f>IF(B178="","",IF(F178=0,0,Simulador!$N$13*$J$2))</f>
        <v>#REF!</v>
      </c>
      <c r="M178" s="167" t="e">
        <f>IF(B178="","",IF(F178=0,0,IF(Simulador!$F$11='Tabla Parámetros'!$W$1,'Tabla Parámetros'!$W$28,IF(Simulador!$F$11='Tabla Parámetros'!$Y$1,'Tabla Parámetros'!$Y$12))))</f>
        <v>#REF!</v>
      </c>
      <c r="N178" s="167" t="e">
        <f>IF(F178="","",IF(Simulador!$N$7='Tabla Parámetros'!$C$31,AportPat!L164,0))</f>
        <v>#REF!</v>
      </c>
      <c r="O178" s="172" t="e">
        <f>Simulador!#REF!</f>
        <v>#REF!</v>
      </c>
      <c r="P178" s="167" t="e">
        <f t="shared" si="32"/>
        <v>#REF!</v>
      </c>
      <c r="Q178" s="167" t="e">
        <f t="shared" si="35"/>
        <v>#REF!</v>
      </c>
      <c r="T178" s="6"/>
      <c r="U178" s="6"/>
      <c r="V178" s="6"/>
      <c r="W178" s="29" t="e">
        <f t="shared" si="27"/>
        <v>#REF!</v>
      </c>
    </row>
    <row r="179" spans="2:23" x14ac:dyDescent="0.3">
      <c r="B179" s="181">
        <f t="shared" si="33"/>
        <v>162</v>
      </c>
      <c r="C179" s="180">
        <f t="shared" si="29"/>
        <v>30.4</v>
      </c>
      <c r="D179" s="193">
        <f>IF(B179="","",'Tabla Parámetros'!$G$5)</f>
        <v>0.11799999999999999</v>
      </c>
      <c r="E179" s="167"/>
      <c r="F179" s="167" t="e">
        <f t="shared" si="34"/>
        <v>#REF!</v>
      </c>
      <c r="G179" s="166"/>
      <c r="H179" s="167" t="e">
        <f t="shared" si="30"/>
        <v>#REF!</v>
      </c>
      <c r="I179" s="167" t="e">
        <f t="shared" si="31"/>
        <v>#REF!</v>
      </c>
      <c r="J179" s="167" t="e">
        <f>IF(C179="","",IF(F179=0,0,IF(C179&lt;='Tabla Parámetros'!$J$23,I179,IF($E$2='Tabla Parámetros'!$J$19,((($H$2/1000*'Tabla Parámetros'!$K$19)/30.4*C179)*1.0212^13),IF($E$2='Tabla Parámetros'!$J$20,($H$2/1000*'Tabla Parámetros'!$K$20)/30.4*C179)*1.0201^13)))+N179+O179)</f>
        <v>#REF!</v>
      </c>
      <c r="K179" s="167" t="e">
        <f t="shared" si="28"/>
        <v>#REF!</v>
      </c>
      <c r="L179" s="167" t="e">
        <f>IF(B179="","",IF(F179=0,0,Simulador!$N$13*$J$2))</f>
        <v>#REF!</v>
      </c>
      <c r="M179" s="167" t="e">
        <f>IF(B179="","",IF(F179=0,0,IF(Simulador!$F$11='Tabla Parámetros'!$W$1,'Tabla Parámetros'!$W$28,IF(Simulador!$F$11='Tabla Parámetros'!$Y$1,'Tabla Parámetros'!$Y$12))))</f>
        <v>#REF!</v>
      </c>
      <c r="N179" s="167" t="e">
        <f>IF(F179="","",IF(Simulador!$N$7='Tabla Parámetros'!$C$31,AportPat!L165,0))</f>
        <v>#REF!</v>
      </c>
      <c r="O179" s="172" t="e">
        <f>Simulador!#REF!</f>
        <v>#REF!</v>
      </c>
      <c r="P179" s="167" t="e">
        <f t="shared" si="32"/>
        <v>#REF!</v>
      </c>
      <c r="Q179" s="167" t="e">
        <f t="shared" si="35"/>
        <v>#REF!</v>
      </c>
      <c r="T179" s="6"/>
      <c r="U179" s="6"/>
      <c r="V179" s="6"/>
      <c r="W179" s="29" t="e">
        <f t="shared" si="27"/>
        <v>#REF!</v>
      </c>
    </row>
    <row r="180" spans="2:23" x14ac:dyDescent="0.3">
      <c r="B180" s="181">
        <f t="shared" si="33"/>
        <v>163</v>
      </c>
      <c r="C180" s="180">
        <f t="shared" si="29"/>
        <v>30.4</v>
      </c>
      <c r="D180" s="193">
        <f>IF(B180="","",'Tabla Parámetros'!$G$5)</f>
        <v>0.11799999999999999</v>
      </c>
      <c r="E180" s="167"/>
      <c r="F180" s="167" t="e">
        <f t="shared" si="34"/>
        <v>#REF!</v>
      </c>
      <c r="G180" s="166"/>
      <c r="H180" s="167" t="e">
        <f t="shared" si="30"/>
        <v>#REF!</v>
      </c>
      <c r="I180" s="167" t="e">
        <f t="shared" si="31"/>
        <v>#REF!</v>
      </c>
      <c r="J180" s="167" t="e">
        <f>IF(C180="","",IF(F180=0,0,IF(C180&lt;='Tabla Parámetros'!$J$23,I180,IF($E$2='Tabla Parámetros'!$J$19,((($H$2/1000*'Tabla Parámetros'!$K$19)/30.4*C180)*1.0212^13),IF($E$2='Tabla Parámetros'!$J$20,($H$2/1000*'Tabla Parámetros'!$K$20)/30.4*C180)*1.0201^13)))+N180+O180)</f>
        <v>#REF!</v>
      </c>
      <c r="K180" s="167" t="e">
        <f t="shared" si="28"/>
        <v>#REF!</v>
      </c>
      <c r="L180" s="167" t="e">
        <f>IF(B180="","",IF(F180=0,0,Simulador!$N$13*$J$2))</f>
        <v>#REF!</v>
      </c>
      <c r="M180" s="167" t="e">
        <f>IF(B180="","",IF(F180=0,0,IF(Simulador!$F$11='Tabla Parámetros'!$W$1,'Tabla Parámetros'!$W$28,IF(Simulador!$F$11='Tabla Parámetros'!$Y$1,'Tabla Parámetros'!$Y$12))))</f>
        <v>#REF!</v>
      </c>
      <c r="N180" s="167" t="e">
        <f>IF(F180="","",IF(Simulador!$N$7='Tabla Parámetros'!$C$31,AportPat!L166,0))</f>
        <v>#REF!</v>
      </c>
      <c r="O180" s="172" t="e">
        <f>Simulador!#REF!</f>
        <v>#REF!</v>
      </c>
      <c r="P180" s="167" t="e">
        <f t="shared" si="32"/>
        <v>#REF!</v>
      </c>
      <c r="Q180" s="167" t="e">
        <f t="shared" si="35"/>
        <v>#REF!</v>
      </c>
      <c r="T180" s="6"/>
      <c r="U180" s="6"/>
      <c r="V180" s="6"/>
      <c r="W180" s="29" t="e">
        <f t="shared" si="27"/>
        <v>#REF!</v>
      </c>
    </row>
    <row r="181" spans="2:23" x14ac:dyDescent="0.3">
      <c r="B181" s="181">
        <f t="shared" si="33"/>
        <v>164</v>
      </c>
      <c r="C181" s="180">
        <f t="shared" si="29"/>
        <v>30.4</v>
      </c>
      <c r="D181" s="193">
        <f>IF(B181="","",'Tabla Parámetros'!$G$5)</f>
        <v>0.11799999999999999</v>
      </c>
      <c r="E181" s="167"/>
      <c r="F181" s="167" t="e">
        <f t="shared" si="34"/>
        <v>#REF!</v>
      </c>
      <c r="G181" s="166"/>
      <c r="H181" s="167" t="e">
        <f t="shared" si="30"/>
        <v>#REF!</v>
      </c>
      <c r="I181" s="167" t="e">
        <f t="shared" si="31"/>
        <v>#REF!</v>
      </c>
      <c r="J181" s="167" t="e">
        <f>IF(C181="","",IF(F181=0,0,IF(C181&lt;='Tabla Parámetros'!$J$23,I181,IF($E$2='Tabla Parámetros'!$J$19,((($H$2/1000*'Tabla Parámetros'!$K$19)/30.4*C181)*1.0212^13),IF($E$2='Tabla Parámetros'!$J$20,($H$2/1000*'Tabla Parámetros'!$K$20)/30.4*C181)*1.0201^13)))+N181+O181)</f>
        <v>#REF!</v>
      </c>
      <c r="K181" s="167" t="e">
        <f t="shared" si="28"/>
        <v>#REF!</v>
      </c>
      <c r="L181" s="167" t="e">
        <f>IF(B181="","",IF(F181=0,0,Simulador!$N$13*$J$2))</f>
        <v>#REF!</v>
      </c>
      <c r="M181" s="167" t="e">
        <f>IF(B181="","",IF(F181=0,0,IF(Simulador!$F$11='Tabla Parámetros'!$W$1,'Tabla Parámetros'!$W$28,IF(Simulador!$F$11='Tabla Parámetros'!$Y$1,'Tabla Parámetros'!$Y$12))))</f>
        <v>#REF!</v>
      </c>
      <c r="N181" s="167" t="e">
        <f>IF(F181="","",IF(Simulador!$N$7='Tabla Parámetros'!$C$31,AportPat!L167,0))</f>
        <v>#REF!</v>
      </c>
      <c r="O181" s="172" t="e">
        <f>Simulador!#REF!</f>
        <v>#REF!</v>
      </c>
      <c r="P181" s="167" t="e">
        <f t="shared" si="32"/>
        <v>#REF!</v>
      </c>
      <c r="Q181" s="167" t="e">
        <f t="shared" si="35"/>
        <v>#REF!</v>
      </c>
      <c r="T181" s="6"/>
      <c r="U181" s="6"/>
      <c r="V181" s="6"/>
      <c r="W181" s="29" t="e">
        <f t="shared" si="27"/>
        <v>#REF!</v>
      </c>
    </row>
    <row r="182" spans="2:23" x14ac:dyDescent="0.3">
      <c r="B182" s="181">
        <f t="shared" si="33"/>
        <v>165</v>
      </c>
      <c r="C182" s="180">
        <f t="shared" si="29"/>
        <v>30.4</v>
      </c>
      <c r="D182" s="193">
        <f>IF(B182="","",'Tabla Parámetros'!$G$5)</f>
        <v>0.11799999999999999</v>
      </c>
      <c r="E182" s="167"/>
      <c r="F182" s="167" t="e">
        <f t="shared" si="34"/>
        <v>#REF!</v>
      </c>
      <c r="G182" s="166"/>
      <c r="H182" s="167" t="e">
        <f t="shared" si="30"/>
        <v>#REF!</v>
      </c>
      <c r="I182" s="167" t="e">
        <f t="shared" si="31"/>
        <v>#REF!</v>
      </c>
      <c r="J182" s="167" t="e">
        <f>IF(C182="","",IF(F182=0,0,IF(C182&lt;='Tabla Parámetros'!$J$23,I182,IF($E$2='Tabla Parámetros'!$J$19,((($H$2/1000*'Tabla Parámetros'!$K$19)/30.4*C182)*1.0212^13),IF($E$2='Tabla Parámetros'!$J$20,($H$2/1000*'Tabla Parámetros'!$K$20)/30.4*C182)*1.0201^13)))+N182+O182)</f>
        <v>#REF!</v>
      </c>
      <c r="K182" s="167" t="e">
        <f t="shared" si="28"/>
        <v>#REF!</v>
      </c>
      <c r="L182" s="167" t="e">
        <f>IF(B182="","",IF(F182=0,0,Simulador!$N$13*$J$2))</f>
        <v>#REF!</v>
      </c>
      <c r="M182" s="167" t="e">
        <f>IF(B182="","",IF(F182=0,0,IF(Simulador!$F$11='Tabla Parámetros'!$W$1,'Tabla Parámetros'!$W$28,IF(Simulador!$F$11='Tabla Parámetros'!$Y$1,'Tabla Parámetros'!$Y$12))))</f>
        <v>#REF!</v>
      </c>
      <c r="N182" s="167" t="e">
        <f>IF(F182="","",IF(Simulador!$N$7='Tabla Parámetros'!$C$31,AportPat!L168,0))</f>
        <v>#REF!</v>
      </c>
      <c r="O182" s="172" t="e">
        <f>Simulador!#REF!</f>
        <v>#REF!</v>
      </c>
      <c r="P182" s="167" t="e">
        <f t="shared" si="32"/>
        <v>#REF!</v>
      </c>
      <c r="Q182" s="167" t="e">
        <f t="shared" si="35"/>
        <v>#REF!</v>
      </c>
      <c r="T182" s="6"/>
      <c r="U182" s="6"/>
      <c r="V182" s="6"/>
      <c r="W182" s="29" t="e">
        <f t="shared" si="27"/>
        <v>#REF!</v>
      </c>
    </row>
    <row r="183" spans="2:23" x14ac:dyDescent="0.3">
      <c r="B183" s="181">
        <f t="shared" si="33"/>
        <v>166</v>
      </c>
      <c r="C183" s="180">
        <f t="shared" si="29"/>
        <v>30.4</v>
      </c>
      <c r="D183" s="193">
        <f>IF(B183="","",'Tabla Parámetros'!$G$5)</f>
        <v>0.11799999999999999</v>
      </c>
      <c r="E183" s="167"/>
      <c r="F183" s="167" t="e">
        <f t="shared" si="34"/>
        <v>#REF!</v>
      </c>
      <c r="G183" s="166"/>
      <c r="H183" s="167" t="e">
        <f t="shared" si="30"/>
        <v>#REF!</v>
      </c>
      <c r="I183" s="167" t="e">
        <f t="shared" si="31"/>
        <v>#REF!</v>
      </c>
      <c r="J183" s="167" t="e">
        <f>IF(C183="","",IF(F183=0,0,IF(C183&lt;='Tabla Parámetros'!$J$23,I183,IF($E$2='Tabla Parámetros'!$J$19,((($H$2/1000*'Tabla Parámetros'!$K$19)/30.4*C183)*1.0212^13),IF($E$2='Tabla Parámetros'!$J$20,($H$2/1000*'Tabla Parámetros'!$K$20)/30.4*C183)*1.0201^13)))+N183+O183)</f>
        <v>#REF!</v>
      </c>
      <c r="K183" s="167" t="e">
        <f t="shared" si="28"/>
        <v>#REF!</v>
      </c>
      <c r="L183" s="167" t="e">
        <f>IF(B183="","",IF(F183=0,0,Simulador!$N$13*$J$2))</f>
        <v>#REF!</v>
      </c>
      <c r="M183" s="167" t="e">
        <f>IF(B183="","",IF(F183=0,0,IF(Simulador!$F$11='Tabla Parámetros'!$W$1,'Tabla Parámetros'!$W$28,IF(Simulador!$F$11='Tabla Parámetros'!$Y$1,'Tabla Parámetros'!$Y$12))))</f>
        <v>#REF!</v>
      </c>
      <c r="N183" s="167" t="e">
        <f>IF(F183="","",IF(Simulador!$N$7='Tabla Parámetros'!$C$31,AportPat!L169,0))</f>
        <v>#REF!</v>
      </c>
      <c r="O183" s="172" t="e">
        <f>Simulador!#REF!</f>
        <v>#REF!</v>
      </c>
      <c r="P183" s="167" t="e">
        <f t="shared" si="32"/>
        <v>#REF!</v>
      </c>
      <c r="Q183" s="167" t="e">
        <f t="shared" si="35"/>
        <v>#REF!</v>
      </c>
      <c r="T183" s="6"/>
      <c r="U183" s="6"/>
      <c r="V183" s="6"/>
      <c r="W183" s="29" t="e">
        <f t="shared" si="27"/>
        <v>#REF!</v>
      </c>
    </row>
    <row r="184" spans="2:23" x14ac:dyDescent="0.3">
      <c r="B184" s="181">
        <f t="shared" si="33"/>
        <v>167</v>
      </c>
      <c r="C184" s="180">
        <f t="shared" si="29"/>
        <v>30.4</v>
      </c>
      <c r="D184" s="193">
        <f>IF(B184="","",'Tabla Parámetros'!$G$5)</f>
        <v>0.11799999999999999</v>
      </c>
      <c r="E184" s="167"/>
      <c r="F184" s="167" t="e">
        <f t="shared" si="34"/>
        <v>#REF!</v>
      </c>
      <c r="G184" s="166"/>
      <c r="H184" s="167" t="e">
        <f t="shared" si="30"/>
        <v>#REF!</v>
      </c>
      <c r="I184" s="167" t="e">
        <f t="shared" si="31"/>
        <v>#REF!</v>
      </c>
      <c r="J184" s="167" t="e">
        <f>IF(C184="","",IF(F184=0,0,IF(C184&lt;='Tabla Parámetros'!$J$23,I184,IF($E$2='Tabla Parámetros'!$J$19,((($H$2/1000*'Tabla Parámetros'!$K$19)/30.4*C184)*1.0212^13),IF($E$2='Tabla Parámetros'!$J$20,($H$2/1000*'Tabla Parámetros'!$K$20)/30.4*C184)*1.0201^13)))+N184+O184)</f>
        <v>#REF!</v>
      </c>
      <c r="K184" s="167" t="e">
        <f t="shared" si="28"/>
        <v>#REF!</v>
      </c>
      <c r="L184" s="167" t="e">
        <f>IF(B184="","",IF(F184=0,0,Simulador!$N$13*$J$2))</f>
        <v>#REF!</v>
      </c>
      <c r="M184" s="167" t="e">
        <f>IF(B184="","",IF(F184=0,0,IF(Simulador!$F$11='Tabla Parámetros'!$W$1,'Tabla Parámetros'!$W$28,IF(Simulador!$F$11='Tabla Parámetros'!$Y$1,'Tabla Parámetros'!$Y$12))))</f>
        <v>#REF!</v>
      </c>
      <c r="N184" s="167" t="e">
        <f>IF(F184="","",IF(Simulador!$N$7='Tabla Parámetros'!$C$31,AportPat!L170,0))</f>
        <v>#REF!</v>
      </c>
      <c r="O184" s="172" t="e">
        <f>Simulador!#REF!</f>
        <v>#REF!</v>
      </c>
      <c r="P184" s="167" t="e">
        <f t="shared" si="32"/>
        <v>#REF!</v>
      </c>
      <c r="Q184" s="167" t="e">
        <f t="shared" si="35"/>
        <v>#REF!</v>
      </c>
      <c r="T184" s="6"/>
      <c r="U184" s="6"/>
      <c r="V184" s="6"/>
      <c r="W184" s="29" t="e">
        <f t="shared" si="27"/>
        <v>#REF!</v>
      </c>
    </row>
    <row r="185" spans="2:23" x14ac:dyDescent="0.3">
      <c r="B185" s="181">
        <f t="shared" si="33"/>
        <v>168</v>
      </c>
      <c r="C185" s="180">
        <f t="shared" si="29"/>
        <v>30.4</v>
      </c>
      <c r="D185" s="193">
        <f>IF(B185="","",'Tabla Parámetros'!$G$5)</f>
        <v>0.11799999999999999</v>
      </c>
      <c r="E185" s="167"/>
      <c r="F185" s="167" t="e">
        <f t="shared" si="34"/>
        <v>#REF!</v>
      </c>
      <c r="G185" s="166"/>
      <c r="H185" s="167" t="e">
        <f t="shared" si="30"/>
        <v>#REF!</v>
      </c>
      <c r="I185" s="167" t="e">
        <f t="shared" si="31"/>
        <v>#REF!</v>
      </c>
      <c r="J185" s="167" t="e">
        <f>IF(C185="","",IF(F185=0,0,IF(C185&lt;='Tabla Parámetros'!$J$23,I185,IF($E$2='Tabla Parámetros'!$J$19,((($H$2/1000*'Tabla Parámetros'!$K$19)/30.4*C185)*1.0212^13),IF($E$2='Tabla Parámetros'!$J$20,($H$2/1000*'Tabla Parámetros'!$K$20)/30.4*C185)*1.0201^13)))+N185+O185)</f>
        <v>#REF!</v>
      </c>
      <c r="K185" s="167" t="e">
        <f t="shared" si="28"/>
        <v>#REF!</v>
      </c>
      <c r="L185" s="167" t="e">
        <f>IF(B185="","",IF(F185=0,0,Simulador!$N$13*$J$2))</f>
        <v>#REF!</v>
      </c>
      <c r="M185" s="167" t="e">
        <f>IF(B185="","",IF(F185=0,0,IF(Simulador!$F$11='Tabla Parámetros'!$W$1,'Tabla Parámetros'!$W$28,IF(Simulador!$F$11='Tabla Parámetros'!$Y$1,'Tabla Parámetros'!$Y$12))))</f>
        <v>#REF!</v>
      </c>
      <c r="N185" s="167" t="e">
        <f>IF(F185="","",IF(Simulador!$N$7='Tabla Parámetros'!$C$31,AportPat!L171,0))</f>
        <v>#REF!</v>
      </c>
      <c r="O185" s="172" t="e">
        <f>Simulador!#REF!</f>
        <v>#REF!</v>
      </c>
      <c r="P185" s="167" t="e">
        <f t="shared" si="32"/>
        <v>#REF!</v>
      </c>
      <c r="Q185" s="167" t="e">
        <f t="shared" si="35"/>
        <v>#REF!</v>
      </c>
      <c r="T185" s="6"/>
      <c r="U185" s="6"/>
      <c r="V185" s="6"/>
      <c r="W185" s="29" t="e">
        <f t="shared" si="27"/>
        <v>#REF!</v>
      </c>
    </row>
    <row r="186" spans="2:23" x14ac:dyDescent="0.3">
      <c r="B186" s="181">
        <f t="shared" si="33"/>
        <v>169</v>
      </c>
      <c r="C186" s="180">
        <f t="shared" si="29"/>
        <v>30.4</v>
      </c>
      <c r="D186" s="193">
        <f>IF(B186="","",'Tabla Parámetros'!$G$5)</f>
        <v>0.11799999999999999</v>
      </c>
      <c r="E186" s="167"/>
      <c r="F186" s="167" t="e">
        <f t="shared" si="34"/>
        <v>#REF!</v>
      </c>
      <c r="G186" s="166"/>
      <c r="H186" s="167" t="e">
        <f t="shared" si="30"/>
        <v>#REF!</v>
      </c>
      <c r="I186" s="167" t="e">
        <f t="shared" si="31"/>
        <v>#REF!</v>
      </c>
      <c r="J186" s="167" t="e">
        <f>IF(C186="","",IF(F186=0,0,IF(C186&lt;='Tabla Parámetros'!$J$23,I186,IF($E$2='Tabla Parámetros'!$J$19,((($H$2/1000*'Tabla Parámetros'!$K$19)/30.4*C186)*1.0212^13),IF($E$2='Tabla Parámetros'!$J$20,($H$2/1000*'Tabla Parámetros'!$K$20)/30.4*C186)*1.0201^13)))+N186+O186)</f>
        <v>#REF!</v>
      </c>
      <c r="K186" s="167" t="e">
        <f t="shared" si="28"/>
        <v>#REF!</v>
      </c>
      <c r="L186" s="167" t="e">
        <f>IF(B186="","",IF(F186=0,0,Simulador!$N$13*$J$2))</f>
        <v>#REF!</v>
      </c>
      <c r="M186" s="167" t="e">
        <f>IF(B186="","",IF(F186=0,0,IF(Simulador!$F$11='Tabla Parámetros'!$W$1,'Tabla Parámetros'!$W$28,IF(Simulador!$F$11='Tabla Parámetros'!$Y$1,'Tabla Parámetros'!$Y$12))))</f>
        <v>#REF!</v>
      </c>
      <c r="N186" s="167" t="e">
        <f>IF(F186="","",IF(Simulador!$N$7='Tabla Parámetros'!$C$31,AportPat!L172,0))</f>
        <v>#REF!</v>
      </c>
      <c r="O186" s="172" t="e">
        <f>Simulador!#REF!</f>
        <v>#REF!</v>
      </c>
      <c r="P186" s="167" t="e">
        <f t="shared" si="32"/>
        <v>#REF!</v>
      </c>
      <c r="Q186" s="167" t="e">
        <f t="shared" si="35"/>
        <v>#REF!</v>
      </c>
      <c r="T186" s="6"/>
      <c r="U186" s="6"/>
      <c r="V186" s="6"/>
      <c r="W186" s="29" t="e">
        <f t="shared" si="27"/>
        <v>#REF!</v>
      </c>
    </row>
    <row r="187" spans="2:23" x14ac:dyDescent="0.3">
      <c r="B187" s="181">
        <f t="shared" si="33"/>
        <v>170</v>
      </c>
      <c r="C187" s="180">
        <f t="shared" si="29"/>
        <v>30.4</v>
      </c>
      <c r="D187" s="193">
        <f>IF(B187="","",'Tabla Parámetros'!$G$5)</f>
        <v>0.11799999999999999</v>
      </c>
      <c r="E187" s="167"/>
      <c r="F187" s="167" t="e">
        <f t="shared" si="34"/>
        <v>#REF!</v>
      </c>
      <c r="G187" s="166"/>
      <c r="H187" s="167" t="e">
        <f t="shared" si="30"/>
        <v>#REF!</v>
      </c>
      <c r="I187" s="167" t="e">
        <f t="shared" si="31"/>
        <v>#REF!</v>
      </c>
      <c r="J187" s="167" t="e">
        <f>IF(C187="","",IF(F187=0,0,IF(C187&lt;='Tabla Parámetros'!$J$23,I187,IF($E$2='Tabla Parámetros'!$J$19,((($H$2/1000*'Tabla Parámetros'!$K$19)/30.4*C187)*1.0212^14),IF($E$2='Tabla Parámetros'!$J$20,($H$2/1000*'Tabla Parámetros'!$K$20)/30.4*C187)*1.0201^14)))+N187+O187)</f>
        <v>#REF!</v>
      </c>
      <c r="K187" s="167" t="e">
        <f t="shared" si="28"/>
        <v>#REF!</v>
      </c>
      <c r="L187" s="167" t="e">
        <f>IF(B187="","",IF(F187=0,0,Simulador!$N$13*$J$2))</f>
        <v>#REF!</v>
      </c>
      <c r="M187" s="167" t="e">
        <f>IF(B187="","",IF(F187=0,0,IF(Simulador!$F$11='Tabla Parámetros'!$W$1,'Tabla Parámetros'!$W$28,IF(Simulador!$F$11='Tabla Parámetros'!$Y$1,'Tabla Parámetros'!$Y$12))))</f>
        <v>#REF!</v>
      </c>
      <c r="N187" s="167" t="e">
        <f>IF(F187="","",IF(Simulador!$N$7='Tabla Parámetros'!$C$31,AportPat!L173,0))</f>
        <v>#REF!</v>
      </c>
      <c r="O187" s="172" t="e">
        <f>Simulador!#REF!</f>
        <v>#REF!</v>
      </c>
      <c r="P187" s="167" t="e">
        <f t="shared" si="32"/>
        <v>#REF!</v>
      </c>
      <c r="Q187" s="167" t="e">
        <f t="shared" si="35"/>
        <v>#REF!</v>
      </c>
      <c r="T187" s="6"/>
      <c r="U187" s="6"/>
      <c r="V187" s="6"/>
      <c r="W187" s="29" t="e">
        <f t="shared" si="27"/>
        <v>#REF!</v>
      </c>
    </row>
    <row r="188" spans="2:23" x14ac:dyDescent="0.3">
      <c r="B188" s="181">
        <f t="shared" si="33"/>
        <v>171</v>
      </c>
      <c r="C188" s="180">
        <f t="shared" si="29"/>
        <v>30.4</v>
      </c>
      <c r="D188" s="193">
        <f>IF(B188="","",'Tabla Parámetros'!$G$5)</f>
        <v>0.11799999999999999</v>
      </c>
      <c r="E188" s="167"/>
      <c r="F188" s="167" t="e">
        <f t="shared" si="34"/>
        <v>#REF!</v>
      </c>
      <c r="G188" s="166"/>
      <c r="H188" s="167" t="e">
        <f t="shared" si="30"/>
        <v>#REF!</v>
      </c>
      <c r="I188" s="167" t="e">
        <f t="shared" si="31"/>
        <v>#REF!</v>
      </c>
      <c r="J188" s="167" t="e">
        <f>IF(C188="","",IF(F188=0,0,IF(C188&lt;='Tabla Parámetros'!$J$23,I188,IF($E$2='Tabla Parámetros'!$J$19,((($H$2/1000*'Tabla Parámetros'!$K$19)/30.4*C188)*1.0212^14),IF($E$2='Tabla Parámetros'!$J$20,($H$2/1000*'Tabla Parámetros'!$K$20)/30.4*C188)*1.0201^14)))+N188+O188)</f>
        <v>#REF!</v>
      </c>
      <c r="K188" s="167" t="e">
        <f t="shared" si="28"/>
        <v>#REF!</v>
      </c>
      <c r="L188" s="167" t="e">
        <f>IF(B188="","",IF(F188=0,0,Simulador!$N$13*$J$2))</f>
        <v>#REF!</v>
      </c>
      <c r="M188" s="167" t="e">
        <f>IF(B188="","",IF(F188=0,0,IF(Simulador!$F$11='Tabla Parámetros'!$W$1,'Tabla Parámetros'!$W$28,IF(Simulador!$F$11='Tabla Parámetros'!$Y$1,'Tabla Parámetros'!$Y$12))))</f>
        <v>#REF!</v>
      </c>
      <c r="N188" s="167" t="e">
        <f>IF(F188="","",IF(Simulador!$N$7='Tabla Parámetros'!$C$31,AportPat!L174,0))</f>
        <v>#REF!</v>
      </c>
      <c r="O188" s="172" t="e">
        <f>Simulador!#REF!</f>
        <v>#REF!</v>
      </c>
      <c r="P188" s="167" t="e">
        <f t="shared" si="32"/>
        <v>#REF!</v>
      </c>
      <c r="Q188" s="167" t="e">
        <f t="shared" si="35"/>
        <v>#REF!</v>
      </c>
      <c r="T188" s="6"/>
      <c r="U188" s="6"/>
      <c r="V188" s="6"/>
      <c r="W188" s="29" t="e">
        <f t="shared" si="27"/>
        <v>#REF!</v>
      </c>
    </row>
    <row r="189" spans="2:23" x14ac:dyDescent="0.3">
      <c r="B189" s="181">
        <f t="shared" si="33"/>
        <v>172</v>
      </c>
      <c r="C189" s="180">
        <f t="shared" si="29"/>
        <v>30.4</v>
      </c>
      <c r="D189" s="193">
        <f>IF(B189="","",'Tabla Parámetros'!$G$5)</f>
        <v>0.11799999999999999</v>
      </c>
      <c r="E189" s="167"/>
      <c r="F189" s="167" t="e">
        <f t="shared" si="34"/>
        <v>#REF!</v>
      </c>
      <c r="G189" s="166"/>
      <c r="H189" s="167" t="e">
        <f t="shared" si="30"/>
        <v>#REF!</v>
      </c>
      <c r="I189" s="167" t="e">
        <f t="shared" si="31"/>
        <v>#REF!</v>
      </c>
      <c r="J189" s="167" t="e">
        <f>IF(C189="","",IF(F189=0,0,IF(C189&lt;='Tabla Parámetros'!$J$23,I189,IF($E$2='Tabla Parámetros'!$J$19,((($H$2/1000*'Tabla Parámetros'!$K$19)/30.4*C189)*1.0212^14),IF($E$2='Tabla Parámetros'!$J$20,($H$2/1000*'Tabla Parámetros'!$K$20)/30.4*C189)*1.0201^14)))+N189+O189)</f>
        <v>#REF!</v>
      </c>
      <c r="K189" s="167" t="e">
        <f t="shared" si="28"/>
        <v>#REF!</v>
      </c>
      <c r="L189" s="167" t="e">
        <f>IF(B189="","",IF(F189=0,0,Simulador!$N$13*$J$2))</f>
        <v>#REF!</v>
      </c>
      <c r="M189" s="167" t="e">
        <f>IF(B189="","",IF(F189=0,0,IF(Simulador!$F$11='Tabla Parámetros'!$W$1,'Tabla Parámetros'!$W$28,IF(Simulador!$F$11='Tabla Parámetros'!$Y$1,'Tabla Parámetros'!$Y$12))))</f>
        <v>#REF!</v>
      </c>
      <c r="N189" s="167" t="e">
        <f>IF(F189="","",IF(Simulador!$N$7='Tabla Parámetros'!$C$31,AportPat!L175,0))</f>
        <v>#REF!</v>
      </c>
      <c r="O189" s="172" t="e">
        <f>Simulador!#REF!</f>
        <v>#REF!</v>
      </c>
      <c r="P189" s="167" t="e">
        <f t="shared" si="32"/>
        <v>#REF!</v>
      </c>
      <c r="Q189" s="167" t="e">
        <f t="shared" si="35"/>
        <v>#REF!</v>
      </c>
      <c r="T189" s="6"/>
      <c r="U189" s="6"/>
      <c r="V189" s="6"/>
      <c r="W189" s="29" t="e">
        <f t="shared" si="27"/>
        <v>#REF!</v>
      </c>
    </row>
    <row r="190" spans="2:23" x14ac:dyDescent="0.3">
      <c r="B190" s="181">
        <f t="shared" si="33"/>
        <v>173</v>
      </c>
      <c r="C190" s="180">
        <f t="shared" si="29"/>
        <v>30.4</v>
      </c>
      <c r="D190" s="193">
        <f>IF(B190="","",'Tabla Parámetros'!$G$5)</f>
        <v>0.11799999999999999</v>
      </c>
      <c r="E190" s="167"/>
      <c r="F190" s="167" t="e">
        <f t="shared" si="34"/>
        <v>#REF!</v>
      </c>
      <c r="G190" s="166"/>
      <c r="H190" s="167" t="e">
        <f t="shared" si="30"/>
        <v>#REF!</v>
      </c>
      <c r="I190" s="167" t="e">
        <f t="shared" si="31"/>
        <v>#REF!</v>
      </c>
      <c r="J190" s="167" t="e">
        <f>IF(C190="","",IF(F190=0,0,IF(C190&lt;='Tabla Parámetros'!$J$23,I190,IF($E$2='Tabla Parámetros'!$J$19,((($H$2/1000*'Tabla Parámetros'!$K$19)/30.4*C190)*1.0212^14),IF($E$2='Tabla Parámetros'!$J$20,($H$2/1000*'Tabla Parámetros'!$K$20)/30.4*C190)*1.0201^14)))+N190+O190)</f>
        <v>#REF!</v>
      </c>
      <c r="K190" s="167" t="e">
        <f t="shared" si="28"/>
        <v>#REF!</v>
      </c>
      <c r="L190" s="167" t="e">
        <f>IF(B190="","",IF(F190=0,0,Simulador!$N$13*$J$2))</f>
        <v>#REF!</v>
      </c>
      <c r="M190" s="167" t="e">
        <f>IF(B190="","",IF(F190=0,0,IF(Simulador!$F$11='Tabla Parámetros'!$W$1,'Tabla Parámetros'!$W$28,IF(Simulador!$F$11='Tabla Parámetros'!$Y$1,'Tabla Parámetros'!$Y$12))))</f>
        <v>#REF!</v>
      </c>
      <c r="N190" s="167" t="e">
        <f>IF(F190="","",IF(Simulador!$N$7='Tabla Parámetros'!$C$31,AportPat!L176,0))</f>
        <v>#REF!</v>
      </c>
      <c r="O190" s="172" t="e">
        <f>Simulador!#REF!</f>
        <v>#REF!</v>
      </c>
      <c r="P190" s="167" t="e">
        <f t="shared" si="32"/>
        <v>#REF!</v>
      </c>
      <c r="Q190" s="167" t="e">
        <f t="shared" si="35"/>
        <v>#REF!</v>
      </c>
      <c r="T190" s="6"/>
      <c r="U190" s="6"/>
      <c r="V190" s="6"/>
      <c r="W190" s="29" t="e">
        <f t="shared" si="27"/>
        <v>#REF!</v>
      </c>
    </row>
    <row r="191" spans="2:23" x14ac:dyDescent="0.3">
      <c r="B191" s="181">
        <f t="shared" si="33"/>
        <v>174</v>
      </c>
      <c r="C191" s="180">
        <f t="shared" si="29"/>
        <v>30.4</v>
      </c>
      <c r="D191" s="193">
        <f>IF(B191="","",'Tabla Parámetros'!$G$5)</f>
        <v>0.11799999999999999</v>
      </c>
      <c r="E191" s="167"/>
      <c r="F191" s="167" t="e">
        <f t="shared" si="34"/>
        <v>#REF!</v>
      </c>
      <c r="G191" s="166"/>
      <c r="H191" s="167" t="e">
        <f t="shared" si="30"/>
        <v>#REF!</v>
      </c>
      <c r="I191" s="167" t="e">
        <f t="shared" si="31"/>
        <v>#REF!</v>
      </c>
      <c r="J191" s="167" t="e">
        <f>IF(C191="","",IF(F191=0,0,IF(C191&lt;='Tabla Parámetros'!$J$23,I191,IF($E$2='Tabla Parámetros'!$J$19,((($H$2/1000*'Tabla Parámetros'!$K$19)/30.4*C191)*1.0212^14),IF($E$2='Tabla Parámetros'!$J$20,($H$2/1000*'Tabla Parámetros'!$K$20)/30.4*C191)*1.0201^14)))+N191+O191)</f>
        <v>#REF!</v>
      </c>
      <c r="K191" s="167" t="e">
        <f t="shared" si="28"/>
        <v>#REF!</v>
      </c>
      <c r="L191" s="167" t="e">
        <f>IF(B191="","",IF(F191=0,0,Simulador!$N$13*$J$2))</f>
        <v>#REF!</v>
      </c>
      <c r="M191" s="167" t="e">
        <f>IF(B191="","",IF(F191=0,0,IF(Simulador!$F$11='Tabla Parámetros'!$W$1,'Tabla Parámetros'!$W$28,IF(Simulador!$F$11='Tabla Parámetros'!$Y$1,'Tabla Parámetros'!$Y$12))))</f>
        <v>#REF!</v>
      </c>
      <c r="N191" s="167" t="e">
        <f>IF(F191="","",IF(Simulador!$N$7='Tabla Parámetros'!$C$31,AportPat!L177,0))</f>
        <v>#REF!</v>
      </c>
      <c r="O191" s="172" t="e">
        <f>Simulador!#REF!</f>
        <v>#REF!</v>
      </c>
      <c r="P191" s="167" t="e">
        <f t="shared" si="32"/>
        <v>#REF!</v>
      </c>
      <c r="Q191" s="167" t="e">
        <f t="shared" si="35"/>
        <v>#REF!</v>
      </c>
      <c r="T191" s="6"/>
      <c r="U191" s="6"/>
      <c r="V191" s="6"/>
      <c r="W191" s="29" t="e">
        <f t="shared" si="27"/>
        <v>#REF!</v>
      </c>
    </row>
    <row r="192" spans="2:23" x14ac:dyDescent="0.3">
      <c r="B192" s="181">
        <f t="shared" si="33"/>
        <v>175</v>
      </c>
      <c r="C192" s="180">
        <f t="shared" si="29"/>
        <v>30.4</v>
      </c>
      <c r="D192" s="193">
        <f>IF(B192="","",'Tabla Parámetros'!$G$5)</f>
        <v>0.11799999999999999</v>
      </c>
      <c r="E192" s="167"/>
      <c r="F192" s="167" t="e">
        <f t="shared" si="34"/>
        <v>#REF!</v>
      </c>
      <c r="G192" s="166"/>
      <c r="H192" s="167" t="e">
        <f t="shared" si="30"/>
        <v>#REF!</v>
      </c>
      <c r="I192" s="167" t="e">
        <f t="shared" si="31"/>
        <v>#REF!</v>
      </c>
      <c r="J192" s="167" t="e">
        <f>IF(C192="","",IF(F192=0,0,IF(C192&lt;='Tabla Parámetros'!$J$23,I192,IF($E$2='Tabla Parámetros'!$J$19,((($H$2/1000*'Tabla Parámetros'!$K$19)/30.4*C192)*1.0212^14),IF($E$2='Tabla Parámetros'!$J$20,($H$2/1000*'Tabla Parámetros'!$K$20)/30.4*C192)*1.0201^14)))+N192+O192)</f>
        <v>#REF!</v>
      </c>
      <c r="K192" s="167" t="e">
        <f t="shared" si="28"/>
        <v>#REF!</v>
      </c>
      <c r="L192" s="167" t="e">
        <f>IF(B192="","",IF(F192=0,0,Simulador!$N$13*$J$2))</f>
        <v>#REF!</v>
      </c>
      <c r="M192" s="167" t="e">
        <f>IF(B192="","",IF(F192=0,0,IF(Simulador!$F$11='Tabla Parámetros'!$W$1,'Tabla Parámetros'!$W$28,IF(Simulador!$F$11='Tabla Parámetros'!$Y$1,'Tabla Parámetros'!$Y$12))))</f>
        <v>#REF!</v>
      </c>
      <c r="N192" s="167" t="e">
        <f>IF(F192="","",IF(Simulador!$N$7='Tabla Parámetros'!$C$31,AportPat!L178,0))</f>
        <v>#REF!</v>
      </c>
      <c r="O192" s="172" t="e">
        <f>Simulador!#REF!</f>
        <v>#REF!</v>
      </c>
      <c r="P192" s="167" t="e">
        <f t="shared" si="32"/>
        <v>#REF!</v>
      </c>
      <c r="Q192" s="167" t="e">
        <f t="shared" si="35"/>
        <v>#REF!</v>
      </c>
      <c r="T192" s="6"/>
      <c r="U192" s="6"/>
      <c r="V192" s="6"/>
      <c r="W192" s="29" t="e">
        <f t="shared" si="27"/>
        <v>#REF!</v>
      </c>
    </row>
    <row r="193" spans="2:23" x14ac:dyDescent="0.3">
      <c r="B193" s="181">
        <f t="shared" si="33"/>
        <v>176</v>
      </c>
      <c r="C193" s="180">
        <f t="shared" si="29"/>
        <v>30.4</v>
      </c>
      <c r="D193" s="193">
        <f>IF(B193="","",'Tabla Parámetros'!$G$5)</f>
        <v>0.11799999999999999</v>
      </c>
      <c r="E193" s="167"/>
      <c r="F193" s="167" t="e">
        <f t="shared" si="34"/>
        <v>#REF!</v>
      </c>
      <c r="G193" s="166"/>
      <c r="H193" s="167" t="e">
        <f t="shared" si="30"/>
        <v>#REF!</v>
      </c>
      <c r="I193" s="167" t="e">
        <f t="shared" si="31"/>
        <v>#REF!</v>
      </c>
      <c r="J193" s="167" t="e">
        <f>IF(C193="","",IF(F193=0,0,IF(C193&lt;='Tabla Parámetros'!$J$23,I193,IF($E$2='Tabla Parámetros'!$J$19,((($H$2/1000*'Tabla Parámetros'!$K$19)/30.4*C193)*1.0212^14),IF($E$2='Tabla Parámetros'!$J$20,($H$2/1000*'Tabla Parámetros'!$K$20)/30.4*C193)*1.0201^14)))+N193+O193)</f>
        <v>#REF!</v>
      </c>
      <c r="K193" s="167" t="e">
        <f t="shared" si="28"/>
        <v>#REF!</v>
      </c>
      <c r="L193" s="167" t="e">
        <f>IF(B193="","",IF(F193=0,0,Simulador!$N$13*$J$2))</f>
        <v>#REF!</v>
      </c>
      <c r="M193" s="167" t="e">
        <f>IF(B193="","",IF(F193=0,0,IF(Simulador!$F$11='Tabla Parámetros'!$W$1,'Tabla Parámetros'!$W$28,IF(Simulador!$F$11='Tabla Parámetros'!$Y$1,'Tabla Parámetros'!$Y$12))))</f>
        <v>#REF!</v>
      </c>
      <c r="N193" s="167" t="e">
        <f>IF(F193="","",IF(Simulador!$N$7='Tabla Parámetros'!$C$31,AportPat!L179,0))</f>
        <v>#REF!</v>
      </c>
      <c r="O193" s="172" t="e">
        <f>Simulador!#REF!</f>
        <v>#REF!</v>
      </c>
      <c r="P193" s="167" t="e">
        <f t="shared" si="32"/>
        <v>#REF!</v>
      </c>
      <c r="Q193" s="167" t="e">
        <f t="shared" si="35"/>
        <v>#REF!</v>
      </c>
      <c r="T193" s="6"/>
      <c r="U193" s="6"/>
      <c r="V193" s="6"/>
      <c r="W193" s="29" t="e">
        <f t="shared" si="27"/>
        <v>#REF!</v>
      </c>
    </row>
    <row r="194" spans="2:23" x14ac:dyDescent="0.3">
      <c r="B194" s="181">
        <f t="shared" si="33"/>
        <v>177</v>
      </c>
      <c r="C194" s="180">
        <f t="shared" si="29"/>
        <v>30.4</v>
      </c>
      <c r="D194" s="193">
        <f>IF(B194="","",'Tabla Parámetros'!$G$5)</f>
        <v>0.11799999999999999</v>
      </c>
      <c r="E194" s="167"/>
      <c r="F194" s="167" t="e">
        <f t="shared" si="34"/>
        <v>#REF!</v>
      </c>
      <c r="G194" s="166"/>
      <c r="H194" s="167" t="e">
        <f t="shared" si="30"/>
        <v>#REF!</v>
      </c>
      <c r="I194" s="167" t="e">
        <f t="shared" si="31"/>
        <v>#REF!</v>
      </c>
      <c r="J194" s="167" t="e">
        <f>IF(C194="","",IF(F194=0,0,IF(C194&lt;='Tabla Parámetros'!$J$23,I194,IF($E$2='Tabla Parámetros'!$J$19,((($H$2/1000*'Tabla Parámetros'!$K$19)/30.4*C194)*1.0212^14),IF($E$2='Tabla Parámetros'!$J$20,($H$2/1000*'Tabla Parámetros'!$K$20)/30.4*C194)*1.0201^14)))+N194+O194)</f>
        <v>#REF!</v>
      </c>
      <c r="K194" s="167" t="e">
        <f t="shared" si="28"/>
        <v>#REF!</v>
      </c>
      <c r="L194" s="167" t="e">
        <f>IF(B194="","",IF(F194=0,0,Simulador!$N$13*$J$2))</f>
        <v>#REF!</v>
      </c>
      <c r="M194" s="167" t="e">
        <f>IF(B194="","",IF(F194=0,0,IF(Simulador!$F$11='Tabla Parámetros'!$W$1,'Tabla Parámetros'!$W$28,IF(Simulador!$F$11='Tabla Parámetros'!$Y$1,'Tabla Parámetros'!$Y$12))))</f>
        <v>#REF!</v>
      </c>
      <c r="N194" s="167" t="e">
        <f>IF(F194="","",IF(Simulador!$N$7='Tabla Parámetros'!$C$31,AportPat!L180,0))</f>
        <v>#REF!</v>
      </c>
      <c r="O194" s="172" t="e">
        <f>Simulador!#REF!</f>
        <v>#REF!</v>
      </c>
      <c r="P194" s="167" t="e">
        <f t="shared" si="32"/>
        <v>#REF!</v>
      </c>
      <c r="Q194" s="167" t="e">
        <f t="shared" si="35"/>
        <v>#REF!</v>
      </c>
      <c r="T194" s="6"/>
      <c r="U194" s="6"/>
      <c r="V194" s="6"/>
      <c r="W194" s="29" t="e">
        <f t="shared" si="27"/>
        <v>#REF!</v>
      </c>
    </row>
    <row r="195" spans="2:23" x14ac:dyDescent="0.3">
      <c r="B195" s="181">
        <f t="shared" si="33"/>
        <v>178</v>
      </c>
      <c r="C195" s="180">
        <f t="shared" si="29"/>
        <v>30.4</v>
      </c>
      <c r="D195" s="193">
        <f>IF(B195="","",'Tabla Parámetros'!$G$5)</f>
        <v>0.11799999999999999</v>
      </c>
      <c r="E195" s="167"/>
      <c r="F195" s="167" t="e">
        <f t="shared" si="34"/>
        <v>#REF!</v>
      </c>
      <c r="G195" s="166"/>
      <c r="H195" s="167" t="e">
        <f t="shared" si="30"/>
        <v>#REF!</v>
      </c>
      <c r="I195" s="167" t="e">
        <f t="shared" si="31"/>
        <v>#REF!</v>
      </c>
      <c r="J195" s="167" t="e">
        <f>IF(C195="","",IF(F195=0,0,IF(C195&lt;='Tabla Parámetros'!$J$23,I195,IF($E$2='Tabla Parámetros'!$J$19,((($H$2/1000*'Tabla Parámetros'!$K$19)/30.4*C195)*1.0212^14),IF($E$2='Tabla Parámetros'!$J$20,($H$2/1000*'Tabla Parámetros'!$K$20)/30.4*C195)*1.0201^14)))+N195+O195)</f>
        <v>#REF!</v>
      </c>
      <c r="K195" s="167" t="e">
        <f t="shared" si="28"/>
        <v>#REF!</v>
      </c>
      <c r="L195" s="167" t="e">
        <f>IF(B195="","",IF(F195=0,0,Simulador!$N$13*$J$2))</f>
        <v>#REF!</v>
      </c>
      <c r="M195" s="167" t="e">
        <f>IF(B195="","",IF(F195=0,0,IF(Simulador!$F$11='Tabla Parámetros'!$W$1,'Tabla Parámetros'!$W$28,IF(Simulador!$F$11='Tabla Parámetros'!$Y$1,'Tabla Parámetros'!$Y$12))))</f>
        <v>#REF!</v>
      </c>
      <c r="N195" s="167" t="e">
        <f>IF(F195="","",IF(Simulador!$N$7='Tabla Parámetros'!$C$31,AportPat!L181,0))</f>
        <v>#REF!</v>
      </c>
      <c r="O195" s="172" t="e">
        <f>Simulador!#REF!</f>
        <v>#REF!</v>
      </c>
      <c r="P195" s="167" t="e">
        <f t="shared" si="32"/>
        <v>#REF!</v>
      </c>
      <c r="Q195" s="167" t="e">
        <f t="shared" si="35"/>
        <v>#REF!</v>
      </c>
      <c r="T195" s="6"/>
      <c r="U195" s="6"/>
      <c r="V195" s="6"/>
      <c r="W195" s="29" t="e">
        <f t="shared" si="27"/>
        <v>#REF!</v>
      </c>
    </row>
    <row r="196" spans="2:23" x14ac:dyDescent="0.3">
      <c r="B196" s="181">
        <f t="shared" si="33"/>
        <v>179</v>
      </c>
      <c r="C196" s="180">
        <f t="shared" si="29"/>
        <v>30.4</v>
      </c>
      <c r="D196" s="193">
        <f>IF(B196="","",'Tabla Parámetros'!$G$5)</f>
        <v>0.11799999999999999</v>
      </c>
      <c r="E196" s="167"/>
      <c r="F196" s="167" t="e">
        <f t="shared" si="34"/>
        <v>#REF!</v>
      </c>
      <c r="G196" s="166"/>
      <c r="H196" s="167" t="e">
        <f t="shared" si="30"/>
        <v>#REF!</v>
      </c>
      <c r="I196" s="167" t="e">
        <f t="shared" si="31"/>
        <v>#REF!</v>
      </c>
      <c r="J196" s="167" t="e">
        <f>IF(C196="","",IF(F196=0,0,IF(C196&lt;='Tabla Parámetros'!$J$23,I196,IF($E$2='Tabla Parámetros'!$J$19,((($H$2/1000*'Tabla Parámetros'!$K$19)/30.4*C196)*1.0212^14),IF($E$2='Tabla Parámetros'!$J$20,($H$2/1000*'Tabla Parámetros'!$K$20)/30.4*C196)*1.0201^14)))+N196+O196)</f>
        <v>#REF!</v>
      </c>
      <c r="K196" s="167" t="e">
        <f t="shared" si="28"/>
        <v>#REF!</v>
      </c>
      <c r="L196" s="167" t="e">
        <f>IF(B196="","",IF(F196=0,0,Simulador!$N$13*$J$2))</f>
        <v>#REF!</v>
      </c>
      <c r="M196" s="167" t="e">
        <f>IF(B196="","",IF(F196=0,0,IF(Simulador!$F$11='Tabla Parámetros'!$W$1,'Tabla Parámetros'!$W$28,IF(Simulador!$F$11='Tabla Parámetros'!$Y$1,'Tabla Parámetros'!$Y$12))))</f>
        <v>#REF!</v>
      </c>
      <c r="N196" s="167" t="e">
        <f>IF(F196="","",IF(Simulador!$N$7='Tabla Parámetros'!$C$31,AportPat!L182,0))</f>
        <v>#REF!</v>
      </c>
      <c r="O196" s="172" t="e">
        <f>Simulador!#REF!</f>
        <v>#REF!</v>
      </c>
      <c r="P196" s="167" t="e">
        <f t="shared" si="32"/>
        <v>#REF!</v>
      </c>
      <c r="Q196" s="167" t="e">
        <f t="shared" si="35"/>
        <v>#REF!</v>
      </c>
      <c r="T196" s="6"/>
      <c r="U196" s="6"/>
      <c r="V196" s="6"/>
      <c r="W196" s="29" t="e">
        <f t="shared" ref="W196:W255" si="36">P198</f>
        <v>#REF!</v>
      </c>
    </row>
    <row r="197" spans="2:23" x14ac:dyDescent="0.3">
      <c r="B197" s="181">
        <f t="shared" si="33"/>
        <v>180</v>
      </c>
      <c r="C197" s="180">
        <f t="shared" si="29"/>
        <v>30.4</v>
      </c>
      <c r="D197" s="193">
        <f>IF(B197="","",'Tabla Parámetros'!$G$5)</f>
        <v>0.11799999999999999</v>
      </c>
      <c r="E197" s="167"/>
      <c r="F197" s="167" t="e">
        <f t="shared" si="34"/>
        <v>#REF!</v>
      </c>
      <c r="G197" s="166"/>
      <c r="H197" s="167" t="e">
        <f t="shared" si="30"/>
        <v>#REF!</v>
      </c>
      <c r="I197" s="167" t="e">
        <f t="shared" si="31"/>
        <v>#REF!</v>
      </c>
      <c r="J197" s="167" t="e">
        <f>IF(C197="","",IF(F197=0,0,IF(C197&lt;='Tabla Parámetros'!$J$23,I197,IF($E$2='Tabla Parámetros'!$J$19,((($H$2/1000*'Tabla Parámetros'!$K$19)/30.4*C197)*1.0212^14),IF($E$2='Tabla Parámetros'!$J$20,($H$2/1000*'Tabla Parámetros'!$K$20)/30.4*C197)*1.0201^14)))+N197+O197)</f>
        <v>#REF!</v>
      </c>
      <c r="K197" s="167" t="e">
        <f t="shared" si="28"/>
        <v>#REF!</v>
      </c>
      <c r="L197" s="167" t="e">
        <f>IF(B197="","",IF(F197=0,0,Simulador!$N$13*$J$2))</f>
        <v>#REF!</v>
      </c>
      <c r="M197" s="167" t="e">
        <f>IF(B197="","",IF(F197=0,0,IF(Simulador!$F$11='Tabla Parámetros'!$W$1,'Tabla Parámetros'!$W$28,IF(Simulador!$F$11='Tabla Parámetros'!$Y$1,'Tabla Parámetros'!$Y$12))))</f>
        <v>#REF!</v>
      </c>
      <c r="N197" s="167" t="e">
        <f>IF(F197="","",IF(Simulador!$N$7='Tabla Parámetros'!$C$31,AportPat!L183,0))</f>
        <v>#REF!</v>
      </c>
      <c r="O197" s="172" t="e">
        <f>Simulador!#REF!</f>
        <v>#REF!</v>
      </c>
      <c r="P197" s="167" t="e">
        <f t="shared" si="32"/>
        <v>#REF!</v>
      </c>
      <c r="Q197" s="167" t="e">
        <f t="shared" si="35"/>
        <v>#REF!</v>
      </c>
      <c r="T197" s="6"/>
      <c r="U197" s="6"/>
      <c r="V197" s="6"/>
      <c r="W197" s="29" t="e">
        <f t="shared" si="36"/>
        <v>#REF!</v>
      </c>
    </row>
    <row r="198" spans="2:23" x14ac:dyDescent="0.3">
      <c r="B198" s="181">
        <f t="shared" si="33"/>
        <v>181</v>
      </c>
      <c r="C198" s="180">
        <f>IF(B198="","",30.4)</f>
        <v>30.4</v>
      </c>
      <c r="D198" s="193">
        <f>IF(B198="","",'Tabla Parámetros'!$G$5)</f>
        <v>0.11799999999999999</v>
      </c>
      <c r="E198" s="167"/>
      <c r="F198" s="167" t="e">
        <f t="shared" si="34"/>
        <v>#REF!</v>
      </c>
      <c r="G198" s="166"/>
      <c r="H198" s="167" t="e">
        <f>IF(OR($B198="",$B198&lt;=1),"",IF($B198=$E$2,$F198,IF(($J198-$I198+$N198+$O198)&gt;$F198,$F198,$J198-$I198+$N198+$O198)))</f>
        <v>#REF!</v>
      </c>
      <c r="I198" s="167" t="e">
        <f>IF(B198="","",((D198/360)*30.4)*F198)</f>
        <v>#REF!</v>
      </c>
      <c r="J198" s="167" t="e">
        <f>IF(C198="","",IF(F198=0,0,IF(C198&lt;='Tabla Parámetros'!$J$23,I198,IF($E$2='Tabla Parámetros'!$J$19,((($H$2/1000*'Tabla Parámetros'!$K$19)/30.4*C198)*1.0212^14),IF($E$2='Tabla Parámetros'!$J$20,($H$2/1000*'Tabla Parámetros'!$K$20)/30.4*C198)*1.0201^14)))+N198+O198)</f>
        <v>#REF!</v>
      </c>
      <c r="K198" s="167" t="e">
        <f>IF(B198="","",IF(F198=0,0,$H$2*$I$2))</f>
        <v>#REF!</v>
      </c>
      <c r="L198" s="167" t="e">
        <f>IF(B198="","",IF(F198=0,0,Simulador!$N$13*$J$2))</f>
        <v>#REF!</v>
      </c>
      <c r="M198" s="167" t="e">
        <f>IF(B198="","",IF(F198=0,0,IF(Simulador!$F$11='Tabla Parámetros'!$W$1,'Tabla Parámetros'!$W$28,IF(Simulador!$F$11='Tabla Parámetros'!$Y$1,'Tabla Parámetros'!$Y$12))))</f>
        <v>#REF!</v>
      </c>
      <c r="N198" s="167" t="e">
        <f>IF(F198="","",IF(Simulador!$N$7='Tabla Parámetros'!$C$31,AportPat!L184,0))</f>
        <v>#REF!</v>
      </c>
      <c r="O198" s="172" t="e">
        <f>Simulador!#REF!</f>
        <v>#REF!</v>
      </c>
      <c r="P198" s="167" t="e">
        <f>IF(F198="","",SUM(J198:M198)-(N198+O198))</f>
        <v>#REF!</v>
      </c>
      <c r="Q198" s="167" t="e">
        <f>IF(B198="","",F198-H198)</f>
        <v>#REF!</v>
      </c>
      <c r="T198" s="6"/>
      <c r="U198" s="6"/>
      <c r="V198" s="6"/>
      <c r="W198" s="29" t="e">
        <f t="shared" si="36"/>
        <v>#REF!</v>
      </c>
    </row>
    <row r="199" spans="2:23" x14ac:dyDescent="0.3">
      <c r="B199" s="181">
        <f t="shared" si="33"/>
        <v>182</v>
      </c>
      <c r="C199" s="180">
        <f t="shared" ref="C199:C257" si="37">IF(B199="","",30.4)</f>
        <v>30.4</v>
      </c>
      <c r="D199" s="193">
        <f>IF(B199="","",'Tabla Parámetros'!$G$5)</f>
        <v>0.11799999999999999</v>
      </c>
      <c r="E199" s="167"/>
      <c r="F199" s="167" t="e">
        <f t="shared" si="34"/>
        <v>#REF!</v>
      </c>
      <c r="G199" s="166"/>
      <c r="H199" s="167" t="e">
        <f t="shared" ref="H199:H257" si="38">IF(OR($B199="",$B199&lt;=1),"",IF($B199=$E$2,$F199,IF(($J199-$I199+$N199+$O199)&gt;$F199,$F199,$J199-$I199+$N199+$O199)))</f>
        <v>#REF!</v>
      </c>
      <c r="I199" s="167" t="e">
        <f t="shared" ref="I199:I257" si="39">IF(B199="","",((D199/360)*30.4)*F199)</f>
        <v>#REF!</v>
      </c>
      <c r="J199" s="167" t="e">
        <f>IF(C199="","",IF(F199=0,0,IF(C199&lt;='Tabla Parámetros'!$J$23,I199,IF($E$2='Tabla Parámetros'!$J$19,((($H$2/1000*'Tabla Parámetros'!$K$19)/30.4*C199)*1.0212^15),IF($E$2='Tabla Parámetros'!$J$20,($H$2/1000*'Tabla Parámetros'!$K$20)/30.4*C199)*1.0201^15)))+N199+O199)</f>
        <v>#REF!</v>
      </c>
      <c r="K199" s="167" t="e">
        <f t="shared" ref="K199:K257" si="40">IF(B199="","",IF(F199=0,0,$H$2*$I$2))</f>
        <v>#REF!</v>
      </c>
      <c r="L199" s="167" t="e">
        <f>IF(B199="","",IF(F199=0,0,Simulador!$N$13*$J$2))</f>
        <v>#REF!</v>
      </c>
      <c r="M199" s="167" t="e">
        <f>IF(B199="","",IF(F199=0,0,IF(Simulador!$F$11='Tabla Parámetros'!$W$1,'Tabla Parámetros'!$W$28,IF(Simulador!$F$11='Tabla Parámetros'!$Y$1,'Tabla Parámetros'!$Y$12))))</f>
        <v>#REF!</v>
      </c>
      <c r="N199" s="167" t="e">
        <f>IF(F199="","",IF(Simulador!$N$7='Tabla Parámetros'!$C$31,AportPat!L185,0))</f>
        <v>#REF!</v>
      </c>
      <c r="O199" s="172" t="e">
        <f>Simulador!#REF!</f>
        <v>#REF!</v>
      </c>
      <c r="P199" s="167" t="e">
        <f t="shared" ref="P199:P257" si="41">IF(F199="","",SUM(J199:M199)-(N199+O199))</f>
        <v>#REF!</v>
      </c>
      <c r="Q199" s="167" t="e">
        <f t="shared" ref="Q199:Q257" si="42">IF(B199="","",F199-H199)</f>
        <v>#REF!</v>
      </c>
      <c r="T199" s="6"/>
      <c r="U199" s="6"/>
      <c r="V199" s="6"/>
      <c r="W199" s="29" t="e">
        <f t="shared" si="36"/>
        <v>#REF!</v>
      </c>
    </row>
    <row r="200" spans="2:23" x14ac:dyDescent="0.3">
      <c r="B200" s="181">
        <f t="shared" si="33"/>
        <v>183</v>
      </c>
      <c r="C200" s="180">
        <f t="shared" si="37"/>
        <v>30.4</v>
      </c>
      <c r="D200" s="193">
        <f>IF(B200="","",'Tabla Parámetros'!$G$5)</f>
        <v>0.11799999999999999</v>
      </c>
      <c r="E200" s="167"/>
      <c r="F200" s="167" t="e">
        <f t="shared" si="34"/>
        <v>#REF!</v>
      </c>
      <c r="G200" s="166"/>
      <c r="H200" s="167" t="e">
        <f t="shared" si="38"/>
        <v>#REF!</v>
      </c>
      <c r="I200" s="167" t="e">
        <f t="shared" si="39"/>
        <v>#REF!</v>
      </c>
      <c r="J200" s="167" t="e">
        <f>IF(C200="","",IF(F200=0,0,IF(C200&lt;='Tabla Parámetros'!$J$23,I200,IF($E$2='Tabla Parámetros'!$J$19,((($H$2/1000*'Tabla Parámetros'!$K$19)/30.4*C200)*1.0212^15),IF($E$2='Tabla Parámetros'!$J$20,($H$2/1000*'Tabla Parámetros'!$K$20)/30.4*C200)*1.0201^15)))+N200+O200)</f>
        <v>#REF!</v>
      </c>
      <c r="K200" s="167" t="e">
        <f t="shared" si="40"/>
        <v>#REF!</v>
      </c>
      <c r="L200" s="167" t="e">
        <f>IF(B200="","",IF(F200=0,0,Simulador!$N$13*$J$2))</f>
        <v>#REF!</v>
      </c>
      <c r="M200" s="167" t="e">
        <f>IF(B200="","",IF(F200=0,0,IF(Simulador!$F$11='Tabla Parámetros'!$W$1,'Tabla Parámetros'!$W$28,IF(Simulador!$F$11='Tabla Parámetros'!$Y$1,'Tabla Parámetros'!$Y$12))))</f>
        <v>#REF!</v>
      </c>
      <c r="N200" s="167" t="e">
        <f>IF(F200="","",IF(Simulador!$N$7='Tabla Parámetros'!$C$31,AportPat!L186,0))</f>
        <v>#REF!</v>
      </c>
      <c r="O200" s="172" t="e">
        <f>Simulador!#REF!</f>
        <v>#REF!</v>
      </c>
      <c r="P200" s="167" t="e">
        <f t="shared" si="41"/>
        <v>#REF!</v>
      </c>
      <c r="Q200" s="167" t="e">
        <f t="shared" si="42"/>
        <v>#REF!</v>
      </c>
      <c r="T200" s="6"/>
      <c r="U200" s="6"/>
      <c r="V200" s="6"/>
      <c r="W200" s="29" t="e">
        <f t="shared" si="36"/>
        <v>#REF!</v>
      </c>
    </row>
    <row r="201" spans="2:23" x14ac:dyDescent="0.3">
      <c r="B201" s="181">
        <f t="shared" si="33"/>
        <v>184</v>
      </c>
      <c r="C201" s="180">
        <f t="shared" si="37"/>
        <v>30.4</v>
      </c>
      <c r="D201" s="193">
        <f>IF(B201="","",'Tabla Parámetros'!$G$5)</f>
        <v>0.11799999999999999</v>
      </c>
      <c r="E201" s="167"/>
      <c r="F201" s="167" t="e">
        <f t="shared" si="34"/>
        <v>#REF!</v>
      </c>
      <c r="G201" s="166"/>
      <c r="H201" s="167" t="e">
        <f t="shared" si="38"/>
        <v>#REF!</v>
      </c>
      <c r="I201" s="167" t="e">
        <f t="shared" si="39"/>
        <v>#REF!</v>
      </c>
      <c r="J201" s="167" t="e">
        <f>IF(C201="","",IF(F201=0,0,IF(C201&lt;='Tabla Parámetros'!$J$23,I201,IF($E$2='Tabla Parámetros'!$J$19,((($H$2/1000*'Tabla Parámetros'!$K$19)/30.4*C201)*1.0212^15),IF($E$2='Tabla Parámetros'!$J$20,($H$2/1000*'Tabla Parámetros'!$K$20)/30.4*C201)*1.0201^15)))+N201+O201)</f>
        <v>#REF!</v>
      </c>
      <c r="K201" s="167" t="e">
        <f t="shared" si="40"/>
        <v>#REF!</v>
      </c>
      <c r="L201" s="167" t="e">
        <f>IF(B201="","",IF(F201=0,0,Simulador!$N$13*$J$2))</f>
        <v>#REF!</v>
      </c>
      <c r="M201" s="167" t="e">
        <f>IF(B201="","",IF(F201=0,0,IF(Simulador!$F$11='Tabla Parámetros'!$W$1,'Tabla Parámetros'!$W$28,IF(Simulador!$F$11='Tabla Parámetros'!$Y$1,'Tabla Parámetros'!$Y$12))))</f>
        <v>#REF!</v>
      </c>
      <c r="N201" s="167" t="e">
        <f>IF(F201="","",IF(Simulador!$N$7='Tabla Parámetros'!$C$31,AportPat!L187,0))</f>
        <v>#REF!</v>
      </c>
      <c r="O201" s="172" t="e">
        <f>Simulador!#REF!</f>
        <v>#REF!</v>
      </c>
      <c r="P201" s="167" t="e">
        <f t="shared" si="41"/>
        <v>#REF!</v>
      </c>
      <c r="Q201" s="167" t="e">
        <f t="shared" si="42"/>
        <v>#REF!</v>
      </c>
      <c r="T201" s="6"/>
      <c r="U201" s="6"/>
      <c r="V201" s="6"/>
      <c r="W201" s="29" t="e">
        <f t="shared" si="36"/>
        <v>#REF!</v>
      </c>
    </row>
    <row r="202" spans="2:23" x14ac:dyDescent="0.3">
      <c r="B202" s="181">
        <f t="shared" si="33"/>
        <v>185</v>
      </c>
      <c r="C202" s="180">
        <f t="shared" si="37"/>
        <v>30.4</v>
      </c>
      <c r="D202" s="193">
        <f>IF(B202="","",'Tabla Parámetros'!$G$5)</f>
        <v>0.11799999999999999</v>
      </c>
      <c r="E202" s="167"/>
      <c r="F202" s="167" t="e">
        <f t="shared" si="34"/>
        <v>#REF!</v>
      </c>
      <c r="G202" s="166"/>
      <c r="H202" s="167" t="e">
        <f t="shared" si="38"/>
        <v>#REF!</v>
      </c>
      <c r="I202" s="167" t="e">
        <f t="shared" si="39"/>
        <v>#REF!</v>
      </c>
      <c r="J202" s="167" t="e">
        <f>IF(C202="","",IF(F202=0,0,IF(C202&lt;='Tabla Parámetros'!$J$23,I202,IF($E$2='Tabla Parámetros'!$J$19,((($H$2/1000*'Tabla Parámetros'!$K$19)/30.4*C202)*1.0212^15),IF($E$2='Tabla Parámetros'!$J$20,($H$2/1000*'Tabla Parámetros'!$K$20)/30.4*C202)*1.0201^15)))+N202+O202)</f>
        <v>#REF!</v>
      </c>
      <c r="K202" s="167" t="e">
        <f t="shared" si="40"/>
        <v>#REF!</v>
      </c>
      <c r="L202" s="167" t="e">
        <f>IF(B202="","",IF(F202=0,0,Simulador!$N$13*$J$2))</f>
        <v>#REF!</v>
      </c>
      <c r="M202" s="167" t="e">
        <f>IF(B202="","",IF(F202=0,0,IF(Simulador!$F$11='Tabla Parámetros'!$W$1,'Tabla Parámetros'!$W$28,IF(Simulador!$F$11='Tabla Parámetros'!$Y$1,'Tabla Parámetros'!$Y$12))))</f>
        <v>#REF!</v>
      </c>
      <c r="N202" s="167" t="e">
        <f>IF(F202="","",IF(Simulador!$N$7='Tabla Parámetros'!$C$31,AportPat!L188,0))</f>
        <v>#REF!</v>
      </c>
      <c r="O202" s="172" t="e">
        <f>Simulador!#REF!</f>
        <v>#REF!</v>
      </c>
      <c r="P202" s="167" t="e">
        <f t="shared" si="41"/>
        <v>#REF!</v>
      </c>
      <c r="Q202" s="167" t="e">
        <f t="shared" si="42"/>
        <v>#REF!</v>
      </c>
      <c r="T202" s="6"/>
      <c r="U202" s="6"/>
      <c r="V202" s="6"/>
      <c r="W202" s="29" t="e">
        <f t="shared" si="36"/>
        <v>#REF!</v>
      </c>
    </row>
    <row r="203" spans="2:23" x14ac:dyDescent="0.3">
      <c r="B203" s="181">
        <f t="shared" si="33"/>
        <v>186</v>
      </c>
      <c r="C203" s="180">
        <f t="shared" si="37"/>
        <v>30.4</v>
      </c>
      <c r="D203" s="193">
        <f>IF(B203="","",'Tabla Parámetros'!$G$5)</f>
        <v>0.11799999999999999</v>
      </c>
      <c r="E203" s="167"/>
      <c r="F203" s="167" t="e">
        <f t="shared" si="34"/>
        <v>#REF!</v>
      </c>
      <c r="G203" s="166"/>
      <c r="H203" s="167" t="e">
        <f t="shared" si="38"/>
        <v>#REF!</v>
      </c>
      <c r="I203" s="167" t="e">
        <f t="shared" si="39"/>
        <v>#REF!</v>
      </c>
      <c r="J203" s="167" t="e">
        <f>IF(C203="","",IF(F203=0,0,IF(C203&lt;='Tabla Parámetros'!$J$23,I203,IF($E$2='Tabla Parámetros'!$J$19,((($H$2/1000*'Tabla Parámetros'!$K$19)/30.4*C203)*1.0212^15),IF($E$2='Tabla Parámetros'!$J$20,($H$2/1000*'Tabla Parámetros'!$K$20)/30.4*C203)*1.0201^15)))+N203+O203)</f>
        <v>#REF!</v>
      </c>
      <c r="K203" s="167" t="e">
        <f t="shared" si="40"/>
        <v>#REF!</v>
      </c>
      <c r="L203" s="167" t="e">
        <f>IF(B203="","",IF(F203=0,0,Simulador!$N$13*$J$2))</f>
        <v>#REF!</v>
      </c>
      <c r="M203" s="167" t="e">
        <f>IF(B203="","",IF(F203=0,0,IF(Simulador!$F$11='Tabla Parámetros'!$W$1,'Tabla Parámetros'!$W$28,IF(Simulador!$F$11='Tabla Parámetros'!$Y$1,'Tabla Parámetros'!$Y$12))))</f>
        <v>#REF!</v>
      </c>
      <c r="N203" s="167" t="e">
        <f>IF(F203="","",IF(Simulador!$N$7='Tabla Parámetros'!$C$31,AportPat!L189,0))</f>
        <v>#REF!</v>
      </c>
      <c r="O203" s="172" t="e">
        <f>Simulador!#REF!</f>
        <v>#REF!</v>
      </c>
      <c r="P203" s="167" t="e">
        <f t="shared" si="41"/>
        <v>#REF!</v>
      </c>
      <c r="Q203" s="167" t="e">
        <f t="shared" si="42"/>
        <v>#REF!</v>
      </c>
      <c r="T203" s="6"/>
      <c r="U203" s="6"/>
      <c r="V203" s="6"/>
      <c r="W203" s="29" t="e">
        <f t="shared" si="36"/>
        <v>#REF!</v>
      </c>
    </row>
    <row r="204" spans="2:23" x14ac:dyDescent="0.3">
      <c r="B204" s="181">
        <f t="shared" si="33"/>
        <v>187</v>
      </c>
      <c r="C204" s="180">
        <f t="shared" si="37"/>
        <v>30.4</v>
      </c>
      <c r="D204" s="193">
        <f>IF(B204="","",'Tabla Parámetros'!$G$5)</f>
        <v>0.11799999999999999</v>
      </c>
      <c r="E204" s="167"/>
      <c r="F204" s="167" t="e">
        <f t="shared" si="34"/>
        <v>#REF!</v>
      </c>
      <c r="G204" s="166"/>
      <c r="H204" s="167" t="e">
        <f t="shared" si="38"/>
        <v>#REF!</v>
      </c>
      <c r="I204" s="167" t="e">
        <f t="shared" si="39"/>
        <v>#REF!</v>
      </c>
      <c r="J204" s="167" t="e">
        <f>IF(C204="","",IF(F204=0,0,IF(C204&lt;='Tabla Parámetros'!$J$23,I204,IF($E$2='Tabla Parámetros'!$J$19,((($H$2/1000*'Tabla Parámetros'!$K$19)/30.4*C204)*1.0212^15),IF($E$2='Tabla Parámetros'!$J$20,($H$2/1000*'Tabla Parámetros'!$K$20)/30.4*C204)*1.0201^15)))+N204+O204)</f>
        <v>#REF!</v>
      </c>
      <c r="K204" s="167" t="e">
        <f t="shared" si="40"/>
        <v>#REF!</v>
      </c>
      <c r="L204" s="167" t="e">
        <f>IF(B204="","",IF(F204=0,0,Simulador!$N$13*$J$2))</f>
        <v>#REF!</v>
      </c>
      <c r="M204" s="167" t="e">
        <f>IF(B204="","",IF(F204=0,0,IF(Simulador!$F$11='Tabla Parámetros'!$W$1,'Tabla Parámetros'!$W$28,IF(Simulador!$F$11='Tabla Parámetros'!$Y$1,'Tabla Parámetros'!$Y$12))))</f>
        <v>#REF!</v>
      </c>
      <c r="N204" s="167" t="e">
        <f>IF(F204="","",IF(Simulador!$N$7='Tabla Parámetros'!$C$31,AportPat!L190,0))</f>
        <v>#REF!</v>
      </c>
      <c r="O204" s="172" t="e">
        <f>Simulador!#REF!</f>
        <v>#REF!</v>
      </c>
      <c r="P204" s="167" t="e">
        <f t="shared" si="41"/>
        <v>#REF!</v>
      </c>
      <c r="Q204" s="167" t="e">
        <f t="shared" si="42"/>
        <v>#REF!</v>
      </c>
      <c r="T204" s="6"/>
      <c r="U204" s="6"/>
      <c r="V204" s="6"/>
      <c r="W204" s="29" t="e">
        <f t="shared" si="36"/>
        <v>#REF!</v>
      </c>
    </row>
    <row r="205" spans="2:23" x14ac:dyDescent="0.3">
      <c r="B205" s="181">
        <f t="shared" si="33"/>
        <v>188</v>
      </c>
      <c r="C205" s="180">
        <f t="shared" si="37"/>
        <v>30.4</v>
      </c>
      <c r="D205" s="193">
        <f>IF(B205="","",'Tabla Parámetros'!$G$5)</f>
        <v>0.11799999999999999</v>
      </c>
      <c r="E205" s="167"/>
      <c r="F205" s="167" t="e">
        <f t="shared" si="34"/>
        <v>#REF!</v>
      </c>
      <c r="G205" s="166"/>
      <c r="H205" s="167" t="e">
        <f t="shared" si="38"/>
        <v>#REF!</v>
      </c>
      <c r="I205" s="167" t="e">
        <f t="shared" si="39"/>
        <v>#REF!</v>
      </c>
      <c r="J205" s="167" t="e">
        <f>IF(C205="","",IF(F205=0,0,IF(C205&lt;='Tabla Parámetros'!$J$23,I205,IF($E$2='Tabla Parámetros'!$J$19,((($H$2/1000*'Tabla Parámetros'!$K$19)/30.4*C205)*1.0212^15),IF($E$2='Tabla Parámetros'!$J$20,($H$2/1000*'Tabla Parámetros'!$K$20)/30.4*C205)*1.0201^15)))+N205+O205)</f>
        <v>#REF!</v>
      </c>
      <c r="K205" s="167" t="e">
        <f t="shared" si="40"/>
        <v>#REF!</v>
      </c>
      <c r="L205" s="167" t="e">
        <f>IF(B205="","",IF(F205=0,0,Simulador!$N$13*$J$2))</f>
        <v>#REF!</v>
      </c>
      <c r="M205" s="167" t="e">
        <f>IF(B205="","",IF(F205=0,0,IF(Simulador!$F$11='Tabla Parámetros'!$W$1,'Tabla Parámetros'!$W$28,IF(Simulador!$F$11='Tabla Parámetros'!$Y$1,'Tabla Parámetros'!$Y$12))))</f>
        <v>#REF!</v>
      </c>
      <c r="N205" s="167" t="e">
        <f>IF(F205="","",IF(Simulador!$N$7='Tabla Parámetros'!$C$31,AportPat!L191,0))</f>
        <v>#REF!</v>
      </c>
      <c r="O205" s="172" t="e">
        <f>Simulador!#REF!</f>
        <v>#REF!</v>
      </c>
      <c r="P205" s="167" t="e">
        <f t="shared" si="41"/>
        <v>#REF!</v>
      </c>
      <c r="Q205" s="167" t="e">
        <f t="shared" si="42"/>
        <v>#REF!</v>
      </c>
      <c r="T205" s="6"/>
      <c r="U205" s="6"/>
      <c r="V205" s="6"/>
      <c r="W205" s="29" t="e">
        <f t="shared" si="36"/>
        <v>#REF!</v>
      </c>
    </row>
    <row r="206" spans="2:23" x14ac:dyDescent="0.3">
      <c r="B206" s="181">
        <f t="shared" si="33"/>
        <v>189</v>
      </c>
      <c r="C206" s="180">
        <f t="shared" si="37"/>
        <v>30.4</v>
      </c>
      <c r="D206" s="193">
        <f>IF(B206="","",'Tabla Parámetros'!$G$5)</f>
        <v>0.11799999999999999</v>
      </c>
      <c r="E206" s="167"/>
      <c r="F206" s="167" t="e">
        <f t="shared" si="34"/>
        <v>#REF!</v>
      </c>
      <c r="G206" s="166"/>
      <c r="H206" s="167" t="e">
        <f t="shared" si="38"/>
        <v>#REF!</v>
      </c>
      <c r="I206" s="167" t="e">
        <f t="shared" si="39"/>
        <v>#REF!</v>
      </c>
      <c r="J206" s="167" t="e">
        <f>IF(C206="","",IF(F206=0,0,IF(C206&lt;='Tabla Parámetros'!$J$23,I206,IF($E$2='Tabla Parámetros'!$J$19,((($H$2/1000*'Tabla Parámetros'!$K$19)/30.4*C206)*1.0212^15),IF($E$2='Tabla Parámetros'!$J$20,($H$2/1000*'Tabla Parámetros'!$K$20)/30.4*C206)*1.0201^15)))+N206+O206)</f>
        <v>#REF!</v>
      </c>
      <c r="K206" s="167" t="e">
        <f t="shared" si="40"/>
        <v>#REF!</v>
      </c>
      <c r="L206" s="167" t="e">
        <f>IF(B206="","",IF(F206=0,0,Simulador!$N$13*$J$2))</f>
        <v>#REF!</v>
      </c>
      <c r="M206" s="167" t="e">
        <f>IF(B206="","",IF(F206=0,0,IF(Simulador!$F$11='Tabla Parámetros'!$W$1,'Tabla Parámetros'!$W$28,IF(Simulador!$F$11='Tabla Parámetros'!$Y$1,'Tabla Parámetros'!$Y$12))))</f>
        <v>#REF!</v>
      </c>
      <c r="N206" s="167" t="e">
        <f>IF(F206="","",IF(Simulador!$N$7='Tabla Parámetros'!$C$31,AportPat!L192,0))</f>
        <v>#REF!</v>
      </c>
      <c r="O206" s="172" t="e">
        <f>Simulador!#REF!</f>
        <v>#REF!</v>
      </c>
      <c r="P206" s="167" t="e">
        <f t="shared" si="41"/>
        <v>#REF!</v>
      </c>
      <c r="Q206" s="167" t="e">
        <f t="shared" si="42"/>
        <v>#REF!</v>
      </c>
      <c r="T206" s="6"/>
      <c r="U206" s="6"/>
      <c r="V206" s="6"/>
      <c r="W206" s="29" t="e">
        <f t="shared" si="36"/>
        <v>#REF!</v>
      </c>
    </row>
    <row r="207" spans="2:23" x14ac:dyDescent="0.3">
      <c r="B207" s="181">
        <f t="shared" si="33"/>
        <v>190</v>
      </c>
      <c r="C207" s="180">
        <f t="shared" si="37"/>
        <v>30.4</v>
      </c>
      <c r="D207" s="193">
        <f>IF(B207="","",'Tabla Parámetros'!$G$5)</f>
        <v>0.11799999999999999</v>
      </c>
      <c r="E207" s="167"/>
      <c r="F207" s="167" t="e">
        <f t="shared" si="34"/>
        <v>#REF!</v>
      </c>
      <c r="G207" s="166"/>
      <c r="H207" s="167" t="e">
        <f t="shared" si="38"/>
        <v>#REF!</v>
      </c>
      <c r="I207" s="167" t="e">
        <f t="shared" si="39"/>
        <v>#REF!</v>
      </c>
      <c r="J207" s="167" t="e">
        <f>IF(C207="","",IF(F207=0,0,IF(C207&lt;='Tabla Parámetros'!$J$23,I207,IF($E$2='Tabla Parámetros'!$J$19,((($H$2/1000*'Tabla Parámetros'!$K$19)/30.4*C207)*1.0212^15),IF($E$2='Tabla Parámetros'!$J$20,($H$2/1000*'Tabla Parámetros'!$K$20)/30.4*C207)*1.0201^15)))+N207+O207)</f>
        <v>#REF!</v>
      </c>
      <c r="K207" s="167" t="e">
        <f t="shared" si="40"/>
        <v>#REF!</v>
      </c>
      <c r="L207" s="167" t="e">
        <f>IF(B207="","",IF(F207=0,0,Simulador!$N$13*$J$2))</f>
        <v>#REF!</v>
      </c>
      <c r="M207" s="167" t="e">
        <f>IF(B207="","",IF(F207=0,0,IF(Simulador!$F$11='Tabla Parámetros'!$W$1,'Tabla Parámetros'!$W$28,IF(Simulador!$F$11='Tabla Parámetros'!$Y$1,'Tabla Parámetros'!$Y$12))))</f>
        <v>#REF!</v>
      </c>
      <c r="N207" s="167" t="e">
        <f>IF(F207="","",IF(Simulador!$N$7='Tabla Parámetros'!$C$31,AportPat!L193,0))</f>
        <v>#REF!</v>
      </c>
      <c r="O207" s="172" t="e">
        <f>Simulador!#REF!</f>
        <v>#REF!</v>
      </c>
      <c r="P207" s="167" t="e">
        <f t="shared" si="41"/>
        <v>#REF!</v>
      </c>
      <c r="Q207" s="167" t="e">
        <f t="shared" si="42"/>
        <v>#REF!</v>
      </c>
      <c r="T207" s="6"/>
      <c r="U207" s="6"/>
      <c r="V207" s="6"/>
      <c r="W207" s="29" t="e">
        <f t="shared" si="36"/>
        <v>#REF!</v>
      </c>
    </row>
    <row r="208" spans="2:23" x14ac:dyDescent="0.3">
      <c r="B208" s="181">
        <f t="shared" si="33"/>
        <v>191</v>
      </c>
      <c r="C208" s="180">
        <f t="shared" si="37"/>
        <v>30.4</v>
      </c>
      <c r="D208" s="193">
        <f>IF(B208="","",'Tabla Parámetros'!$G$5)</f>
        <v>0.11799999999999999</v>
      </c>
      <c r="E208" s="167"/>
      <c r="F208" s="167" t="e">
        <f t="shared" si="34"/>
        <v>#REF!</v>
      </c>
      <c r="G208" s="166"/>
      <c r="H208" s="167" t="e">
        <f t="shared" si="38"/>
        <v>#REF!</v>
      </c>
      <c r="I208" s="167" t="e">
        <f t="shared" si="39"/>
        <v>#REF!</v>
      </c>
      <c r="J208" s="167" t="e">
        <f>IF(C208="","",IF(F208=0,0,IF(C208&lt;='Tabla Parámetros'!$J$23,I208,IF($E$2='Tabla Parámetros'!$J$19,((($H$2/1000*'Tabla Parámetros'!$K$19)/30.4*C208)*1.0212^15),IF($E$2='Tabla Parámetros'!$J$20,($H$2/1000*'Tabla Parámetros'!$K$20)/30.4*C208)*1.0201^15)))+N208+O208)</f>
        <v>#REF!</v>
      </c>
      <c r="K208" s="167" t="e">
        <f t="shared" si="40"/>
        <v>#REF!</v>
      </c>
      <c r="L208" s="167" t="e">
        <f>IF(B208="","",IF(F208=0,0,Simulador!$N$13*$J$2))</f>
        <v>#REF!</v>
      </c>
      <c r="M208" s="167" t="e">
        <f>IF(B208="","",IF(F208=0,0,IF(Simulador!$F$11='Tabla Parámetros'!$W$1,'Tabla Parámetros'!$W$28,IF(Simulador!$F$11='Tabla Parámetros'!$Y$1,'Tabla Parámetros'!$Y$12))))</f>
        <v>#REF!</v>
      </c>
      <c r="N208" s="167" t="e">
        <f>IF(F208="","",IF(Simulador!$N$7='Tabla Parámetros'!$C$31,AportPat!L194,0))</f>
        <v>#REF!</v>
      </c>
      <c r="O208" s="172" t="e">
        <f>Simulador!#REF!</f>
        <v>#REF!</v>
      </c>
      <c r="P208" s="167" t="e">
        <f t="shared" si="41"/>
        <v>#REF!</v>
      </c>
      <c r="Q208" s="167" t="e">
        <f t="shared" si="42"/>
        <v>#REF!</v>
      </c>
      <c r="T208" s="6"/>
      <c r="U208" s="6"/>
      <c r="V208" s="6"/>
      <c r="W208" s="29" t="e">
        <f t="shared" si="36"/>
        <v>#REF!</v>
      </c>
    </row>
    <row r="209" spans="2:23" x14ac:dyDescent="0.3">
      <c r="B209" s="181">
        <f t="shared" si="33"/>
        <v>192</v>
      </c>
      <c r="C209" s="180">
        <f t="shared" si="37"/>
        <v>30.4</v>
      </c>
      <c r="D209" s="193">
        <f>IF(B209="","",'Tabla Parámetros'!$G$5)</f>
        <v>0.11799999999999999</v>
      </c>
      <c r="E209" s="167"/>
      <c r="F209" s="167" t="e">
        <f t="shared" si="34"/>
        <v>#REF!</v>
      </c>
      <c r="G209" s="166"/>
      <c r="H209" s="167" t="e">
        <f t="shared" si="38"/>
        <v>#REF!</v>
      </c>
      <c r="I209" s="167" t="e">
        <f t="shared" si="39"/>
        <v>#REF!</v>
      </c>
      <c r="J209" s="167" t="e">
        <f>IF(C209="","",IF(F209=0,0,IF(C209&lt;='Tabla Parámetros'!$J$23,I209,IF($E$2='Tabla Parámetros'!$J$19,((($H$2/1000*'Tabla Parámetros'!$K$19)/30.4*C209)*1.0212^15),IF($E$2='Tabla Parámetros'!$J$20,($H$2/1000*'Tabla Parámetros'!$K$20)/30.4*C209)*1.0201^15)))+N209+O209)</f>
        <v>#REF!</v>
      </c>
      <c r="K209" s="167" t="e">
        <f t="shared" si="40"/>
        <v>#REF!</v>
      </c>
      <c r="L209" s="167" t="e">
        <f>IF(B209="","",IF(F209=0,0,Simulador!$N$13*$J$2))</f>
        <v>#REF!</v>
      </c>
      <c r="M209" s="167" t="e">
        <f>IF(B209="","",IF(F209=0,0,IF(Simulador!$F$11='Tabla Parámetros'!$W$1,'Tabla Parámetros'!$W$28,IF(Simulador!$F$11='Tabla Parámetros'!$Y$1,'Tabla Parámetros'!$Y$12))))</f>
        <v>#REF!</v>
      </c>
      <c r="N209" s="167" t="e">
        <f>IF(F209="","",IF(Simulador!$N$7='Tabla Parámetros'!$C$31,AportPat!L195,0))</f>
        <v>#REF!</v>
      </c>
      <c r="O209" s="172" t="e">
        <f>Simulador!#REF!</f>
        <v>#REF!</v>
      </c>
      <c r="P209" s="167" t="e">
        <f t="shared" si="41"/>
        <v>#REF!</v>
      </c>
      <c r="Q209" s="167" t="e">
        <f t="shared" si="42"/>
        <v>#REF!</v>
      </c>
      <c r="T209" s="6"/>
      <c r="U209" s="6"/>
      <c r="V209" s="6"/>
      <c r="W209" s="29" t="e">
        <f t="shared" si="36"/>
        <v>#REF!</v>
      </c>
    </row>
    <row r="210" spans="2:23" x14ac:dyDescent="0.3">
      <c r="B210" s="181">
        <f t="shared" si="33"/>
        <v>193</v>
      </c>
      <c r="C210" s="180">
        <f t="shared" si="37"/>
        <v>30.4</v>
      </c>
      <c r="D210" s="193">
        <f>IF(B210="","",'Tabla Parámetros'!$G$5)</f>
        <v>0.11799999999999999</v>
      </c>
      <c r="E210" s="167"/>
      <c r="F210" s="167" t="e">
        <f t="shared" si="34"/>
        <v>#REF!</v>
      </c>
      <c r="G210" s="166"/>
      <c r="H210" s="167" t="e">
        <f t="shared" si="38"/>
        <v>#REF!</v>
      </c>
      <c r="I210" s="167" t="e">
        <f t="shared" si="39"/>
        <v>#REF!</v>
      </c>
      <c r="J210" s="167" t="e">
        <f>IF(C210="","",IF(F210=0,0,IF(C210&lt;='Tabla Parámetros'!$J$23,I210,IF($E$2='Tabla Parámetros'!$J$19,((($H$2/1000*'Tabla Parámetros'!$K$19)/30.4*C210)*1.0212^15),IF($E$2='Tabla Parámetros'!$J$20,($H$2/1000*'Tabla Parámetros'!$K$20)/30.4*C210)*1.0201^15)))+N210+O210)</f>
        <v>#REF!</v>
      </c>
      <c r="K210" s="167" t="e">
        <f t="shared" si="40"/>
        <v>#REF!</v>
      </c>
      <c r="L210" s="167" t="e">
        <f>IF(B210="","",IF(F210=0,0,Simulador!$N$13*$J$2))</f>
        <v>#REF!</v>
      </c>
      <c r="M210" s="167" t="e">
        <f>IF(B210="","",IF(F210=0,0,IF(Simulador!$F$11='Tabla Parámetros'!$W$1,'Tabla Parámetros'!$W$28,IF(Simulador!$F$11='Tabla Parámetros'!$Y$1,'Tabla Parámetros'!$Y$12))))</f>
        <v>#REF!</v>
      </c>
      <c r="N210" s="167" t="e">
        <f>IF(F210="","",IF(Simulador!$N$7='Tabla Parámetros'!$C$31,AportPat!L196,0))</f>
        <v>#REF!</v>
      </c>
      <c r="O210" s="172" t="e">
        <f>Simulador!#REF!</f>
        <v>#REF!</v>
      </c>
      <c r="P210" s="167" t="e">
        <f t="shared" si="41"/>
        <v>#REF!</v>
      </c>
      <c r="Q210" s="167" t="e">
        <f t="shared" si="42"/>
        <v>#REF!</v>
      </c>
      <c r="T210" s="6"/>
      <c r="U210" s="6"/>
      <c r="V210" s="6"/>
      <c r="W210" s="29" t="e">
        <f t="shared" si="36"/>
        <v>#REF!</v>
      </c>
    </row>
    <row r="211" spans="2:23" x14ac:dyDescent="0.3">
      <c r="B211" s="181">
        <f t="shared" si="33"/>
        <v>194</v>
      </c>
      <c r="C211" s="180">
        <f t="shared" si="37"/>
        <v>30.4</v>
      </c>
      <c r="D211" s="193">
        <f>IF(B211="","",'Tabla Parámetros'!$G$5)</f>
        <v>0.11799999999999999</v>
      </c>
      <c r="E211" s="167"/>
      <c r="F211" s="167" t="e">
        <f t="shared" si="34"/>
        <v>#REF!</v>
      </c>
      <c r="G211" s="166"/>
      <c r="H211" s="167" t="e">
        <f t="shared" si="38"/>
        <v>#REF!</v>
      </c>
      <c r="I211" s="167" t="e">
        <f t="shared" si="39"/>
        <v>#REF!</v>
      </c>
      <c r="J211" s="167" t="e">
        <f>IF(C211="","",IF(F211=0,0,IF(C211&lt;='Tabla Parámetros'!$J$23,I211,IF($E$2='Tabla Parámetros'!$J$19,((($H$2/1000*'Tabla Parámetros'!$K$19)/30.4*C211)*1.0212^16),IF($E$2='Tabla Parámetros'!$J$20,($H$2/1000*'Tabla Parámetros'!$K$20)/30.4*C211)*1.0201^16)))+N211+O211)</f>
        <v>#REF!</v>
      </c>
      <c r="K211" s="167" t="e">
        <f t="shared" si="40"/>
        <v>#REF!</v>
      </c>
      <c r="L211" s="167" t="e">
        <f>IF(B211="","",IF(F211=0,0,Simulador!$N$13*$J$2))</f>
        <v>#REF!</v>
      </c>
      <c r="M211" s="167" t="e">
        <f>IF(B211="","",IF(F211=0,0,IF(Simulador!$F$11='Tabla Parámetros'!$W$1,'Tabla Parámetros'!$W$28,IF(Simulador!$F$11='Tabla Parámetros'!$Y$1,'Tabla Parámetros'!$Y$12))))</f>
        <v>#REF!</v>
      </c>
      <c r="N211" s="167" t="e">
        <f>IF(F211="","",IF(Simulador!$N$7='Tabla Parámetros'!$C$31,AportPat!L197,0))</f>
        <v>#REF!</v>
      </c>
      <c r="O211" s="172" t="e">
        <f>Simulador!#REF!</f>
        <v>#REF!</v>
      </c>
      <c r="P211" s="167" t="e">
        <f t="shared" si="41"/>
        <v>#REF!</v>
      </c>
      <c r="Q211" s="167" t="e">
        <f t="shared" si="42"/>
        <v>#REF!</v>
      </c>
      <c r="T211" s="6"/>
      <c r="U211" s="6"/>
      <c r="V211" s="6"/>
      <c r="W211" s="29" t="e">
        <f t="shared" si="36"/>
        <v>#REF!</v>
      </c>
    </row>
    <row r="212" spans="2:23" x14ac:dyDescent="0.3">
      <c r="B212" s="181">
        <f t="shared" ref="B212:B257" si="43">IF(B211=$E$2,"",IF(B211="","",B211+1))</f>
        <v>195</v>
      </c>
      <c r="C212" s="180">
        <f t="shared" si="37"/>
        <v>30.4</v>
      </c>
      <c r="D212" s="193">
        <f>IF(B212="","",'Tabla Parámetros'!$G$5)</f>
        <v>0.11799999999999999</v>
      </c>
      <c r="E212" s="167"/>
      <c r="F212" s="167" t="e">
        <f t="shared" ref="F212:F257" si="44">IF(B212="","",F211-H211)</f>
        <v>#REF!</v>
      </c>
      <c r="G212" s="166"/>
      <c r="H212" s="167" t="e">
        <f t="shared" si="38"/>
        <v>#REF!</v>
      </c>
      <c r="I212" s="167" t="e">
        <f t="shared" si="39"/>
        <v>#REF!</v>
      </c>
      <c r="J212" s="167" t="e">
        <f>IF(C212="","",IF(F212=0,0,IF(C212&lt;='Tabla Parámetros'!$J$23,I212,IF($E$2='Tabla Parámetros'!$J$19,((($H$2/1000*'Tabla Parámetros'!$K$19)/30.4*C212)*1.0212^16),IF($E$2='Tabla Parámetros'!$J$20,($H$2/1000*'Tabla Parámetros'!$K$20)/30.4*C212)*1.0201^16)))+N212+O212)</f>
        <v>#REF!</v>
      </c>
      <c r="K212" s="167" t="e">
        <f t="shared" si="40"/>
        <v>#REF!</v>
      </c>
      <c r="L212" s="167" t="e">
        <f>IF(B212="","",IF(F212=0,0,Simulador!$N$13*$J$2))</f>
        <v>#REF!</v>
      </c>
      <c r="M212" s="167" t="e">
        <f>IF(B212="","",IF(F212=0,0,IF(Simulador!$F$11='Tabla Parámetros'!$W$1,'Tabla Parámetros'!$W$28,IF(Simulador!$F$11='Tabla Parámetros'!$Y$1,'Tabla Parámetros'!$Y$12))))</f>
        <v>#REF!</v>
      </c>
      <c r="N212" s="167" t="e">
        <f>IF(F212="","",IF(Simulador!$N$7='Tabla Parámetros'!$C$31,AportPat!L198,0))</f>
        <v>#REF!</v>
      </c>
      <c r="O212" s="172" t="e">
        <f>Simulador!#REF!</f>
        <v>#REF!</v>
      </c>
      <c r="P212" s="167" t="e">
        <f t="shared" si="41"/>
        <v>#REF!</v>
      </c>
      <c r="Q212" s="167" t="e">
        <f t="shared" si="42"/>
        <v>#REF!</v>
      </c>
      <c r="T212" s="6"/>
      <c r="U212" s="6"/>
      <c r="V212" s="6"/>
      <c r="W212" s="29" t="e">
        <f t="shared" si="36"/>
        <v>#REF!</v>
      </c>
    </row>
    <row r="213" spans="2:23" x14ac:dyDescent="0.3">
      <c r="B213" s="181">
        <f t="shared" si="43"/>
        <v>196</v>
      </c>
      <c r="C213" s="180">
        <f t="shared" si="37"/>
        <v>30.4</v>
      </c>
      <c r="D213" s="193">
        <f>IF(B213="","",'Tabla Parámetros'!$G$5)</f>
        <v>0.11799999999999999</v>
      </c>
      <c r="E213" s="167"/>
      <c r="F213" s="167" t="e">
        <f t="shared" si="44"/>
        <v>#REF!</v>
      </c>
      <c r="G213" s="166"/>
      <c r="H213" s="167" t="e">
        <f t="shared" si="38"/>
        <v>#REF!</v>
      </c>
      <c r="I213" s="167" t="e">
        <f t="shared" si="39"/>
        <v>#REF!</v>
      </c>
      <c r="J213" s="167" t="e">
        <f>IF(C213="","",IF(F213=0,0,IF(C213&lt;='Tabla Parámetros'!$J$23,I213,IF($E$2='Tabla Parámetros'!$J$19,((($H$2/1000*'Tabla Parámetros'!$K$19)/30.4*C213)*1.0212^16),IF($E$2='Tabla Parámetros'!$J$20,($H$2/1000*'Tabla Parámetros'!$K$20)/30.4*C213)*1.0201^16)))+N213+O213)</f>
        <v>#REF!</v>
      </c>
      <c r="K213" s="167" t="e">
        <f t="shared" si="40"/>
        <v>#REF!</v>
      </c>
      <c r="L213" s="167" t="e">
        <f>IF(B213="","",IF(F213=0,0,Simulador!$N$13*$J$2))</f>
        <v>#REF!</v>
      </c>
      <c r="M213" s="167" t="e">
        <f>IF(B213="","",IF(F213=0,0,IF(Simulador!$F$11='Tabla Parámetros'!$W$1,'Tabla Parámetros'!$W$28,IF(Simulador!$F$11='Tabla Parámetros'!$Y$1,'Tabla Parámetros'!$Y$12))))</f>
        <v>#REF!</v>
      </c>
      <c r="N213" s="167" t="e">
        <f>IF(F213="","",IF(Simulador!$N$7='Tabla Parámetros'!$C$31,AportPat!L199,0))</f>
        <v>#REF!</v>
      </c>
      <c r="O213" s="172" t="e">
        <f>Simulador!#REF!</f>
        <v>#REF!</v>
      </c>
      <c r="P213" s="167" t="e">
        <f t="shared" si="41"/>
        <v>#REF!</v>
      </c>
      <c r="Q213" s="167" t="e">
        <f t="shared" si="42"/>
        <v>#REF!</v>
      </c>
      <c r="T213" s="6"/>
      <c r="U213" s="6"/>
      <c r="V213" s="6"/>
      <c r="W213" s="29" t="e">
        <f t="shared" si="36"/>
        <v>#REF!</v>
      </c>
    </row>
    <row r="214" spans="2:23" x14ac:dyDescent="0.3">
      <c r="B214" s="181">
        <f t="shared" si="43"/>
        <v>197</v>
      </c>
      <c r="C214" s="180">
        <f t="shared" si="37"/>
        <v>30.4</v>
      </c>
      <c r="D214" s="193">
        <f>IF(B214="","",'Tabla Parámetros'!$G$5)</f>
        <v>0.11799999999999999</v>
      </c>
      <c r="E214" s="167"/>
      <c r="F214" s="167" t="e">
        <f t="shared" si="44"/>
        <v>#REF!</v>
      </c>
      <c r="G214" s="166"/>
      <c r="H214" s="167" t="e">
        <f t="shared" si="38"/>
        <v>#REF!</v>
      </c>
      <c r="I214" s="167" t="e">
        <f t="shared" si="39"/>
        <v>#REF!</v>
      </c>
      <c r="J214" s="167" t="e">
        <f>IF(C214="","",IF(F214=0,0,IF(C214&lt;='Tabla Parámetros'!$J$23,I214,IF($E$2='Tabla Parámetros'!$J$19,((($H$2/1000*'Tabla Parámetros'!$K$19)/30.4*C214)*1.0212^16),IF($E$2='Tabla Parámetros'!$J$20,($H$2/1000*'Tabla Parámetros'!$K$20)/30.4*C214)*1.0201^16)))+N214+O214)</f>
        <v>#REF!</v>
      </c>
      <c r="K214" s="167" t="e">
        <f t="shared" si="40"/>
        <v>#REF!</v>
      </c>
      <c r="L214" s="167" t="e">
        <f>IF(B214="","",IF(F214=0,0,Simulador!$N$13*$J$2))</f>
        <v>#REF!</v>
      </c>
      <c r="M214" s="167" t="e">
        <f>IF(B214="","",IF(F214=0,0,IF(Simulador!$F$11='Tabla Parámetros'!$W$1,'Tabla Parámetros'!$W$28,IF(Simulador!$F$11='Tabla Parámetros'!$Y$1,'Tabla Parámetros'!$Y$12))))</f>
        <v>#REF!</v>
      </c>
      <c r="N214" s="167" t="e">
        <f>IF(F214="","",IF(Simulador!$N$7='Tabla Parámetros'!$C$31,AportPat!L200,0))</f>
        <v>#REF!</v>
      </c>
      <c r="O214" s="172" t="e">
        <f>Simulador!#REF!</f>
        <v>#REF!</v>
      </c>
      <c r="P214" s="167" t="e">
        <f t="shared" si="41"/>
        <v>#REF!</v>
      </c>
      <c r="Q214" s="167" t="e">
        <f t="shared" si="42"/>
        <v>#REF!</v>
      </c>
      <c r="T214" s="6"/>
      <c r="U214" s="6"/>
      <c r="V214" s="6"/>
      <c r="W214" s="29" t="e">
        <f t="shared" si="36"/>
        <v>#REF!</v>
      </c>
    </row>
    <row r="215" spans="2:23" x14ac:dyDescent="0.3">
      <c r="B215" s="181">
        <f t="shared" si="43"/>
        <v>198</v>
      </c>
      <c r="C215" s="180">
        <f t="shared" si="37"/>
        <v>30.4</v>
      </c>
      <c r="D215" s="193">
        <f>IF(B215="","",'Tabla Parámetros'!$G$5)</f>
        <v>0.11799999999999999</v>
      </c>
      <c r="E215" s="167"/>
      <c r="F215" s="167" t="e">
        <f t="shared" si="44"/>
        <v>#REF!</v>
      </c>
      <c r="G215" s="166"/>
      <c r="H215" s="167" t="e">
        <f t="shared" si="38"/>
        <v>#REF!</v>
      </c>
      <c r="I215" s="167" t="e">
        <f t="shared" si="39"/>
        <v>#REF!</v>
      </c>
      <c r="J215" s="167" t="e">
        <f>IF(C215="","",IF(F215=0,0,IF(C215&lt;='Tabla Parámetros'!$J$23,I215,IF($E$2='Tabla Parámetros'!$J$19,((($H$2/1000*'Tabla Parámetros'!$K$19)/30.4*C215)*1.0212^16),IF($E$2='Tabla Parámetros'!$J$20,($H$2/1000*'Tabla Parámetros'!$K$20)/30.4*C215)*1.0201^16)))+N215+O215)</f>
        <v>#REF!</v>
      </c>
      <c r="K215" s="167" t="e">
        <f t="shared" si="40"/>
        <v>#REF!</v>
      </c>
      <c r="L215" s="167" t="e">
        <f>IF(B215="","",IF(F215=0,0,Simulador!$N$13*$J$2))</f>
        <v>#REF!</v>
      </c>
      <c r="M215" s="167" t="e">
        <f>IF(B215="","",IF(F215=0,0,IF(Simulador!$F$11='Tabla Parámetros'!$W$1,'Tabla Parámetros'!$W$28,IF(Simulador!$F$11='Tabla Parámetros'!$Y$1,'Tabla Parámetros'!$Y$12))))</f>
        <v>#REF!</v>
      </c>
      <c r="N215" s="167" t="e">
        <f>IF(F215="","",IF(Simulador!$N$7='Tabla Parámetros'!$C$31,AportPat!L201,0))</f>
        <v>#REF!</v>
      </c>
      <c r="O215" s="172" t="e">
        <f>Simulador!#REF!</f>
        <v>#REF!</v>
      </c>
      <c r="P215" s="167" t="e">
        <f t="shared" si="41"/>
        <v>#REF!</v>
      </c>
      <c r="Q215" s="167" t="e">
        <f t="shared" si="42"/>
        <v>#REF!</v>
      </c>
      <c r="T215" s="6"/>
      <c r="U215" s="6"/>
      <c r="V215" s="6"/>
      <c r="W215" s="29" t="e">
        <f t="shared" si="36"/>
        <v>#REF!</v>
      </c>
    </row>
    <row r="216" spans="2:23" x14ac:dyDescent="0.3">
      <c r="B216" s="181">
        <f t="shared" si="43"/>
        <v>199</v>
      </c>
      <c r="C216" s="180">
        <f t="shared" si="37"/>
        <v>30.4</v>
      </c>
      <c r="D216" s="193">
        <f>IF(B216="","",'Tabla Parámetros'!$G$5)</f>
        <v>0.11799999999999999</v>
      </c>
      <c r="E216" s="167"/>
      <c r="F216" s="167" t="e">
        <f t="shared" si="44"/>
        <v>#REF!</v>
      </c>
      <c r="G216" s="166"/>
      <c r="H216" s="167" t="e">
        <f t="shared" si="38"/>
        <v>#REF!</v>
      </c>
      <c r="I216" s="167" t="e">
        <f t="shared" si="39"/>
        <v>#REF!</v>
      </c>
      <c r="J216" s="167" t="e">
        <f>IF(C216="","",IF(F216=0,0,IF(C216&lt;='Tabla Parámetros'!$J$23,I216,IF($E$2='Tabla Parámetros'!$J$19,((($H$2/1000*'Tabla Parámetros'!$K$19)/30.4*C216)*1.0212^16),IF($E$2='Tabla Parámetros'!$J$20,($H$2/1000*'Tabla Parámetros'!$K$20)/30.4*C216)*1.0201^16)))+N216+O216)</f>
        <v>#REF!</v>
      </c>
      <c r="K216" s="167" t="e">
        <f t="shared" si="40"/>
        <v>#REF!</v>
      </c>
      <c r="L216" s="167" t="e">
        <f>IF(B216="","",IF(F216=0,0,Simulador!$N$13*$J$2))</f>
        <v>#REF!</v>
      </c>
      <c r="M216" s="167" t="e">
        <f>IF(B216="","",IF(F216=0,0,IF(Simulador!$F$11='Tabla Parámetros'!$W$1,'Tabla Parámetros'!$W$28,IF(Simulador!$F$11='Tabla Parámetros'!$Y$1,'Tabla Parámetros'!$Y$12))))</f>
        <v>#REF!</v>
      </c>
      <c r="N216" s="167" t="e">
        <f>IF(F216="","",IF(Simulador!$N$7='Tabla Parámetros'!$C$31,AportPat!L202,0))</f>
        <v>#REF!</v>
      </c>
      <c r="O216" s="172" t="e">
        <f>Simulador!#REF!</f>
        <v>#REF!</v>
      </c>
      <c r="P216" s="167" t="e">
        <f t="shared" si="41"/>
        <v>#REF!</v>
      </c>
      <c r="Q216" s="167" t="e">
        <f t="shared" si="42"/>
        <v>#REF!</v>
      </c>
      <c r="T216" s="6"/>
      <c r="U216" s="6"/>
      <c r="V216" s="6"/>
      <c r="W216" s="29" t="e">
        <f t="shared" si="36"/>
        <v>#REF!</v>
      </c>
    </row>
    <row r="217" spans="2:23" x14ac:dyDescent="0.3">
      <c r="B217" s="181">
        <f t="shared" si="43"/>
        <v>200</v>
      </c>
      <c r="C217" s="180">
        <f t="shared" si="37"/>
        <v>30.4</v>
      </c>
      <c r="D217" s="193">
        <f>IF(B217="","",'Tabla Parámetros'!$G$5)</f>
        <v>0.11799999999999999</v>
      </c>
      <c r="E217" s="167"/>
      <c r="F217" s="167" t="e">
        <f t="shared" si="44"/>
        <v>#REF!</v>
      </c>
      <c r="G217" s="166"/>
      <c r="H217" s="167" t="e">
        <f t="shared" si="38"/>
        <v>#REF!</v>
      </c>
      <c r="I217" s="167" t="e">
        <f t="shared" si="39"/>
        <v>#REF!</v>
      </c>
      <c r="J217" s="167" t="e">
        <f>IF(C217="","",IF(F217=0,0,IF(C217&lt;='Tabla Parámetros'!$J$23,I217,IF($E$2='Tabla Parámetros'!$J$19,((($H$2/1000*'Tabla Parámetros'!$K$19)/30.4*C217)*1.0212^16),IF($E$2='Tabla Parámetros'!$J$20,($H$2/1000*'Tabla Parámetros'!$K$20)/30.4*C217)*1.0201^16)))+N217+O217)</f>
        <v>#REF!</v>
      </c>
      <c r="K217" s="167" t="e">
        <f t="shared" si="40"/>
        <v>#REF!</v>
      </c>
      <c r="L217" s="167" t="e">
        <f>IF(B217="","",IF(F217=0,0,Simulador!$N$13*$J$2))</f>
        <v>#REF!</v>
      </c>
      <c r="M217" s="167" t="e">
        <f>IF(B217="","",IF(F217=0,0,IF(Simulador!$F$11='Tabla Parámetros'!$W$1,'Tabla Parámetros'!$W$28,IF(Simulador!$F$11='Tabla Parámetros'!$Y$1,'Tabla Parámetros'!$Y$12))))</f>
        <v>#REF!</v>
      </c>
      <c r="N217" s="167" t="e">
        <f>IF(F217="","",IF(Simulador!$N$7='Tabla Parámetros'!$C$31,AportPat!L203,0))</f>
        <v>#REF!</v>
      </c>
      <c r="O217" s="172" t="e">
        <f>Simulador!#REF!</f>
        <v>#REF!</v>
      </c>
      <c r="P217" s="167" t="e">
        <f t="shared" si="41"/>
        <v>#REF!</v>
      </c>
      <c r="Q217" s="167" t="e">
        <f t="shared" si="42"/>
        <v>#REF!</v>
      </c>
      <c r="T217" s="6"/>
      <c r="U217" s="6"/>
      <c r="V217" s="6"/>
      <c r="W217" s="29" t="e">
        <f t="shared" si="36"/>
        <v>#REF!</v>
      </c>
    </row>
    <row r="218" spans="2:23" x14ac:dyDescent="0.3">
      <c r="B218" s="181">
        <f t="shared" si="43"/>
        <v>201</v>
      </c>
      <c r="C218" s="180">
        <f t="shared" si="37"/>
        <v>30.4</v>
      </c>
      <c r="D218" s="193">
        <f>IF(B218="","",'Tabla Parámetros'!$G$5)</f>
        <v>0.11799999999999999</v>
      </c>
      <c r="E218" s="167"/>
      <c r="F218" s="167" t="e">
        <f t="shared" si="44"/>
        <v>#REF!</v>
      </c>
      <c r="G218" s="166"/>
      <c r="H218" s="167" t="e">
        <f t="shared" si="38"/>
        <v>#REF!</v>
      </c>
      <c r="I218" s="167" t="e">
        <f t="shared" si="39"/>
        <v>#REF!</v>
      </c>
      <c r="J218" s="167" t="e">
        <f>IF(C218="","",IF(F218=0,0,IF(C218&lt;='Tabla Parámetros'!$J$23,I218,IF($E$2='Tabla Parámetros'!$J$19,((($H$2/1000*'Tabla Parámetros'!$K$19)/30.4*C218)*1.0212^16),IF($E$2='Tabla Parámetros'!$J$20,($H$2/1000*'Tabla Parámetros'!$K$20)/30.4*C218)*1.0201^16)))+N218+O218)</f>
        <v>#REF!</v>
      </c>
      <c r="K218" s="167" t="e">
        <f t="shared" si="40"/>
        <v>#REF!</v>
      </c>
      <c r="L218" s="167" t="e">
        <f>IF(B218="","",IF(F218=0,0,Simulador!$N$13*$J$2))</f>
        <v>#REF!</v>
      </c>
      <c r="M218" s="167" t="e">
        <f>IF(B218="","",IF(F218=0,0,IF(Simulador!$F$11='Tabla Parámetros'!$W$1,'Tabla Parámetros'!$W$28,IF(Simulador!$F$11='Tabla Parámetros'!$Y$1,'Tabla Parámetros'!$Y$12))))</f>
        <v>#REF!</v>
      </c>
      <c r="N218" s="167" t="e">
        <f>IF(F218="","",IF(Simulador!$N$7='Tabla Parámetros'!$C$31,AportPat!L204,0))</f>
        <v>#REF!</v>
      </c>
      <c r="O218" s="172" t="e">
        <f>Simulador!#REF!</f>
        <v>#REF!</v>
      </c>
      <c r="P218" s="167" t="e">
        <f t="shared" si="41"/>
        <v>#REF!</v>
      </c>
      <c r="Q218" s="167" t="e">
        <f t="shared" si="42"/>
        <v>#REF!</v>
      </c>
      <c r="T218" s="6"/>
      <c r="U218" s="6"/>
      <c r="V218" s="6"/>
      <c r="W218" s="29" t="e">
        <f t="shared" si="36"/>
        <v>#REF!</v>
      </c>
    </row>
    <row r="219" spans="2:23" x14ac:dyDescent="0.3">
      <c r="B219" s="181">
        <f t="shared" si="43"/>
        <v>202</v>
      </c>
      <c r="C219" s="180">
        <f t="shared" si="37"/>
        <v>30.4</v>
      </c>
      <c r="D219" s="193">
        <f>IF(B219="","",'Tabla Parámetros'!$G$5)</f>
        <v>0.11799999999999999</v>
      </c>
      <c r="E219" s="167"/>
      <c r="F219" s="167" t="e">
        <f t="shared" si="44"/>
        <v>#REF!</v>
      </c>
      <c r="G219" s="166"/>
      <c r="H219" s="167" t="e">
        <f t="shared" si="38"/>
        <v>#REF!</v>
      </c>
      <c r="I219" s="167" t="e">
        <f t="shared" si="39"/>
        <v>#REF!</v>
      </c>
      <c r="J219" s="167" t="e">
        <f>IF(C219="","",IF(F219=0,0,IF(C219&lt;='Tabla Parámetros'!$J$23,I219,IF($E$2='Tabla Parámetros'!$J$19,((($H$2/1000*'Tabla Parámetros'!$K$19)/30.4*C219)*1.0212^16),IF($E$2='Tabla Parámetros'!$J$20,($H$2/1000*'Tabla Parámetros'!$K$20)/30.4*C219)*1.0201^16)))+N219+O219)</f>
        <v>#REF!</v>
      </c>
      <c r="K219" s="167" t="e">
        <f t="shared" si="40"/>
        <v>#REF!</v>
      </c>
      <c r="L219" s="167" t="e">
        <f>IF(B219="","",IF(F219=0,0,Simulador!$N$13*$J$2))</f>
        <v>#REF!</v>
      </c>
      <c r="M219" s="167" t="e">
        <f>IF(B219="","",IF(F219=0,0,IF(Simulador!$F$11='Tabla Parámetros'!$W$1,'Tabla Parámetros'!$W$28,IF(Simulador!$F$11='Tabla Parámetros'!$Y$1,'Tabla Parámetros'!$Y$12))))</f>
        <v>#REF!</v>
      </c>
      <c r="N219" s="167" t="e">
        <f>IF(F219="","",IF(Simulador!$N$7='Tabla Parámetros'!$C$31,AportPat!L205,0))</f>
        <v>#REF!</v>
      </c>
      <c r="O219" s="172" t="e">
        <f>Simulador!#REF!</f>
        <v>#REF!</v>
      </c>
      <c r="P219" s="167" t="e">
        <f t="shared" si="41"/>
        <v>#REF!</v>
      </c>
      <c r="Q219" s="167" t="e">
        <f t="shared" si="42"/>
        <v>#REF!</v>
      </c>
      <c r="T219" s="6"/>
      <c r="U219" s="6"/>
      <c r="V219" s="6"/>
      <c r="W219" s="29" t="e">
        <f t="shared" si="36"/>
        <v>#REF!</v>
      </c>
    </row>
    <row r="220" spans="2:23" x14ac:dyDescent="0.3">
      <c r="B220" s="181">
        <f t="shared" si="43"/>
        <v>203</v>
      </c>
      <c r="C220" s="180">
        <f t="shared" si="37"/>
        <v>30.4</v>
      </c>
      <c r="D220" s="193">
        <f>IF(B220="","",'Tabla Parámetros'!$G$5)</f>
        <v>0.11799999999999999</v>
      </c>
      <c r="E220" s="167"/>
      <c r="F220" s="167" t="e">
        <f t="shared" si="44"/>
        <v>#REF!</v>
      </c>
      <c r="G220" s="166"/>
      <c r="H220" s="167" t="e">
        <f t="shared" si="38"/>
        <v>#REF!</v>
      </c>
      <c r="I220" s="167" t="e">
        <f t="shared" si="39"/>
        <v>#REF!</v>
      </c>
      <c r="J220" s="167" t="e">
        <f>IF(C220="","",IF(F220=0,0,IF(C220&lt;='Tabla Parámetros'!$J$23,I220,IF($E$2='Tabla Parámetros'!$J$19,((($H$2/1000*'Tabla Parámetros'!$K$19)/30.4*C220)*1.0212^16),IF($E$2='Tabla Parámetros'!$J$20,($H$2/1000*'Tabla Parámetros'!$K$20)/30.4*C220)*1.0201^16)))+N220+O220)</f>
        <v>#REF!</v>
      </c>
      <c r="K220" s="167" t="e">
        <f t="shared" si="40"/>
        <v>#REF!</v>
      </c>
      <c r="L220" s="167" t="e">
        <f>IF(B220="","",IF(F220=0,0,Simulador!$N$13*$J$2))</f>
        <v>#REF!</v>
      </c>
      <c r="M220" s="167" t="e">
        <f>IF(B220="","",IF(F220=0,0,IF(Simulador!$F$11='Tabla Parámetros'!$W$1,'Tabla Parámetros'!$W$28,IF(Simulador!$F$11='Tabla Parámetros'!$Y$1,'Tabla Parámetros'!$Y$12))))</f>
        <v>#REF!</v>
      </c>
      <c r="N220" s="167" t="e">
        <f>IF(F220="","",IF(Simulador!$N$7='Tabla Parámetros'!$C$31,AportPat!L206,0))</f>
        <v>#REF!</v>
      </c>
      <c r="O220" s="172" t="e">
        <f>Simulador!#REF!</f>
        <v>#REF!</v>
      </c>
      <c r="P220" s="167" t="e">
        <f t="shared" si="41"/>
        <v>#REF!</v>
      </c>
      <c r="Q220" s="167" t="e">
        <f t="shared" si="42"/>
        <v>#REF!</v>
      </c>
      <c r="T220" s="6"/>
      <c r="U220" s="6"/>
      <c r="V220" s="6"/>
      <c r="W220" s="29" t="e">
        <f t="shared" si="36"/>
        <v>#REF!</v>
      </c>
    </row>
    <row r="221" spans="2:23" x14ac:dyDescent="0.3">
      <c r="B221" s="181">
        <f t="shared" si="43"/>
        <v>204</v>
      </c>
      <c r="C221" s="180">
        <f t="shared" si="37"/>
        <v>30.4</v>
      </c>
      <c r="D221" s="193">
        <f>IF(B221="","",'Tabla Parámetros'!$G$5)</f>
        <v>0.11799999999999999</v>
      </c>
      <c r="E221" s="167"/>
      <c r="F221" s="167" t="e">
        <f t="shared" si="44"/>
        <v>#REF!</v>
      </c>
      <c r="G221" s="166"/>
      <c r="H221" s="167" t="e">
        <f t="shared" si="38"/>
        <v>#REF!</v>
      </c>
      <c r="I221" s="167" t="e">
        <f t="shared" si="39"/>
        <v>#REF!</v>
      </c>
      <c r="J221" s="167" t="e">
        <f>IF(C221="","",IF(F221=0,0,IF(C221&lt;='Tabla Parámetros'!$J$23,I221,IF($E$2='Tabla Parámetros'!$J$19,((($H$2/1000*'Tabla Parámetros'!$K$19)/30.4*C221)*1.0212^16),IF($E$2='Tabla Parámetros'!$J$20,($H$2/1000*'Tabla Parámetros'!$K$20)/30.4*C221)*1.0201^16)))+N221+O221)</f>
        <v>#REF!</v>
      </c>
      <c r="K221" s="167" t="e">
        <f t="shared" si="40"/>
        <v>#REF!</v>
      </c>
      <c r="L221" s="167" t="e">
        <f>IF(B221="","",IF(F221=0,0,Simulador!$N$13*$J$2))</f>
        <v>#REF!</v>
      </c>
      <c r="M221" s="167" t="e">
        <f>IF(B221="","",IF(F221=0,0,IF(Simulador!$F$11='Tabla Parámetros'!$W$1,'Tabla Parámetros'!$W$28,IF(Simulador!$F$11='Tabla Parámetros'!$Y$1,'Tabla Parámetros'!$Y$12))))</f>
        <v>#REF!</v>
      </c>
      <c r="N221" s="167" t="e">
        <f>IF(F221="","",IF(Simulador!$N$7='Tabla Parámetros'!$C$31,AportPat!L207,0))</f>
        <v>#REF!</v>
      </c>
      <c r="O221" s="172" t="e">
        <f>Simulador!#REF!</f>
        <v>#REF!</v>
      </c>
      <c r="P221" s="167" t="e">
        <f t="shared" si="41"/>
        <v>#REF!</v>
      </c>
      <c r="Q221" s="167" t="e">
        <f t="shared" si="42"/>
        <v>#REF!</v>
      </c>
      <c r="T221" s="6"/>
      <c r="U221" s="6"/>
      <c r="V221" s="6"/>
      <c r="W221" s="29" t="e">
        <f t="shared" si="36"/>
        <v>#REF!</v>
      </c>
    </row>
    <row r="222" spans="2:23" x14ac:dyDescent="0.3">
      <c r="B222" s="181">
        <f t="shared" si="43"/>
        <v>205</v>
      </c>
      <c r="C222" s="180">
        <f t="shared" si="37"/>
        <v>30.4</v>
      </c>
      <c r="D222" s="193">
        <f>IF(B222="","",'Tabla Parámetros'!$G$5)</f>
        <v>0.11799999999999999</v>
      </c>
      <c r="E222" s="167"/>
      <c r="F222" s="167" t="e">
        <f t="shared" si="44"/>
        <v>#REF!</v>
      </c>
      <c r="G222" s="166"/>
      <c r="H222" s="167" t="e">
        <f t="shared" si="38"/>
        <v>#REF!</v>
      </c>
      <c r="I222" s="167" t="e">
        <f t="shared" si="39"/>
        <v>#REF!</v>
      </c>
      <c r="J222" s="167" t="e">
        <f>IF(C222="","",IF(F222=0,0,IF(C222&lt;='Tabla Parámetros'!$J$23,I222,IF($E$2='Tabla Parámetros'!$J$19,((($H$2/1000*'Tabla Parámetros'!$K$19)/30.4*C222)*1.0212^16),IF($E$2='Tabla Parámetros'!$J$20,($H$2/1000*'Tabla Parámetros'!$K$20)/30.4*C222)*1.0201^16)))+N222+O222)</f>
        <v>#REF!</v>
      </c>
      <c r="K222" s="167" t="e">
        <f t="shared" si="40"/>
        <v>#REF!</v>
      </c>
      <c r="L222" s="167" t="e">
        <f>IF(B222="","",IF(F222=0,0,Simulador!$N$13*$J$2))</f>
        <v>#REF!</v>
      </c>
      <c r="M222" s="167" t="e">
        <f>IF(B222="","",IF(F222=0,0,IF(Simulador!$F$11='Tabla Parámetros'!$W$1,'Tabla Parámetros'!$W$28,IF(Simulador!$F$11='Tabla Parámetros'!$Y$1,'Tabla Parámetros'!$Y$12))))</f>
        <v>#REF!</v>
      </c>
      <c r="N222" s="167" t="e">
        <f>IF(F222="","",IF(Simulador!$N$7='Tabla Parámetros'!$C$31,AportPat!L208,0))</f>
        <v>#REF!</v>
      </c>
      <c r="O222" s="172" t="e">
        <f>Simulador!#REF!</f>
        <v>#REF!</v>
      </c>
      <c r="P222" s="167" t="e">
        <f t="shared" si="41"/>
        <v>#REF!</v>
      </c>
      <c r="Q222" s="167" t="e">
        <f t="shared" si="42"/>
        <v>#REF!</v>
      </c>
      <c r="T222" s="6"/>
      <c r="U222" s="6"/>
      <c r="V222" s="6"/>
      <c r="W222" s="29" t="e">
        <f t="shared" si="36"/>
        <v>#REF!</v>
      </c>
    </row>
    <row r="223" spans="2:23" x14ac:dyDescent="0.3">
      <c r="B223" s="181">
        <f t="shared" si="43"/>
        <v>206</v>
      </c>
      <c r="C223" s="180">
        <f t="shared" si="37"/>
        <v>30.4</v>
      </c>
      <c r="D223" s="193">
        <f>IF(B223="","",'Tabla Parámetros'!$G$5)</f>
        <v>0.11799999999999999</v>
      </c>
      <c r="E223" s="167"/>
      <c r="F223" s="167" t="e">
        <f t="shared" si="44"/>
        <v>#REF!</v>
      </c>
      <c r="G223" s="166"/>
      <c r="H223" s="167" t="e">
        <f t="shared" si="38"/>
        <v>#REF!</v>
      </c>
      <c r="I223" s="167" t="e">
        <f t="shared" si="39"/>
        <v>#REF!</v>
      </c>
      <c r="J223" s="167" t="e">
        <f>IF(C223="","",IF(F223=0,0,IF(C223&lt;='Tabla Parámetros'!$J$23,I223,IF($E$2='Tabla Parámetros'!$J$19,((($H$2/1000*'Tabla Parámetros'!$K$19)/30.4*C223)*1.0212^17),IF($E$2='Tabla Parámetros'!$J$20,($H$2/1000*'Tabla Parámetros'!$K$20)/30.4*C223)*1.0201^17)))+N223+O223)</f>
        <v>#REF!</v>
      </c>
      <c r="K223" s="167" t="e">
        <f t="shared" si="40"/>
        <v>#REF!</v>
      </c>
      <c r="L223" s="167" t="e">
        <f>IF(B223="","",IF(F223=0,0,Simulador!$N$13*$J$2))</f>
        <v>#REF!</v>
      </c>
      <c r="M223" s="167" t="e">
        <f>IF(B223="","",IF(F223=0,0,IF(Simulador!$F$11='Tabla Parámetros'!$W$1,'Tabla Parámetros'!$W$28,IF(Simulador!$F$11='Tabla Parámetros'!$Y$1,'Tabla Parámetros'!$Y$12))))</f>
        <v>#REF!</v>
      </c>
      <c r="N223" s="167" t="e">
        <f>IF(F223="","",IF(Simulador!$N$7='Tabla Parámetros'!$C$31,AportPat!L209,0))</f>
        <v>#REF!</v>
      </c>
      <c r="O223" s="172" t="e">
        <f>Simulador!#REF!</f>
        <v>#REF!</v>
      </c>
      <c r="P223" s="167" t="e">
        <f t="shared" si="41"/>
        <v>#REF!</v>
      </c>
      <c r="Q223" s="167" t="e">
        <f t="shared" si="42"/>
        <v>#REF!</v>
      </c>
      <c r="T223" s="6"/>
      <c r="U223" s="6"/>
      <c r="V223" s="6"/>
      <c r="W223" s="29" t="e">
        <f t="shared" si="36"/>
        <v>#REF!</v>
      </c>
    </row>
    <row r="224" spans="2:23" x14ac:dyDescent="0.3">
      <c r="B224" s="181">
        <f t="shared" si="43"/>
        <v>207</v>
      </c>
      <c r="C224" s="180">
        <f t="shared" si="37"/>
        <v>30.4</v>
      </c>
      <c r="D224" s="193">
        <f>IF(B224="","",'Tabla Parámetros'!$G$5)</f>
        <v>0.11799999999999999</v>
      </c>
      <c r="E224" s="167"/>
      <c r="F224" s="167" t="e">
        <f t="shared" si="44"/>
        <v>#REF!</v>
      </c>
      <c r="G224" s="166"/>
      <c r="H224" s="167" t="e">
        <f t="shared" si="38"/>
        <v>#REF!</v>
      </c>
      <c r="I224" s="167" t="e">
        <f t="shared" si="39"/>
        <v>#REF!</v>
      </c>
      <c r="J224" s="167" t="e">
        <f>IF(C224="","",IF(F224=0,0,IF(C224&lt;='Tabla Parámetros'!$J$23,I224,IF($E$2='Tabla Parámetros'!$J$19,((($H$2/1000*'Tabla Parámetros'!$K$19)/30.4*C224)*1.0212^17),IF($E$2='Tabla Parámetros'!$J$20,($H$2/1000*'Tabla Parámetros'!$K$20)/30.4*C224)*1.0201^17)))+N224+O224)</f>
        <v>#REF!</v>
      </c>
      <c r="K224" s="167" t="e">
        <f t="shared" si="40"/>
        <v>#REF!</v>
      </c>
      <c r="L224" s="167" t="e">
        <f>IF(B224="","",IF(F224=0,0,Simulador!$N$13*$J$2))</f>
        <v>#REF!</v>
      </c>
      <c r="M224" s="167" t="e">
        <f>IF(B224="","",IF(F224=0,0,IF(Simulador!$F$11='Tabla Parámetros'!$W$1,'Tabla Parámetros'!$W$28,IF(Simulador!$F$11='Tabla Parámetros'!$Y$1,'Tabla Parámetros'!$Y$12))))</f>
        <v>#REF!</v>
      </c>
      <c r="N224" s="167" t="e">
        <f>IF(F224="","",IF(Simulador!$N$7='Tabla Parámetros'!$C$31,AportPat!L210,0))</f>
        <v>#REF!</v>
      </c>
      <c r="O224" s="172" t="e">
        <f>Simulador!#REF!</f>
        <v>#REF!</v>
      </c>
      <c r="P224" s="167" t="e">
        <f t="shared" si="41"/>
        <v>#REF!</v>
      </c>
      <c r="Q224" s="167" t="e">
        <f t="shared" si="42"/>
        <v>#REF!</v>
      </c>
      <c r="T224" s="6"/>
      <c r="U224" s="6"/>
      <c r="V224" s="6"/>
      <c r="W224" s="29" t="e">
        <f t="shared" si="36"/>
        <v>#REF!</v>
      </c>
    </row>
    <row r="225" spans="2:23" x14ac:dyDescent="0.3">
      <c r="B225" s="181">
        <f t="shared" si="43"/>
        <v>208</v>
      </c>
      <c r="C225" s="180">
        <f t="shared" si="37"/>
        <v>30.4</v>
      </c>
      <c r="D225" s="193">
        <f>IF(B225="","",'Tabla Parámetros'!$G$5)</f>
        <v>0.11799999999999999</v>
      </c>
      <c r="E225" s="167"/>
      <c r="F225" s="167" t="e">
        <f t="shared" si="44"/>
        <v>#REF!</v>
      </c>
      <c r="G225" s="166"/>
      <c r="H225" s="167" t="e">
        <f t="shared" si="38"/>
        <v>#REF!</v>
      </c>
      <c r="I225" s="167" t="e">
        <f t="shared" si="39"/>
        <v>#REF!</v>
      </c>
      <c r="J225" s="167" t="e">
        <f>IF(C225="","",IF(F225=0,0,IF(C225&lt;='Tabla Parámetros'!$J$23,I225,IF($E$2='Tabla Parámetros'!$J$19,((($H$2/1000*'Tabla Parámetros'!$K$19)/30.4*C225)*1.0212^17),IF($E$2='Tabla Parámetros'!$J$20,($H$2/1000*'Tabla Parámetros'!$K$20)/30.4*C225)*1.0201^17)))+N225+O225)</f>
        <v>#REF!</v>
      </c>
      <c r="K225" s="167" t="e">
        <f t="shared" si="40"/>
        <v>#REF!</v>
      </c>
      <c r="L225" s="167" t="e">
        <f>IF(B225="","",IF(F225=0,0,Simulador!$N$13*$J$2))</f>
        <v>#REF!</v>
      </c>
      <c r="M225" s="167" t="e">
        <f>IF(B225="","",IF(F225=0,0,IF(Simulador!$F$11='Tabla Parámetros'!$W$1,'Tabla Parámetros'!$W$28,IF(Simulador!$F$11='Tabla Parámetros'!$Y$1,'Tabla Parámetros'!$Y$12))))</f>
        <v>#REF!</v>
      </c>
      <c r="N225" s="167" t="e">
        <f>IF(F225="","",IF(Simulador!$N$7='Tabla Parámetros'!$C$31,AportPat!L211,0))</f>
        <v>#REF!</v>
      </c>
      <c r="O225" s="172" t="e">
        <f>Simulador!#REF!</f>
        <v>#REF!</v>
      </c>
      <c r="P225" s="167" t="e">
        <f t="shared" si="41"/>
        <v>#REF!</v>
      </c>
      <c r="Q225" s="167" t="e">
        <f t="shared" si="42"/>
        <v>#REF!</v>
      </c>
      <c r="T225" s="6"/>
      <c r="U225" s="6"/>
      <c r="V225" s="6"/>
      <c r="W225" s="29" t="e">
        <f t="shared" si="36"/>
        <v>#REF!</v>
      </c>
    </row>
    <row r="226" spans="2:23" x14ac:dyDescent="0.3">
      <c r="B226" s="181">
        <f t="shared" si="43"/>
        <v>209</v>
      </c>
      <c r="C226" s="180">
        <f t="shared" si="37"/>
        <v>30.4</v>
      </c>
      <c r="D226" s="193">
        <f>IF(B226="","",'Tabla Parámetros'!$G$5)</f>
        <v>0.11799999999999999</v>
      </c>
      <c r="E226" s="167"/>
      <c r="F226" s="167" t="e">
        <f t="shared" si="44"/>
        <v>#REF!</v>
      </c>
      <c r="G226" s="166"/>
      <c r="H226" s="167" t="e">
        <f t="shared" si="38"/>
        <v>#REF!</v>
      </c>
      <c r="I226" s="167" t="e">
        <f t="shared" si="39"/>
        <v>#REF!</v>
      </c>
      <c r="J226" s="167" t="e">
        <f>IF(C226="","",IF(F226=0,0,IF(C226&lt;='Tabla Parámetros'!$J$23,I226,IF($E$2='Tabla Parámetros'!$J$19,((($H$2/1000*'Tabla Parámetros'!$K$19)/30.4*C226)*1.0212^17),IF($E$2='Tabla Parámetros'!$J$20,($H$2/1000*'Tabla Parámetros'!$K$20)/30.4*C226)*1.0201^17)))+N226+O226)</f>
        <v>#REF!</v>
      </c>
      <c r="K226" s="167" t="e">
        <f t="shared" si="40"/>
        <v>#REF!</v>
      </c>
      <c r="L226" s="167" t="e">
        <f>IF(B226="","",IF(F226=0,0,Simulador!$N$13*$J$2))</f>
        <v>#REF!</v>
      </c>
      <c r="M226" s="167" t="e">
        <f>IF(B226="","",IF(F226=0,0,IF(Simulador!$F$11='Tabla Parámetros'!$W$1,'Tabla Parámetros'!$W$28,IF(Simulador!$F$11='Tabla Parámetros'!$Y$1,'Tabla Parámetros'!$Y$12))))</f>
        <v>#REF!</v>
      </c>
      <c r="N226" s="167" t="e">
        <f>IF(F226="","",IF(Simulador!$N$7='Tabla Parámetros'!$C$31,AportPat!L212,0))</f>
        <v>#REF!</v>
      </c>
      <c r="O226" s="172" t="e">
        <f>Simulador!#REF!</f>
        <v>#REF!</v>
      </c>
      <c r="P226" s="167" t="e">
        <f t="shared" si="41"/>
        <v>#REF!</v>
      </c>
      <c r="Q226" s="167" t="e">
        <f t="shared" si="42"/>
        <v>#REF!</v>
      </c>
      <c r="T226" s="6"/>
      <c r="U226" s="6"/>
      <c r="V226" s="6"/>
      <c r="W226" s="29" t="e">
        <f t="shared" si="36"/>
        <v>#REF!</v>
      </c>
    </row>
    <row r="227" spans="2:23" x14ac:dyDescent="0.3">
      <c r="B227" s="181">
        <f t="shared" si="43"/>
        <v>210</v>
      </c>
      <c r="C227" s="180">
        <f t="shared" si="37"/>
        <v>30.4</v>
      </c>
      <c r="D227" s="193">
        <f>IF(B227="","",'Tabla Parámetros'!$G$5)</f>
        <v>0.11799999999999999</v>
      </c>
      <c r="E227" s="167"/>
      <c r="F227" s="167" t="e">
        <f t="shared" si="44"/>
        <v>#REF!</v>
      </c>
      <c r="G227" s="166"/>
      <c r="H227" s="167" t="e">
        <f t="shared" si="38"/>
        <v>#REF!</v>
      </c>
      <c r="I227" s="167" t="e">
        <f t="shared" si="39"/>
        <v>#REF!</v>
      </c>
      <c r="J227" s="167" t="e">
        <f>IF(C227="","",IF(F227=0,0,IF(C227&lt;='Tabla Parámetros'!$J$23,I227,IF($E$2='Tabla Parámetros'!$J$19,((($H$2/1000*'Tabla Parámetros'!$K$19)/30.4*C227)*1.0212^17),IF($E$2='Tabla Parámetros'!$J$20,($H$2/1000*'Tabla Parámetros'!$K$20)/30.4*C227)*1.0201^17)))+N227+O227)</f>
        <v>#REF!</v>
      </c>
      <c r="K227" s="167" t="e">
        <f t="shared" si="40"/>
        <v>#REF!</v>
      </c>
      <c r="L227" s="167" t="e">
        <f>IF(B227="","",IF(F227=0,0,Simulador!$N$13*$J$2))</f>
        <v>#REF!</v>
      </c>
      <c r="M227" s="167" t="e">
        <f>IF(B227="","",IF(F227=0,0,IF(Simulador!$F$11='Tabla Parámetros'!$W$1,'Tabla Parámetros'!$W$28,IF(Simulador!$F$11='Tabla Parámetros'!$Y$1,'Tabla Parámetros'!$Y$12))))</f>
        <v>#REF!</v>
      </c>
      <c r="N227" s="167" t="e">
        <f>IF(F227="","",IF(Simulador!$N$7='Tabla Parámetros'!$C$31,AportPat!L213,0))</f>
        <v>#REF!</v>
      </c>
      <c r="O227" s="172" t="e">
        <f>Simulador!#REF!</f>
        <v>#REF!</v>
      </c>
      <c r="P227" s="167" t="e">
        <f t="shared" si="41"/>
        <v>#REF!</v>
      </c>
      <c r="Q227" s="167" t="e">
        <f t="shared" si="42"/>
        <v>#REF!</v>
      </c>
      <c r="T227" s="6"/>
      <c r="U227" s="6"/>
      <c r="V227" s="6"/>
      <c r="W227" s="29" t="e">
        <f t="shared" si="36"/>
        <v>#REF!</v>
      </c>
    </row>
    <row r="228" spans="2:23" x14ac:dyDescent="0.3">
      <c r="B228" s="181">
        <f t="shared" si="43"/>
        <v>211</v>
      </c>
      <c r="C228" s="180">
        <f t="shared" si="37"/>
        <v>30.4</v>
      </c>
      <c r="D228" s="193">
        <f>IF(B228="","",'Tabla Parámetros'!$G$5)</f>
        <v>0.11799999999999999</v>
      </c>
      <c r="E228" s="167"/>
      <c r="F228" s="167" t="e">
        <f t="shared" si="44"/>
        <v>#REF!</v>
      </c>
      <c r="G228" s="166"/>
      <c r="H228" s="167" t="e">
        <f t="shared" si="38"/>
        <v>#REF!</v>
      </c>
      <c r="I228" s="167" t="e">
        <f t="shared" si="39"/>
        <v>#REF!</v>
      </c>
      <c r="J228" s="167" t="e">
        <f>IF(C228="","",IF(F228=0,0,IF(C228&lt;='Tabla Parámetros'!$J$23,I228,IF($E$2='Tabla Parámetros'!$J$19,((($H$2/1000*'Tabla Parámetros'!$K$19)/30.4*C228)*1.0212^17),IF($E$2='Tabla Parámetros'!$J$20,($H$2/1000*'Tabla Parámetros'!$K$20)/30.4*C228)*1.0201^17)))+N228+O228)</f>
        <v>#REF!</v>
      </c>
      <c r="K228" s="167" t="e">
        <f t="shared" si="40"/>
        <v>#REF!</v>
      </c>
      <c r="L228" s="167" t="e">
        <f>IF(B228="","",IF(F228=0,0,Simulador!$N$13*$J$2))</f>
        <v>#REF!</v>
      </c>
      <c r="M228" s="167" t="e">
        <f>IF(B228="","",IF(F228=0,0,IF(Simulador!$F$11='Tabla Parámetros'!$W$1,'Tabla Parámetros'!$W$28,IF(Simulador!$F$11='Tabla Parámetros'!$Y$1,'Tabla Parámetros'!$Y$12))))</f>
        <v>#REF!</v>
      </c>
      <c r="N228" s="167" t="e">
        <f>IF(F228="","",IF(Simulador!$N$7='Tabla Parámetros'!$C$31,AportPat!L214,0))</f>
        <v>#REF!</v>
      </c>
      <c r="O228" s="172" t="e">
        <f>Simulador!#REF!</f>
        <v>#REF!</v>
      </c>
      <c r="P228" s="167" t="e">
        <f t="shared" si="41"/>
        <v>#REF!</v>
      </c>
      <c r="Q228" s="167" t="e">
        <f t="shared" si="42"/>
        <v>#REF!</v>
      </c>
      <c r="T228" s="6"/>
      <c r="U228" s="6"/>
      <c r="V228" s="6"/>
      <c r="W228" s="29" t="e">
        <f t="shared" si="36"/>
        <v>#REF!</v>
      </c>
    </row>
    <row r="229" spans="2:23" x14ac:dyDescent="0.3">
      <c r="B229" s="181">
        <f t="shared" si="43"/>
        <v>212</v>
      </c>
      <c r="C229" s="180">
        <f t="shared" si="37"/>
        <v>30.4</v>
      </c>
      <c r="D229" s="193">
        <f>IF(B229="","",'Tabla Parámetros'!$G$5)</f>
        <v>0.11799999999999999</v>
      </c>
      <c r="E229" s="167"/>
      <c r="F229" s="167" t="e">
        <f t="shared" si="44"/>
        <v>#REF!</v>
      </c>
      <c r="G229" s="166"/>
      <c r="H229" s="167" t="e">
        <f t="shared" si="38"/>
        <v>#REF!</v>
      </c>
      <c r="I229" s="167" t="e">
        <f t="shared" si="39"/>
        <v>#REF!</v>
      </c>
      <c r="J229" s="167" t="e">
        <f>IF(C229="","",IF(F229=0,0,IF(C229&lt;='Tabla Parámetros'!$J$23,I229,IF($E$2='Tabla Parámetros'!$J$19,((($H$2/1000*'Tabla Parámetros'!$K$19)/30.4*C229)*1.0212^17),IF($E$2='Tabla Parámetros'!$J$20,($H$2/1000*'Tabla Parámetros'!$K$20)/30.4*C229)*1.0201^17)))+N229+O229)</f>
        <v>#REF!</v>
      </c>
      <c r="K229" s="167" t="e">
        <f t="shared" si="40"/>
        <v>#REF!</v>
      </c>
      <c r="L229" s="167" t="e">
        <f>IF(B229="","",IF(F229=0,0,Simulador!$N$13*$J$2))</f>
        <v>#REF!</v>
      </c>
      <c r="M229" s="167" t="e">
        <f>IF(B229="","",IF(F229=0,0,IF(Simulador!$F$11='Tabla Parámetros'!$W$1,'Tabla Parámetros'!$W$28,IF(Simulador!$F$11='Tabla Parámetros'!$Y$1,'Tabla Parámetros'!$Y$12))))</f>
        <v>#REF!</v>
      </c>
      <c r="N229" s="167" t="e">
        <f>IF(F229="","",IF(Simulador!$N$7='Tabla Parámetros'!$C$31,AportPat!L215,0))</f>
        <v>#REF!</v>
      </c>
      <c r="O229" s="172" t="e">
        <f>Simulador!#REF!</f>
        <v>#REF!</v>
      </c>
      <c r="P229" s="167" t="e">
        <f t="shared" si="41"/>
        <v>#REF!</v>
      </c>
      <c r="Q229" s="167" t="e">
        <f t="shared" si="42"/>
        <v>#REF!</v>
      </c>
      <c r="T229" s="6"/>
      <c r="U229" s="6"/>
      <c r="V229" s="6"/>
      <c r="W229" s="29" t="e">
        <f t="shared" si="36"/>
        <v>#REF!</v>
      </c>
    </row>
    <row r="230" spans="2:23" x14ac:dyDescent="0.3">
      <c r="B230" s="181">
        <f t="shared" si="43"/>
        <v>213</v>
      </c>
      <c r="C230" s="180">
        <f t="shared" si="37"/>
        <v>30.4</v>
      </c>
      <c r="D230" s="193">
        <f>IF(B230="","",'Tabla Parámetros'!$G$5)</f>
        <v>0.11799999999999999</v>
      </c>
      <c r="E230" s="167"/>
      <c r="F230" s="167" t="e">
        <f t="shared" si="44"/>
        <v>#REF!</v>
      </c>
      <c r="G230" s="166"/>
      <c r="H230" s="167" t="e">
        <f t="shared" si="38"/>
        <v>#REF!</v>
      </c>
      <c r="I230" s="167" t="e">
        <f t="shared" si="39"/>
        <v>#REF!</v>
      </c>
      <c r="J230" s="167" t="e">
        <f>IF(C230="","",IF(F230=0,0,IF(C230&lt;='Tabla Parámetros'!$J$23,I230,IF($E$2='Tabla Parámetros'!$J$19,((($H$2/1000*'Tabla Parámetros'!$K$19)/30.4*C230)*1.0212^17),IF($E$2='Tabla Parámetros'!$J$20,($H$2/1000*'Tabla Parámetros'!$K$20)/30.4*C230)*1.0201^17)))+N230+O230)</f>
        <v>#REF!</v>
      </c>
      <c r="K230" s="167" t="e">
        <f t="shared" si="40"/>
        <v>#REF!</v>
      </c>
      <c r="L230" s="167" t="e">
        <f>IF(B230="","",IF(F230=0,0,Simulador!$N$13*$J$2))</f>
        <v>#REF!</v>
      </c>
      <c r="M230" s="167" t="e">
        <f>IF(B230="","",IF(F230=0,0,IF(Simulador!$F$11='Tabla Parámetros'!$W$1,'Tabla Parámetros'!$W$28,IF(Simulador!$F$11='Tabla Parámetros'!$Y$1,'Tabla Parámetros'!$Y$12))))</f>
        <v>#REF!</v>
      </c>
      <c r="N230" s="167" t="e">
        <f>IF(F230="","",IF(Simulador!$N$7='Tabla Parámetros'!$C$31,AportPat!L216,0))</f>
        <v>#REF!</v>
      </c>
      <c r="O230" s="172" t="e">
        <f>Simulador!#REF!</f>
        <v>#REF!</v>
      </c>
      <c r="P230" s="167" t="e">
        <f t="shared" si="41"/>
        <v>#REF!</v>
      </c>
      <c r="Q230" s="167" t="e">
        <f t="shared" si="42"/>
        <v>#REF!</v>
      </c>
      <c r="T230" s="6"/>
      <c r="U230" s="6"/>
      <c r="V230" s="6"/>
      <c r="W230" s="29" t="e">
        <f t="shared" si="36"/>
        <v>#REF!</v>
      </c>
    </row>
    <row r="231" spans="2:23" x14ac:dyDescent="0.3">
      <c r="B231" s="181">
        <f t="shared" si="43"/>
        <v>214</v>
      </c>
      <c r="C231" s="180">
        <f t="shared" si="37"/>
        <v>30.4</v>
      </c>
      <c r="D231" s="193">
        <f>IF(B231="","",'Tabla Parámetros'!$G$5)</f>
        <v>0.11799999999999999</v>
      </c>
      <c r="E231" s="167"/>
      <c r="F231" s="167" t="e">
        <f t="shared" si="44"/>
        <v>#REF!</v>
      </c>
      <c r="G231" s="166"/>
      <c r="H231" s="167" t="e">
        <f t="shared" si="38"/>
        <v>#REF!</v>
      </c>
      <c r="I231" s="167" t="e">
        <f t="shared" si="39"/>
        <v>#REF!</v>
      </c>
      <c r="J231" s="167" t="e">
        <f>IF(C231="","",IF(F231=0,0,IF(C231&lt;='Tabla Parámetros'!$J$23,I231,IF($E$2='Tabla Parámetros'!$J$19,((($H$2/1000*'Tabla Parámetros'!$K$19)/30.4*C231)*1.0212^17),IF($E$2='Tabla Parámetros'!$J$20,($H$2/1000*'Tabla Parámetros'!$K$20)/30.4*C231)*1.0201^17)))+N231+O231)</f>
        <v>#REF!</v>
      </c>
      <c r="K231" s="167" t="e">
        <f t="shared" si="40"/>
        <v>#REF!</v>
      </c>
      <c r="L231" s="167" t="e">
        <f>IF(B231="","",IF(F231=0,0,Simulador!$N$13*$J$2))</f>
        <v>#REF!</v>
      </c>
      <c r="M231" s="167" t="e">
        <f>IF(B231="","",IF(F231=0,0,IF(Simulador!$F$11='Tabla Parámetros'!$W$1,'Tabla Parámetros'!$W$28,IF(Simulador!$F$11='Tabla Parámetros'!$Y$1,'Tabla Parámetros'!$Y$12))))</f>
        <v>#REF!</v>
      </c>
      <c r="N231" s="167" t="e">
        <f>IF(F231="","",IF(Simulador!$N$7='Tabla Parámetros'!$C$31,AportPat!L217,0))</f>
        <v>#REF!</v>
      </c>
      <c r="O231" s="172" t="e">
        <f>Simulador!#REF!</f>
        <v>#REF!</v>
      </c>
      <c r="P231" s="167" t="e">
        <f t="shared" si="41"/>
        <v>#REF!</v>
      </c>
      <c r="Q231" s="167" t="e">
        <f t="shared" si="42"/>
        <v>#REF!</v>
      </c>
      <c r="T231" s="6"/>
      <c r="U231" s="6"/>
      <c r="V231" s="6"/>
      <c r="W231" s="29" t="e">
        <f t="shared" si="36"/>
        <v>#REF!</v>
      </c>
    </row>
    <row r="232" spans="2:23" x14ac:dyDescent="0.3">
      <c r="B232" s="181">
        <f t="shared" si="43"/>
        <v>215</v>
      </c>
      <c r="C232" s="180">
        <f t="shared" si="37"/>
        <v>30.4</v>
      </c>
      <c r="D232" s="193">
        <f>IF(B232="","",'Tabla Parámetros'!$G$5)</f>
        <v>0.11799999999999999</v>
      </c>
      <c r="E232" s="167"/>
      <c r="F232" s="167" t="e">
        <f t="shared" si="44"/>
        <v>#REF!</v>
      </c>
      <c r="G232" s="166"/>
      <c r="H232" s="167" t="e">
        <f t="shared" si="38"/>
        <v>#REF!</v>
      </c>
      <c r="I232" s="167" t="e">
        <f t="shared" si="39"/>
        <v>#REF!</v>
      </c>
      <c r="J232" s="167" t="e">
        <f>IF(C232="","",IF(F232=0,0,IF(C232&lt;='Tabla Parámetros'!$J$23,I232,IF($E$2='Tabla Parámetros'!$J$19,((($H$2/1000*'Tabla Parámetros'!$K$19)/30.4*C232)*1.0212^17),IF($E$2='Tabla Parámetros'!$J$20,($H$2/1000*'Tabla Parámetros'!$K$20)/30.4*C232)*1.0201^17)))+N232+O232)</f>
        <v>#REF!</v>
      </c>
      <c r="K232" s="167" t="e">
        <f t="shared" si="40"/>
        <v>#REF!</v>
      </c>
      <c r="L232" s="167" t="e">
        <f>IF(B232="","",IF(F232=0,0,Simulador!$N$13*$J$2))</f>
        <v>#REF!</v>
      </c>
      <c r="M232" s="167" t="e">
        <f>IF(B232="","",IF(F232=0,0,IF(Simulador!$F$11='Tabla Parámetros'!$W$1,'Tabla Parámetros'!$W$28,IF(Simulador!$F$11='Tabla Parámetros'!$Y$1,'Tabla Parámetros'!$Y$12))))</f>
        <v>#REF!</v>
      </c>
      <c r="N232" s="167" t="e">
        <f>IF(F232="","",IF(Simulador!$N$7='Tabla Parámetros'!$C$31,AportPat!L218,0))</f>
        <v>#REF!</v>
      </c>
      <c r="O232" s="172" t="e">
        <f>Simulador!#REF!</f>
        <v>#REF!</v>
      </c>
      <c r="P232" s="167" t="e">
        <f t="shared" si="41"/>
        <v>#REF!</v>
      </c>
      <c r="Q232" s="167" t="e">
        <f t="shared" si="42"/>
        <v>#REF!</v>
      </c>
      <c r="T232" s="6"/>
      <c r="U232" s="6"/>
      <c r="V232" s="6"/>
      <c r="W232" s="29" t="e">
        <f t="shared" si="36"/>
        <v>#REF!</v>
      </c>
    </row>
    <row r="233" spans="2:23" x14ac:dyDescent="0.3">
      <c r="B233" s="181">
        <f t="shared" si="43"/>
        <v>216</v>
      </c>
      <c r="C233" s="180">
        <f t="shared" si="37"/>
        <v>30.4</v>
      </c>
      <c r="D233" s="193">
        <f>IF(B233="","",'Tabla Parámetros'!$G$5)</f>
        <v>0.11799999999999999</v>
      </c>
      <c r="E233" s="167"/>
      <c r="F233" s="167" t="e">
        <f t="shared" si="44"/>
        <v>#REF!</v>
      </c>
      <c r="G233" s="166"/>
      <c r="H233" s="167" t="e">
        <f t="shared" si="38"/>
        <v>#REF!</v>
      </c>
      <c r="I233" s="167" t="e">
        <f t="shared" si="39"/>
        <v>#REF!</v>
      </c>
      <c r="J233" s="167" t="e">
        <f>IF(C233="","",IF(F233=0,0,IF(C233&lt;='Tabla Parámetros'!$J$23,I233,IF($E$2='Tabla Parámetros'!$J$19,((($H$2/1000*'Tabla Parámetros'!$K$19)/30.4*C233)*1.0212^17),IF($E$2='Tabla Parámetros'!$J$20,($H$2/1000*'Tabla Parámetros'!$K$20)/30.4*C233)*1.0201^17)))+N233+O233)</f>
        <v>#REF!</v>
      </c>
      <c r="K233" s="167" t="e">
        <f t="shared" si="40"/>
        <v>#REF!</v>
      </c>
      <c r="L233" s="167" t="e">
        <f>IF(B233="","",IF(F233=0,0,Simulador!$N$13*$J$2))</f>
        <v>#REF!</v>
      </c>
      <c r="M233" s="167" t="e">
        <f>IF(B233="","",IF(F233=0,0,IF(Simulador!$F$11='Tabla Parámetros'!$W$1,'Tabla Parámetros'!$W$28,IF(Simulador!$F$11='Tabla Parámetros'!$Y$1,'Tabla Parámetros'!$Y$12))))</f>
        <v>#REF!</v>
      </c>
      <c r="N233" s="167" t="e">
        <f>IF(F233="","",IF(Simulador!$N$7='Tabla Parámetros'!$C$31,AportPat!L219,0))</f>
        <v>#REF!</v>
      </c>
      <c r="O233" s="172" t="e">
        <f>Simulador!#REF!</f>
        <v>#REF!</v>
      </c>
      <c r="P233" s="167" t="e">
        <f t="shared" si="41"/>
        <v>#REF!</v>
      </c>
      <c r="Q233" s="167" t="e">
        <f t="shared" si="42"/>
        <v>#REF!</v>
      </c>
      <c r="T233" s="6"/>
      <c r="U233" s="6"/>
      <c r="V233" s="6"/>
      <c r="W233" s="29" t="e">
        <f t="shared" si="36"/>
        <v>#REF!</v>
      </c>
    </row>
    <row r="234" spans="2:23" x14ac:dyDescent="0.3">
      <c r="B234" s="181">
        <f t="shared" si="43"/>
        <v>217</v>
      </c>
      <c r="C234" s="180">
        <f t="shared" si="37"/>
        <v>30.4</v>
      </c>
      <c r="D234" s="193">
        <f>IF(B234="","",'Tabla Parámetros'!$G$5)</f>
        <v>0.11799999999999999</v>
      </c>
      <c r="E234" s="167"/>
      <c r="F234" s="167" t="e">
        <f t="shared" si="44"/>
        <v>#REF!</v>
      </c>
      <c r="G234" s="166"/>
      <c r="H234" s="167" t="e">
        <f t="shared" si="38"/>
        <v>#REF!</v>
      </c>
      <c r="I234" s="167" t="e">
        <f t="shared" si="39"/>
        <v>#REF!</v>
      </c>
      <c r="J234" s="167" t="e">
        <f>IF(C234="","",IF(F234=0,0,IF(C234&lt;='Tabla Parámetros'!$J$23,I234,IF($E$2='Tabla Parámetros'!$J$19,((($H$2/1000*'Tabla Parámetros'!$K$19)/30.4*C234)*1.0212^17),IF($E$2='Tabla Parámetros'!$J$20,($H$2/1000*'Tabla Parámetros'!$K$20)/30.4*C234)*1.0201^17)))+N234+O234)</f>
        <v>#REF!</v>
      </c>
      <c r="K234" s="167" t="e">
        <f t="shared" si="40"/>
        <v>#REF!</v>
      </c>
      <c r="L234" s="167" t="e">
        <f>IF(B234="","",IF(F234=0,0,Simulador!$N$13*$J$2))</f>
        <v>#REF!</v>
      </c>
      <c r="M234" s="167" t="e">
        <f>IF(B234="","",IF(F234=0,0,IF(Simulador!$F$11='Tabla Parámetros'!$W$1,'Tabla Parámetros'!$W$28,IF(Simulador!$F$11='Tabla Parámetros'!$Y$1,'Tabla Parámetros'!$Y$12))))</f>
        <v>#REF!</v>
      </c>
      <c r="N234" s="167" t="e">
        <f>IF(F234="","",IF(Simulador!$N$7='Tabla Parámetros'!$C$31,AportPat!L220,0))</f>
        <v>#REF!</v>
      </c>
      <c r="O234" s="172" t="e">
        <f>Simulador!#REF!</f>
        <v>#REF!</v>
      </c>
      <c r="P234" s="167" t="e">
        <f t="shared" si="41"/>
        <v>#REF!</v>
      </c>
      <c r="Q234" s="167" t="e">
        <f t="shared" si="42"/>
        <v>#REF!</v>
      </c>
      <c r="T234" s="6"/>
      <c r="U234" s="6"/>
      <c r="V234" s="6"/>
      <c r="W234" s="29" t="e">
        <f t="shared" si="36"/>
        <v>#REF!</v>
      </c>
    </row>
    <row r="235" spans="2:23" x14ac:dyDescent="0.3">
      <c r="B235" s="181">
        <f t="shared" si="43"/>
        <v>218</v>
      </c>
      <c r="C235" s="180">
        <f t="shared" si="37"/>
        <v>30.4</v>
      </c>
      <c r="D235" s="193">
        <f>IF(B235="","",'Tabla Parámetros'!$G$5)</f>
        <v>0.11799999999999999</v>
      </c>
      <c r="E235" s="167"/>
      <c r="F235" s="167" t="e">
        <f t="shared" si="44"/>
        <v>#REF!</v>
      </c>
      <c r="G235" s="166"/>
      <c r="H235" s="167" t="e">
        <f t="shared" si="38"/>
        <v>#REF!</v>
      </c>
      <c r="I235" s="167" t="e">
        <f t="shared" si="39"/>
        <v>#REF!</v>
      </c>
      <c r="J235" s="167" t="e">
        <f>IF(C235="","",IF(F235=0,0,IF(C235&lt;='Tabla Parámetros'!$J$23,I235,IF($E$2='Tabla Parámetros'!$J$19,((($H$2/1000*'Tabla Parámetros'!$K$19)/30.4*C235)*1.0212^18),IF($E$2='Tabla Parámetros'!$J$20,($H$2/1000*'Tabla Parámetros'!$K$20)/30.4*C235)*1.0201^18)))+N235+O235)</f>
        <v>#REF!</v>
      </c>
      <c r="K235" s="167" t="e">
        <f t="shared" si="40"/>
        <v>#REF!</v>
      </c>
      <c r="L235" s="167" t="e">
        <f>IF(B235="","",IF(F235=0,0,Simulador!$N$13*$J$2))</f>
        <v>#REF!</v>
      </c>
      <c r="M235" s="167" t="e">
        <f>IF(B235="","",IF(F235=0,0,IF(Simulador!$F$11='Tabla Parámetros'!$W$1,'Tabla Parámetros'!$W$28,IF(Simulador!$F$11='Tabla Parámetros'!$Y$1,'Tabla Parámetros'!$Y$12))))</f>
        <v>#REF!</v>
      </c>
      <c r="N235" s="167" t="e">
        <f>IF(F235="","",IF(Simulador!$N$7='Tabla Parámetros'!$C$31,AportPat!L221,0))</f>
        <v>#REF!</v>
      </c>
      <c r="O235" s="172" t="e">
        <f>Simulador!#REF!</f>
        <v>#REF!</v>
      </c>
      <c r="P235" s="167" t="e">
        <f t="shared" si="41"/>
        <v>#REF!</v>
      </c>
      <c r="Q235" s="167" t="e">
        <f t="shared" si="42"/>
        <v>#REF!</v>
      </c>
      <c r="T235" s="6"/>
      <c r="U235" s="6"/>
      <c r="V235" s="6"/>
      <c r="W235" s="29" t="e">
        <f t="shared" si="36"/>
        <v>#REF!</v>
      </c>
    </row>
    <row r="236" spans="2:23" x14ac:dyDescent="0.3">
      <c r="B236" s="181">
        <f t="shared" si="43"/>
        <v>219</v>
      </c>
      <c r="C236" s="180">
        <f t="shared" si="37"/>
        <v>30.4</v>
      </c>
      <c r="D236" s="193">
        <f>IF(B236="","",'Tabla Parámetros'!$G$5)</f>
        <v>0.11799999999999999</v>
      </c>
      <c r="E236" s="167"/>
      <c r="F236" s="167" t="e">
        <f t="shared" si="44"/>
        <v>#REF!</v>
      </c>
      <c r="G236" s="166"/>
      <c r="H236" s="167" t="e">
        <f t="shared" si="38"/>
        <v>#REF!</v>
      </c>
      <c r="I236" s="167" t="e">
        <f t="shared" si="39"/>
        <v>#REF!</v>
      </c>
      <c r="J236" s="167" t="e">
        <f>IF(C236="","",IF(F236=0,0,IF(C236&lt;='Tabla Parámetros'!$J$23,I236,IF($E$2='Tabla Parámetros'!$J$19,((($H$2/1000*'Tabla Parámetros'!$K$19)/30.4*C236)*1.0212^18),IF($E$2='Tabla Parámetros'!$J$20,($H$2/1000*'Tabla Parámetros'!$K$20)/30.4*C236)*1.0201^18)))+N236+O236)</f>
        <v>#REF!</v>
      </c>
      <c r="K236" s="167" t="e">
        <f t="shared" si="40"/>
        <v>#REF!</v>
      </c>
      <c r="L236" s="167" t="e">
        <f>IF(B236="","",IF(F236=0,0,Simulador!$N$13*$J$2))</f>
        <v>#REF!</v>
      </c>
      <c r="M236" s="167" t="e">
        <f>IF(B236="","",IF(F236=0,0,IF(Simulador!$F$11='Tabla Parámetros'!$W$1,'Tabla Parámetros'!$W$28,IF(Simulador!$F$11='Tabla Parámetros'!$Y$1,'Tabla Parámetros'!$Y$12))))</f>
        <v>#REF!</v>
      </c>
      <c r="N236" s="167" t="e">
        <f>IF(F236="","",IF(Simulador!$N$7='Tabla Parámetros'!$C$31,AportPat!L222,0))</f>
        <v>#REF!</v>
      </c>
      <c r="O236" s="172" t="e">
        <f>Simulador!#REF!</f>
        <v>#REF!</v>
      </c>
      <c r="P236" s="167" t="e">
        <f t="shared" si="41"/>
        <v>#REF!</v>
      </c>
      <c r="Q236" s="167" t="e">
        <f t="shared" si="42"/>
        <v>#REF!</v>
      </c>
      <c r="T236" s="6"/>
      <c r="U236" s="6"/>
      <c r="V236" s="6"/>
      <c r="W236" s="29" t="e">
        <f t="shared" si="36"/>
        <v>#REF!</v>
      </c>
    </row>
    <row r="237" spans="2:23" x14ac:dyDescent="0.3">
      <c r="B237" s="181">
        <f t="shared" si="43"/>
        <v>220</v>
      </c>
      <c r="C237" s="180">
        <f t="shared" si="37"/>
        <v>30.4</v>
      </c>
      <c r="D237" s="193">
        <f>IF(B237="","",'Tabla Parámetros'!$G$5)</f>
        <v>0.11799999999999999</v>
      </c>
      <c r="E237" s="167"/>
      <c r="F237" s="167" t="e">
        <f t="shared" si="44"/>
        <v>#REF!</v>
      </c>
      <c r="G237" s="166"/>
      <c r="H237" s="167" t="e">
        <f t="shared" si="38"/>
        <v>#REF!</v>
      </c>
      <c r="I237" s="167" t="e">
        <f t="shared" si="39"/>
        <v>#REF!</v>
      </c>
      <c r="J237" s="167" t="e">
        <f>IF(C237="","",IF(F237=0,0,IF(C237&lt;='Tabla Parámetros'!$J$23,I237,IF($E$2='Tabla Parámetros'!$J$19,((($H$2/1000*'Tabla Parámetros'!$K$19)/30.4*C237)*1.0212^18),IF($E$2='Tabla Parámetros'!$J$20,($H$2/1000*'Tabla Parámetros'!$K$20)/30.4*C237)*1.0201^18)))+N237+O237)</f>
        <v>#REF!</v>
      </c>
      <c r="K237" s="167" t="e">
        <f t="shared" si="40"/>
        <v>#REF!</v>
      </c>
      <c r="L237" s="167" t="e">
        <f>IF(B237="","",IF(F237=0,0,Simulador!$N$13*$J$2))</f>
        <v>#REF!</v>
      </c>
      <c r="M237" s="167" t="e">
        <f>IF(B237="","",IF(F237=0,0,IF(Simulador!$F$11='Tabla Parámetros'!$W$1,'Tabla Parámetros'!$W$28,IF(Simulador!$F$11='Tabla Parámetros'!$Y$1,'Tabla Parámetros'!$Y$12))))</f>
        <v>#REF!</v>
      </c>
      <c r="N237" s="167" t="e">
        <f>IF(F237="","",IF(Simulador!$N$7='Tabla Parámetros'!$C$31,AportPat!L223,0))</f>
        <v>#REF!</v>
      </c>
      <c r="O237" s="172" t="e">
        <f>Simulador!#REF!</f>
        <v>#REF!</v>
      </c>
      <c r="P237" s="167" t="e">
        <f t="shared" si="41"/>
        <v>#REF!</v>
      </c>
      <c r="Q237" s="167" t="e">
        <f t="shared" si="42"/>
        <v>#REF!</v>
      </c>
      <c r="T237" s="6"/>
      <c r="U237" s="6"/>
      <c r="V237" s="6"/>
      <c r="W237" s="29" t="e">
        <f t="shared" si="36"/>
        <v>#REF!</v>
      </c>
    </row>
    <row r="238" spans="2:23" x14ac:dyDescent="0.3">
      <c r="B238" s="181">
        <f t="shared" si="43"/>
        <v>221</v>
      </c>
      <c r="C238" s="180">
        <f t="shared" si="37"/>
        <v>30.4</v>
      </c>
      <c r="D238" s="193">
        <f>IF(B238="","",'Tabla Parámetros'!$G$5)</f>
        <v>0.11799999999999999</v>
      </c>
      <c r="E238" s="167"/>
      <c r="F238" s="167" t="e">
        <f t="shared" si="44"/>
        <v>#REF!</v>
      </c>
      <c r="G238" s="166"/>
      <c r="H238" s="167" t="e">
        <f t="shared" si="38"/>
        <v>#REF!</v>
      </c>
      <c r="I238" s="167" t="e">
        <f t="shared" si="39"/>
        <v>#REF!</v>
      </c>
      <c r="J238" s="167" t="e">
        <f>IF(C238="","",IF(F238=0,0,IF(C238&lt;='Tabla Parámetros'!$J$23,I238,IF($E$2='Tabla Parámetros'!$J$19,((($H$2/1000*'Tabla Parámetros'!$K$19)/30.4*C238)*1.0212^18),IF($E$2='Tabla Parámetros'!$J$20,($H$2/1000*'Tabla Parámetros'!$K$20)/30.4*C238)*1.0201^18)))+N238+O238)</f>
        <v>#REF!</v>
      </c>
      <c r="K238" s="167" t="e">
        <f t="shared" si="40"/>
        <v>#REF!</v>
      </c>
      <c r="L238" s="167" t="e">
        <f>IF(B238="","",IF(F238=0,0,Simulador!$N$13*$J$2))</f>
        <v>#REF!</v>
      </c>
      <c r="M238" s="167" t="e">
        <f>IF(B238="","",IF(F238=0,0,IF(Simulador!$F$11='Tabla Parámetros'!$W$1,'Tabla Parámetros'!$W$28,IF(Simulador!$F$11='Tabla Parámetros'!$Y$1,'Tabla Parámetros'!$Y$12))))</f>
        <v>#REF!</v>
      </c>
      <c r="N238" s="167" t="e">
        <f>IF(F238="","",IF(Simulador!$N$7='Tabla Parámetros'!$C$31,AportPat!L224,0))</f>
        <v>#REF!</v>
      </c>
      <c r="O238" s="172" t="e">
        <f>Simulador!#REF!</f>
        <v>#REF!</v>
      </c>
      <c r="P238" s="167" t="e">
        <f t="shared" si="41"/>
        <v>#REF!</v>
      </c>
      <c r="Q238" s="167" t="e">
        <f t="shared" si="42"/>
        <v>#REF!</v>
      </c>
      <c r="T238" s="6"/>
      <c r="U238" s="6"/>
      <c r="V238" s="6"/>
      <c r="W238" s="29" t="e">
        <f t="shared" si="36"/>
        <v>#REF!</v>
      </c>
    </row>
    <row r="239" spans="2:23" x14ac:dyDescent="0.3">
      <c r="B239" s="181">
        <f t="shared" si="43"/>
        <v>222</v>
      </c>
      <c r="C239" s="180">
        <f t="shared" si="37"/>
        <v>30.4</v>
      </c>
      <c r="D239" s="193">
        <f>IF(B239="","",'Tabla Parámetros'!$G$5)</f>
        <v>0.11799999999999999</v>
      </c>
      <c r="E239" s="167"/>
      <c r="F239" s="167" t="e">
        <f t="shared" si="44"/>
        <v>#REF!</v>
      </c>
      <c r="G239" s="166"/>
      <c r="H239" s="167" t="e">
        <f t="shared" si="38"/>
        <v>#REF!</v>
      </c>
      <c r="I239" s="167" t="e">
        <f t="shared" si="39"/>
        <v>#REF!</v>
      </c>
      <c r="J239" s="167" t="e">
        <f>IF(C239="","",IF(F239=0,0,IF(C239&lt;='Tabla Parámetros'!$J$23,I239,IF($E$2='Tabla Parámetros'!$J$19,((($H$2/1000*'Tabla Parámetros'!$K$19)/30.4*C239)*1.0212^18),IF($E$2='Tabla Parámetros'!$J$20,($H$2/1000*'Tabla Parámetros'!$K$20)/30.4*C239)*1.0201^18)))+N239+O239)</f>
        <v>#REF!</v>
      </c>
      <c r="K239" s="167" t="e">
        <f t="shared" si="40"/>
        <v>#REF!</v>
      </c>
      <c r="L239" s="167" t="e">
        <f>IF(B239="","",IF(F239=0,0,Simulador!$N$13*$J$2))</f>
        <v>#REF!</v>
      </c>
      <c r="M239" s="167" t="e">
        <f>IF(B239="","",IF(F239=0,0,IF(Simulador!$F$11='Tabla Parámetros'!$W$1,'Tabla Parámetros'!$W$28,IF(Simulador!$F$11='Tabla Parámetros'!$Y$1,'Tabla Parámetros'!$Y$12))))</f>
        <v>#REF!</v>
      </c>
      <c r="N239" s="167" t="e">
        <f>IF(F239="","",IF(Simulador!$N$7='Tabla Parámetros'!$C$31,AportPat!L225,0))</f>
        <v>#REF!</v>
      </c>
      <c r="O239" s="172" t="e">
        <f>Simulador!#REF!</f>
        <v>#REF!</v>
      </c>
      <c r="P239" s="167" t="e">
        <f t="shared" si="41"/>
        <v>#REF!</v>
      </c>
      <c r="Q239" s="167" t="e">
        <f t="shared" si="42"/>
        <v>#REF!</v>
      </c>
      <c r="T239" s="6"/>
      <c r="U239" s="6"/>
      <c r="V239" s="6"/>
      <c r="W239" s="29" t="e">
        <f t="shared" si="36"/>
        <v>#REF!</v>
      </c>
    </row>
    <row r="240" spans="2:23" x14ac:dyDescent="0.3">
      <c r="B240" s="181">
        <f t="shared" si="43"/>
        <v>223</v>
      </c>
      <c r="C240" s="180">
        <f t="shared" si="37"/>
        <v>30.4</v>
      </c>
      <c r="D240" s="193">
        <f>IF(B240="","",'Tabla Parámetros'!$G$5)</f>
        <v>0.11799999999999999</v>
      </c>
      <c r="E240" s="167"/>
      <c r="F240" s="167" t="e">
        <f t="shared" si="44"/>
        <v>#REF!</v>
      </c>
      <c r="G240" s="166"/>
      <c r="H240" s="167" t="e">
        <f t="shared" si="38"/>
        <v>#REF!</v>
      </c>
      <c r="I240" s="167" t="e">
        <f t="shared" si="39"/>
        <v>#REF!</v>
      </c>
      <c r="J240" s="167" t="e">
        <f>IF(C240="","",IF(F240=0,0,IF(C240&lt;='Tabla Parámetros'!$J$23,I240,IF($E$2='Tabla Parámetros'!$J$19,((($H$2/1000*'Tabla Parámetros'!$K$19)/30.4*C240)*1.0212^18),IF($E$2='Tabla Parámetros'!$J$20,($H$2/1000*'Tabla Parámetros'!$K$20)/30.4*C240)*1.0201^18)))+N240+O240)</f>
        <v>#REF!</v>
      </c>
      <c r="K240" s="167" t="e">
        <f t="shared" si="40"/>
        <v>#REF!</v>
      </c>
      <c r="L240" s="167" t="e">
        <f>IF(B240="","",IF(F240=0,0,Simulador!$N$13*$J$2))</f>
        <v>#REF!</v>
      </c>
      <c r="M240" s="167" t="e">
        <f>IF(B240="","",IF(F240=0,0,IF(Simulador!$F$11='Tabla Parámetros'!$W$1,'Tabla Parámetros'!$W$28,IF(Simulador!$F$11='Tabla Parámetros'!$Y$1,'Tabla Parámetros'!$Y$12))))</f>
        <v>#REF!</v>
      </c>
      <c r="N240" s="167" t="e">
        <f>IF(F240="","",IF(Simulador!$N$7='Tabla Parámetros'!$C$31,AportPat!L226,0))</f>
        <v>#REF!</v>
      </c>
      <c r="O240" s="172" t="e">
        <f>Simulador!#REF!</f>
        <v>#REF!</v>
      </c>
      <c r="P240" s="167" t="e">
        <f t="shared" si="41"/>
        <v>#REF!</v>
      </c>
      <c r="Q240" s="167" t="e">
        <f t="shared" si="42"/>
        <v>#REF!</v>
      </c>
      <c r="T240" s="6"/>
      <c r="U240" s="6"/>
      <c r="V240" s="6"/>
      <c r="W240" s="29" t="e">
        <f t="shared" si="36"/>
        <v>#REF!</v>
      </c>
    </row>
    <row r="241" spans="2:23" x14ac:dyDescent="0.3">
      <c r="B241" s="181">
        <f t="shared" si="43"/>
        <v>224</v>
      </c>
      <c r="C241" s="180">
        <f t="shared" si="37"/>
        <v>30.4</v>
      </c>
      <c r="D241" s="193">
        <f>IF(B241="","",'Tabla Parámetros'!$G$5)</f>
        <v>0.11799999999999999</v>
      </c>
      <c r="E241" s="167"/>
      <c r="F241" s="167" t="e">
        <f t="shared" si="44"/>
        <v>#REF!</v>
      </c>
      <c r="G241" s="166"/>
      <c r="H241" s="167" t="e">
        <f t="shared" si="38"/>
        <v>#REF!</v>
      </c>
      <c r="I241" s="167" t="e">
        <f t="shared" si="39"/>
        <v>#REF!</v>
      </c>
      <c r="J241" s="167" t="e">
        <f>IF(C241="","",IF(F241=0,0,IF(C241&lt;='Tabla Parámetros'!$J$23,I241,IF($E$2='Tabla Parámetros'!$J$19,((($H$2/1000*'Tabla Parámetros'!$K$19)/30.4*C241)*1.0212^18),IF($E$2='Tabla Parámetros'!$J$20,($H$2/1000*'Tabla Parámetros'!$K$20)/30.4*C241)*1.0201^18)))+N241+O241)</f>
        <v>#REF!</v>
      </c>
      <c r="K241" s="167" t="e">
        <f t="shared" si="40"/>
        <v>#REF!</v>
      </c>
      <c r="L241" s="167" t="e">
        <f>IF(B241="","",IF(F241=0,0,Simulador!$N$13*$J$2))</f>
        <v>#REF!</v>
      </c>
      <c r="M241" s="167" t="e">
        <f>IF(B241="","",IF(F241=0,0,IF(Simulador!$F$11='Tabla Parámetros'!$W$1,'Tabla Parámetros'!$W$28,IF(Simulador!$F$11='Tabla Parámetros'!$Y$1,'Tabla Parámetros'!$Y$12))))</f>
        <v>#REF!</v>
      </c>
      <c r="N241" s="167" t="e">
        <f>IF(F241="","",IF(Simulador!$N$7='Tabla Parámetros'!$C$31,AportPat!L227,0))</f>
        <v>#REF!</v>
      </c>
      <c r="O241" s="172" t="e">
        <f>Simulador!#REF!</f>
        <v>#REF!</v>
      </c>
      <c r="P241" s="167" t="e">
        <f t="shared" si="41"/>
        <v>#REF!</v>
      </c>
      <c r="Q241" s="167" t="e">
        <f t="shared" si="42"/>
        <v>#REF!</v>
      </c>
      <c r="T241" s="6"/>
      <c r="U241" s="6"/>
      <c r="V241" s="6"/>
      <c r="W241" s="29" t="e">
        <f t="shared" si="36"/>
        <v>#REF!</v>
      </c>
    </row>
    <row r="242" spans="2:23" x14ac:dyDescent="0.3">
      <c r="B242" s="181">
        <f t="shared" si="43"/>
        <v>225</v>
      </c>
      <c r="C242" s="180">
        <f t="shared" si="37"/>
        <v>30.4</v>
      </c>
      <c r="D242" s="193">
        <f>IF(B242="","",'Tabla Parámetros'!$G$5)</f>
        <v>0.11799999999999999</v>
      </c>
      <c r="E242" s="167"/>
      <c r="F242" s="167" t="e">
        <f t="shared" si="44"/>
        <v>#REF!</v>
      </c>
      <c r="G242" s="166"/>
      <c r="H242" s="167" t="e">
        <f t="shared" si="38"/>
        <v>#REF!</v>
      </c>
      <c r="I242" s="167" t="e">
        <f t="shared" si="39"/>
        <v>#REF!</v>
      </c>
      <c r="J242" s="167" t="e">
        <f>IF(C242="","",IF(F242=0,0,IF(C242&lt;='Tabla Parámetros'!$J$23,I242,IF($E$2='Tabla Parámetros'!$J$19,((($H$2/1000*'Tabla Parámetros'!$K$19)/30.4*C242)*1.0212^18),IF($E$2='Tabla Parámetros'!$J$20,($H$2/1000*'Tabla Parámetros'!$K$20)/30.4*C242)*1.0201^18)))+N242+O242)</f>
        <v>#REF!</v>
      </c>
      <c r="K242" s="167" t="e">
        <f t="shared" si="40"/>
        <v>#REF!</v>
      </c>
      <c r="L242" s="167" t="e">
        <f>IF(B242="","",IF(F242=0,0,Simulador!$N$13*$J$2))</f>
        <v>#REF!</v>
      </c>
      <c r="M242" s="167" t="e">
        <f>IF(B242="","",IF(F242=0,0,IF(Simulador!$F$11='Tabla Parámetros'!$W$1,'Tabla Parámetros'!$W$28,IF(Simulador!$F$11='Tabla Parámetros'!$Y$1,'Tabla Parámetros'!$Y$12))))</f>
        <v>#REF!</v>
      </c>
      <c r="N242" s="167" t="e">
        <f>IF(F242="","",IF(Simulador!$N$7='Tabla Parámetros'!$C$31,AportPat!L228,0))</f>
        <v>#REF!</v>
      </c>
      <c r="O242" s="172" t="e">
        <f>Simulador!#REF!</f>
        <v>#REF!</v>
      </c>
      <c r="P242" s="167" t="e">
        <f t="shared" si="41"/>
        <v>#REF!</v>
      </c>
      <c r="Q242" s="167" t="e">
        <f t="shared" si="42"/>
        <v>#REF!</v>
      </c>
      <c r="T242" s="6"/>
      <c r="U242" s="6"/>
      <c r="V242" s="6"/>
      <c r="W242" s="29" t="e">
        <f t="shared" si="36"/>
        <v>#REF!</v>
      </c>
    </row>
    <row r="243" spans="2:23" x14ac:dyDescent="0.3">
      <c r="B243" s="181">
        <f t="shared" si="43"/>
        <v>226</v>
      </c>
      <c r="C243" s="180">
        <f t="shared" si="37"/>
        <v>30.4</v>
      </c>
      <c r="D243" s="193">
        <f>IF(B243="","",'Tabla Parámetros'!$G$5)</f>
        <v>0.11799999999999999</v>
      </c>
      <c r="E243" s="167"/>
      <c r="F243" s="167" t="e">
        <f t="shared" si="44"/>
        <v>#REF!</v>
      </c>
      <c r="G243" s="166"/>
      <c r="H243" s="167" t="e">
        <f t="shared" si="38"/>
        <v>#REF!</v>
      </c>
      <c r="I243" s="167" t="e">
        <f t="shared" si="39"/>
        <v>#REF!</v>
      </c>
      <c r="J243" s="167" t="e">
        <f>IF(C243="","",IF(F243=0,0,IF(C243&lt;='Tabla Parámetros'!$J$23,I243,IF($E$2='Tabla Parámetros'!$J$19,((($H$2/1000*'Tabla Parámetros'!$K$19)/30.4*C243)*1.0212^18),IF($E$2='Tabla Parámetros'!$J$20,($H$2/1000*'Tabla Parámetros'!$K$20)/30.4*C243)*1.0201^18)))+N243+O243)</f>
        <v>#REF!</v>
      </c>
      <c r="K243" s="167" t="e">
        <f t="shared" si="40"/>
        <v>#REF!</v>
      </c>
      <c r="L243" s="167" t="e">
        <f>IF(B243="","",IF(F243=0,0,Simulador!$N$13*$J$2))</f>
        <v>#REF!</v>
      </c>
      <c r="M243" s="167" t="e">
        <f>IF(B243="","",IF(F243=0,0,IF(Simulador!$F$11='Tabla Parámetros'!$W$1,'Tabla Parámetros'!$W$28,IF(Simulador!$F$11='Tabla Parámetros'!$Y$1,'Tabla Parámetros'!$Y$12))))</f>
        <v>#REF!</v>
      </c>
      <c r="N243" s="167" t="e">
        <f>IF(F243="","",IF(Simulador!$N$7='Tabla Parámetros'!$C$31,AportPat!L229,0))</f>
        <v>#REF!</v>
      </c>
      <c r="O243" s="172" t="e">
        <f>Simulador!#REF!</f>
        <v>#REF!</v>
      </c>
      <c r="P243" s="167" t="e">
        <f t="shared" si="41"/>
        <v>#REF!</v>
      </c>
      <c r="Q243" s="167" t="e">
        <f t="shared" si="42"/>
        <v>#REF!</v>
      </c>
      <c r="W243" s="29" t="e">
        <f t="shared" si="36"/>
        <v>#REF!</v>
      </c>
    </row>
    <row r="244" spans="2:23" x14ac:dyDescent="0.3">
      <c r="B244" s="181">
        <f t="shared" si="43"/>
        <v>227</v>
      </c>
      <c r="C244" s="180">
        <f t="shared" si="37"/>
        <v>30.4</v>
      </c>
      <c r="D244" s="193">
        <f>IF(B244="","",'Tabla Parámetros'!$G$5)</f>
        <v>0.11799999999999999</v>
      </c>
      <c r="E244" s="167"/>
      <c r="F244" s="167" t="e">
        <f t="shared" si="44"/>
        <v>#REF!</v>
      </c>
      <c r="G244" s="166"/>
      <c r="H244" s="167" t="e">
        <f t="shared" si="38"/>
        <v>#REF!</v>
      </c>
      <c r="I244" s="167" t="e">
        <f t="shared" si="39"/>
        <v>#REF!</v>
      </c>
      <c r="J244" s="167" t="e">
        <f>IF(C244="","",IF(F244=0,0,IF(C244&lt;='Tabla Parámetros'!$J$23,I244,IF($E$2='Tabla Parámetros'!$J$19,((($H$2/1000*'Tabla Parámetros'!$K$19)/30.4*C244)*1.0212^18),IF($E$2='Tabla Parámetros'!$J$20,($H$2/1000*'Tabla Parámetros'!$K$20)/30.4*C244)*1.0201^18)))+N244+O244)</f>
        <v>#REF!</v>
      </c>
      <c r="K244" s="167" t="e">
        <f t="shared" si="40"/>
        <v>#REF!</v>
      </c>
      <c r="L244" s="167" t="e">
        <f>IF(B244="","",IF(F244=0,0,Simulador!$N$13*$J$2))</f>
        <v>#REF!</v>
      </c>
      <c r="M244" s="167" t="e">
        <f>IF(B244="","",IF(F244=0,0,IF(Simulador!$F$11='Tabla Parámetros'!$W$1,'Tabla Parámetros'!$W$28,IF(Simulador!$F$11='Tabla Parámetros'!$Y$1,'Tabla Parámetros'!$Y$12))))</f>
        <v>#REF!</v>
      </c>
      <c r="N244" s="167" t="e">
        <f>IF(F244="","",IF(Simulador!$N$7='Tabla Parámetros'!$C$31,AportPat!L230,0))</f>
        <v>#REF!</v>
      </c>
      <c r="O244" s="172" t="e">
        <f>Simulador!#REF!</f>
        <v>#REF!</v>
      </c>
      <c r="P244" s="167" t="e">
        <f t="shared" si="41"/>
        <v>#REF!</v>
      </c>
      <c r="Q244" s="167" t="e">
        <f t="shared" si="42"/>
        <v>#REF!</v>
      </c>
      <c r="W244" s="29" t="e">
        <f t="shared" si="36"/>
        <v>#REF!</v>
      </c>
    </row>
    <row r="245" spans="2:23" x14ac:dyDescent="0.3">
      <c r="B245" s="181">
        <f t="shared" si="43"/>
        <v>228</v>
      </c>
      <c r="C245" s="180">
        <f t="shared" si="37"/>
        <v>30.4</v>
      </c>
      <c r="D245" s="193">
        <f>IF(B245="","",'Tabla Parámetros'!$G$5)</f>
        <v>0.11799999999999999</v>
      </c>
      <c r="E245" s="167"/>
      <c r="F245" s="167" t="e">
        <f t="shared" si="44"/>
        <v>#REF!</v>
      </c>
      <c r="G245" s="166"/>
      <c r="H245" s="167" t="e">
        <f t="shared" si="38"/>
        <v>#REF!</v>
      </c>
      <c r="I245" s="167" t="e">
        <f t="shared" si="39"/>
        <v>#REF!</v>
      </c>
      <c r="J245" s="167" t="e">
        <f>IF(C245="","",IF(F245=0,0,IF(C245&lt;='Tabla Parámetros'!$J$23,I245,IF($E$2='Tabla Parámetros'!$J$19,((($H$2/1000*'Tabla Parámetros'!$K$19)/30.4*C245)*1.0212^18),IF($E$2='Tabla Parámetros'!$J$20,($H$2/1000*'Tabla Parámetros'!$K$20)/30.4*C245)*1.0201^18)))+N245+O245)</f>
        <v>#REF!</v>
      </c>
      <c r="K245" s="167" t="e">
        <f t="shared" si="40"/>
        <v>#REF!</v>
      </c>
      <c r="L245" s="167" t="e">
        <f>IF(B245="","",IF(F245=0,0,Simulador!$N$13*$J$2))</f>
        <v>#REF!</v>
      </c>
      <c r="M245" s="167" t="e">
        <f>IF(B245="","",IF(F245=0,0,IF(Simulador!$F$11='Tabla Parámetros'!$W$1,'Tabla Parámetros'!$W$28,IF(Simulador!$F$11='Tabla Parámetros'!$Y$1,'Tabla Parámetros'!$Y$12))))</f>
        <v>#REF!</v>
      </c>
      <c r="N245" s="167" t="e">
        <f>IF(F245="","",IF(Simulador!$N$7='Tabla Parámetros'!$C$31,AportPat!L231,0))</f>
        <v>#REF!</v>
      </c>
      <c r="O245" s="172" t="e">
        <f>Simulador!#REF!</f>
        <v>#REF!</v>
      </c>
      <c r="P245" s="167" t="e">
        <f t="shared" si="41"/>
        <v>#REF!</v>
      </c>
      <c r="Q245" s="167" t="e">
        <f t="shared" si="42"/>
        <v>#REF!</v>
      </c>
      <c r="W245" s="29" t="e">
        <f t="shared" si="36"/>
        <v>#REF!</v>
      </c>
    </row>
    <row r="246" spans="2:23" x14ac:dyDescent="0.3">
      <c r="B246" s="181">
        <f t="shared" si="43"/>
        <v>229</v>
      </c>
      <c r="C246" s="180">
        <f t="shared" si="37"/>
        <v>30.4</v>
      </c>
      <c r="D246" s="193">
        <f>IF(B246="","",'Tabla Parámetros'!$G$5)</f>
        <v>0.11799999999999999</v>
      </c>
      <c r="E246" s="167"/>
      <c r="F246" s="167" t="e">
        <f t="shared" si="44"/>
        <v>#REF!</v>
      </c>
      <c r="G246" s="166"/>
      <c r="H246" s="167" t="e">
        <f t="shared" si="38"/>
        <v>#REF!</v>
      </c>
      <c r="I246" s="167" t="e">
        <f t="shared" si="39"/>
        <v>#REF!</v>
      </c>
      <c r="J246" s="167" t="e">
        <f>IF(C246="","",IF(F246=0,0,IF(C246&lt;='Tabla Parámetros'!$J$23,I246,IF($E$2='Tabla Parámetros'!$J$19,((($H$2/1000*'Tabla Parámetros'!$K$19)/30.4*C246)*1.0212^18),IF($E$2='Tabla Parámetros'!$J$20,($H$2/1000*'Tabla Parámetros'!$K$20)/30.4*C246)*1.0201^18)))+N246+O246)</f>
        <v>#REF!</v>
      </c>
      <c r="K246" s="167" t="e">
        <f t="shared" si="40"/>
        <v>#REF!</v>
      </c>
      <c r="L246" s="167" t="e">
        <f>IF(B246="","",IF(F246=0,0,Simulador!$N$13*$J$2))</f>
        <v>#REF!</v>
      </c>
      <c r="M246" s="167" t="e">
        <f>IF(B246="","",IF(F246=0,0,IF(Simulador!$F$11='Tabla Parámetros'!$W$1,'Tabla Parámetros'!$W$28,IF(Simulador!$F$11='Tabla Parámetros'!$Y$1,'Tabla Parámetros'!$Y$12))))</f>
        <v>#REF!</v>
      </c>
      <c r="N246" s="167" t="e">
        <f>IF(F246="","",IF(Simulador!$N$7='Tabla Parámetros'!$C$31,AportPat!L232,0))</f>
        <v>#REF!</v>
      </c>
      <c r="O246" s="172" t="e">
        <f>Simulador!#REF!</f>
        <v>#REF!</v>
      </c>
      <c r="P246" s="167" t="e">
        <f t="shared" si="41"/>
        <v>#REF!</v>
      </c>
      <c r="Q246" s="167" t="e">
        <f t="shared" si="42"/>
        <v>#REF!</v>
      </c>
      <c r="W246" s="29" t="e">
        <f t="shared" si="36"/>
        <v>#REF!</v>
      </c>
    </row>
    <row r="247" spans="2:23" x14ac:dyDescent="0.3">
      <c r="B247" s="181">
        <f t="shared" si="43"/>
        <v>230</v>
      </c>
      <c r="C247" s="180">
        <f t="shared" si="37"/>
        <v>30.4</v>
      </c>
      <c r="D247" s="193">
        <f>IF(B247="","",'Tabla Parámetros'!$G$5)</f>
        <v>0.11799999999999999</v>
      </c>
      <c r="E247" s="167"/>
      <c r="F247" s="167" t="e">
        <f t="shared" si="44"/>
        <v>#REF!</v>
      </c>
      <c r="G247" s="166"/>
      <c r="H247" s="167" t="e">
        <f t="shared" si="38"/>
        <v>#REF!</v>
      </c>
      <c r="I247" s="167" t="e">
        <f t="shared" si="39"/>
        <v>#REF!</v>
      </c>
      <c r="J247" s="167" t="e">
        <f>IF(C247="","",IF(F247=0,0,IF(C247&lt;='Tabla Parámetros'!$J$23,I247,IF($E$2='Tabla Parámetros'!$J$19,((($H$2/1000*'Tabla Parámetros'!$K$19)/30.4*C247)*1.0212^19),IF($E$2='Tabla Parámetros'!$J$20,($H$2/1000*'Tabla Parámetros'!$K$20)/30.4*C247)*1.0201^19)))+N247+O247)</f>
        <v>#REF!</v>
      </c>
      <c r="K247" s="167" t="e">
        <f t="shared" si="40"/>
        <v>#REF!</v>
      </c>
      <c r="L247" s="167" t="e">
        <f>IF(B247="","",IF(F247=0,0,Simulador!$N$13*$J$2))</f>
        <v>#REF!</v>
      </c>
      <c r="M247" s="167" t="e">
        <f>IF(B247="","",IF(F247=0,0,IF(Simulador!$F$11='Tabla Parámetros'!$W$1,'Tabla Parámetros'!$W$28,IF(Simulador!$F$11='Tabla Parámetros'!$Y$1,'Tabla Parámetros'!$Y$12))))</f>
        <v>#REF!</v>
      </c>
      <c r="N247" s="167" t="e">
        <f>IF(F247="","",IF(Simulador!$N$7='Tabla Parámetros'!$C$31,AportPat!L233,0))</f>
        <v>#REF!</v>
      </c>
      <c r="O247" s="172" t="e">
        <f>Simulador!#REF!</f>
        <v>#REF!</v>
      </c>
      <c r="P247" s="167" t="e">
        <f t="shared" si="41"/>
        <v>#REF!</v>
      </c>
      <c r="Q247" s="167" t="e">
        <f t="shared" si="42"/>
        <v>#REF!</v>
      </c>
      <c r="W247" s="29" t="e">
        <f t="shared" si="36"/>
        <v>#REF!</v>
      </c>
    </row>
    <row r="248" spans="2:23" x14ac:dyDescent="0.3">
      <c r="B248" s="181">
        <f t="shared" si="43"/>
        <v>231</v>
      </c>
      <c r="C248" s="180">
        <f t="shared" si="37"/>
        <v>30.4</v>
      </c>
      <c r="D248" s="193">
        <f>IF(B248="","",'Tabla Parámetros'!$G$5)</f>
        <v>0.11799999999999999</v>
      </c>
      <c r="E248" s="167"/>
      <c r="F248" s="167" t="e">
        <f t="shared" si="44"/>
        <v>#REF!</v>
      </c>
      <c r="G248" s="166"/>
      <c r="H248" s="167" t="e">
        <f t="shared" si="38"/>
        <v>#REF!</v>
      </c>
      <c r="I248" s="167" t="e">
        <f t="shared" si="39"/>
        <v>#REF!</v>
      </c>
      <c r="J248" s="167" t="e">
        <f>IF(C248="","",IF(F248=0,0,IF(C248&lt;='Tabla Parámetros'!$J$23,I248,IF($E$2='Tabla Parámetros'!$J$19,((($H$2/1000*'Tabla Parámetros'!$K$19)/30.4*C248)*1.0212^19),IF($E$2='Tabla Parámetros'!$J$20,($H$2/1000*'Tabla Parámetros'!$K$20)/30.4*C248)*1.0201^19)))+N248+O248)</f>
        <v>#REF!</v>
      </c>
      <c r="K248" s="167" t="e">
        <f t="shared" si="40"/>
        <v>#REF!</v>
      </c>
      <c r="L248" s="167" t="e">
        <f>IF(B248="","",IF(F248=0,0,Simulador!$N$13*$J$2))</f>
        <v>#REF!</v>
      </c>
      <c r="M248" s="167" t="e">
        <f>IF(B248="","",IF(F248=0,0,IF(Simulador!$F$11='Tabla Parámetros'!$W$1,'Tabla Parámetros'!$W$28,IF(Simulador!$F$11='Tabla Parámetros'!$Y$1,'Tabla Parámetros'!$Y$12))))</f>
        <v>#REF!</v>
      </c>
      <c r="N248" s="167" t="e">
        <f>IF(F248="","",IF(Simulador!$N$7='Tabla Parámetros'!$C$31,AportPat!L234,0))</f>
        <v>#REF!</v>
      </c>
      <c r="O248" s="172" t="e">
        <f>Simulador!#REF!</f>
        <v>#REF!</v>
      </c>
      <c r="P248" s="167" t="e">
        <f t="shared" si="41"/>
        <v>#REF!</v>
      </c>
      <c r="Q248" s="167" t="e">
        <f t="shared" si="42"/>
        <v>#REF!</v>
      </c>
      <c r="W248" s="29" t="e">
        <f t="shared" si="36"/>
        <v>#REF!</v>
      </c>
    </row>
    <row r="249" spans="2:23" x14ac:dyDescent="0.3">
      <c r="B249" s="181">
        <f t="shared" si="43"/>
        <v>232</v>
      </c>
      <c r="C249" s="180">
        <f t="shared" si="37"/>
        <v>30.4</v>
      </c>
      <c r="D249" s="193">
        <f>IF(B249="","",'Tabla Parámetros'!$G$5)</f>
        <v>0.11799999999999999</v>
      </c>
      <c r="E249" s="167"/>
      <c r="F249" s="167" t="e">
        <f t="shared" si="44"/>
        <v>#REF!</v>
      </c>
      <c r="G249" s="166"/>
      <c r="H249" s="167" t="e">
        <f t="shared" si="38"/>
        <v>#REF!</v>
      </c>
      <c r="I249" s="167" t="e">
        <f t="shared" si="39"/>
        <v>#REF!</v>
      </c>
      <c r="J249" s="167" t="e">
        <f>IF(C249="","",IF(F249=0,0,IF(C249&lt;='Tabla Parámetros'!$J$23,I249,IF($E$2='Tabla Parámetros'!$J$19,((($H$2/1000*'Tabla Parámetros'!$K$19)/30.4*C249)*1.0212^19),IF($E$2='Tabla Parámetros'!$J$20,($H$2/1000*'Tabla Parámetros'!$K$20)/30.4*C249)*1.0201^19)))+N249+O249)</f>
        <v>#REF!</v>
      </c>
      <c r="K249" s="167" t="e">
        <f t="shared" si="40"/>
        <v>#REF!</v>
      </c>
      <c r="L249" s="167" t="e">
        <f>IF(B249="","",IF(F249=0,0,Simulador!$N$13*$J$2))</f>
        <v>#REF!</v>
      </c>
      <c r="M249" s="167" t="e">
        <f>IF(B249="","",IF(F249=0,0,IF(Simulador!$F$11='Tabla Parámetros'!$W$1,'Tabla Parámetros'!$W$28,IF(Simulador!$F$11='Tabla Parámetros'!$Y$1,'Tabla Parámetros'!$Y$12))))</f>
        <v>#REF!</v>
      </c>
      <c r="N249" s="167" t="e">
        <f>IF(F249="","",IF(Simulador!$N$7='Tabla Parámetros'!$C$31,AportPat!L235,0))</f>
        <v>#REF!</v>
      </c>
      <c r="O249" s="172" t="e">
        <f>Simulador!#REF!</f>
        <v>#REF!</v>
      </c>
      <c r="P249" s="167" t="e">
        <f t="shared" si="41"/>
        <v>#REF!</v>
      </c>
      <c r="Q249" s="167" t="e">
        <f t="shared" si="42"/>
        <v>#REF!</v>
      </c>
      <c r="W249" s="29" t="e">
        <f t="shared" si="36"/>
        <v>#REF!</v>
      </c>
    </row>
    <row r="250" spans="2:23" x14ac:dyDescent="0.3">
      <c r="B250" s="181">
        <f t="shared" si="43"/>
        <v>233</v>
      </c>
      <c r="C250" s="180">
        <f t="shared" si="37"/>
        <v>30.4</v>
      </c>
      <c r="D250" s="193">
        <f>IF(B250="","",'Tabla Parámetros'!$G$5)</f>
        <v>0.11799999999999999</v>
      </c>
      <c r="E250" s="167"/>
      <c r="F250" s="167" t="e">
        <f t="shared" si="44"/>
        <v>#REF!</v>
      </c>
      <c r="G250" s="166"/>
      <c r="H250" s="167" t="e">
        <f t="shared" si="38"/>
        <v>#REF!</v>
      </c>
      <c r="I250" s="167" t="e">
        <f t="shared" si="39"/>
        <v>#REF!</v>
      </c>
      <c r="J250" s="167" t="e">
        <f>IF(C250="","",IF(F250=0,0,IF(C250&lt;='Tabla Parámetros'!$J$23,I250,IF($E$2='Tabla Parámetros'!$J$19,((($H$2/1000*'Tabla Parámetros'!$K$19)/30.4*C250)*1.0212^19),IF($E$2='Tabla Parámetros'!$J$20,($H$2/1000*'Tabla Parámetros'!$K$20)/30.4*C250)*1.0201^19)))+N250+O250)</f>
        <v>#REF!</v>
      </c>
      <c r="K250" s="167" t="e">
        <f t="shared" si="40"/>
        <v>#REF!</v>
      </c>
      <c r="L250" s="167" t="e">
        <f>IF(B250="","",IF(F250=0,0,Simulador!$N$13*$J$2))</f>
        <v>#REF!</v>
      </c>
      <c r="M250" s="167" t="e">
        <f>IF(B250="","",IF(F250=0,0,IF(Simulador!$F$11='Tabla Parámetros'!$W$1,'Tabla Parámetros'!$W$28,IF(Simulador!$F$11='Tabla Parámetros'!$Y$1,'Tabla Parámetros'!$Y$12))))</f>
        <v>#REF!</v>
      </c>
      <c r="N250" s="167" t="e">
        <f>IF(F250="","",IF(Simulador!$N$7='Tabla Parámetros'!$C$31,AportPat!L236,0))</f>
        <v>#REF!</v>
      </c>
      <c r="O250" s="172" t="e">
        <f>Simulador!#REF!</f>
        <v>#REF!</v>
      </c>
      <c r="P250" s="167" t="e">
        <f t="shared" si="41"/>
        <v>#REF!</v>
      </c>
      <c r="Q250" s="167" t="e">
        <f t="shared" si="42"/>
        <v>#REF!</v>
      </c>
      <c r="W250" s="29" t="e">
        <f t="shared" si="36"/>
        <v>#REF!</v>
      </c>
    </row>
    <row r="251" spans="2:23" x14ac:dyDescent="0.3">
      <c r="B251" s="181">
        <f t="shared" si="43"/>
        <v>234</v>
      </c>
      <c r="C251" s="180">
        <f t="shared" si="37"/>
        <v>30.4</v>
      </c>
      <c r="D251" s="193">
        <f>IF(B251="","",'Tabla Parámetros'!$G$5)</f>
        <v>0.11799999999999999</v>
      </c>
      <c r="E251" s="167"/>
      <c r="F251" s="167" t="e">
        <f t="shared" si="44"/>
        <v>#REF!</v>
      </c>
      <c r="G251" s="166"/>
      <c r="H251" s="167" t="e">
        <f t="shared" si="38"/>
        <v>#REF!</v>
      </c>
      <c r="I251" s="167" t="e">
        <f t="shared" si="39"/>
        <v>#REF!</v>
      </c>
      <c r="J251" s="167" t="e">
        <f>IF(C251="","",IF(F251=0,0,IF(C251&lt;='Tabla Parámetros'!$J$23,I251,IF($E$2='Tabla Parámetros'!$J$19,((($H$2/1000*'Tabla Parámetros'!$K$19)/30.4*C251)*1.0212^19),IF($E$2='Tabla Parámetros'!$J$20,($H$2/1000*'Tabla Parámetros'!$K$20)/30.4*C251)*1.0201^19)))+N251+O251)</f>
        <v>#REF!</v>
      </c>
      <c r="K251" s="167" t="e">
        <f t="shared" si="40"/>
        <v>#REF!</v>
      </c>
      <c r="L251" s="167" t="e">
        <f>IF(B251="","",IF(F251=0,0,Simulador!$N$13*$J$2))</f>
        <v>#REF!</v>
      </c>
      <c r="M251" s="167" t="e">
        <f>IF(B251="","",IF(F251=0,0,IF(Simulador!$F$11='Tabla Parámetros'!$W$1,'Tabla Parámetros'!$W$28,IF(Simulador!$F$11='Tabla Parámetros'!$Y$1,'Tabla Parámetros'!$Y$12))))</f>
        <v>#REF!</v>
      </c>
      <c r="N251" s="167" t="e">
        <f>IF(F251="","",IF(Simulador!$N$7='Tabla Parámetros'!$C$31,AportPat!L237,0))</f>
        <v>#REF!</v>
      </c>
      <c r="O251" s="172" t="e">
        <f>Simulador!#REF!</f>
        <v>#REF!</v>
      </c>
      <c r="P251" s="167" t="e">
        <f t="shared" si="41"/>
        <v>#REF!</v>
      </c>
      <c r="Q251" s="167" t="e">
        <f t="shared" si="42"/>
        <v>#REF!</v>
      </c>
      <c r="W251" s="29" t="e">
        <f t="shared" si="36"/>
        <v>#REF!</v>
      </c>
    </row>
    <row r="252" spans="2:23" x14ac:dyDescent="0.3">
      <c r="B252" s="181">
        <f t="shared" si="43"/>
        <v>235</v>
      </c>
      <c r="C252" s="180">
        <f t="shared" si="37"/>
        <v>30.4</v>
      </c>
      <c r="D252" s="193">
        <f>IF(B252="","",'Tabla Parámetros'!$G$5)</f>
        <v>0.11799999999999999</v>
      </c>
      <c r="E252" s="167"/>
      <c r="F252" s="167" t="e">
        <f t="shared" si="44"/>
        <v>#REF!</v>
      </c>
      <c r="G252" s="166"/>
      <c r="H252" s="167" t="e">
        <f t="shared" si="38"/>
        <v>#REF!</v>
      </c>
      <c r="I252" s="167" t="e">
        <f t="shared" si="39"/>
        <v>#REF!</v>
      </c>
      <c r="J252" s="167" t="e">
        <f>IF(C252="","",IF(F252=0,0,IF(C252&lt;='Tabla Parámetros'!$J$23,I252,IF($E$2='Tabla Parámetros'!$J$19,((($H$2/1000*'Tabla Parámetros'!$K$19)/30.4*C252)*1.0212^19),IF($E$2='Tabla Parámetros'!$J$20,($H$2/1000*'Tabla Parámetros'!$K$20)/30.4*C252)*1.0201^19)))+N252+O252)</f>
        <v>#REF!</v>
      </c>
      <c r="K252" s="167" t="e">
        <f t="shared" si="40"/>
        <v>#REF!</v>
      </c>
      <c r="L252" s="167" t="e">
        <f>IF(B252="","",IF(F252=0,0,Simulador!$N$13*$J$2))</f>
        <v>#REF!</v>
      </c>
      <c r="M252" s="167" t="e">
        <f>IF(B252="","",IF(F252=0,0,IF(Simulador!$F$11='Tabla Parámetros'!$W$1,'Tabla Parámetros'!$W$28,IF(Simulador!$F$11='Tabla Parámetros'!$Y$1,'Tabla Parámetros'!$Y$12))))</f>
        <v>#REF!</v>
      </c>
      <c r="N252" s="167" t="e">
        <f>IF(F252="","",IF(Simulador!$N$7='Tabla Parámetros'!$C$31,AportPat!L238,0))</f>
        <v>#REF!</v>
      </c>
      <c r="O252" s="172" t="e">
        <f>Simulador!#REF!</f>
        <v>#REF!</v>
      </c>
      <c r="P252" s="167" t="e">
        <f t="shared" si="41"/>
        <v>#REF!</v>
      </c>
      <c r="Q252" s="167" t="e">
        <f t="shared" si="42"/>
        <v>#REF!</v>
      </c>
      <c r="W252" s="29" t="e">
        <f t="shared" si="36"/>
        <v>#REF!</v>
      </c>
    </row>
    <row r="253" spans="2:23" x14ac:dyDescent="0.3">
      <c r="B253" s="181">
        <f t="shared" si="43"/>
        <v>236</v>
      </c>
      <c r="C253" s="180">
        <f t="shared" si="37"/>
        <v>30.4</v>
      </c>
      <c r="D253" s="193">
        <f>IF(B253="","",'Tabla Parámetros'!$G$5)</f>
        <v>0.11799999999999999</v>
      </c>
      <c r="E253" s="167"/>
      <c r="F253" s="167" t="e">
        <f t="shared" si="44"/>
        <v>#REF!</v>
      </c>
      <c r="G253" s="166"/>
      <c r="H253" s="167" t="e">
        <f t="shared" si="38"/>
        <v>#REF!</v>
      </c>
      <c r="I253" s="167" t="e">
        <f t="shared" si="39"/>
        <v>#REF!</v>
      </c>
      <c r="J253" s="167" t="e">
        <f>IF(C253="","",IF(F253=0,0,IF(C253&lt;='Tabla Parámetros'!$J$23,I253,IF($E$2='Tabla Parámetros'!$J$19,((($H$2/1000*'Tabla Parámetros'!$K$19)/30.4*C253)*1.0212^19),IF($E$2='Tabla Parámetros'!$J$20,($H$2/1000*'Tabla Parámetros'!$K$20)/30.4*C253)*1.0201^19)))+N253+O253)</f>
        <v>#REF!</v>
      </c>
      <c r="K253" s="167" t="e">
        <f t="shared" si="40"/>
        <v>#REF!</v>
      </c>
      <c r="L253" s="167" t="e">
        <f>IF(B253="","",IF(F253=0,0,Simulador!$N$13*$J$2))</f>
        <v>#REF!</v>
      </c>
      <c r="M253" s="167" t="e">
        <f>IF(B253="","",IF(F253=0,0,IF(Simulador!$F$11='Tabla Parámetros'!$W$1,'Tabla Parámetros'!$W$28,IF(Simulador!$F$11='Tabla Parámetros'!$Y$1,'Tabla Parámetros'!$Y$12))))</f>
        <v>#REF!</v>
      </c>
      <c r="N253" s="167" t="e">
        <f>IF(F253="","",IF(Simulador!$N$7='Tabla Parámetros'!$C$31,AportPat!L239,0))</f>
        <v>#REF!</v>
      </c>
      <c r="O253" s="172" t="e">
        <f>Simulador!#REF!</f>
        <v>#REF!</v>
      </c>
      <c r="P253" s="167" t="e">
        <f t="shared" si="41"/>
        <v>#REF!</v>
      </c>
      <c r="Q253" s="167" t="e">
        <f t="shared" si="42"/>
        <v>#REF!</v>
      </c>
      <c r="W253" s="29" t="e">
        <f t="shared" si="36"/>
        <v>#REF!</v>
      </c>
    </row>
    <row r="254" spans="2:23" x14ac:dyDescent="0.3">
      <c r="B254" s="181">
        <f t="shared" si="43"/>
        <v>237</v>
      </c>
      <c r="C254" s="180">
        <f t="shared" si="37"/>
        <v>30.4</v>
      </c>
      <c r="D254" s="193">
        <f>IF(B254="","",'Tabla Parámetros'!$G$5)</f>
        <v>0.11799999999999999</v>
      </c>
      <c r="E254" s="167"/>
      <c r="F254" s="167" t="e">
        <f t="shared" si="44"/>
        <v>#REF!</v>
      </c>
      <c r="G254" s="166"/>
      <c r="H254" s="167" t="e">
        <f t="shared" si="38"/>
        <v>#REF!</v>
      </c>
      <c r="I254" s="167" t="e">
        <f t="shared" si="39"/>
        <v>#REF!</v>
      </c>
      <c r="J254" s="167" t="e">
        <f>IF(C254="","",IF(F254=0,0,IF(C254&lt;='Tabla Parámetros'!$J$23,I254,IF($E$2='Tabla Parámetros'!$J$19,((($H$2/1000*'Tabla Parámetros'!$K$19)/30.4*C254)*1.0212^19),IF($E$2='Tabla Parámetros'!$J$20,($H$2/1000*'Tabla Parámetros'!$K$20)/30.4*C254)*1.0201^19)))+N254+O254)</f>
        <v>#REF!</v>
      </c>
      <c r="K254" s="167" t="e">
        <f t="shared" si="40"/>
        <v>#REF!</v>
      </c>
      <c r="L254" s="167" t="e">
        <f>IF(B254="","",IF(F254=0,0,Simulador!$N$13*$J$2))</f>
        <v>#REF!</v>
      </c>
      <c r="M254" s="167" t="e">
        <f>IF(B254="","",IF(F254=0,0,IF(Simulador!$F$11='Tabla Parámetros'!$W$1,'Tabla Parámetros'!$W$28,IF(Simulador!$F$11='Tabla Parámetros'!$Y$1,'Tabla Parámetros'!$Y$12))))</f>
        <v>#REF!</v>
      </c>
      <c r="N254" s="167" t="e">
        <f>IF(F254="","",IF(Simulador!$N$7='Tabla Parámetros'!$C$31,AportPat!L240,0))</f>
        <v>#REF!</v>
      </c>
      <c r="O254" s="172" t="e">
        <f>Simulador!#REF!</f>
        <v>#REF!</v>
      </c>
      <c r="P254" s="167" t="e">
        <f t="shared" si="41"/>
        <v>#REF!</v>
      </c>
      <c r="Q254" s="167" t="e">
        <f t="shared" si="42"/>
        <v>#REF!</v>
      </c>
      <c r="W254" s="29" t="e">
        <f t="shared" si="36"/>
        <v>#REF!</v>
      </c>
    </row>
    <row r="255" spans="2:23" x14ac:dyDescent="0.3">
      <c r="B255" s="181">
        <f t="shared" si="43"/>
        <v>238</v>
      </c>
      <c r="C255" s="180">
        <f t="shared" si="37"/>
        <v>30.4</v>
      </c>
      <c r="D255" s="193">
        <f>IF(B255="","",'Tabla Parámetros'!$G$5)</f>
        <v>0.11799999999999999</v>
      </c>
      <c r="E255" s="167"/>
      <c r="F255" s="167" t="e">
        <f t="shared" si="44"/>
        <v>#REF!</v>
      </c>
      <c r="G255" s="166"/>
      <c r="H255" s="167" t="e">
        <f t="shared" si="38"/>
        <v>#REF!</v>
      </c>
      <c r="I255" s="167" t="e">
        <f t="shared" si="39"/>
        <v>#REF!</v>
      </c>
      <c r="J255" s="167" t="e">
        <f>IF(C255="","",IF(F255=0,0,IF(C255&lt;='Tabla Parámetros'!$J$23,I255,IF($E$2='Tabla Parámetros'!$J$19,((($H$2/1000*'Tabla Parámetros'!$K$19)/30.4*C255)*1.0212^19),IF($E$2='Tabla Parámetros'!$J$20,($H$2/1000*'Tabla Parámetros'!$K$20)/30.4*C255)*1.0201^19)))+N255+O255)</f>
        <v>#REF!</v>
      </c>
      <c r="K255" s="167" t="e">
        <f t="shared" si="40"/>
        <v>#REF!</v>
      </c>
      <c r="L255" s="167" t="e">
        <f>IF(B255="","",IF(F255=0,0,Simulador!$N$13*$J$2))</f>
        <v>#REF!</v>
      </c>
      <c r="M255" s="167" t="e">
        <f>IF(B255="","",IF(F255=0,0,IF(Simulador!$F$11='Tabla Parámetros'!$W$1,'Tabla Parámetros'!$W$28,IF(Simulador!$F$11='Tabla Parámetros'!$Y$1,'Tabla Parámetros'!$Y$12))))</f>
        <v>#REF!</v>
      </c>
      <c r="N255" s="167" t="e">
        <f>IF(F255="","",IF(Simulador!$N$7='Tabla Parámetros'!$C$31,AportPat!L241,0))</f>
        <v>#REF!</v>
      </c>
      <c r="O255" s="172" t="e">
        <f>Simulador!#REF!</f>
        <v>#REF!</v>
      </c>
      <c r="P255" s="167" t="e">
        <f t="shared" si="41"/>
        <v>#REF!</v>
      </c>
      <c r="Q255" s="167" t="e">
        <f t="shared" si="42"/>
        <v>#REF!</v>
      </c>
      <c r="W255" s="29" t="e">
        <f t="shared" si="36"/>
        <v>#REF!</v>
      </c>
    </row>
    <row r="256" spans="2:23" x14ac:dyDescent="0.3">
      <c r="B256" s="181">
        <f t="shared" si="43"/>
        <v>239</v>
      </c>
      <c r="C256" s="180">
        <f t="shared" si="37"/>
        <v>30.4</v>
      </c>
      <c r="D256" s="193">
        <f>IF(B256="","",'Tabla Parámetros'!$G$5)</f>
        <v>0.11799999999999999</v>
      </c>
      <c r="E256" s="167"/>
      <c r="F256" s="167" t="e">
        <f t="shared" si="44"/>
        <v>#REF!</v>
      </c>
      <c r="G256" s="166"/>
      <c r="H256" s="167" t="e">
        <f t="shared" si="38"/>
        <v>#REF!</v>
      </c>
      <c r="I256" s="167" t="e">
        <f t="shared" si="39"/>
        <v>#REF!</v>
      </c>
      <c r="J256" s="167" t="e">
        <f>IF(C256="","",IF(F256=0,0,IF(C256&lt;='Tabla Parámetros'!$J$23,I256,IF($E$2='Tabla Parámetros'!$J$19,((($H$2/1000*'Tabla Parámetros'!$K$19)/30.4*C256)*1.0212^19),IF($E$2='Tabla Parámetros'!$J$20,($H$2/1000*'Tabla Parámetros'!$K$20)/30.4*C256)*1.0201^19)))+N256+O256)</f>
        <v>#REF!</v>
      </c>
      <c r="K256" s="167" t="e">
        <f t="shared" si="40"/>
        <v>#REF!</v>
      </c>
      <c r="L256" s="167" t="e">
        <f>IF(B256="","",IF(F256=0,0,Simulador!$N$13*$J$2))</f>
        <v>#REF!</v>
      </c>
      <c r="M256" s="167" t="e">
        <f>IF(B256="","",IF(F256=0,0,IF(Simulador!$F$11='Tabla Parámetros'!$W$1,'Tabla Parámetros'!$W$28,IF(Simulador!$F$11='Tabla Parámetros'!$Y$1,'Tabla Parámetros'!$Y$12))))</f>
        <v>#REF!</v>
      </c>
      <c r="N256" s="167" t="e">
        <f>IF(F256="","",IF(Simulador!$N$7='Tabla Parámetros'!$C$31,AportPat!L242,0))</f>
        <v>#REF!</v>
      </c>
      <c r="O256" s="172" t="e">
        <f>Simulador!#REF!</f>
        <v>#REF!</v>
      </c>
      <c r="P256" s="167" t="e">
        <f t="shared" si="41"/>
        <v>#REF!</v>
      </c>
      <c r="Q256" s="167" t="e">
        <f t="shared" si="42"/>
        <v>#REF!</v>
      </c>
      <c r="W256" s="29"/>
    </row>
    <row r="257" spans="2:23" x14ac:dyDescent="0.3">
      <c r="B257" s="181">
        <f t="shared" si="43"/>
        <v>240</v>
      </c>
      <c r="C257" s="180">
        <f t="shared" si="37"/>
        <v>30.4</v>
      </c>
      <c r="D257" s="193">
        <f>IF(B257="","",'Tabla Parámetros'!$G$5)</f>
        <v>0.11799999999999999</v>
      </c>
      <c r="E257" s="167"/>
      <c r="F257" s="167" t="e">
        <f t="shared" si="44"/>
        <v>#REF!</v>
      </c>
      <c r="G257" s="166"/>
      <c r="H257" s="167" t="e">
        <f t="shared" si="38"/>
        <v>#REF!</v>
      </c>
      <c r="I257" s="167" t="e">
        <f t="shared" si="39"/>
        <v>#REF!</v>
      </c>
      <c r="J257" s="167" t="e">
        <f>IF(C257="","",IF(F257=0,0,IF(C257&lt;='Tabla Parámetros'!$J$23,I257,IF($E$2='Tabla Parámetros'!$J$19,((($H$2/1000*'Tabla Parámetros'!$K$19)/30.4*C257)*1.0212^19),IF($E$2='Tabla Parámetros'!$J$20,($H$2/1000*'Tabla Parámetros'!$K$20)/30.4*C257)*1.0201^19)))+N257+O257)</f>
        <v>#REF!</v>
      </c>
      <c r="K257" s="167" t="e">
        <f t="shared" si="40"/>
        <v>#REF!</v>
      </c>
      <c r="L257" s="167" t="e">
        <f>IF(B257="","",IF(F257=0,0,Simulador!$N$13*$J$2))</f>
        <v>#REF!</v>
      </c>
      <c r="M257" s="167" t="e">
        <f>IF(B257="","",IF(F257=0,0,IF(Simulador!$F$11='Tabla Parámetros'!$W$1,'Tabla Parámetros'!$W$28,IF(Simulador!$F$11='Tabla Parámetros'!$Y$1,'Tabla Parámetros'!$Y$12))))</f>
        <v>#REF!</v>
      </c>
      <c r="N257" s="167" t="e">
        <f>IF(F257="","",IF(Simulador!$N$7='Tabla Parámetros'!$C$31,AportPat!L243,0))</f>
        <v>#REF!</v>
      </c>
      <c r="O257" s="172" t="e">
        <f>Simulador!#REF!</f>
        <v>#REF!</v>
      </c>
      <c r="P257" s="167" t="e">
        <f t="shared" si="41"/>
        <v>#REF!</v>
      </c>
      <c r="Q257" s="167" t="e">
        <f t="shared" si="42"/>
        <v>#REF!</v>
      </c>
      <c r="W257" s="29"/>
    </row>
    <row r="258" spans="2:23" ht="12.5" thickBot="1" x14ac:dyDescent="0.35">
      <c r="B258" s="186"/>
      <c r="C258" s="186"/>
      <c r="D258" s="186"/>
      <c r="E258" s="186"/>
      <c r="F258" s="186"/>
      <c r="G258" s="186"/>
      <c r="H258" s="186"/>
      <c r="I258" s="186"/>
      <c r="J258" s="186"/>
      <c r="K258" s="186"/>
      <c r="L258" s="186"/>
      <c r="M258" s="186"/>
      <c r="N258" s="186"/>
      <c r="O258" s="186"/>
      <c r="P258" s="186"/>
      <c r="Q258" s="186"/>
    </row>
    <row r="259" spans="2:23" ht="13" thickTop="1" thickBot="1" x14ac:dyDescent="0.35">
      <c r="B259" s="187"/>
      <c r="C259" s="187"/>
      <c r="D259" s="187"/>
      <c r="E259" s="187"/>
      <c r="F259" s="187"/>
      <c r="G259" s="187"/>
      <c r="H259" s="188" t="e">
        <f t="shared" ref="H259:P259" si="45">SUM(H19:H257)</f>
        <v>#REF!</v>
      </c>
      <c r="I259" s="188" t="e">
        <f t="shared" si="45"/>
        <v>#REF!</v>
      </c>
      <c r="J259" s="188" t="e">
        <f t="shared" si="45"/>
        <v>#REF!</v>
      </c>
      <c r="K259" s="188" t="e">
        <f t="shared" si="45"/>
        <v>#REF!</v>
      </c>
      <c r="L259" s="188" t="e">
        <f t="shared" si="45"/>
        <v>#REF!</v>
      </c>
      <c r="M259" s="188" t="e">
        <f t="shared" si="45"/>
        <v>#REF!</v>
      </c>
      <c r="N259" s="188" t="e">
        <f t="shared" si="45"/>
        <v>#REF!</v>
      </c>
      <c r="O259" s="188" t="e">
        <f t="shared" si="45"/>
        <v>#REF!</v>
      </c>
      <c r="P259" s="188" t="e">
        <f t="shared" si="45"/>
        <v>#REF!</v>
      </c>
      <c r="Q259" s="188"/>
    </row>
    <row r="260" spans="2:23" ht="12.5" thickTop="1" x14ac:dyDescent="0.3"/>
  </sheetData>
  <conditionalFormatting sqref="B4:Q4">
    <cfRule type="containsBlanks" dxfId="3" priority="3">
      <formula>LEN(TRIM(B4))=0</formula>
    </cfRule>
  </conditionalFormatting>
  <conditionalFormatting sqref="P5:P17">
    <cfRule type="cellIs" dxfId="2" priority="2" operator="lessThan">
      <formula>0</formula>
    </cfRule>
  </conditionalFormatting>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5"/>
  <dimension ref="B1:AG260"/>
  <sheetViews>
    <sheetView showGridLines="0" topLeftCell="H1" workbookViewId="0">
      <selection activeCell="K10" sqref="K10"/>
    </sheetView>
  </sheetViews>
  <sheetFormatPr baseColWidth="10" defaultColWidth="11.453125" defaultRowHeight="12" x14ac:dyDescent="0.3"/>
  <cols>
    <col min="1" max="1" width="3.7265625" style="82" customWidth="1"/>
    <col min="2" max="2" width="6.453125" style="82" bestFit="1" customWidth="1"/>
    <col min="3" max="3" width="4.7265625" style="82" bestFit="1" customWidth="1"/>
    <col min="4" max="4" width="11.54296875" style="82" bestFit="1" customWidth="1"/>
    <col min="5" max="5" width="11.26953125" style="82" bestFit="1" customWidth="1"/>
    <col min="6" max="6" width="12.81640625" style="82" bestFit="1" customWidth="1"/>
    <col min="7" max="7" width="9.7265625" style="82" bestFit="1" customWidth="1"/>
    <col min="8" max="8" width="12" style="82" bestFit="1" customWidth="1"/>
    <col min="9" max="9" width="11.7265625" style="82" customWidth="1"/>
    <col min="10" max="13" width="11.54296875" style="82" bestFit="1" customWidth="1"/>
    <col min="14" max="15" width="11.453125" style="82"/>
    <col min="16" max="16" width="12" style="82" bestFit="1" customWidth="1"/>
    <col min="17" max="17" width="12.54296875" style="82" bestFit="1" customWidth="1"/>
    <col min="18" max="19" width="2.7265625" style="82" customWidth="1"/>
    <col min="20" max="20" width="11.453125" style="82"/>
    <col min="21" max="21" width="11.7265625" style="82" bestFit="1" customWidth="1"/>
    <col min="22" max="22" width="0.81640625" style="82" customWidth="1"/>
    <col min="23" max="23" width="11.453125" style="82"/>
    <col min="24" max="24" width="1.7265625" style="82" customWidth="1"/>
    <col min="25" max="16384" width="11.453125" style="82"/>
  </cols>
  <sheetData>
    <row r="1" spans="2:33" x14ac:dyDescent="0.3">
      <c r="D1" s="82" t="s">
        <v>23</v>
      </c>
      <c r="E1" s="111">
        <f>Simulador!F62</f>
        <v>0.11</v>
      </c>
      <c r="G1" s="101" t="s">
        <v>204</v>
      </c>
      <c r="H1" s="101" t="str">
        <f>Simulador!N9</f>
        <v>Básico</v>
      </c>
      <c r="I1" s="101" t="s">
        <v>207</v>
      </c>
      <c r="J1" s="101" t="s">
        <v>208</v>
      </c>
      <c r="T1" s="6"/>
      <c r="U1" s="6"/>
      <c r="V1" s="6"/>
      <c r="W1" s="35" t="s">
        <v>140</v>
      </c>
    </row>
    <row r="2" spans="2:33" x14ac:dyDescent="0.3">
      <c r="D2" s="82" t="s">
        <v>194</v>
      </c>
      <c r="E2" s="82">
        <f>Simulador!F19</f>
        <v>240</v>
      </c>
      <c r="G2" s="101" t="s">
        <v>197</v>
      </c>
      <c r="H2" s="96">
        <f>Simulador!H48</f>
        <v>1000000</v>
      </c>
      <c r="I2" s="101">
        <f>IF(H1='Tabla Parámetros'!N4,'Tabla Parámetros'!R5,IF(Simulador!N9='Tabla Parámetros'!N3,'Tabla Parámetros'!R10))</f>
        <v>0</v>
      </c>
      <c r="J2" s="101">
        <f>IF(Simulador!N9='Tabla Parámetros'!N4,'Tabla Parámetros'!S5,IF(Simulador!N9='Tabla Parámetros'!N3,'Tabla Parámetros'!T10))</f>
        <v>0</v>
      </c>
      <c r="P2" s="98" t="s">
        <v>201</v>
      </c>
      <c r="Q2" s="82" t="str">
        <f>Simulador!$N$62</f>
        <v>Reduce Pago</v>
      </c>
      <c r="T2" s="32" t="s">
        <v>135</v>
      </c>
      <c r="U2" s="34">
        <f>H2</f>
        <v>1000000</v>
      </c>
      <c r="V2" s="6"/>
      <c r="W2" s="195">
        <f>-U2+'CAT Flujo Cero'!Flujo_Cero_Parcial</f>
        <v>-1000000</v>
      </c>
    </row>
    <row r="3" spans="2:33" ht="12.5" thickBot="1" x14ac:dyDescent="0.35">
      <c r="T3" s="32" t="s">
        <v>136</v>
      </c>
      <c r="U3" s="14">
        <f>E1</f>
        <v>0.11</v>
      </c>
      <c r="V3" s="6"/>
      <c r="W3" s="29">
        <f>P5</f>
        <v>-83333.333333333328</v>
      </c>
    </row>
    <row r="4" spans="2:33" ht="11.25" customHeight="1" thickBot="1" x14ac:dyDescent="0.35">
      <c r="B4" s="168" t="s">
        <v>16</v>
      </c>
      <c r="C4" s="169" t="s">
        <v>29</v>
      </c>
      <c r="D4" s="169" t="s">
        <v>23</v>
      </c>
      <c r="E4" s="169" t="s">
        <v>0</v>
      </c>
      <c r="F4" s="169" t="s">
        <v>325</v>
      </c>
      <c r="G4" s="169" t="s">
        <v>324</v>
      </c>
      <c r="H4" s="169" t="s">
        <v>31</v>
      </c>
      <c r="I4" s="169" t="s">
        <v>37</v>
      </c>
      <c r="J4" s="169" t="s">
        <v>202</v>
      </c>
      <c r="K4" s="169" t="s">
        <v>20</v>
      </c>
      <c r="L4" s="169" t="s">
        <v>32</v>
      </c>
      <c r="M4" s="169" t="s">
        <v>33</v>
      </c>
      <c r="N4" s="169" t="s">
        <v>6</v>
      </c>
      <c r="O4" s="169" t="s">
        <v>34</v>
      </c>
      <c r="P4" s="169" t="s">
        <v>35</v>
      </c>
      <c r="Q4" s="170" t="s">
        <v>36</v>
      </c>
      <c r="T4" s="32" t="s">
        <v>137</v>
      </c>
      <c r="U4" s="14" t="e">
        <f>IRR(W3:W255,0)</f>
        <v>#VALUE!</v>
      </c>
      <c r="V4" s="6"/>
      <c r="W4" s="29">
        <f t="shared" ref="W4:W67" si="0">P6</f>
        <v>-82260.259259259255</v>
      </c>
    </row>
    <row r="5" spans="2:33" x14ac:dyDescent="0.3">
      <c r="B5" s="179">
        <v>0</v>
      </c>
      <c r="C5" s="180"/>
      <c r="D5" s="165"/>
      <c r="E5" s="167">
        <f>$H$2/12</f>
        <v>83333.333333333328</v>
      </c>
      <c r="F5" s="167">
        <f>IF(Simulador!$N$17='Tabla Parámetros'!$N$10,Simulador!$L$46,IF(Simulador!$N$17='Tabla Parámetros'!$N$11,0,))</f>
        <v>0</v>
      </c>
      <c r="G5" s="167">
        <f>E5*'Tabla Parámetros'!$U$10</f>
        <v>0</v>
      </c>
      <c r="H5" s="167">
        <v>0</v>
      </c>
      <c r="I5" s="167">
        <v>0</v>
      </c>
      <c r="J5" s="167">
        <v>0</v>
      </c>
      <c r="K5" s="167">
        <v>0</v>
      </c>
      <c r="L5" s="167">
        <v>0</v>
      </c>
      <c r="M5" s="167">
        <v>0</v>
      </c>
      <c r="N5" s="172"/>
      <c r="O5" s="172"/>
      <c r="P5" s="167">
        <f>SUM(G5:O5)-E5+'CAT Flujo Cero'!Flujo_Cero_Parcial</f>
        <v>-83333.333333333328</v>
      </c>
      <c r="Q5" s="178"/>
      <c r="T5" s="32" t="s">
        <v>138</v>
      </c>
      <c r="U5" s="36" t="e">
        <f>U4*12</f>
        <v>#VALUE!</v>
      </c>
      <c r="V5" s="6"/>
      <c r="W5" s="29">
        <f t="shared" si="0"/>
        <v>-81486.185185185182</v>
      </c>
    </row>
    <row r="6" spans="2:33" x14ac:dyDescent="0.3">
      <c r="B6" s="181">
        <v>1</v>
      </c>
      <c r="C6" s="182">
        <v>30.4</v>
      </c>
      <c r="D6" s="175">
        <f>Simulador!$F$62</f>
        <v>0.11</v>
      </c>
      <c r="E6" s="167">
        <f t="shared" ref="E6:E16" si="1">$H$2/12</f>
        <v>83333.333333333328</v>
      </c>
      <c r="F6" s="177">
        <f>E5+F5</f>
        <v>83333.333333333328</v>
      </c>
      <c r="G6" s="177">
        <f>E6*'Tabla Parámetros'!$U$10</f>
        <v>0</v>
      </c>
      <c r="H6" s="167">
        <v>0</v>
      </c>
      <c r="I6" s="167">
        <f>(($E$1/360)*30.4)*F6</f>
        <v>774.07407407407402</v>
      </c>
      <c r="J6" s="167">
        <v>0</v>
      </c>
      <c r="K6" s="167">
        <f>$H$2*$I$2</f>
        <v>0</v>
      </c>
      <c r="L6" s="167">
        <f>Simulador!$N$13*$J$2</f>
        <v>0</v>
      </c>
      <c r="M6" s="167">
        <f>IF(Simulador!$F$11='Tabla Parámetros'!$W$1,'Tabla Parámetros'!$W$28,IF(Simulador!$F$11='Tabla Parámetros'!$Y$1,'Tabla Parámetros'!$Y$12))</f>
        <v>299</v>
      </c>
      <c r="N6" s="172"/>
      <c r="O6" s="172"/>
      <c r="P6" s="167">
        <f>SUM(G6:O6)-E6</f>
        <v>-82260.259259259255</v>
      </c>
      <c r="Q6" s="167"/>
      <c r="R6" s="96"/>
      <c r="T6" s="33" t="s">
        <v>139</v>
      </c>
      <c r="U6" s="36" t="e">
        <f>EFFECT(U5,12)</f>
        <v>#VALUE!</v>
      </c>
      <c r="V6" s="6"/>
      <c r="W6" s="29">
        <f t="shared" si="0"/>
        <v>-80712.111111111109</v>
      </c>
    </row>
    <row r="7" spans="2:33" x14ac:dyDescent="0.3">
      <c r="B7" s="179">
        <v>2</v>
      </c>
      <c r="C7" s="180">
        <v>30.4</v>
      </c>
      <c r="D7" s="176">
        <f>Simulador!$F$62</f>
        <v>0.11</v>
      </c>
      <c r="E7" s="167">
        <f t="shared" si="1"/>
        <v>83333.333333333328</v>
      </c>
      <c r="F7" s="167">
        <f>E6+F6</f>
        <v>166666.66666666666</v>
      </c>
      <c r="G7" s="167">
        <f>E7*'Tabla Parámetros'!$U$10</f>
        <v>0</v>
      </c>
      <c r="H7" s="167">
        <v>0</v>
      </c>
      <c r="I7" s="167">
        <f t="shared" ref="I7:I17" si="2">(($E$1/360)*30.4)*F7</f>
        <v>1548.148148148148</v>
      </c>
      <c r="J7" s="167">
        <v>0</v>
      </c>
      <c r="K7" s="167">
        <f t="shared" ref="K7:K17" si="3">$H$2*$I$2</f>
        <v>0</v>
      </c>
      <c r="L7" s="167">
        <f>Simulador!$N$13*$J$2</f>
        <v>0</v>
      </c>
      <c r="M7" s="167">
        <f>IF(Simulador!$F$11='Tabla Parámetros'!$W$1,'Tabla Parámetros'!$W$28,IF(Simulador!$F$11='Tabla Parámetros'!$Y$1,'Tabla Parámetros'!$Y$12))</f>
        <v>299</v>
      </c>
      <c r="N7" s="172"/>
      <c r="O7" s="172"/>
      <c r="P7" s="167">
        <f t="shared" ref="P7:P17" si="4">SUM(G7:O7)-E7</f>
        <v>-81486.185185185182</v>
      </c>
      <c r="Q7" s="167"/>
      <c r="T7" s="37"/>
      <c r="U7" s="38"/>
      <c r="V7" s="6"/>
      <c r="W7" s="29">
        <f t="shared" si="0"/>
        <v>-79938.037037037036</v>
      </c>
    </row>
    <row r="8" spans="2:33" x14ac:dyDescent="0.3">
      <c r="B8" s="181">
        <v>3</v>
      </c>
      <c r="C8" s="180">
        <v>30.4</v>
      </c>
      <c r="D8" s="176">
        <f>Simulador!$F$62</f>
        <v>0.11</v>
      </c>
      <c r="E8" s="167">
        <f t="shared" si="1"/>
        <v>83333.333333333328</v>
      </c>
      <c r="F8" s="167">
        <f>E7+F7</f>
        <v>250000</v>
      </c>
      <c r="G8" s="167">
        <f>E8*'Tabla Parámetros'!$U$10</f>
        <v>0</v>
      </c>
      <c r="H8" s="167">
        <v>0</v>
      </c>
      <c r="I8" s="167">
        <f t="shared" si="2"/>
        <v>2322.2222222222222</v>
      </c>
      <c r="J8" s="167">
        <v>0</v>
      </c>
      <c r="K8" s="167">
        <f t="shared" si="3"/>
        <v>0</v>
      </c>
      <c r="L8" s="167">
        <f>Simulador!$N$13*$J$2</f>
        <v>0</v>
      </c>
      <c r="M8" s="167">
        <f>IF(Simulador!$F$11='Tabla Parámetros'!$W$1,'Tabla Parámetros'!$W$28,IF(Simulador!$F$11='Tabla Parámetros'!$Y$1,'Tabla Parámetros'!$Y$12))</f>
        <v>299</v>
      </c>
      <c r="N8" s="172"/>
      <c r="O8" s="172"/>
      <c r="P8" s="167">
        <f t="shared" si="4"/>
        <v>-80712.111111111109</v>
      </c>
      <c r="Q8" s="167"/>
      <c r="T8" s="6"/>
      <c r="U8" s="6"/>
      <c r="V8" s="6"/>
      <c r="W8" s="29">
        <f t="shared" si="0"/>
        <v>-79163.962962962964</v>
      </c>
    </row>
    <row r="9" spans="2:33" x14ac:dyDescent="0.3">
      <c r="B9" s="179">
        <v>4</v>
      </c>
      <c r="C9" s="180">
        <v>30.4</v>
      </c>
      <c r="D9" s="176">
        <f>Simulador!$F$62</f>
        <v>0.11</v>
      </c>
      <c r="E9" s="167">
        <f t="shared" si="1"/>
        <v>83333.333333333328</v>
      </c>
      <c r="F9" s="167">
        <f>E8+F8</f>
        <v>333333.33333333331</v>
      </c>
      <c r="G9" s="167">
        <f>E9*'Tabla Parámetros'!$U$10</f>
        <v>0</v>
      </c>
      <c r="H9" s="167">
        <v>0</v>
      </c>
      <c r="I9" s="167">
        <f t="shared" si="2"/>
        <v>3096.2962962962961</v>
      </c>
      <c r="J9" s="167">
        <v>0</v>
      </c>
      <c r="K9" s="167">
        <f t="shared" si="3"/>
        <v>0</v>
      </c>
      <c r="L9" s="167">
        <f>Simulador!$N$13*$J$2</f>
        <v>0</v>
      </c>
      <c r="M9" s="167">
        <f>IF(Simulador!$F$11='Tabla Parámetros'!$W$1,'Tabla Parámetros'!$W$28,IF(Simulador!$F$11='Tabla Parámetros'!$Y$1,'Tabla Parámetros'!$Y$12))</f>
        <v>299</v>
      </c>
      <c r="N9" s="172"/>
      <c r="O9" s="172"/>
      <c r="P9" s="167">
        <f t="shared" si="4"/>
        <v>-79938.037037037036</v>
      </c>
      <c r="Q9" s="167"/>
      <c r="T9" s="6"/>
      <c r="U9" s="6"/>
      <c r="V9" s="6"/>
      <c r="W9" s="29">
        <f t="shared" si="0"/>
        <v>-78389.888888888891</v>
      </c>
    </row>
    <row r="10" spans="2:33" x14ac:dyDescent="0.3">
      <c r="B10" s="181">
        <v>5</v>
      </c>
      <c r="C10" s="180">
        <v>30.4</v>
      </c>
      <c r="D10" s="176">
        <f>Simulador!$F$62</f>
        <v>0.11</v>
      </c>
      <c r="E10" s="167">
        <f t="shared" si="1"/>
        <v>83333.333333333328</v>
      </c>
      <c r="F10" s="167">
        <f t="shared" ref="F10:F16" si="5">E9+F9</f>
        <v>416666.66666666663</v>
      </c>
      <c r="G10" s="167">
        <f>E10*'Tabla Parámetros'!$U$10</f>
        <v>0</v>
      </c>
      <c r="H10" s="167">
        <v>0</v>
      </c>
      <c r="I10" s="167">
        <f t="shared" si="2"/>
        <v>3870.3703703703695</v>
      </c>
      <c r="J10" s="167">
        <v>0</v>
      </c>
      <c r="K10" s="167">
        <f t="shared" si="3"/>
        <v>0</v>
      </c>
      <c r="L10" s="167">
        <f>Simulador!$N$13*$J$2</f>
        <v>0</v>
      </c>
      <c r="M10" s="167">
        <f>IF(Simulador!$F$11='Tabla Parámetros'!$W$1,'Tabla Parámetros'!$W$28,IF(Simulador!$F$11='Tabla Parámetros'!$Y$1,'Tabla Parámetros'!$Y$12))</f>
        <v>299</v>
      </c>
      <c r="N10" s="172"/>
      <c r="O10" s="172"/>
      <c r="P10" s="167">
        <f t="shared" si="4"/>
        <v>-79163.962962962964</v>
      </c>
      <c r="Q10" s="167"/>
      <c r="T10" s="6"/>
      <c r="U10" s="6"/>
      <c r="V10" s="6"/>
      <c r="W10" s="29">
        <f t="shared" si="0"/>
        <v>-77615.814814814818</v>
      </c>
    </row>
    <row r="11" spans="2:33" x14ac:dyDescent="0.3">
      <c r="B11" s="179">
        <v>6</v>
      </c>
      <c r="C11" s="180">
        <v>30.4</v>
      </c>
      <c r="D11" s="165">
        <f>Simulador!$F$62</f>
        <v>0.11</v>
      </c>
      <c r="E11" s="167">
        <f t="shared" si="1"/>
        <v>83333.333333333328</v>
      </c>
      <c r="F11" s="167">
        <f t="shared" si="5"/>
        <v>499999.99999999994</v>
      </c>
      <c r="G11" s="167">
        <f>E11*'Tabla Parámetros'!$U$10</f>
        <v>0</v>
      </c>
      <c r="H11" s="167">
        <v>0</v>
      </c>
      <c r="I11" s="167">
        <f t="shared" si="2"/>
        <v>4644.4444444444434</v>
      </c>
      <c r="J11" s="167">
        <v>0</v>
      </c>
      <c r="K11" s="167">
        <f t="shared" si="3"/>
        <v>0</v>
      </c>
      <c r="L11" s="167">
        <f>Simulador!$N$13*$J$2</f>
        <v>0</v>
      </c>
      <c r="M11" s="167">
        <f>IF(Simulador!$F$11='Tabla Parámetros'!$W$1,'Tabla Parámetros'!$W$28,IF(Simulador!$F$11='Tabla Parámetros'!$Y$1,'Tabla Parámetros'!$Y$12))</f>
        <v>299</v>
      </c>
      <c r="N11" s="172"/>
      <c r="O11" s="172"/>
      <c r="P11" s="167">
        <f t="shared" si="4"/>
        <v>-78389.888888888891</v>
      </c>
      <c r="Q11" s="167"/>
      <c r="T11" s="6"/>
      <c r="U11" s="6"/>
      <c r="V11" s="6"/>
      <c r="W11" s="29">
        <f t="shared" si="0"/>
        <v>-76841.74074074073</v>
      </c>
    </row>
    <row r="12" spans="2:33" x14ac:dyDescent="0.3">
      <c r="B12" s="181">
        <v>7</v>
      </c>
      <c r="C12" s="180">
        <v>30.4</v>
      </c>
      <c r="D12" s="165">
        <f>Simulador!$F$62</f>
        <v>0.11</v>
      </c>
      <c r="E12" s="167">
        <f t="shared" si="1"/>
        <v>83333.333333333328</v>
      </c>
      <c r="F12" s="167">
        <f t="shared" si="5"/>
        <v>583333.33333333326</v>
      </c>
      <c r="G12" s="167">
        <f>E12*'Tabla Parámetros'!$U$10</f>
        <v>0</v>
      </c>
      <c r="H12" s="167">
        <v>0</v>
      </c>
      <c r="I12" s="167">
        <f t="shared" si="2"/>
        <v>5418.5185185185173</v>
      </c>
      <c r="J12" s="167">
        <v>0</v>
      </c>
      <c r="K12" s="167">
        <f t="shared" si="3"/>
        <v>0</v>
      </c>
      <c r="L12" s="167">
        <f>Simulador!$N$13*$J$2</f>
        <v>0</v>
      </c>
      <c r="M12" s="167">
        <f>IF(Simulador!$F$11='Tabla Parámetros'!$W$1,'Tabla Parámetros'!$W$28,IF(Simulador!$F$11='Tabla Parámetros'!$Y$1,'Tabla Parámetros'!$Y$12))</f>
        <v>299</v>
      </c>
      <c r="N12" s="172"/>
      <c r="O12" s="172"/>
      <c r="P12" s="167">
        <f t="shared" si="4"/>
        <v>-77615.814814814818</v>
      </c>
      <c r="Q12" s="167"/>
      <c r="T12" s="6"/>
      <c r="U12" s="6"/>
      <c r="V12" s="6"/>
      <c r="W12" s="29">
        <f t="shared" si="0"/>
        <v>-76067.666666666657</v>
      </c>
    </row>
    <row r="13" spans="2:33" x14ac:dyDescent="0.3">
      <c r="B13" s="179">
        <v>8</v>
      </c>
      <c r="C13" s="180">
        <v>30.4</v>
      </c>
      <c r="D13" s="165">
        <f>Simulador!$F$62</f>
        <v>0.11</v>
      </c>
      <c r="E13" s="167">
        <f t="shared" si="1"/>
        <v>83333.333333333328</v>
      </c>
      <c r="F13" s="167">
        <f t="shared" si="5"/>
        <v>666666.66666666663</v>
      </c>
      <c r="G13" s="167">
        <f>E13*'Tabla Parámetros'!$U$10</f>
        <v>0</v>
      </c>
      <c r="H13" s="167">
        <v>0</v>
      </c>
      <c r="I13" s="167">
        <f t="shared" si="2"/>
        <v>6192.5925925925922</v>
      </c>
      <c r="J13" s="167">
        <v>0</v>
      </c>
      <c r="K13" s="167">
        <f t="shared" si="3"/>
        <v>0</v>
      </c>
      <c r="L13" s="167">
        <f>Simulador!$N$13*$J$2</f>
        <v>0</v>
      </c>
      <c r="M13" s="167">
        <f>IF(Simulador!$F$11='Tabla Parámetros'!$W$1,'Tabla Parámetros'!$W$28,IF(Simulador!$F$11='Tabla Parámetros'!$Y$1,'Tabla Parámetros'!$Y$12))</f>
        <v>299</v>
      </c>
      <c r="N13" s="172"/>
      <c r="O13" s="172"/>
      <c r="P13" s="167">
        <f t="shared" si="4"/>
        <v>-76841.74074074073</v>
      </c>
      <c r="Q13" s="167"/>
      <c r="T13" s="6"/>
      <c r="U13" s="6"/>
      <c r="V13" s="6"/>
      <c r="W13" s="29">
        <f t="shared" si="0"/>
        <v>-75293.592592592584</v>
      </c>
    </row>
    <row r="14" spans="2:33" x14ac:dyDescent="0.3">
      <c r="B14" s="181">
        <v>9</v>
      </c>
      <c r="C14" s="180">
        <v>30.4</v>
      </c>
      <c r="D14" s="165">
        <f>Simulador!$F$62</f>
        <v>0.11</v>
      </c>
      <c r="E14" s="167">
        <f t="shared" si="1"/>
        <v>83333.333333333328</v>
      </c>
      <c r="F14" s="167">
        <f t="shared" si="5"/>
        <v>750000</v>
      </c>
      <c r="G14" s="167">
        <f>E14*'Tabla Parámetros'!$U$10</f>
        <v>0</v>
      </c>
      <c r="H14" s="167">
        <v>0</v>
      </c>
      <c r="I14" s="167">
        <f t="shared" si="2"/>
        <v>6966.6666666666661</v>
      </c>
      <c r="J14" s="167">
        <v>0</v>
      </c>
      <c r="K14" s="167">
        <f t="shared" si="3"/>
        <v>0</v>
      </c>
      <c r="L14" s="167">
        <f>Simulador!$N$13*$J$2</f>
        <v>0</v>
      </c>
      <c r="M14" s="167">
        <f>IF(Simulador!$F$11='Tabla Parámetros'!$W$1,'Tabla Parámetros'!$W$28,IF(Simulador!$F$11='Tabla Parámetros'!$Y$1,'Tabla Parámetros'!$Y$12))</f>
        <v>299</v>
      </c>
      <c r="N14" s="172"/>
      <c r="O14" s="172"/>
      <c r="P14" s="167">
        <f t="shared" si="4"/>
        <v>-76067.666666666657</v>
      </c>
      <c r="Q14" s="167"/>
      <c r="T14" s="6"/>
      <c r="U14" s="6"/>
      <c r="V14" s="6"/>
      <c r="W14" s="29">
        <f t="shared" si="0"/>
        <v>-74519.518518518511</v>
      </c>
    </row>
    <row r="15" spans="2:33" x14ac:dyDescent="0.3">
      <c r="B15" s="179">
        <v>10</v>
      </c>
      <c r="C15" s="180">
        <v>30.4</v>
      </c>
      <c r="D15" s="165">
        <f>Simulador!$F$62</f>
        <v>0.11</v>
      </c>
      <c r="E15" s="167">
        <f t="shared" si="1"/>
        <v>83333.333333333328</v>
      </c>
      <c r="F15" s="167">
        <f t="shared" si="5"/>
        <v>833333.33333333337</v>
      </c>
      <c r="G15" s="167">
        <f>E15*'Tabla Parámetros'!$U$10</f>
        <v>0</v>
      </c>
      <c r="H15" s="167">
        <v>0</v>
      </c>
      <c r="I15" s="167">
        <f t="shared" si="2"/>
        <v>7740.7407407407409</v>
      </c>
      <c r="J15" s="167">
        <v>0</v>
      </c>
      <c r="K15" s="167">
        <f t="shared" si="3"/>
        <v>0</v>
      </c>
      <c r="L15" s="167">
        <f>Simulador!$N$13*$J$2</f>
        <v>0</v>
      </c>
      <c r="M15" s="167">
        <f>IF(Simulador!$F$11='Tabla Parámetros'!$W$1,'Tabla Parámetros'!$W$28,IF(Simulador!$F$11='Tabla Parámetros'!$Y$1,'Tabla Parámetros'!$Y$12))</f>
        <v>299</v>
      </c>
      <c r="N15" s="172"/>
      <c r="O15" s="172"/>
      <c r="P15" s="167">
        <f t="shared" si="4"/>
        <v>-75293.592592592584</v>
      </c>
      <c r="Q15" s="167"/>
      <c r="T15" s="6"/>
      <c r="U15" s="6"/>
      <c r="V15" s="6"/>
      <c r="W15" s="29">
        <f t="shared" si="0"/>
        <v>9587.8888888888887</v>
      </c>
    </row>
    <row r="16" spans="2:33" x14ac:dyDescent="0.3">
      <c r="B16" s="181">
        <v>11</v>
      </c>
      <c r="C16" s="180">
        <v>30.4</v>
      </c>
      <c r="D16" s="165">
        <f>Simulador!$F$62</f>
        <v>0.11</v>
      </c>
      <c r="E16" s="167">
        <f t="shared" si="1"/>
        <v>83333.333333333328</v>
      </c>
      <c r="F16" s="167">
        <f t="shared" si="5"/>
        <v>916666.66666666674</v>
      </c>
      <c r="G16" s="167">
        <f>E16*'Tabla Parámetros'!$U$10</f>
        <v>0</v>
      </c>
      <c r="H16" s="167">
        <v>0</v>
      </c>
      <c r="I16" s="167">
        <f t="shared" si="2"/>
        <v>8514.8148148148157</v>
      </c>
      <c r="J16" s="167">
        <v>0</v>
      </c>
      <c r="K16" s="167">
        <f t="shared" si="3"/>
        <v>0</v>
      </c>
      <c r="L16" s="167">
        <f>Simulador!$N$13*$J$2</f>
        <v>0</v>
      </c>
      <c r="M16" s="167">
        <f>IF(Simulador!$F$11='Tabla Parámetros'!$W$1,'Tabla Parámetros'!$W$28,IF(Simulador!$F$11='Tabla Parámetros'!$Y$1,'Tabla Parámetros'!$Y$12))</f>
        <v>299</v>
      </c>
      <c r="N16" s="172"/>
      <c r="O16" s="172"/>
      <c r="P16" s="167">
        <f t="shared" si="4"/>
        <v>-74519.518518518511</v>
      </c>
      <c r="Q16" s="167"/>
      <c r="T16" s="6"/>
      <c r="U16" s="6"/>
      <c r="V16" s="6"/>
      <c r="W16" s="29" t="e">
        <f>P18</f>
        <v>#REF!</v>
      </c>
      <c r="Y16" s="911" t="s">
        <v>28</v>
      </c>
      <c r="Z16" s="911"/>
      <c r="AA16" s="911"/>
      <c r="AB16" s="911" t="s">
        <v>309</v>
      </c>
      <c r="AC16" s="911"/>
      <c r="AD16" s="911"/>
      <c r="AE16" s="911" t="s">
        <v>308</v>
      </c>
      <c r="AF16" s="911"/>
      <c r="AG16" s="911"/>
    </row>
    <row r="17" spans="2:33" x14ac:dyDescent="0.3">
      <c r="B17" s="179">
        <v>12</v>
      </c>
      <c r="C17" s="180">
        <v>30.4</v>
      </c>
      <c r="D17" s="165">
        <f>Simulador!$F$62</f>
        <v>0.11</v>
      </c>
      <c r="E17" s="167"/>
      <c r="F17" s="167">
        <f>E16+F16</f>
        <v>1000000.0000000001</v>
      </c>
      <c r="G17" s="167">
        <f>E17*'Tabla Parámetros'!$U$10</f>
        <v>0</v>
      </c>
      <c r="H17" s="167">
        <v>0</v>
      </c>
      <c r="I17" s="167">
        <f t="shared" si="2"/>
        <v>9288.8888888888887</v>
      </c>
      <c r="J17" s="167">
        <v>0</v>
      </c>
      <c r="K17" s="167">
        <f t="shared" si="3"/>
        <v>0</v>
      </c>
      <c r="L17" s="167">
        <f>Simulador!$N$13*$J$2</f>
        <v>0</v>
      </c>
      <c r="M17" s="167">
        <f>IF(Simulador!$F$11='Tabla Parámetros'!$W$1,'Tabla Parámetros'!$W$28,IF(Simulador!$F$11='Tabla Parámetros'!$Y$1,'Tabla Parámetros'!$Y$12))</f>
        <v>299</v>
      </c>
      <c r="N17" s="172"/>
      <c r="O17" s="172"/>
      <c r="P17" s="167">
        <f t="shared" si="4"/>
        <v>9587.8888888888887</v>
      </c>
      <c r="Q17" s="167"/>
      <c r="T17" s="6"/>
      <c r="U17" s="6"/>
      <c r="V17" s="6"/>
      <c r="W17" s="29" t="e">
        <f t="shared" si="0"/>
        <v>#REF!</v>
      </c>
      <c r="Y17" s="101" t="s">
        <v>31</v>
      </c>
      <c r="Z17" s="101" t="s">
        <v>37</v>
      </c>
      <c r="AA17" s="101" t="s">
        <v>202</v>
      </c>
      <c r="AB17" s="101" t="s">
        <v>31</v>
      </c>
      <c r="AC17" s="101" t="s">
        <v>37</v>
      </c>
      <c r="AD17" s="101" t="s">
        <v>202</v>
      </c>
      <c r="AE17" s="101" t="s">
        <v>31</v>
      </c>
      <c r="AF17" s="101" t="s">
        <v>37</v>
      </c>
      <c r="AG17" s="101" t="s">
        <v>202</v>
      </c>
    </row>
    <row r="18" spans="2:33" x14ac:dyDescent="0.3">
      <c r="B18" s="183">
        <v>1</v>
      </c>
      <c r="C18" s="184">
        <v>30.4</v>
      </c>
      <c r="D18" s="171">
        <f>Simulador!$F$62</f>
        <v>0.11</v>
      </c>
      <c r="E18" s="172"/>
      <c r="F18" s="174">
        <f>E17+F17</f>
        <v>1000000.0000000001</v>
      </c>
      <c r="G18" s="173"/>
      <c r="H18" s="172">
        <f t="shared" ref="H18:H82" si="6">IF(B18="","",IF(F18&lt;=H17,F18,IF($Q$2=$Y$16,Y18,IF($Q$2=$AB$16,AB18,IF($Q$2=$AE$16,AE18,)))))</f>
        <v>1132.9953218287653</v>
      </c>
      <c r="I18" s="172">
        <f t="shared" ref="I18:I82" si="7">IF(C18="","",IF($Q$2=$Y$16,Z18,IF($Q$2=$AB$16,AC18,IF($Q$2=$AE$16,AF18,))))</f>
        <v>9288.8888888888887</v>
      </c>
      <c r="J18" s="172">
        <f t="shared" ref="J18:J82" si="8">IF(D18="","",IF(F18=0,0,IF($Q$2=$Y$16,AA18,IF($Q$2=$AB$16,AD18,IF($Q$2=$AE$16,AG18,)))))</f>
        <v>10421.884210717653</v>
      </c>
      <c r="K18" s="172">
        <f>IF(B18="","",$H$2*$I$2)</f>
        <v>0</v>
      </c>
      <c r="L18" s="172">
        <f>IF(B18="","",Simulador!$N$13*$J$2)</f>
        <v>0</v>
      </c>
      <c r="M18" s="172">
        <f>IF(B18="","",IF(F18=0,0,IF(Simulador!$F$11='Tabla Parámetros'!$W$1,'Tabla Parámetros'!$W$28,IF(Simulador!$F$11='Tabla Parámetros'!$Y$1,'Tabla Parámetros'!$Y$12))))</f>
        <v>299</v>
      </c>
      <c r="N18" s="172">
        <f>IF(B18="","",IF(F18=0,0,IF(Simulador!$N$7='Tabla Parámetros'!$C$31,AportPat!L4,0)))</f>
        <v>0</v>
      </c>
      <c r="O18" s="172" t="e">
        <f>Simulador!#REF!</f>
        <v>#REF!</v>
      </c>
      <c r="P18" s="172" t="e">
        <f>IF(B18="","",SUM(J18:O18))</f>
        <v>#REF!</v>
      </c>
      <c r="Q18" s="185">
        <f>IF(B18="","",F18-H18)</f>
        <v>998867.00467817136</v>
      </c>
      <c r="T18" s="6"/>
      <c r="U18" s="6"/>
      <c r="V18" s="6"/>
      <c r="W18" s="29" t="e">
        <f t="shared" si="0"/>
        <v>#REF!</v>
      </c>
      <c r="Y18" s="201" t="e">
        <f t="shared" ref="Y18:Y81" si="9">PPMT(D18/360*30.4,B18,$E$2,-$F$18)+N18+O18</f>
        <v>#REF!</v>
      </c>
      <c r="Z18" s="201">
        <f>(D18/360*C18)*F18</f>
        <v>9288.8888888888887</v>
      </c>
      <c r="AA18" s="202" t="e">
        <f>Y18+Z18</f>
        <v>#REF!</v>
      </c>
      <c r="AB18" s="201">
        <f>PPMT(D18/360*30.4,B18,$E$2,-$F$18)+T18+U18</f>
        <v>1132.9953218287653</v>
      </c>
      <c r="AC18" s="201">
        <f>(D18/360*C18)*F18</f>
        <v>9288.8888888888887</v>
      </c>
      <c r="AD18" s="201">
        <f>AB18+AC18</f>
        <v>10421.884210717653</v>
      </c>
      <c r="AE18" s="201">
        <f>PPMT(D18/360*30.4,B18,$E$2,-$F$18)+T18+U18</f>
        <v>1132.9953218287653</v>
      </c>
      <c r="AF18" s="201">
        <f>(D18/360*C18)*F18</f>
        <v>9288.8888888888887</v>
      </c>
      <c r="AG18" s="201">
        <f>AE18+AF18</f>
        <v>10421.884210717653</v>
      </c>
    </row>
    <row r="19" spans="2:33" x14ac:dyDescent="0.3">
      <c r="B19" s="179">
        <f t="shared" ref="B19:B82" si="10">IF(B18="","",IF(B18=$E$2,"",B18+1))</f>
        <v>2</v>
      </c>
      <c r="C19" s="180">
        <f>IF(B19="","",30.4)</f>
        <v>30.4</v>
      </c>
      <c r="D19" s="165">
        <f>IF(B19="","",Simulador!$F$62)</f>
        <v>0.11</v>
      </c>
      <c r="E19" s="167"/>
      <c r="F19" s="167">
        <f>IF(B19="","",F18-H18)</f>
        <v>998867.00467817136</v>
      </c>
      <c r="G19" s="166"/>
      <c r="H19" s="167" t="e">
        <f t="shared" si="6"/>
        <v>#REF!</v>
      </c>
      <c r="I19" s="167">
        <f t="shared" si="7"/>
        <v>9278.3646212327913</v>
      </c>
      <c r="J19" s="167" t="e">
        <f t="shared" si="8"/>
        <v>#REF!</v>
      </c>
      <c r="K19" s="167">
        <f>IF(B19="","",IF(F19=0,0,$H$2*$I$2))</f>
        <v>0</v>
      </c>
      <c r="L19" s="167">
        <f>IF(B19="","",IF(F19=0,0,Simulador!$N$13*$J$2))</f>
        <v>0</v>
      </c>
      <c r="M19" s="167">
        <f>IF(B19="","",IF(F19=0,0,IF(Simulador!$F$11='Tabla Parámetros'!$W$1,'Tabla Parámetros'!$W$28,IF(Simulador!$F$11='Tabla Parámetros'!$Y$1,'Tabla Parámetros'!$Y$12))))</f>
        <v>299</v>
      </c>
      <c r="N19" s="167">
        <f>IF(B19="","",IF(F19=0,0,IF(Simulador!$N$7='Tabla Parámetros'!$C$31,AportPat!L5,0)))</f>
        <v>0</v>
      </c>
      <c r="O19" s="167" t="e">
        <f>Simulador!#REF!</f>
        <v>#REF!</v>
      </c>
      <c r="P19" s="167" t="e">
        <f t="shared" ref="P19:P82" si="11">IF(B19="","",SUM(J19:O19))</f>
        <v>#REF!</v>
      </c>
      <c r="Q19" s="167" t="e">
        <f t="shared" ref="Q19:Q82" si="12">IF(B19="","",F19-H19)</f>
        <v>#REF!</v>
      </c>
      <c r="T19" s="6"/>
      <c r="U19" s="6"/>
      <c r="V19" s="6"/>
      <c r="W19" s="29" t="e">
        <f t="shared" si="0"/>
        <v>#REF!</v>
      </c>
      <c r="Y19" s="201" t="e">
        <f t="shared" si="9"/>
        <v>#REF!</v>
      </c>
      <c r="Z19" s="201">
        <f t="shared" ref="Z19:Z82" si="13">(D19/360*C19)*F19</f>
        <v>9278.3646212327913</v>
      </c>
      <c r="AA19" s="202" t="e">
        <f t="shared" ref="AA19:AA82" si="14">Y19+Z19</f>
        <v>#REF!</v>
      </c>
      <c r="AB19" s="201" t="e">
        <f t="shared" ref="AB19:AB82" si="15">AD19-AC19</f>
        <v>#REF!</v>
      </c>
      <c r="AC19" s="201">
        <f t="shared" ref="AC19:AC82" si="16">(D19/360*C19)*F19</f>
        <v>9278.3646212327913</v>
      </c>
      <c r="AD19" s="201" t="e">
        <f>PMT($E$1/360*30.4,$E$2,-$H$2)+N19+O19</f>
        <v>#REF!</v>
      </c>
      <c r="AE19" s="201" t="e">
        <f t="shared" ref="AE19:AE82" si="17">AG19-AF19</f>
        <v>#REF!</v>
      </c>
      <c r="AF19" s="201">
        <f t="shared" ref="AF19:AF82" si="18">(D19/360*C19)*F19</f>
        <v>9278.3646212327913</v>
      </c>
      <c r="AG19" s="201" t="e">
        <f>PMT($E$1/360*30.4,$E$2-B18,-F19)+N19+O19</f>
        <v>#REF!</v>
      </c>
    </row>
    <row r="20" spans="2:33" x14ac:dyDescent="0.3">
      <c r="B20" s="179">
        <f t="shared" si="10"/>
        <v>3</v>
      </c>
      <c r="C20" s="180">
        <f t="shared" ref="C20:C83" si="19">IF(B20="","",30.4)</f>
        <v>30.4</v>
      </c>
      <c r="D20" s="165">
        <f>IF(B20="","",Simulador!$F$62)</f>
        <v>0.11</v>
      </c>
      <c r="E20" s="167"/>
      <c r="F20" s="167" t="e">
        <f t="shared" ref="F20:F83" si="20">IF(B20="","",F19-H19)</f>
        <v>#REF!</v>
      </c>
      <c r="G20" s="166"/>
      <c r="H20" s="167" t="e">
        <f t="shared" si="6"/>
        <v>#REF!</v>
      </c>
      <c r="I20" s="167" t="e">
        <f t="shared" si="7"/>
        <v>#REF!</v>
      </c>
      <c r="J20" s="167" t="e">
        <f t="shared" si="8"/>
        <v>#REF!</v>
      </c>
      <c r="K20" s="167" t="e">
        <f t="shared" ref="K20:K83" si="21">IF(B20="","",IF(F20=0,0,$H$2*$I$2))</f>
        <v>#REF!</v>
      </c>
      <c r="L20" s="167" t="e">
        <f>IF(B20="","",IF(F20=0,0,Simulador!$N$13*$J$2))</f>
        <v>#REF!</v>
      </c>
      <c r="M20" s="167" t="e">
        <f>IF(B20="","",IF(F20=0,0,IF(Simulador!$F$11='Tabla Parámetros'!$W$1,'Tabla Parámetros'!$W$28,IF(Simulador!$F$11='Tabla Parámetros'!$Y$1,'Tabla Parámetros'!$Y$12))))</f>
        <v>#REF!</v>
      </c>
      <c r="N20" s="167" t="e">
        <f>IF(B20="","",IF(F20=0,0,IF(Simulador!$N$7='Tabla Parámetros'!$C$31,AportPat!L6,0)))</f>
        <v>#REF!</v>
      </c>
      <c r="O20" s="167" t="e">
        <f>Simulador!#REF!</f>
        <v>#REF!</v>
      </c>
      <c r="P20" s="167" t="e">
        <f t="shared" si="11"/>
        <v>#REF!</v>
      </c>
      <c r="Q20" s="167" t="e">
        <f t="shared" si="12"/>
        <v>#REF!</v>
      </c>
      <c r="T20" s="6"/>
      <c r="U20" s="6"/>
      <c r="V20" s="6"/>
      <c r="W20" s="29" t="e">
        <f t="shared" si="0"/>
        <v>#REF!</v>
      </c>
      <c r="Y20" s="201" t="e">
        <f t="shared" si="9"/>
        <v>#REF!</v>
      </c>
      <c r="Z20" s="201" t="e">
        <f t="shared" si="13"/>
        <v>#REF!</v>
      </c>
      <c r="AA20" s="202" t="e">
        <f t="shared" si="14"/>
        <v>#REF!</v>
      </c>
      <c r="AB20" s="201" t="e">
        <f t="shared" si="15"/>
        <v>#REF!</v>
      </c>
      <c r="AC20" s="201" t="e">
        <f t="shared" si="16"/>
        <v>#REF!</v>
      </c>
      <c r="AD20" s="201" t="e">
        <f t="shared" ref="AD20:AD83" si="22">PMT($E$1/360*30.4,$E$2,-$H$2)+N20+O20</f>
        <v>#REF!</v>
      </c>
      <c r="AE20" s="201" t="e">
        <f t="shared" si="17"/>
        <v>#REF!</v>
      </c>
      <c r="AF20" s="201" t="e">
        <f t="shared" si="18"/>
        <v>#REF!</v>
      </c>
      <c r="AG20" s="201" t="e">
        <f t="shared" ref="AG20:AG83" si="23">PMT($E$1/360*30.4,$E$2-B19,-F20)+N20+O20</f>
        <v>#REF!</v>
      </c>
    </row>
    <row r="21" spans="2:33" x14ac:dyDescent="0.3">
      <c r="B21" s="179">
        <f t="shared" si="10"/>
        <v>4</v>
      </c>
      <c r="C21" s="180">
        <f t="shared" si="19"/>
        <v>30.4</v>
      </c>
      <c r="D21" s="165">
        <f>IF(B21="","",Simulador!$F$62)</f>
        <v>0.11</v>
      </c>
      <c r="E21" s="167"/>
      <c r="F21" s="167" t="e">
        <f t="shared" si="20"/>
        <v>#REF!</v>
      </c>
      <c r="G21" s="166"/>
      <c r="H21" s="167" t="e">
        <f t="shared" si="6"/>
        <v>#REF!</v>
      </c>
      <c r="I21" s="167" t="e">
        <f t="shared" si="7"/>
        <v>#REF!</v>
      </c>
      <c r="J21" s="167" t="e">
        <f t="shared" si="8"/>
        <v>#REF!</v>
      </c>
      <c r="K21" s="167" t="e">
        <f t="shared" si="21"/>
        <v>#REF!</v>
      </c>
      <c r="L21" s="167" t="e">
        <f>IF(B21="","",IF(F21=0,0,Simulador!$N$13*$J$2))</f>
        <v>#REF!</v>
      </c>
      <c r="M21" s="167" t="e">
        <f>IF(B21="","",IF(F21=0,0,IF(Simulador!$F$11='Tabla Parámetros'!$W$1,'Tabla Parámetros'!$W$28,IF(Simulador!$F$11='Tabla Parámetros'!$Y$1,'Tabla Parámetros'!$Y$12))))</f>
        <v>#REF!</v>
      </c>
      <c r="N21" s="167" t="e">
        <f>IF(B21="","",IF(F21=0,0,IF(Simulador!$N$7='Tabla Parámetros'!$C$31,AportPat!L7,0)))</f>
        <v>#REF!</v>
      </c>
      <c r="O21" s="167" t="e">
        <f>Simulador!#REF!</f>
        <v>#REF!</v>
      </c>
      <c r="P21" s="167" t="e">
        <f t="shared" si="11"/>
        <v>#REF!</v>
      </c>
      <c r="Q21" s="167" t="e">
        <f t="shared" si="12"/>
        <v>#REF!</v>
      </c>
      <c r="T21" s="6"/>
      <c r="U21" s="6"/>
      <c r="V21" s="6"/>
      <c r="W21" s="29" t="e">
        <f t="shared" si="0"/>
        <v>#REF!</v>
      </c>
      <c r="Y21" s="201" t="e">
        <f t="shared" si="9"/>
        <v>#REF!</v>
      </c>
      <c r="Z21" s="201" t="e">
        <f t="shared" si="13"/>
        <v>#REF!</v>
      </c>
      <c r="AA21" s="202" t="e">
        <f t="shared" si="14"/>
        <v>#REF!</v>
      </c>
      <c r="AB21" s="201" t="e">
        <f t="shared" si="15"/>
        <v>#REF!</v>
      </c>
      <c r="AC21" s="201" t="e">
        <f t="shared" si="16"/>
        <v>#REF!</v>
      </c>
      <c r="AD21" s="201" t="e">
        <f t="shared" si="22"/>
        <v>#REF!</v>
      </c>
      <c r="AE21" s="201" t="e">
        <f t="shared" si="17"/>
        <v>#REF!</v>
      </c>
      <c r="AF21" s="201" t="e">
        <f t="shared" si="18"/>
        <v>#REF!</v>
      </c>
      <c r="AG21" s="201" t="e">
        <f t="shared" si="23"/>
        <v>#REF!</v>
      </c>
    </row>
    <row r="22" spans="2:33" x14ac:dyDescent="0.3">
      <c r="B22" s="181">
        <f t="shared" si="10"/>
        <v>5</v>
      </c>
      <c r="C22" s="180">
        <f t="shared" si="19"/>
        <v>30.4</v>
      </c>
      <c r="D22" s="165">
        <f>IF(B22="","",Simulador!$F$62)</f>
        <v>0.11</v>
      </c>
      <c r="E22" s="167"/>
      <c r="F22" s="167" t="e">
        <f t="shared" si="20"/>
        <v>#REF!</v>
      </c>
      <c r="G22" s="166"/>
      <c r="H22" s="167" t="e">
        <f t="shared" si="6"/>
        <v>#REF!</v>
      </c>
      <c r="I22" s="167" t="e">
        <f t="shared" si="7"/>
        <v>#REF!</v>
      </c>
      <c r="J22" s="167" t="e">
        <f t="shared" si="8"/>
        <v>#REF!</v>
      </c>
      <c r="K22" s="167" t="e">
        <f t="shared" si="21"/>
        <v>#REF!</v>
      </c>
      <c r="L22" s="167" t="e">
        <f>IF(B22="","",IF(F22=0,0,Simulador!$N$13*$J$2))</f>
        <v>#REF!</v>
      </c>
      <c r="M22" s="167" t="e">
        <f>IF(B22="","",IF(F22=0,0,IF(Simulador!$F$11='Tabla Parámetros'!$W$1,'Tabla Parámetros'!$W$28,IF(Simulador!$F$11='Tabla Parámetros'!$Y$1,'Tabla Parámetros'!$Y$12))))</f>
        <v>#REF!</v>
      </c>
      <c r="N22" s="167" t="e">
        <f>IF(B22="","",IF(F22=0,0,IF(Simulador!$N$7='Tabla Parámetros'!$C$31,AportPat!L8,0)))</f>
        <v>#REF!</v>
      </c>
      <c r="O22" s="167" t="e">
        <f>Simulador!#REF!</f>
        <v>#REF!</v>
      </c>
      <c r="P22" s="167" t="e">
        <f t="shared" si="11"/>
        <v>#REF!</v>
      </c>
      <c r="Q22" s="167" t="e">
        <f t="shared" si="12"/>
        <v>#REF!</v>
      </c>
      <c r="T22" s="6"/>
      <c r="U22" s="6"/>
      <c r="V22" s="6"/>
      <c r="W22" s="29" t="e">
        <f t="shared" si="0"/>
        <v>#REF!</v>
      </c>
      <c r="Y22" s="201" t="e">
        <f t="shared" si="9"/>
        <v>#REF!</v>
      </c>
      <c r="Z22" s="201" t="e">
        <f t="shared" si="13"/>
        <v>#REF!</v>
      </c>
      <c r="AA22" s="202" t="e">
        <f t="shared" si="14"/>
        <v>#REF!</v>
      </c>
      <c r="AB22" s="201" t="e">
        <f t="shared" si="15"/>
        <v>#REF!</v>
      </c>
      <c r="AC22" s="201" t="e">
        <f t="shared" si="16"/>
        <v>#REF!</v>
      </c>
      <c r="AD22" s="201" t="e">
        <f t="shared" si="22"/>
        <v>#REF!</v>
      </c>
      <c r="AE22" s="201" t="e">
        <f t="shared" si="17"/>
        <v>#REF!</v>
      </c>
      <c r="AF22" s="201" t="e">
        <f t="shared" si="18"/>
        <v>#REF!</v>
      </c>
      <c r="AG22" s="201" t="e">
        <f t="shared" si="23"/>
        <v>#REF!</v>
      </c>
    </row>
    <row r="23" spans="2:33" x14ac:dyDescent="0.3">
      <c r="B23" s="179">
        <f t="shared" si="10"/>
        <v>6</v>
      </c>
      <c r="C23" s="180">
        <f t="shared" si="19"/>
        <v>30.4</v>
      </c>
      <c r="D23" s="165">
        <f>IF(B23="","",Simulador!$F$62)</f>
        <v>0.11</v>
      </c>
      <c r="E23" s="167"/>
      <c r="F23" s="167" t="e">
        <f t="shared" si="20"/>
        <v>#REF!</v>
      </c>
      <c r="G23" s="166"/>
      <c r="H23" s="167" t="e">
        <f t="shared" si="6"/>
        <v>#REF!</v>
      </c>
      <c r="I23" s="167" t="e">
        <f t="shared" si="7"/>
        <v>#REF!</v>
      </c>
      <c r="J23" s="167" t="e">
        <f t="shared" si="8"/>
        <v>#REF!</v>
      </c>
      <c r="K23" s="167" t="e">
        <f t="shared" si="21"/>
        <v>#REF!</v>
      </c>
      <c r="L23" s="167" t="e">
        <f>IF(B23="","",IF(F23=0,0,Simulador!$N$13*$J$2))</f>
        <v>#REF!</v>
      </c>
      <c r="M23" s="167" t="e">
        <f>IF(B23="","",IF(F23=0,0,IF(Simulador!$F$11='Tabla Parámetros'!$W$1,'Tabla Parámetros'!$W$28,IF(Simulador!$F$11='Tabla Parámetros'!$Y$1,'Tabla Parámetros'!$Y$12))))</f>
        <v>#REF!</v>
      </c>
      <c r="N23" s="167" t="e">
        <f>IF(B23="","",IF(F23=0,0,IF(Simulador!$N$7='Tabla Parámetros'!$C$31,AportPat!L9,0)))</f>
        <v>#REF!</v>
      </c>
      <c r="O23" s="167" t="e">
        <f>Simulador!#REF!</f>
        <v>#REF!</v>
      </c>
      <c r="P23" s="167" t="e">
        <f t="shared" si="11"/>
        <v>#REF!</v>
      </c>
      <c r="Q23" s="167" t="e">
        <f t="shared" si="12"/>
        <v>#REF!</v>
      </c>
      <c r="T23" s="6"/>
      <c r="U23" s="6"/>
      <c r="V23" s="6"/>
      <c r="W23" s="29" t="e">
        <f t="shared" si="0"/>
        <v>#REF!</v>
      </c>
      <c r="Y23" s="201" t="e">
        <f t="shared" si="9"/>
        <v>#REF!</v>
      </c>
      <c r="Z23" s="201" t="e">
        <f t="shared" si="13"/>
        <v>#REF!</v>
      </c>
      <c r="AA23" s="202" t="e">
        <f t="shared" si="14"/>
        <v>#REF!</v>
      </c>
      <c r="AB23" s="201" t="e">
        <f t="shared" si="15"/>
        <v>#REF!</v>
      </c>
      <c r="AC23" s="201" t="e">
        <f t="shared" si="16"/>
        <v>#REF!</v>
      </c>
      <c r="AD23" s="201" t="e">
        <f t="shared" si="22"/>
        <v>#REF!</v>
      </c>
      <c r="AE23" s="201" t="e">
        <f t="shared" si="17"/>
        <v>#REF!</v>
      </c>
      <c r="AF23" s="201" t="e">
        <f t="shared" si="18"/>
        <v>#REF!</v>
      </c>
      <c r="AG23" s="201" t="e">
        <f t="shared" si="23"/>
        <v>#REF!</v>
      </c>
    </row>
    <row r="24" spans="2:33" x14ac:dyDescent="0.3">
      <c r="B24" s="179">
        <f t="shared" si="10"/>
        <v>7</v>
      </c>
      <c r="C24" s="180">
        <f t="shared" si="19"/>
        <v>30.4</v>
      </c>
      <c r="D24" s="165">
        <f>IF(B24="","",Simulador!$F$62)</f>
        <v>0.11</v>
      </c>
      <c r="E24" s="167"/>
      <c r="F24" s="167" t="e">
        <f t="shared" si="20"/>
        <v>#REF!</v>
      </c>
      <c r="G24" s="166"/>
      <c r="H24" s="167" t="e">
        <f t="shared" si="6"/>
        <v>#REF!</v>
      </c>
      <c r="I24" s="167" t="e">
        <f t="shared" si="7"/>
        <v>#REF!</v>
      </c>
      <c r="J24" s="167" t="e">
        <f t="shared" si="8"/>
        <v>#REF!</v>
      </c>
      <c r="K24" s="167" t="e">
        <f t="shared" si="21"/>
        <v>#REF!</v>
      </c>
      <c r="L24" s="167" t="e">
        <f>IF(B24="","",IF(F24=0,0,Simulador!$N$13*$J$2))</f>
        <v>#REF!</v>
      </c>
      <c r="M24" s="167" t="e">
        <f>IF(B24="","",IF(F24=0,0,IF(Simulador!$F$11='Tabla Parámetros'!$W$1,'Tabla Parámetros'!$W$28,IF(Simulador!$F$11='Tabla Parámetros'!$Y$1,'Tabla Parámetros'!$Y$12))))</f>
        <v>#REF!</v>
      </c>
      <c r="N24" s="167" t="e">
        <f>IF(B24="","",IF(F24=0,0,IF(Simulador!$N$7='Tabla Parámetros'!$C$31,AportPat!L10,0)))</f>
        <v>#REF!</v>
      </c>
      <c r="O24" s="167" t="e">
        <f>Simulador!#REF!</f>
        <v>#REF!</v>
      </c>
      <c r="P24" s="167" t="e">
        <f t="shared" si="11"/>
        <v>#REF!</v>
      </c>
      <c r="Q24" s="167" t="e">
        <f t="shared" si="12"/>
        <v>#REF!</v>
      </c>
      <c r="T24" s="6"/>
      <c r="U24" s="6"/>
      <c r="V24" s="6"/>
      <c r="W24" s="29" t="e">
        <f t="shared" si="0"/>
        <v>#REF!</v>
      </c>
      <c r="Y24" s="201" t="e">
        <f t="shared" si="9"/>
        <v>#REF!</v>
      </c>
      <c r="Z24" s="201" t="e">
        <f t="shared" si="13"/>
        <v>#REF!</v>
      </c>
      <c r="AA24" s="202" t="e">
        <f t="shared" si="14"/>
        <v>#REF!</v>
      </c>
      <c r="AB24" s="201" t="e">
        <f t="shared" si="15"/>
        <v>#REF!</v>
      </c>
      <c r="AC24" s="201" t="e">
        <f t="shared" si="16"/>
        <v>#REF!</v>
      </c>
      <c r="AD24" s="201" t="e">
        <f t="shared" si="22"/>
        <v>#REF!</v>
      </c>
      <c r="AE24" s="201" t="e">
        <f t="shared" si="17"/>
        <v>#REF!</v>
      </c>
      <c r="AF24" s="201" t="e">
        <f t="shared" si="18"/>
        <v>#REF!</v>
      </c>
      <c r="AG24" s="201" t="e">
        <f t="shared" si="23"/>
        <v>#REF!</v>
      </c>
    </row>
    <row r="25" spans="2:33" x14ac:dyDescent="0.3">
      <c r="B25" s="179">
        <f t="shared" si="10"/>
        <v>8</v>
      </c>
      <c r="C25" s="180">
        <f t="shared" si="19"/>
        <v>30.4</v>
      </c>
      <c r="D25" s="165">
        <f>IF(B25="","",Simulador!$F$62)</f>
        <v>0.11</v>
      </c>
      <c r="E25" s="167"/>
      <c r="F25" s="167" t="e">
        <f t="shared" si="20"/>
        <v>#REF!</v>
      </c>
      <c r="G25" s="166"/>
      <c r="H25" s="167" t="e">
        <f t="shared" si="6"/>
        <v>#REF!</v>
      </c>
      <c r="I25" s="167" t="e">
        <f t="shared" si="7"/>
        <v>#REF!</v>
      </c>
      <c r="J25" s="167" t="e">
        <f t="shared" si="8"/>
        <v>#REF!</v>
      </c>
      <c r="K25" s="167" t="e">
        <f t="shared" si="21"/>
        <v>#REF!</v>
      </c>
      <c r="L25" s="167" t="e">
        <f>IF(B25="","",IF(F25=0,0,Simulador!$N$13*$J$2))</f>
        <v>#REF!</v>
      </c>
      <c r="M25" s="167" t="e">
        <f>IF(B25="","",IF(F25=0,0,IF(Simulador!$F$11='Tabla Parámetros'!$W$1,'Tabla Parámetros'!$W$28,IF(Simulador!$F$11='Tabla Parámetros'!$Y$1,'Tabla Parámetros'!$Y$12))))</f>
        <v>#REF!</v>
      </c>
      <c r="N25" s="167" t="e">
        <f>IF(B25="","",IF(F25=0,0,IF(Simulador!$N$7='Tabla Parámetros'!$C$31,AportPat!L11,0)))</f>
        <v>#REF!</v>
      </c>
      <c r="O25" s="167" t="e">
        <f>Simulador!#REF!</f>
        <v>#REF!</v>
      </c>
      <c r="P25" s="167" t="e">
        <f t="shared" si="11"/>
        <v>#REF!</v>
      </c>
      <c r="Q25" s="167" t="e">
        <f t="shared" si="12"/>
        <v>#REF!</v>
      </c>
      <c r="T25" s="6"/>
      <c r="U25" s="6"/>
      <c r="V25" s="6"/>
      <c r="W25" s="29" t="e">
        <f t="shared" si="0"/>
        <v>#REF!</v>
      </c>
      <c r="Y25" s="201" t="e">
        <f t="shared" si="9"/>
        <v>#REF!</v>
      </c>
      <c r="Z25" s="201" t="e">
        <f t="shared" si="13"/>
        <v>#REF!</v>
      </c>
      <c r="AA25" s="202" t="e">
        <f t="shared" si="14"/>
        <v>#REF!</v>
      </c>
      <c r="AB25" s="201" t="e">
        <f t="shared" si="15"/>
        <v>#REF!</v>
      </c>
      <c r="AC25" s="201" t="e">
        <f t="shared" si="16"/>
        <v>#REF!</v>
      </c>
      <c r="AD25" s="201" t="e">
        <f t="shared" si="22"/>
        <v>#REF!</v>
      </c>
      <c r="AE25" s="201" t="e">
        <f t="shared" si="17"/>
        <v>#REF!</v>
      </c>
      <c r="AF25" s="201" t="e">
        <f t="shared" si="18"/>
        <v>#REF!</v>
      </c>
      <c r="AG25" s="201" t="e">
        <f t="shared" si="23"/>
        <v>#REF!</v>
      </c>
    </row>
    <row r="26" spans="2:33" x14ac:dyDescent="0.3">
      <c r="B26" s="181">
        <f t="shared" si="10"/>
        <v>9</v>
      </c>
      <c r="C26" s="180">
        <f t="shared" si="19"/>
        <v>30.4</v>
      </c>
      <c r="D26" s="165">
        <f>IF(B26="","",Simulador!$F$62)</f>
        <v>0.11</v>
      </c>
      <c r="E26" s="167"/>
      <c r="F26" s="167" t="e">
        <f t="shared" si="20"/>
        <v>#REF!</v>
      </c>
      <c r="G26" s="166"/>
      <c r="H26" s="167" t="e">
        <f t="shared" si="6"/>
        <v>#REF!</v>
      </c>
      <c r="I26" s="167" t="e">
        <f t="shared" si="7"/>
        <v>#REF!</v>
      </c>
      <c r="J26" s="167" t="e">
        <f t="shared" si="8"/>
        <v>#REF!</v>
      </c>
      <c r="K26" s="167" t="e">
        <f t="shared" si="21"/>
        <v>#REF!</v>
      </c>
      <c r="L26" s="167" t="e">
        <f>IF(B26="","",IF(F26=0,0,Simulador!$N$13*$J$2))</f>
        <v>#REF!</v>
      </c>
      <c r="M26" s="167" t="e">
        <f>IF(B26="","",IF(F26=0,0,IF(Simulador!$F$11='Tabla Parámetros'!$W$1,'Tabla Parámetros'!$W$28,IF(Simulador!$F$11='Tabla Parámetros'!$Y$1,'Tabla Parámetros'!$Y$12))))</f>
        <v>#REF!</v>
      </c>
      <c r="N26" s="167" t="e">
        <f>IF(B26="","",IF(F26=0,0,IF(Simulador!$N$7='Tabla Parámetros'!$C$31,AportPat!L12,0)))</f>
        <v>#REF!</v>
      </c>
      <c r="O26" s="167" t="e">
        <f>Simulador!#REF!</f>
        <v>#REF!</v>
      </c>
      <c r="P26" s="167" t="e">
        <f t="shared" si="11"/>
        <v>#REF!</v>
      </c>
      <c r="Q26" s="167" t="e">
        <f t="shared" si="12"/>
        <v>#REF!</v>
      </c>
      <c r="T26" s="6"/>
      <c r="U26" s="6"/>
      <c r="V26" s="6"/>
      <c r="W26" s="29" t="e">
        <f t="shared" si="0"/>
        <v>#REF!</v>
      </c>
      <c r="Y26" s="201" t="e">
        <f t="shared" si="9"/>
        <v>#REF!</v>
      </c>
      <c r="Z26" s="201" t="e">
        <f t="shared" si="13"/>
        <v>#REF!</v>
      </c>
      <c r="AA26" s="202" t="e">
        <f t="shared" si="14"/>
        <v>#REF!</v>
      </c>
      <c r="AB26" s="201" t="e">
        <f t="shared" si="15"/>
        <v>#REF!</v>
      </c>
      <c r="AC26" s="201" t="e">
        <f t="shared" si="16"/>
        <v>#REF!</v>
      </c>
      <c r="AD26" s="201" t="e">
        <f t="shared" si="22"/>
        <v>#REF!</v>
      </c>
      <c r="AE26" s="201" t="e">
        <f t="shared" si="17"/>
        <v>#REF!</v>
      </c>
      <c r="AF26" s="201" t="e">
        <f t="shared" si="18"/>
        <v>#REF!</v>
      </c>
      <c r="AG26" s="201" t="e">
        <f t="shared" si="23"/>
        <v>#REF!</v>
      </c>
    </row>
    <row r="27" spans="2:33" x14ac:dyDescent="0.3">
      <c r="B27" s="179">
        <f t="shared" si="10"/>
        <v>10</v>
      </c>
      <c r="C27" s="180">
        <f t="shared" si="19"/>
        <v>30.4</v>
      </c>
      <c r="D27" s="165">
        <f>IF(B27="","",Simulador!$F$62)</f>
        <v>0.11</v>
      </c>
      <c r="E27" s="167"/>
      <c r="F27" s="167" t="e">
        <f t="shared" si="20"/>
        <v>#REF!</v>
      </c>
      <c r="G27" s="166"/>
      <c r="H27" s="167" t="e">
        <f t="shared" si="6"/>
        <v>#REF!</v>
      </c>
      <c r="I27" s="167" t="e">
        <f t="shared" si="7"/>
        <v>#REF!</v>
      </c>
      <c r="J27" s="167" t="e">
        <f t="shared" si="8"/>
        <v>#REF!</v>
      </c>
      <c r="K27" s="167" t="e">
        <f t="shared" si="21"/>
        <v>#REF!</v>
      </c>
      <c r="L27" s="167" t="e">
        <f>IF(B27="","",IF(F27=0,0,Simulador!$N$13*$J$2))</f>
        <v>#REF!</v>
      </c>
      <c r="M27" s="167" t="e">
        <f>IF(B27="","",IF(F27=0,0,IF(Simulador!$F$11='Tabla Parámetros'!$W$1,'Tabla Parámetros'!$W$28,IF(Simulador!$F$11='Tabla Parámetros'!$Y$1,'Tabla Parámetros'!$Y$12))))</f>
        <v>#REF!</v>
      </c>
      <c r="N27" s="167" t="e">
        <f>IF(B27="","",IF(F27=0,0,IF(Simulador!$N$7='Tabla Parámetros'!$C$31,AportPat!L13,0)))</f>
        <v>#REF!</v>
      </c>
      <c r="O27" s="167" t="e">
        <f>Simulador!#REF!</f>
        <v>#REF!</v>
      </c>
      <c r="P27" s="167" t="e">
        <f t="shared" si="11"/>
        <v>#REF!</v>
      </c>
      <c r="Q27" s="167" t="e">
        <f t="shared" si="12"/>
        <v>#REF!</v>
      </c>
      <c r="T27" s="6"/>
      <c r="U27" s="6"/>
      <c r="V27" s="6"/>
      <c r="W27" s="29" t="e">
        <f t="shared" si="0"/>
        <v>#REF!</v>
      </c>
      <c r="Y27" s="201" t="e">
        <f t="shared" si="9"/>
        <v>#REF!</v>
      </c>
      <c r="Z27" s="201" t="e">
        <f t="shared" si="13"/>
        <v>#REF!</v>
      </c>
      <c r="AA27" s="202" t="e">
        <f t="shared" si="14"/>
        <v>#REF!</v>
      </c>
      <c r="AB27" s="201" t="e">
        <f t="shared" si="15"/>
        <v>#REF!</v>
      </c>
      <c r="AC27" s="201" t="e">
        <f t="shared" si="16"/>
        <v>#REF!</v>
      </c>
      <c r="AD27" s="201" t="e">
        <f t="shared" si="22"/>
        <v>#REF!</v>
      </c>
      <c r="AE27" s="201" t="e">
        <f t="shared" si="17"/>
        <v>#REF!</v>
      </c>
      <c r="AF27" s="201" t="e">
        <f t="shared" si="18"/>
        <v>#REF!</v>
      </c>
      <c r="AG27" s="201" t="e">
        <f t="shared" si="23"/>
        <v>#REF!</v>
      </c>
    </row>
    <row r="28" spans="2:33" x14ac:dyDescent="0.3">
      <c r="B28" s="179">
        <f t="shared" si="10"/>
        <v>11</v>
      </c>
      <c r="C28" s="180">
        <f t="shared" si="19"/>
        <v>30.4</v>
      </c>
      <c r="D28" s="165">
        <f>IF(B28="","",Simulador!$F$62)</f>
        <v>0.11</v>
      </c>
      <c r="E28" s="167"/>
      <c r="F28" s="167" t="e">
        <f t="shared" si="20"/>
        <v>#REF!</v>
      </c>
      <c r="G28" s="166"/>
      <c r="H28" s="167" t="e">
        <f t="shared" si="6"/>
        <v>#REF!</v>
      </c>
      <c r="I28" s="167" t="e">
        <f t="shared" si="7"/>
        <v>#REF!</v>
      </c>
      <c r="J28" s="167" t="e">
        <f t="shared" si="8"/>
        <v>#REF!</v>
      </c>
      <c r="K28" s="167" t="e">
        <f t="shared" si="21"/>
        <v>#REF!</v>
      </c>
      <c r="L28" s="167" t="e">
        <f>IF(B28="","",IF(F28=0,0,Simulador!$N$13*$J$2))</f>
        <v>#REF!</v>
      </c>
      <c r="M28" s="167" t="e">
        <f>IF(B28="","",IF(F28=0,0,IF(Simulador!$F$11='Tabla Parámetros'!$W$1,'Tabla Parámetros'!$W$28,IF(Simulador!$F$11='Tabla Parámetros'!$Y$1,'Tabla Parámetros'!$Y$12))))</f>
        <v>#REF!</v>
      </c>
      <c r="N28" s="167" t="e">
        <f>IF(B28="","",IF(F28=0,0,IF(Simulador!$N$7='Tabla Parámetros'!$C$31,AportPat!L14,0)))</f>
        <v>#REF!</v>
      </c>
      <c r="O28" s="167" t="e">
        <f>Simulador!#REF!</f>
        <v>#REF!</v>
      </c>
      <c r="P28" s="167" t="e">
        <f t="shared" si="11"/>
        <v>#REF!</v>
      </c>
      <c r="Q28" s="167" t="e">
        <f t="shared" si="12"/>
        <v>#REF!</v>
      </c>
      <c r="T28" s="6"/>
      <c r="U28" s="6"/>
      <c r="V28" s="6"/>
      <c r="W28" s="29" t="e">
        <f t="shared" si="0"/>
        <v>#REF!</v>
      </c>
      <c r="Y28" s="201" t="e">
        <f t="shared" si="9"/>
        <v>#REF!</v>
      </c>
      <c r="Z28" s="201" t="e">
        <f t="shared" si="13"/>
        <v>#REF!</v>
      </c>
      <c r="AA28" s="202" t="e">
        <f t="shared" si="14"/>
        <v>#REF!</v>
      </c>
      <c r="AB28" s="201" t="e">
        <f t="shared" si="15"/>
        <v>#REF!</v>
      </c>
      <c r="AC28" s="201" t="e">
        <f t="shared" si="16"/>
        <v>#REF!</v>
      </c>
      <c r="AD28" s="201" t="e">
        <f t="shared" si="22"/>
        <v>#REF!</v>
      </c>
      <c r="AE28" s="201" t="e">
        <f t="shared" si="17"/>
        <v>#REF!</v>
      </c>
      <c r="AF28" s="201" t="e">
        <f t="shared" si="18"/>
        <v>#REF!</v>
      </c>
      <c r="AG28" s="201" t="e">
        <f t="shared" si="23"/>
        <v>#REF!</v>
      </c>
    </row>
    <row r="29" spans="2:33" x14ac:dyDescent="0.3">
      <c r="B29" s="179">
        <f t="shared" si="10"/>
        <v>12</v>
      </c>
      <c r="C29" s="180">
        <f t="shared" si="19"/>
        <v>30.4</v>
      </c>
      <c r="D29" s="165">
        <f>IF(B29="","",Simulador!$F$62)</f>
        <v>0.11</v>
      </c>
      <c r="E29" s="167"/>
      <c r="F29" s="167" t="e">
        <f t="shared" si="20"/>
        <v>#REF!</v>
      </c>
      <c r="G29" s="166"/>
      <c r="H29" s="167" t="e">
        <f t="shared" si="6"/>
        <v>#REF!</v>
      </c>
      <c r="I29" s="167" t="e">
        <f t="shared" si="7"/>
        <v>#REF!</v>
      </c>
      <c r="J29" s="167" t="e">
        <f t="shared" si="8"/>
        <v>#REF!</v>
      </c>
      <c r="K29" s="167" t="e">
        <f t="shared" si="21"/>
        <v>#REF!</v>
      </c>
      <c r="L29" s="167" t="e">
        <f>IF(B29="","",IF(F29=0,0,Simulador!$N$13*$J$2))</f>
        <v>#REF!</v>
      </c>
      <c r="M29" s="167" t="e">
        <f>IF(B29="","",IF(F29=0,0,IF(Simulador!$F$11='Tabla Parámetros'!$W$1,'Tabla Parámetros'!$W$28,IF(Simulador!$F$11='Tabla Parámetros'!$Y$1,'Tabla Parámetros'!$Y$12))))</f>
        <v>#REF!</v>
      </c>
      <c r="N29" s="167" t="e">
        <f>IF(B29="","",IF(F29=0,0,IF(Simulador!$N$7='Tabla Parámetros'!$C$31,AportPat!L15,0)))</f>
        <v>#REF!</v>
      </c>
      <c r="O29" s="167" t="e">
        <f>Simulador!#REF!</f>
        <v>#REF!</v>
      </c>
      <c r="P29" s="167" t="e">
        <f t="shared" si="11"/>
        <v>#REF!</v>
      </c>
      <c r="Q29" s="167" t="e">
        <f t="shared" si="12"/>
        <v>#REF!</v>
      </c>
      <c r="T29" s="6"/>
      <c r="U29" s="6"/>
      <c r="V29" s="6"/>
      <c r="W29" s="29" t="e">
        <f t="shared" si="0"/>
        <v>#REF!</v>
      </c>
      <c r="Y29" s="201" t="e">
        <f t="shared" si="9"/>
        <v>#REF!</v>
      </c>
      <c r="Z29" s="201" t="e">
        <f t="shared" si="13"/>
        <v>#REF!</v>
      </c>
      <c r="AA29" s="202" t="e">
        <f t="shared" si="14"/>
        <v>#REF!</v>
      </c>
      <c r="AB29" s="201" t="e">
        <f t="shared" si="15"/>
        <v>#REF!</v>
      </c>
      <c r="AC29" s="201" t="e">
        <f t="shared" si="16"/>
        <v>#REF!</v>
      </c>
      <c r="AD29" s="201" t="e">
        <f t="shared" si="22"/>
        <v>#REF!</v>
      </c>
      <c r="AE29" s="201" t="e">
        <f t="shared" si="17"/>
        <v>#REF!</v>
      </c>
      <c r="AF29" s="201" t="e">
        <f t="shared" si="18"/>
        <v>#REF!</v>
      </c>
      <c r="AG29" s="201" t="e">
        <f t="shared" si="23"/>
        <v>#REF!</v>
      </c>
    </row>
    <row r="30" spans="2:33" x14ac:dyDescent="0.3">
      <c r="B30" s="181">
        <f t="shared" si="10"/>
        <v>13</v>
      </c>
      <c r="C30" s="180">
        <f t="shared" si="19"/>
        <v>30.4</v>
      </c>
      <c r="D30" s="165">
        <f>IF(B30="","",Simulador!$F$62)</f>
        <v>0.11</v>
      </c>
      <c r="E30" s="167"/>
      <c r="F30" s="167" t="e">
        <f t="shared" si="20"/>
        <v>#REF!</v>
      </c>
      <c r="G30" s="166"/>
      <c r="H30" s="167" t="e">
        <f t="shared" si="6"/>
        <v>#REF!</v>
      </c>
      <c r="I30" s="167" t="e">
        <f t="shared" si="7"/>
        <v>#REF!</v>
      </c>
      <c r="J30" s="167" t="e">
        <f t="shared" si="8"/>
        <v>#REF!</v>
      </c>
      <c r="K30" s="167" t="e">
        <f t="shared" si="21"/>
        <v>#REF!</v>
      </c>
      <c r="L30" s="167" t="e">
        <f>IF(B30="","",IF(F30=0,0,Simulador!$N$13*$J$2))</f>
        <v>#REF!</v>
      </c>
      <c r="M30" s="167" t="e">
        <f>IF(B30="","",IF(F30=0,0,IF(Simulador!$F$11='Tabla Parámetros'!$W$1,'Tabla Parámetros'!$W$28,IF(Simulador!$F$11='Tabla Parámetros'!$Y$1,'Tabla Parámetros'!$Y$12))))</f>
        <v>#REF!</v>
      </c>
      <c r="N30" s="167" t="e">
        <f>IF(B30="","",IF(F30=0,0,IF(Simulador!$N$7='Tabla Parámetros'!$C$31,AportPat!L16,0)))</f>
        <v>#REF!</v>
      </c>
      <c r="O30" s="167" t="e">
        <f>Simulador!#REF!</f>
        <v>#REF!</v>
      </c>
      <c r="P30" s="167" t="e">
        <f t="shared" si="11"/>
        <v>#REF!</v>
      </c>
      <c r="Q30" s="167" t="e">
        <f t="shared" si="12"/>
        <v>#REF!</v>
      </c>
      <c r="T30" s="6"/>
      <c r="U30" s="6"/>
      <c r="V30" s="6"/>
      <c r="W30" s="29" t="e">
        <f t="shared" si="0"/>
        <v>#REF!</v>
      </c>
      <c r="Y30" s="201" t="e">
        <f t="shared" si="9"/>
        <v>#REF!</v>
      </c>
      <c r="Z30" s="201" t="e">
        <f t="shared" si="13"/>
        <v>#REF!</v>
      </c>
      <c r="AA30" s="202" t="e">
        <f t="shared" si="14"/>
        <v>#REF!</v>
      </c>
      <c r="AB30" s="201" t="e">
        <f t="shared" si="15"/>
        <v>#REF!</v>
      </c>
      <c r="AC30" s="201" t="e">
        <f t="shared" si="16"/>
        <v>#REF!</v>
      </c>
      <c r="AD30" s="201" t="e">
        <f t="shared" si="22"/>
        <v>#REF!</v>
      </c>
      <c r="AE30" s="201" t="e">
        <f t="shared" si="17"/>
        <v>#REF!</v>
      </c>
      <c r="AF30" s="201" t="e">
        <f t="shared" si="18"/>
        <v>#REF!</v>
      </c>
      <c r="AG30" s="201" t="e">
        <f t="shared" si="23"/>
        <v>#REF!</v>
      </c>
    </row>
    <row r="31" spans="2:33" x14ac:dyDescent="0.3">
      <c r="B31" s="179">
        <f t="shared" si="10"/>
        <v>14</v>
      </c>
      <c r="C31" s="180">
        <f t="shared" si="19"/>
        <v>30.4</v>
      </c>
      <c r="D31" s="165">
        <f>IF(B31="","",Simulador!$F$62)</f>
        <v>0.11</v>
      </c>
      <c r="E31" s="167"/>
      <c r="F31" s="167" t="e">
        <f t="shared" si="20"/>
        <v>#REF!</v>
      </c>
      <c r="G31" s="166"/>
      <c r="H31" s="167" t="e">
        <f t="shared" si="6"/>
        <v>#REF!</v>
      </c>
      <c r="I31" s="167" t="e">
        <f t="shared" si="7"/>
        <v>#REF!</v>
      </c>
      <c r="J31" s="167" t="e">
        <f t="shared" si="8"/>
        <v>#REF!</v>
      </c>
      <c r="K31" s="167" t="e">
        <f t="shared" si="21"/>
        <v>#REF!</v>
      </c>
      <c r="L31" s="167" t="e">
        <f>IF(B31="","",IF(F31=0,0,Simulador!$N$13*$J$2))</f>
        <v>#REF!</v>
      </c>
      <c r="M31" s="167" t="e">
        <f>IF(B31="","",IF(F31=0,0,IF(Simulador!$F$11='Tabla Parámetros'!$W$1,'Tabla Parámetros'!$W$28,IF(Simulador!$F$11='Tabla Parámetros'!$Y$1,'Tabla Parámetros'!$Y$12))))</f>
        <v>#REF!</v>
      </c>
      <c r="N31" s="167" t="e">
        <f>IF(B31="","",IF(F31=0,0,IF(Simulador!$N$7='Tabla Parámetros'!$C$31,AportPat!L17,0)))</f>
        <v>#REF!</v>
      </c>
      <c r="O31" s="167" t="e">
        <f>Simulador!#REF!</f>
        <v>#REF!</v>
      </c>
      <c r="P31" s="167" t="e">
        <f t="shared" si="11"/>
        <v>#REF!</v>
      </c>
      <c r="Q31" s="167" t="e">
        <f t="shared" si="12"/>
        <v>#REF!</v>
      </c>
      <c r="T31" s="6"/>
      <c r="U31" s="6"/>
      <c r="V31" s="6"/>
      <c r="W31" s="29" t="e">
        <f t="shared" si="0"/>
        <v>#REF!</v>
      </c>
      <c r="Y31" s="201" t="e">
        <f t="shared" si="9"/>
        <v>#REF!</v>
      </c>
      <c r="Z31" s="201" t="e">
        <f t="shared" si="13"/>
        <v>#REF!</v>
      </c>
      <c r="AA31" s="202" t="e">
        <f t="shared" si="14"/>
        <v>#REF!</v>
      </c>
      <c r="AB31" s="201" t="e">
        <f t="shared" si="15"/>
        <v>#REF!</v>
      </c>
      <c r="AC31" s="201" t="e">
        <f t="shared" si="16"/>
        <v>#REF!</v>
      </c>
      <c r="AD31" s="201" t="e">
        <f t="shared" si="22"/>
        <v>#REF!</v>
      </c>
      <c r="AE31" s="201" t="e">
        <f t="shared" si="17"/>
        <v>#REF!</v>
      </c>
      <c r="AF31" s="201" t="e">
        <f t="shared" si="18"/>
        <v>#REF!</v>
      </c>
      <c r="AG31" s="201" t="e">
        <f t="shared" si="23"/>
        <v>#REF!</v>
      </c>
    </row>
    <row r="32" spans="2:33" x14ac:dyDescent="0.3">
      <c r="B32" s="179">
        <f t="shared" si="10"/>
        <v>15</v>
      </c>
      <c r="C32" s="180">
        <f t="shared" si="19"/>
        <v>30.4</v>
      </c>
      <c r="D32" s="165">
        <f>IF(B32="","",Simulador!$F$62)</f>
        <v>0.11</v>
      </c>
      <c r="E32" s="167"/>
      <c r="F32" s="167" t="e">
        <f t="shared" si="20"/>
        <v>#REF!</v>
      </c>
      <c r="G32" s="166"/>
      <c r="H32" s="167" t="e">
        <f t="shared" si="6"/>
        <v>#REF!</v>
      </c>
      <c r="I32" s="167" t="e">
        <f t="shared" si="7"/>
        <v>#REF!</v>
      </c>
      <c r="J32" s="167" t="e">
        <f t="shared" si="8"/>
        <v>#REF!</v>
      </c>
      <c r="K32" s="167" t="e">
        <f t="shared" si="21"/>
        <v>#REF!</v>
      </c>
      <c r="L32" s="167" t="e">
        <f>IF(B32="","",IF(F32=0,0,Simulador!$N$13*$J$2))</f>
        <v>#REF!</v>
      </c>
      <c r="M32" s="167" t="e">
        <f>IF(B32="","",IF(F32=0,0,IF(Simulador!$F$11='Tabla Parámetros'!$W$1,'Tabla Parámetros'!$W$28,IF(Simulador!$F$11='Tabla Parámetros'!$Y$1,'Tabla Parámetros'!$Y$12))))</f>
        <v>#REF!</v>
      </c>
      <c r="N32" s="167" t="e">
        <f>IF(B32="","",IF(F32=0,0,IF(Simulador!$N$7='Tabla Parámetros'!$C$31,AportPat!L18,0)))</f>
        <v>#REF!</v>
      </c>
      <c r="O32" s="167" t="e">
        <f>Simulador!#REF!</f>
        <v>#REF!</v>
      </c>
      <c r="P32" s="167" t="e">
        <f t="shared" si="11"/>
        <v>#REF!</v>
      </c>
      <c r="Q32" s="167" t="e">
        <f t="shared" si="12"/>
        <v>#REF!</v>
      </c>
      <c r="T32" s="6"/>
      <c r="U32" s="6"/>
      <c r="V32" s="6"/>
      <c r="W32" s="29" t="e">
        <f t="shared" si="0"/>
        <v>#REF!</v>
      </c>
      <c r="Y32" s="201" t="e">
        <f t="shared" si="9"/>
        <v>#REF!</v>
      </c>
      <c r="Z32" s="201" t="e">
        <f t="shared" si="13"/>
        <v>#REF!</v>
      </c>
      <c r="AA32" s="202" t="e">
        <f t="shared" si="14"/>
        <v>#REF!</v>
      </c>
      <c r="AB32" s="201" t="e">
        <f t="shared" si="15"/>
        <v>#REF!</v>
      </c>
      <c r="AC32" s="201" t="e">
        <f t="shared" si="16"/>
        <v>#REF!</v>
      </c>
      <c r="AD32" s="201" t="e">
        <f t="shared" si="22"/>
        <v>#REF!</v>
      </c>
      <c r="AE32" s="201" t="e">
        <f t="shared" si="17"/>
        <v>#REF!</v>
      </c>
      <c r="AF32" s="201" t="e">
        <f t="shared" si="18"/>
        <v>#REF!</v>
      </c>
      <c r="AG32" s="201" t="e">
        <f t="shared" si="23"/>
        <v>#REF!</v>
      </c>
    </row>
    <row r="33" spans="2:33" x14ac:dyDescent="0.3">
      <c r="B33" s="179">
        <f t="shared" si="10"/>
        <v>16</v>
      </c>
      <c r="C33" s="180">
        <f t="shared" si="19"/>
        <v>30.4</v>
      </c>
      <c r="D33" s="165">
        <f>IF(B33="","",Simulador!$F$62)</f>
        <v>0.11</v>
      </c>
      <c r="E33" s="167"/>
      <c r="F33" s="167" t="e">
        <f t="shared" si="20"/>
        <v>#REF!</v>
      </c>
      <c r="G33" s="166"/>
      <c r="H33" s="167" t="e">
        <f t="shared" si="6"/>
        <v>#REF!</v>
      </c>
      <c r="I33" s="167" t="e">
        <f t="shared" si="7"/>
        <v>#REF!</v>
      </c>
      <c r="J33" s="167" t="e">
        <f t="shared" si="8"/>
        <v>#REF!</v>
      </c>
      <c r="K33" s="167" t="e">
        <f t="shared" si="21"/>
        <v>#REF!</v>
      </c>
      <c r="L33" s="167" t="e">
        <f>IF(B33="","",IF(F33=0,0,Simulador!$N$13*$J$2))</f>
        <v>#REF!</v>
      </c>
      <c r="M33" s="167" t="e">
        <f>IF(B33="","",IF(F33=0,0,IF(Simulador!$F$11='Tabla Parámetros'!$W$1,'Tabla Parámetros'!$W$28,IF(Simulador!$F$11='Tabla Parámetros'!$Y$1,'Tabla Parámetros'!$Y$12))))</f>
        <v>#REF!</v>
      </c>
      <c r="N33" s="167" t="e">
        <f>IF(B33="","",IF(F33=0,0,IF(Simulador!$N$7='Tabla Parámetros'!$C$31,AportPat!L19,0)))</f>
        <v>#REF!</v>
      </c>
      <c r="O33" s="167" t="e">
        <f>Simulador!#REF!</f>
        <v>#REF!</v>
      </c>
      <c r="P33" s="167" t="e">
        <f t="shared" si="11"/>
        <v>#REF!</v>
      </c>
      <c r="Q33" s="167" t="e">
        <f t="shared" si="12"/>
        <v>#REF!</v>
      </c>
      <c r="T33" s="6"/>
      <c r="U33" s="6"/>
      <c r="V33" s="6"/>
      <c r="W33" s="29" t="e">
        <f t="shared" si="0"/>
        <v>#REF!</v>
      </c>
      <c r="Y33" s="201" t="e">
        <f t="shared" si="9"/>
        <v>#REF!</v>
      </c>
      <c r="Z33" s="201" t="e">
        <f t="shared" si="13"/>
        <v>#REF!</v>
      </c>
      <c r="AA33" s="202" t="e">
        <f t="shared" si="14"/>
        <v>#REF!</v>
      </c>
      <c r="AB33" s="201" t="e">
        <f t="shared" si="15"/>
        <v>#REF!</v>
      </c>
      <c r="AC33" s="201" t="e">
        <f t="shared" si="16"/>
        <v>#REF!</v>
      </c>
      <c r="AD33" s="201" t="e">
        <f t="shared" si="22"/>
        <v>#REF!</v>
      </c>
      <c r="AE33" s="201" t="e">
        <f t="shared" si="17"/>
        <v>#REF!</v>
      </c>
      <c r="AF33" s="201" t="e">
        <f t="shared" si="18"/>
        <v>#REF!</v>
      </c>
      <c r="AG33" s="201" t="e">
        <f t="shared" si="23"/>
        <v>#REF!</v>
      </c>
    </row>
    <row r="34" spans="2:33" x14ac:dyDescent="0.3">
      <c r="B34" s="181">
        <f t="shared" si="10"/>
        <v>17</v>
      </c>
      <c r="C34" s="180">
        <f t="shared" si="19"/>
        <v>30.4</v>
      </c>
      <c r="D34" s="165">
        <f>IF(B34="","",Simulador!$F$62)</f>
        <v>0.11</v>
      </c>
      <c r="E34" s="167"/>
      <c r="F34" s="167" t="e">
        <f t="shared" si="20"/>
        <v>#REF!</v>
      </c>
      <c r="G34" s="166"/>
      <c r="H34" s="167" t="e">
        <f t="shared" si="6"/>
        <v>#REF!</v>
      </c>
      <c r="I34" s="167" t="e">
        <f t="shared" si="7"/>
        <v>#REF!</v>
      </c>
      <c r="J34" s="167" t="e">
        <f t="shared" si="8"/>
        <v>#REF!</v>
      </c>
      <c r="K34" s="167" t="e">
        <f t="shared" si="21"/>
        <v>#REF!</v>
      </c>
      <c r="L34" s="167" t="e">
        <f>IF(B34="","",IF(F34=0,0,Simulador!$N$13*$J$2))</f>
        <v>#REF!</v>
      </c>
      <c r="M34" s="167" t="e">
        <f>IF(B34="","",IF(F34=0,0,IF(Simulador!$F$11='Tabla Parámetros'!$W$1,'Tabla Parámetros'!$W$28,IF(Simulador!$F$11='Tabla Parámetros'!$Y$1,'Tabla Parámetros'!$Y$12))))</f>
        <v>#REF!</v>
      </c>
      <c r="N34" s="167" t="e">
        <f>IF(B34="","",IF(F34=0,0,IF(Simulador!$N$7='Tabla Parámetros'!$C$31,AportPat!L20,0)))</f>
        <v>#REF!</v>
      </c>
      <c r="O34" s="167" t="e">
        <f>Simulador!#REF!</f>
        <v>#REF!</v>
      </c>
      <c r="P34" s="167" t="e">
        <f t="shared" si="11"/>
        <v>#REF!</v>
      </c>
      <c r="Q34" s="167" t="e">
        <f t="shared" si="12"/>
        <v>#REF!</v>
      </c>
      <c r="T34" s="6"/>
      <c r="U34" s="6"/>
      <c r="V34" s="6"/>
      <c r="W34" s="29" t="e">
        <f t="shared" si="0"/>
        <v>#REF!</v>
      </c>
      <c r="Y34" s="201" t="e">
        <f t="shared" si="9"/>
        <v>#REF!</v>
      </c>
      <c r="Z34" s="201" t="e">
        <f t="shared" si="13"/>
        <v>#REF!</v>
      </c>
      <c r="AA34" s="202" t="e">
        <f t="shared" si="14"/>
        <v>#REF!</v>
      </c>
      <c r="AB34" s="201" t="e">
        <f t="shared" si="15"/>
        <v>#REF!</v>
      </c>
      <c r="AC34" s="201" t="e">
        <f t="shared" si="16"/>
        <v>#REF!</v>
      </c>
      <c r="AD34" s="201" t="e">
        <f t="shared" si="22"/>
        <v>#REF!</v>
      </c>
      <c r="AE34" s="201" t="e">
        <f t="shared" si="17"/>
        <v>#REF!</v>
      </c>
      <c r="AF34" s="201" t="e">
        <f t="shared" si="18"/>
        <v>#REF!</v>
      </c>
      <c r="AG34" s="201" t="e">
        <f t="shared" si="23"/>
        <v>#REF!</v>
      </c>
    </row>
    <row r="35" spans="2:33" x14ac:dyDescent="0.3">
      <c r="B35" s="179">
        <f t="shared" si="10"/>
        <v>18</v>
      </c>
      <c r="C35" s="180">
        <f t="shared" si="19"/>
        <v>30.4</v>
      </c>
      <c r="D35" s="165">
        <f>IF(B35="","",Simulador!$F$62)</f>
        <v>0.11</v>
      </c>
      <c r="E35" s="167"/>
      <c r="F35" s="167" t="e">
        <f t="shared" si="20"/>
        <v>#REF!</v>
      </c>
      <c r="G35" s="166"/>
      <c r="H35" s="167" t="e">
        <f t="shared" si="6"/>
        <v>#REF!</v>
      </c>
      <c r="I35" s="167" t="e">
        <f t="shared" si="7"/>
        <v>#REF!</v>
      </c>
      <c r="J35" s="167" t="e">
        <f t="shared" si="8"/>
        <v>#REF!</v>
      </c>
      <c r="K35" s="167" t="e">
        <f t="shared" si="21"/>
        <v>#REF!</v>
      </c>
      <c r="L35" s="167" t="e">
        <f>IF(B35="","",IF(F35=0,0,Simulador!$N$13*$J$2))</f>
        <v>#REF!</v>
      </c>
      <c r="M35" s="167" t="e">
        <f>IF(B35="","",IF(F35=0,0,IF(Simulador!$F$11='Tabla Parámetros'!$W$1,'Tabla Parámetros'!$W$28,IF(Simulador!$F$11='Tabla Parámetros'!$Y$1,'Tabla Parámetros'!$Y$12))))</f>
        <v>#REF!</v>
      </c>
      <c r="N35" s="167" t="e">
        <f>IF(B35="","",IF(F35=0,0,IF(Simulador!$N$7='Tabla Parámetros'!$C$31,AportPat!L21,0)))</f>
        <v>#REF!</v>
      </c>
      <c r="O35" s="167" t="e">
        <f>Simulador!#REF!</f>
        <v>#REF!</v>
      </c>
      <c r="P35" s="167" t="e">
        <f t="shared" si="11"/>
        <v>#REF!</v>
      </c>
      <c r="Q35" s="167" t="e">
        <f t="shared" si="12"/>
        <v>#REF!</v>
      </c>
      <c r="T35" s="6"/>
      <c r="U35" s="6"/>
      <c r="V35" s="6"/>
      <c r="W35" s="29" t="e">
        <f t="shared" si="0"/>
        <v>#REF!</v>
      </c>
      <c r="Y35" s="201" t="e">
        <f t="shared" si="9"/>
        <v>#REF!</v>
      </c>
      <c r="Z35" s="201" t="e">
        <f t="shared" si="13"/>
        <v>#REF!</v>
      </c>
      <c r="AA35" s="202" t="e">
        <f t="shared" si="14"/>
        <v>#REF!</v>
      </c>
      <c r="AB35" s="201" t="e">
        <f t="shared" si="15"/>
        <v>#REF!</v>
      </c>
      <c r="AC35" s="201" t="e">
        <f t="shared" si="16"/>
        <v>#REF!</v>
      </c>
      <c r="AD35" s="201" t="e">
        <f t="shared" si="22"/>
        <v>#REF!</v>
      </c>
      <c r="AE35" s="201" t="e">
        <f t="shared" si="17"/>
        <v>#REF!</v>
      </c>
      <c r="AF35" s="201" t="e">
        <f t="shared" si="18"/>
        <v>#REF!</v>
      </c>
      <c r="AG35" s="201" t="e">
        <f t="shared" si="23"/>
        <v>#REF!</v>
      </c>
    </row>
    <row r="36" spans="2:33" x14ac:dyDescent="0.3">
      <c r="B36" s="179">
        <f t="shared" si="10"/>
        <v>19</v>
      </c>
      <c r="C36" s="180">
        <f t="shared" si="19"/>
        <v>30.4</v>
      </c>
      <c r="D36" s="165">
        <f>IF(B36="","",Simulador!$F$62)</f>
        <v>0.11</v>
      </c>
      <c r="E36" s="167"/>
      <c r="F36" s="167" t="e">
        <f t="shared" si="20"/>
        <v>#REF!</v>
      </c>
      <c r="G36" s="166"/>
      <c r="H36" s="167" t="e">
        <f t="shared" si="6"/>
        <v>#REF!</v>
      </c>
      <c r="I36" s="167" t="e">
        <f t="shared" si="7"/>
        <v>#REF!</v>
      </c>
      <c r="J36" s="167" t="e">
        <f t="shared" si="8"/>
        <v>#REF!</v>
      </c>
      <c r="K36" s="167" t="e">
        <f t="shared" si="21"/>
        <v>#REF!</v>
      </c>
      <c r="L36" s="167" t="e">
        <f>IF(B36="","",IF(F36=0,0,Simulador!$N$13*$J$2))</f>
        <v>#REF!</v>
      </c>
      <c r="M36" s="167" t="e">
        <f>IF(B36="","",IF(F36=0,0,IF(Simulador!$F$11='Tabla Parámetros'!$W$1,'Tabla Parámetros'!$W$28,IF(Simulador!$F$11='Tabla Parámetros'!$Y$1,'Tabla Parámetros'!$Y$12))))</f>
        <v>#REF!</v>
      </c>
      <c r="N36" s="167" t="e">
        <f>IF(B36="","",IF(F36=0,0,IF(Simulador!$N$7='Tabla Parámetros'!$C$31,AportPat!L22,0)))</f>
        <v>#REF!</v>
      </c>
      <c r="O36" s="167" t="e">
        <f>Simulador!#REF!</f>
        <v>#REF!</v>
      </c>
      <c r="P36" s="167" t="e">
        <f t="shared" si="11"/>
        <v>#REF!</v>
      </c>
      <c r="Q36" s="167" t="e">
        <f t="shared" si="12"/>
        <v>#REF!</v>
      </c>
      <c r="T36" s="6"/>
      <c r="U36" s="6"/>
      <c r="V36" s="6"/>
      <c r="W36" s="29" t="e">
        <f t="shared" si="0"/>
        <v>#REF!</v>
      </c>
      <c r="Y36" s="201" t="e">
        <f t="shared" si="9"/>
        <v>#REF!</v>
      </c>
      <c r="Z36" s="201" t="e">
        <f t="shared" si="13"/>
        <v>#REF!</v>
      </c>
      <c r="AA36" s="202" t="e">
        <f t="shared" si="14"/>
        <v>#REF!</v>
      </c>
      <c r="AB36" s="201" t="e">
        <f t="shared" si="15"/>
        <v>#REF!</v>
      </c>
      <c r="AC36" s="201" t="e">
        <f t="shared" si="16"/>
        <v>#REF!</v>
      </c>
      <c r="AD36" s="201" t="e">
        <f t="shared" si="22"/>
        <v>#REF!</v>
      </c>
      <c r="AE36" s="201" t="e">
        <f t="shared" si="17"/>
        <v>#REF!</v>
      </c>
      <c r="AF36" s="201" t="e">
        <f t="shared" si="18"/>
        <v>#REF!</v>
      </c>
      <c r="AG36" s="201" t="e">
        <f t="shared" si="23"/>
        <v>#REF!</v>
      </c>
    </row>
    <row r="37" spans="2:33" x14ac:dyDescent="0.3">
      <c r="B37" s="179">
        <f t="shared" si="10"/>
        <v>20</v>
      </c>
      <c r="C37" s="180">
        <f t="shared" si="19"/>
        <v>30.4</v>
      </c>
      <c r="D37" s="165">
        <f>IF(B37="","",Simulador!$F$62)</f>
        <v>0.11</v>
      </c>
      <c r="E37" s="167"/>
      <c r="F37" s="167" t="e">
        <f t="shared" si="20"/>
        <v>#REF!</v>
      </c>
      <c r="G37" s="166"/>
      <c r="H37" s="167" t="e">
        <f t="shared" si="6"/>
        <v>#REF!</v>
      </c>
      <c r="I37" s="167" t="e">
        <f t="shared" si="7"/>
        <v>#REF!</v>
      </c>
      <c r="J37" s="167" t="e">
        <f t="shared" si="8"/>
        <v>#REF!</v>
      </c>
      <c r="K37" s="167" t="e">
        <f t="shared" si="21"/>
        <v>#REF!</v>
      </c>
      <c r="L37" s="167" t="e">
        <f>IF(B37="","",IF(F37=0,0,Simulador!$N$13*$J$2))</f>
        <v>#REF!</v>
      </c>
      <c r="M37" s="167" t="e">
        <f>IF(B37="","",IF(F37=0,0,IF(Simulador!$F$11='Tabla Parámetros'!$W$1,'Tabla Parámetros'!$W$28,IF(Simulador!$F$11='Tabla Parámetros'!$Y$1,'Tabla Parámetros'!$Y$12))))</f>
        <v>#REF!</v>
      </c>
      <c r="N37" s="167" t="e">
        <f>IF(B37="","",IF(F37=0,0,IF(Simulador!$N$7='Tabla Parámetros'!$C$31,AportPat!L23,0)))</f>
        <v>#REF!</v>
      </c>
      <c r="O37" s="167" t="e">
        <f>Simulador!#REF!</f>
        <v>#REF!</v>
      </c>
      <c r="P37" s="167" t="e">
        <f t="shared" si="11"/>
        <v>#REF!</v>
      </c>
      <c r="Q37" s="167" t="e">
        <f t="shared" si="12"/>
        <v>#REF!</v>
      </c>
      <c r="T37" s="6"/>
      <c r="U37" s="6"/>
      <c r="V37" s="6"/>
      <c r="W37" s="29" t="e">
        <f t="shared" si="0"/>
        <v>#REF!</v>
      </c>
      <c r="Y37" s="201" t="e">
        <f t="shared" si="9"/>
        <v>#REF!</v>
      </c>
      <c r="Z37" s="201" t="e">
        <f t="shared" si="13"/>
        <v>#REF!</v>
      </c>
      <c r="AA37" s="202" t="e">
        <f t="shared" si="14"/>
        <v>#REF!</v>
      </c>
      <c r="AB37" s="201" t="e">
        <f t="shared" si="15"/>
        <v>#REF!</v>
      </c>
      <c r="AC37" s="201" t="e">
        <f t="shared" si="16"/>
        <v>#REF!</v>
      </c>
      <c r="AD37" s="201" t="e">
        <f t="shared" si="22"/>
        <v>#REF!</v>
      </c>
      <c r="AE37" s="201" t="e">
        <f t="shared" si="17"/>
        <v>#REF!</v>
      </c>
      <c r="AF37" s="201" t="e">
        <f t="shared" si="18"/>
        <v>#REF!</v>
      </c>
      <c r="AG37" s="201" t="e">
        <f t="shared" si="23"/>
        <v>#REF!</v>
      </c>
    </row>
    <row r="38" spans="2:33" x14ac:dyDescent="0.3">
      <c r="B38" s="181">
        <f t="shared" si="10"/>
        <v>21</v>
      </c>
      <c r="C38" s="180">
        <f t="shared" si="19"/>
        <v>30.4</v>
      </c>
      <c r="D38" s="165">
        <f>IF(B38="","",Simulador!$F$62)</f>
        <v>0.11</v>
      </c>
      <c r="E38" s="167"/>
      <c r="F38" s="167" t="e">
        <f t="shared" si="20"/>
        <v>#REF!</v>
      </c>
      <c r="G38" s="166"/>
      <c r="H38" s="167" t="e">
        <f t="shared" si="6"/>
        <v>#REF!</v>
      </c>
      <c r="I38" s="167" t="e">
        <f t="shared" si="7"/>
        <v>#REF!</v>
      </c>
      <c r="J38" s="167" t="e">
        <f t="shared" si="8"/>
        <v>#REF!</v>
      </c>
      <c r="K38" s="167" t="e">
        <f t="shared" si="21"/>
        <v>#REF!</v>
      </c>
      <c r="L38" s="167" t="e">
        <f>IF(B38="","",IF(F38=0,0,Simulador!$N$13*$J$2))</f>
        <v>#REF!</v>
      </c>
      <c r="M38" s="167" t="e">
        <f>IF(B38="","",IF(F38=0,0,IF(Simulador!$F$11='Tabla Parámetros'!$W$1,'Tabla Parámetros'!$W$28,IF(Simulador!$F$11='Tabla Parámetros'!$Y$1,'Tabla Parámetros'!$Y$12))))</f>
        <v>#REF!</v>
      </c>
      <c r="N38" s="167" t="e">
        <f>IF(B38="","",IF(F38=0,0,IF(Simulador!$N$7='Tabla Parámetros'!$C$31,AportPat!L24,0)))</f>
        <v>#REF!</v>
      </c>
      <c r="O38" s="167" t="e">
        <f>Simulador!#REF!</f>
        <v>#REF!</v>
      </c>
      <c r="P38" s="167" t="e">
        <f t="shared" si="11"/>
        <v>#REF!</v>
      </c>
      <c r="Q38" s="167" t="e">
        <f t="shared" si="12"/>
        <v>#REF!</v>
      </c>
      <c r="T38" s="6"/>
      <c r="U38" s="6"/>
      <c r="V38" s="6"/>
      <c r="W38" s="29" t="e">
        <f t="shared" si="0"/>
        <v>#REF!</v>
      </c>
      <c r="Y38" s="201" t="e">
        <f t="shared" si="9"/>
        <v>#REF!</v>
      </c>
      <c r="Z38" s="201" t="e">
        <f t="shared" si="13"/>
        <v>#REF!</v>
      </c>
      <c r="AA38" s="202" t="e">
        <f t="shared" si="14"/>
        <v>#REF!</v>
      </c>
      <c r="AB38" s="201" t="e">
        <f t="shared" si="15"/>
        <v>#REF!</v>
      </c>
      <c r="AC38" s="201" t="e">
        <f t="shared" si="16"/>
        <v>#REF!</v>
      </c>
      <c r="AD38" s="201" t="e">
        <f t="shared" si="22"/>
        <v>#REF!</v>
      </c>
      <c r="AE38" s="201" t="e">
        <f t="shared" si="17"/>
        <v>#REF!</v>
      </c>
      <c r="AF38" s="201" t="e">
        <f t="shared" si="18"/>
        <v>#REF!</v>
      </c>
      <c r="AG38" s="201" t="e">
        <f t="shared" si="23"/>
        <v>#REF!</v>
      </c>
    </row>
    <row r="39" spans="2:33" x14ac:dyDescent="0.3">
      <c r="B39" s="179">
        <f t="shared" si="10"/>
        <v>22</v>
      </c>
      <c r="C39" s="180">
        <f t="shared" si="19"/>
        <v>30.4</v>
      </c>
      <c r="D39" s="165">
        <f>IF(B39="","",Simulador!$F$62)</f>
        <v>0.11</v>
      </c>
      <c r="E39" s="167"/>
      <c r="F39" s="167" t="e">
        <f t="shared" si="20"/>
        <v>#REF!</v>
      </c>
      <c r="G39" s="166"/>
      <c r="H39" s="167" t="e">
        <f t="shared" si="6"/>
        <v>#REF!</v>
      </c>
      <c r="I39" s="167" t="e">
        <f t="shared" si="7"/>
        <v>#REF!</v>
      </c>
      <c r="J39" s="167" t="e">
        <f t="shared" si="8"/>
        <v>#REF!</v>
      </c>
      <c r="K39" s="167" t="e">
        <f t="shared" si="21"/>
        <v>#REF!</v>
      </c>
      <c r="L39" s="167" t="e">
        <f>IF(B39="","",IF(F39=0,0,Simulador!$N$13*$J$2))</f>
        <v>#REF!</v>
      </c>
      <c r="M39" s="167" t="e">
        <f>IF(B39="","",IF(F39=0,0,IF(Simulador!$F$11='Tabla Parámetros'!$W$1,'Tabla Parámetros'!$W$28,IF(Simulador!$F$11='Tabla Parámetros'!$Y$1,'Tabla Parámetros'!$Y$12))))</f>
        <v>#REF!</v>
      </c>
      <c r="N39" s="167" t="e">
        <f>IF(B39="","",IF(F39=0,0,IF(Simulador!$N$7='Tabla Parámetros'!$C$31,AportPat!L25,0)))</f>
        <v>#REF!</v>
      </c>
      <c r="O39" s="167" t="e">
        <f>Simulador!#REF!</f>
        <v>#REF!</v>
      </c>
      <c r="P39" s="167" t="e">
        <f t="shared" si="11"/>
        <v>#REF!</v>
      </c>
      <c r="Q39" s="167" t="e">
        <f t="shared" si="12"/>
        <v>#REF!</v>
      </c>
      <c r="T39" s="6"/>
      <c r="U39" s="6"/>
      <c r="V39" s="6"/>
      <c r="W39" s="29" t="e">
        <f t="shared" si="0"/>
        <v>#REF!</v>
      </c>
      <c r="Y39" s="201" t="e">
        <f t="shared" si="9"/>
        <v>#REF!</v>
      </c>
      <c r="Z39" s="201" t="e">
        <f t="shared" si="13"/>
        <v>#REF!</v>
      </c>
      <c r="AA39" s="202" t="e">
        <f t="shared" si="14"/>
        <v>#REF!</v>
      </c>
      <c r="AB39" s="201" t="e">
        <f t="shared" si="15"/>
        <v>#REF!</v>
      </c>
      <c r="AC39" s="201" t="e">
        <f t="shared" si="16"/>
        <v>#REF!</v>
      </c>
      <c r="AD39" s="201" t="e">
        <f t="shared" si="22"/>
        <v>#REF!</v>
      </c>
      <c r="AE39" s="201" t="e">
        <f t="shared" si="17"/>
        <v>#REF!</v>
      </c>
      <c r="AF39" s="201" t="e">
        <f t="shared" si="18"/>
        <v>#REF!</v>
      </c>
      <c r="AG39" s="201" t="e">
        <f t="shared" si="23"/>
        <v>#REF!</v>
      </c>
    </row>
    <row r="40" spans="2:33" x14ac:dyDescent="0.3">
      <c r="B40" s="179">
        <f t="shared" si="10"/>
        <v>23</v>
      </c>
      <c r="C40" s="180">
        <f t="shared" si="19"/>
        <v>30.4</v>
      </c>
      <c r="D40" s="165">
        <f>IF(B40="","",Simulador!$F$62)</f>
        <v>0.11</v>
      </c>
      <c r="E40" s="167"/>
      <c r="F40" s="167" t="e">
        <f t="shared" si="20"/>
        <v>#REF!</v>
      </c>
      <c r="G40" s="166"/>
      <c r="H40" s="167" t="e">
        <f t="shared" si="6"/>
        <v>#REF!</v>
      </c>
      <c r="I40" s="167" t="e">
        <f t="shared" si="7"/>
        <v>#REF!</v>
      </c>
      <c r="J40" s="167" t="e">
        <f t="shared" si="8"/>
        <v>#REF!</v>
      </c>
      <c r="K40" s="167" t="e">
        <f t="shared" si="21"/>
        <v>#REF!</v>
      </c>
      <c r="L40" s="167" t="e">
        <f>IF(B40="","",IF(F40=0,0,Simulador!$N$13*$J$2))</f>
        <v>#REF!</v>
      </c>
      <c r="M40" s="167" t="e">
        <f>IF(B40="","",IF(F40=0,0,IF(Simulador!$F$11='Tabla Parámetros'!$W$1,'Tabla Parámetros'!$W$28,IF(Simulador!$F$11='Tabla Parámetros'!$Y$1,'Tabla Parámetros'!$Y$12))))</f>
        <v>#REF!</v>
      </c>
      <c r="N40" s="167" t="e">
        <f>IF(B40="","",IF(F40=0,0,IF(Simulador!$N$7='Tabla Parámetros'!$C$31,AportPat!L26,0)))</f>
        <v>#REF!</v>
      </c>
      <c r="O40" s="167" t="e">
        <f>Simulador!#REF!</f>
        <v>#REF!</v>
      </c>
      <c r="P40" s="167" t="e">
        <f t="shared" si="11"/>
        <v>#REF!</v>
      </c>
      <c r="Q40" s="167" t="e">
        <f t="shared" si="12"/>
        <v>#REF!</v>
      </c>
      <c r="T40" s="6"/>
      <c r="U40" s="6"/>
      <c r="V40" s="6"/>
      <c r="W40" s="29" t="e">
        <f t="shared" si="0"/>
        <v>#REF!</v>
      </c>
      <c r="Y40" s="201" t="e">
        <f t="shared" si="9"/>
        <v>#REF!</v>
      </c>
      <c r="Z40" s="201" t="e">
        <f t="shared" si="13"/>
        <v>#REF!</v>
      </c>
      <c r="AA40" s="202" t="e">
        <f t="shared" si="14"/>
        <v>#REF!</v>
      </c>
      <c r="AB40" s="201" t="e">
        <f t="shared" si="15"/>
        <v>#REF!</v>
      </c>
      <c r="AC40" s="201" t="e">
        <f t="shared" si="16"/>
        <v>#REF!</v>
      </c>
      <c r="AD40" s="201" t="e">
        <f t="shared" si="22"/>
        <v>#REF!</v>
      </c>
      <c r="AE40" s="201" t="e">
        <f t="shared" si="17"/>
        <v>#REF!</v>
      </c>
      <c r="AF40" s="201" t="e">
        <f t="shared" si="18"/>
        <v>#REF!</v>
      </c>
      <c r="AG40" s="201" t="e">
        <f t="shared" si="23"/>
        <v>#REF!</v>
      </c>
    </row>
    <row r="41" spans="2:33" x14ac:dyDescent="0.3">
      <c r="B41" s="179">
        <f t="shared" si="10"/>
        <v>24</v>
      </c>
      <c r="C41" s="180">
        <f t="shared" si="19"/>
        <v>30.4</v>
      </c>
      <c r="D41" s="165">
        <f>IF(B41="","",Simulador!$F$62)</f>
        <v>0.11</v>
      </c>
      <c r="E41" s="167"/>
      <c r="F41" s="167" t="e">
        <f t="shared" si="20"/>
        <v>#REF!</v>
      </c>
      <c r="G41" s="166"/>
      <c r="H41" s="167" t="e">
        <f t="shared" si="6"/>
        <v>#REF!</v>
      </c>
      <c r="I41" s="167" t="e">
        <f t="shared" si="7"/>
        <v>#REF!</v>
      </c>
      <c r="J41" s="167" t="e">
        <f t="shared" si="8"/>
        <v>#REF!</v>
      </c>
      <c r="K41" s="167" t="e">
        <f t="shared" si="21"/>
        <v>#REF!</v>
      </c>
      <c r="L41" s="167" t="e">
        <f>IF(B41="","",IF(F41=0,0,Simulador!$N$13*$J$2))</f>
        <v>#REF!</v>
      </c>
      <c r="M41" s="167" t="e">
        <f>IF(B41="","",IF(F41=0,0,IF(Simulador!$F$11='Tabla Parámetros'!$W$1,'Tabla Parámetros'!$W$28,IF(Simulador!$F$11='Tabla Parámetros'!$Y$1,'Tabla Parámetros'!$Y$12))))</f>
        <v>#REF!</v>
      </c>
      <c r="N41" s="167" t="e">
        <f>IF(B41="","",IF(F41=0,0,IF(Simulador!$N$7='Tabla Parámetros'!$C$31,AportPat!L27,0)))</f>
        <v>#REF!</v>
      </c>
      <c r="O41" s="167" t="e">
        <f>Simulador!#REF!</f>
        <v>#REF!</v>
      </c>
      <c r="P41" s="167" t="e">
        <f t="shared" si="11"/>
        <v>#REF!</v>
      </c>
      <c r="Q41" s="167" t="e">
        <f t="shared" si="12"/>
        <v>#REF!</v>
      </c>
      <c r="T41" s="6"/>
      <c r="U41" s="6"/>
      <c r="V41" s="6"/>
      <c r="W41" s="29" t="e">
        <f t="shared" si="0"/>
        <v>#REF!</v>
      </c>
      <c r="Y41" s="201" t="e">
        <f t="shared" si="9"/>
        <v>#REF!</v>
      </c>
      <c r="Z41" s="201" t="e">
        <f t="shared" si="13"/>
        <v>#REF!</v>
      </c>
      <c r="AA41" s="202" t="e">
        <f t="shared" si="14"/>
        <v>#REF!</v>
      </c>
      <c r="AB41" s="201" t="e">
        <f t="shared" si="15"/>
        <v>#REF!</v>
      </c>
      <c r="AC41" s="201" t="e">
        <f t="shared" si="16"/>
        <v>#REF!</v>
      </c>
      <c r="AD41" s="201" t="e">
        <f t="shared" si="22"/>
        <v>#REF!</v>
      </c>
      <c r="AE41" s="201" t="e">
        <f t="shared" si="17"/>
        <v>#REF!</v>
      </c>
      <c r="AF41" s="201" t="e">
        <f t="shared" si="18"/>
        <v>#REF!</v>
      </c>
      <c r="AG41" s="201" t="e">
        <f t="shared" si="23"/>
        <v>#REF!</v>
      </c>
    </row>
    <row r="42" spans="2:33" x14ac:dyDescent="0.3">
      <c r="B42" s="181">
        <f t="shared" si="10"/>
        <v>25</v>
      </c>
      <c r="C42" s="180">
        <f t="shared" si="19"/>
        <v>30.4</v>
      </c>
      <c r="D42" s="165">
        <f>IF(B42="","",Simulador!$F$62)</f>
        <v>0.11</v>
      </c>
      <c r="E42" s="167"/>
      <c r="F42" s="167" t="e">
        <f t="shared" si="20"/>
        <v>#REF!</v>
      </c>
      <c r="G42" s="166"/>
      <c r="H42" s="167" t="e">
        <f t="shared" si="6"/>
        <v>#REF!</v>
      </c>
      <c r="I42" s="167" t="e">
        <f t="shared" si="7"/>
        <v>#REF!</v>
      </c>
      <c r="J42" s="167" t="e">
        <f t="shared" si="8"/>
        <v>#REF!</v>
      </c>
      <c r="K42" s="167" t="e">
        <f t="shared" si="21"/>
        <v>#REF!</v>
      </c>
      <c r="L42" s="167" t="e">
        <f>IF(B42="","",IF(F42=0,0,Simulador!$N$13*$J$2))</f>
        <v>#REF!</v>
      </c>
      <c r="M42" s="167" t="e">
        <f>IF(B42="","",IF(F42=0,0,IF(Simulador!$F$11='Tabla Parámetros'!$W$1,'Tabla Parámetros'!$W$28,IF(Simulador!$F$11='Tabla Parámetros'!$Y$1,'Tabla Parámetros'!$Y$12))))</f>
        <v>#REF!</v>
      </c>
      <c r="N42" s="167" t="e">
        <f>IF(B42="","",IF(F42=0,0,IF(Simulador!$N$7='Tabla Parámetros'!$C$31,AportPat!L28,0)))</f>
        <v>#REF!</v>
      </c>
      <c r="O42" s="167" t="e">
        <f>Simulador!#REF!</f>
        <v>#REF!</v>
      </c>
      <c r="P42" s="167" t="e">
        <f t="shared" si="11"/>
        <v>#REF!</v>
      </c>
      <c r="Q42" s="167" t="e">
        <f t="shared" si="12"/>
        <v>#REF!</v>
      </c>
      <c r="T42" s="6"/>
      <c r="U42" s="6"/>
      <c r="V42" s="6"/>
      <c r="W42" s="29" t="e">
        <f t="shared" si="0"/>
        <v>#REF!</v>
      </c>
      <c r="Y42" s="201" t="e">
        <f t="shared" si="9"/>
        <v>#REF!</v>
      </c>
      <c r="Z42" s="201" t="e">
        <f t="shared" si="13"/>
        <v>#REF!</v>
      </c>
      <c r="AA42" s="202" t="e">
        <f t="shared" si="14"/>
        <v>#REF!</v>
      </c>
      <c r="AB42" s="201" t="e">
        <f t="shared" si="15"/>
        <v>#REF!</v>
      </c>
      <c r="AC42" s="201" t="e">
        <f t="shared" si="16"/>
        <v>#REF!</v>
      </c>
      <c r="AD42" s="201" t="e">
        <f t="shared" si="22"/>
        <v>#REF!</v>
      </c>
      <c r="AE42" s="201" t="e">
        <f t="shared" si="17"/>
        <v>#REF!</v>
      </c>
      <c r="AF42" s="201" t="e">
        <f t="shared" si="18"/>
        <v>#REF!</v>
      </c>
      <c r="AG42" s="201" t="e">
        <f t="shared" si="23"/>
        <v>#REF!</v>
      </c>
    </row>
    <row r="43" spans="2:33" x14ac:dyDescent="0.3">
      <c r="B43" s="179">
        <f t="shared" si="10"/>
        <v>26</v>
      </c>
      <c r="C43" s="180">
        <f t="shared" si="19"/>
        <v>30.4</v>
      </c>
      <c r="D43" s="165">
        <f>IF(B43="","",Simulador!$F$62)</f>
        <v>0.11</v>
      </c>
      <c r="E43" s="167"/>
      <c r="F43" s="167" t="e">
        <f t="shared" si="20"/>
        <v>#REF!</v>
      </c>
      <c r="G43" s="166"/>
      <c r="H43" s="167" t="e">
        <f t="shared" si="6"/>
        <v>#REF!</v>
      </c>
      <c r="I43" s="167" t="e">
        <f t="shared" si="7"/>
        <v>#REF!</v>
      </c>
      <c r="J43" s="167" t="e">
        <f t="shared" si="8"/>
        <v>#REF!</v>
      </c>
      <c r="K43" s="167" t="e">
        <f t="shared" si="21"/>
        <v>#REF!</v>
      </c>
      <c r="L43" s="167" t="e">
        <f>IF(B43="","",IF(F43=0,0,Simulador!$N$13*$J$2))</f>
        <v>#REF!</v>
      </c>
      <c r="M43" s="167" t="e">
        <f>IF(B43="","",IF(F43=0,0,IF(Simulador!$F$11='Tabla Parámetros'!$W$1,'Tabla Parámetros'!$W$28,IF(Simulador!$F$11='Tabla Parámetros'!$Y$1,'Tabla Parámetros'!$Y$12))))</f>
        <v>#REF!</v>
      </c>
      <c r="N43" s="167" t="e">
        <f>IF(B43="","",IF(F43=0,0,IF(Simulador!$N$7='Tabla Parámetros'!$C$31,AportPat!L29,0)))</f>
        <v>#REF!</v>
      </c>
      <c r="O43" s="167" t="e">
        <f>Simulador!#REF!</f>
        <v>#REF!</v>
      </c>
      <c r="P43" s="167" t="e">
        <f t="shared" si="11"/>
        <v>#REF!</v>
      </c>
      <c r="Q43" s="167" t="e">
        <f t="shared" si="12"/>
        <v>#REF!</v>
      </c>
      <c r="T43" s="6"/>
      <c r="U43" s="6"/>
      <c r="V43" s="6"/>
      <c r="W43" s="29" t="e">
        <f t="shared" si="0"/>
        <v>#REF!</v>
      </c>
      <c r="Y43" s="201" t="e">
        <f t="shared" si="9"/>
        <v>#REF!</v>
      </c>
      <c r="Z43" s="201" t="e">
        <f t="shared" si="13"/>
        <v>#REF!</v>
      </c>
      <c r="AA43" s="202" t="e">
        <f t="shared" si="14"/>
        <v>#REF!</v>
      </c>
      <c r="AB43" s="201" t="e">
        <f t="shared" si="15"/>
        <v>#REF!</v>
      </c>
      <c r="AC43" s="201" t="e">
        <f t="shared" si="16"/>
        <v>#REF!</v>
      </c>
      <c r="AD43" s="201" t="e">
        <f t="shared" si="22"/>
        <v>#REF!</v>
      </c>
      <c r="AE43" s="201" t="e">
        <f t="shared" si="17"/>
        <v>#REF!</v>
      </c>
      <c r="AF43" s="201" t="e">
        <f t="shared" si="18"/>
        <v>#REF!</v>
      </c>
      <c r="AG43" s="201" t="e">
        <f t="shared" si="23"/>
        <v>#REF!</v>
      </c>
    </row>
    <row r="44" spans="2:33" x14ac:dyDescent="0.3">
      <c r="B44" s="179">
        <f t="shared" si="10"/>
        <v>27</v>
      </c>
      <c r="C44" s="180">
        <f t="shared" si="19"/>
        <v>30.4</v>
      </c>
      <c r="D44" s="165">
        <f>IF(B44="","",Simulador!$F$62)</f>
        <v>0.11</v>
      </c>
      <c r="E44" s="167"/>
      <c r="F44" s="167" t="e">
        <f t="shared" si="20"/>
        <v>#REF!</v>
      </c>
      <c r="G44" s="166"/>
      <c r="H44" s="167" t="e">
        <f t="shared" si="6"/>
        <v>#REF!</v>
      </c>
      <c r="I44" s="167" t="e">
        <f t="shared" si="7"/>
        <v>#REF!</v>
      </c>
      <c r="J44" s="167" t="e">
        <f t="shared" si="8"/>
        <v>#REF!</v>
      </c>
      <c r="K44" s="167" t="e">
        <f t="shared" si="21"/>
        <v>#REF!</v>
      </c>
      <c r="L44" s="167" t="e">
        <f>IF(B44="","",IF(F44=0,0,Simulador!$N$13*$J$2))</f>
        <v>#REF!</v>
      </c>
      <c r="M44" s="167" t="e">
        <f>IF(B44="","",IF(F44=0,0,IF(Simulador!$F$11='Tabla Parámetros'!$W$1,'Tabla Parámetros'!$W$28,IF(Simulador!$F$11='Tabla Parámetros'!$Y$1,'Tabla Parámetros'!$Y$12))))</f>
        <v>#REF!</v>
      </c>
      <c r="N44" s="167" t="e">
        <f>IF(B44="","",IF(F44=0,0,IF(Simulador!$N$7='Tabla Parámetros'!$C$31,AportPat!L30,0)))</f>
        <v>#REF!</v>
      </c>
      <c r="O44" s="167" t="e">
        <f>Simulador!#REF!</f>
        <v>#REF!</v>
      </c>
      <c r="P44" s="167" t="e">
        <f t="shared" si="11"/>
        <v>#REF!</v>
      </c>
      <c r="Q44" s="167" t="e">
        <f t="shared" si="12"/>
        <v>#REF!</v>
      </c>
      <c r="T44" s="6"/>
      <c r="U44" s="6"/>
      <c r="V44" s="6"/>
      <c r="W44" s="29" t="e">
        <f t="shared" si="0"/>
        <v>#REF!</v>
      </c>
      <c r="Y44" s="201" t="e">
        <f t="shared" si="9"/>
        <v>#REF!</v>
      </c>
      <c r="Z44" s="201" t="e">
        <f t="shared" si="13"/>
        <v>#REF!</v>
      </c>
      <c r="AA44" s="202" t="e">
        <f t="shared" si="14"/>
        <v>#REF!</v>
      </c>
      <c r="AB44" s="201" t="e">
        <f t="shared" si="15"/>
        <v>#REF!</v>
      </c>
      <c r="AC44" s="201" t="e">
        <f t="shared" si="16"/>
        <v>#REF!</v>
      </c>
      <c r="AD44" s="201" t="e">
        <f t="shared" si="22"/>
        <v>#REF!</v>
      </c>
      <c r="AE44" s="201" t="e">
        <f t="shared" si="17"/>
        <v>#REF!</v>
      </c>
      <c r="AF44" s="201" t="e">
        <f t="shared" si="18"/>
        <v>#REF!</v>
      </c>
      <c r="AG44" s="201" t="e">
        <f t="shared" si="23"/>
        <v>#REF!</v>
      </c>
    </row>
    <row r="45" spans="2:33" x14ac:dyDescent="0.3">
      <c r="B45" s="179">
        <f t="shared" si="10"/>
        <v>28</v>
      </c>
      <c r="C45" s="180">
        <f t="shared" si="19"/>
        <v>30.4</v>
      </c>
      <c r="D45" s="165">
        <f>IF(B45="","",Simulador!$F$62)</f>
        <v>0.11</v>
      </c>
      <c r="E45" s="167"/>
      <c r="F45" s="167" t="e">
        <f t="shared" si="20"/>
        <v>#REF!</v>
      </c>
      <c r="G45" s="166"/>
      <c r="H45" s="167" t="e">
        <f t="shared" si="6"/>
        <v>#REF!</v>
      </c>
      <c r="I45" s="167" t="e">
        <f t="shared" si="7"/>
        <v>#REF!</v>
      </c>
      <c r="J45" s="167" t="e">
        <f t="shared" si="8"/>
        <v>#REF!</v>
      </c>
      <c r="K45" s="167" t="e">
        <f t="shared" si="21"/>
        <v>#REF!</v>
      </c>
      <c r="L45" s="167" t="e">
        <f>IF(B45="","",IF(F45=0,0,Simulador!$N$13*$J$2))</f>
        <v>#REF!</v>
      </c>
      <c r="M45" s="167" t="e">
        <f>IF(B45="","",IF(F45=0,0,IF(Simulador!$F$11='Tabla Parámetros'!$W$1,'Tabla Parámetros'!$W$28,IF(Simulador!$F$11='Tabla Parámetros'!$Y$1,'Tabla Parámetros'!$Y$12))))</f>
        <v>#REF!</v>
      </c>
      <c r="N45" s="167" t="e">
        <f>IF(B45="","",IF(F45=0,0,IF(Simulador!$N$7='Tabla Parámetros'!$C$31,AportPat!L31,0)))</f>
        <v>#REF!</v>
      </c>
      <c r="O45" s="167" t="e">
        <f>Simulador!#REF!</f>
        <v>#REF!</v>
      </c>
      <c r="P45" s="167" t="e">
        <f t="shared" si="11"/>
        <v>#REF!</v>
      </c>
      <c r="Q45" s="167" t="e">
        <f t="shared" si="12"/>
        <v>#REF!</v>
      </c>
      <c r="T45" s="6"/>
      <c r="U45" s="6"/>
      <c r="V45" s="6"/>
      <c r="W45" s="29" t="e">
        <f t="shared" si="0"/>
        <v>#REF!</v>
      </c>
      <c r="Y45" s="201" t="e">
        <f t="shared" si="9"/>
        <v>#REF!</v>
      </c>
      <c r="Z45" s="201" t="e">
        <f t="shared" si="13"/>
        <v>#REF!</v>
      </c>
      <c r="AA45" s="202" t="e">
        <f t="shared" si="14"/>
        <v>#REF!</v>
      </c>
      <c r="AB45" s="201" t="e">
        <f t="shared" si="15"/>
        <v>#REF!</v>
      </c>
      <c r="AC45" s="201" t="e">
        <f t="shared" si="16"/>
        <v>#REF!</v>
      </c>
      <c r="AD45" s="201" t="e">
        <f t="shared" si="22"/>
        <v>#REF!</v>
      </c>
      <c r="AE45" s="201" t="e">
        <f t="shared" si="17"/>
        <v>#REF!</v>
      </c>
      <c r="AF45" s="201" t="e">
        <f t="shared" si="18"/>
        <v>#REF!</v>
      </c>
      <c r="AG45" s="201" t="e">
        <f t="shared" si="23"/>
        <v>#REF!</v>
      </c>
    </row>
    <row r="46" spans="2:33" x14ac:dyDescent="0.3">
      <c r="B46" s="181">
        <f t="shared" si="10"/>
        <v>29</v>
      </c>
      <c r="C46" s="180">
        <f t="shared" si="19"/>
        <v>30.4</v>
      </c>
      <c r="D46" s="165">
        <f>IF(B46="","",Simulador!$F$62)</f>
        <v>0.11</v>
      </c>
      <c r="E46" s="167"/>
      <c r="F46" s="167" t="e">
        <f t="shared" si="20"/>
        <v>#REF!</v>
      </c>
      <c r="G46" s="166"/>
      <c r="H46" s="167" t="e">
        <f t="shared" si="6"/>
        <v>#REF!</v>
      </c>
      <c r="I46" s="167" t="e">
        <f t="shared" si="7"/>
        <v>#REF!</v>
      </c>
      <c r="J46" s="167" t="e">
        <f t="shared" si="8"/>
        <v>#REF!</v>
      </c>
      <c r="K46" s="167" t="e">
        <f t="shared" si="21"/>
        <v>#REF!</v>
      </c>
      <c r="L46" s="167" t="e">
        <f>IF(B46="","",IF(F46=0,0,Simulador!$N$13*$J$2))</f>
        <v>#REF!</v>
      </c>
      <c r="M46" s="167" t="e">
        <f>IF(B46="","",IF(F46=0,0,IF(Simulador!$F$11='Tabla Parámetros'!$W$1,'Tabla Parámetros'!$W$28,IF(Simulador!$F$11='Tabla Parámetros'!$Y$1,'Tabla Parámetros'!$Y$12))))</f>
        <v>#REF!</v>
      </c>
      <c r="N46" s="167" t="e">
        <f>IF(B46="","",IF(F46=0,0,IF(Simulador!$N$7='Tabla Parámetros'!$C$31,AportPat!L32,0)))</f>
        <v>#REF!</v>
      </c>
      <c r="O46" s="167" t="e">
        <f>Simulador!#REF!</f>
        <v>#REF!</v>
      </c>
      <c r="P46" s="167" t="e">
        <f t="shared" si="11"/>
        <v>#REF!</v>
      </c>
      <c r="Q46" s="167" t="e">
        <f t="shared" si="12"/>
        <v>#REF!</v>
      </c>
      <c r="T46" s="6"/>
      <c r="U46" s="6"/>
      <c r="V46" s="6"/>
      <c r="W46" s="29" t="e">
        <f t="shared" si="0"/>
        <v>#REF!</v>
      </c>
      <c r="Y46" s="201" t="e">
        <f t="shared" si="9"/>
        <v>#REF!</v>
      </c>
      <c r="Z46" s="201" t="e">
        <f t="shared" si="13"/>
        <v>#REF!</v>
      </c>
      <c r="AA46" s="202" t="e">
        <f t="shared" si="14"/>
        <v>#REF!</v>
      </c>
      <c r="AB46" s="201" t="e">
        <f t="shared" si="15"/>
        <v>#REF!</v>
      </c>
      <c r="AC46" s="201" t="e">
        <f t="shared" si="16"/>
        <v>#REF!</v>
      </c>
      <c r="AD46" s="201" t="e">
        <f t="shared" si="22"/>
        <v>#REF!</v>
      </c>
      <c r="AE46" s="201" t="e">
        <f t="shared" si="17"/>
        <v>#REF!</v>
      </c>
      <c r="AF46" s="201" t="e">
        <f t="shared" si="18"/>
        <v>#REF!</v>
      </c>
      <c r="AG46" s="201" t="e">
        <f t="shared" si="23"/>
        <v>#REF!</v>
      </c>
    </row>
    <row r="47" spans="2:33" x14ac:dyDescent="0.3">
      <c r="B47" s="179">
        <f t="shared" si="10"/>
        <v>30</v>
      </c>
      <c r="C47" s="180">
        <f t="shared" si="19"/>
        <v>30.4</v>
      </c>
      <c r="D47" s="165">
        <f>IF(B47="","",Simulador!$F$62)</f>
        <v>0.11</v>
      </c>
      <c r="E47" s="167"/>
      <c r="F47" s="167" t="e">
        <f t="shared" si="20"/>
        <v>#REF!</v>
      </c>
      <c r="G47" s="166"/>
      <c r="H47" s="167" t="e">
        <f t="shared" si="6"/>
        <v>#REF!</v>
      </c>
      <c r="I47" s="167" t="e">
        <f t="shared" si="7"/>
        <v>#REF!</v>
      </c>
      <c r="J47" s="167" t="e">
        <f t="shared" si="8"/>
        <v>#REF!</v>
      </c>
      <c r="K47" s="167" t="e">
        <f t="shared" si="21"/>
        <v>#REF!</v>
      </c>
      <c r="L47" s="167" t="e">
        <f>IF(B47="","",IF(F47=0,0,Simulador!$N$13*$J$2))</f>
        <v>#REF!</v>
      </c>
      <c r="M47" s="167" t="e">
        <f>IF(B47="","",IF(F47=0,0,IF(Simulador!$F$11='Tabla Parámetros'!$W$1,'Tabla Parámetros'!$W$28,IF(Simulador!$F$11='Tabla Parámetros'!$Y$1,'Tabla Parámetros'!$Y$12))))</f>
        <v>#REF!</v>
      </c>
      <c r="N47" s="167" t="e">
        <f>IF(B47="","",IF(F47=0,0,IF(Simulador!$N$7='Tabla Parámetros'!$C$31,AportPat!L33,0)))</f>
        <v>#REF!</v>
      </c>
      <c r="O47" s="167" t="e">
        <f>Simulador!#REF!</f>
        <v>#REF!</v>
      </c>
      <c r="P47" s="167" t="e">
        <f t="shared" si="11"/>
        <v>#REF!</v>
      </c>
      <c r="Q47" s="167" t="e">
        <f t="shared" si="12"/>
        <v>#REF!</v>
      </c>
      <c r="T47" s="6"/>
      <c r="U47" s="6"/>
      <c r="V47" s="6"/>
      <c r="W47" s="29" t="e">
        <f t="shared" si="0"/>
        <v>#REF!</v>
      </c>
      <c r="Y47" s="201" t="e">
        <f t="shared" si="9"/>
        <v>#REF!</v>
      </c>
      <c r="Z47" s="201" t="e">
        <f t="shared" si="13"/>
        <v>#REF!</v>
      </c>
      <c r="AA47" s="202" t="e">
        <f t="shared" si="14"/>
        <v>#REF!</v>
      </c>
      <c r="AB47" s="201" t="e">
        <f t="shared" si="15"/>
        <v>#REF!</v>
      </c>
      <c r="AC47" s="201" t="e">
        <f t="shared" si="16"/>
        <v>#REF!</v>
      </c>
      <c r="AD47" s="201" t="e">
        <f t="shared" si="22"/>
        <v>#REF!</v>
      </c>
      <c r="AE47" s="201" t="e">
        <f t="shared" si="17"/>
        <v>#REF!</v>
      </c>
      <c r="AF47" s="201" t="e">
        <f t="shared" si="18"/>
        <v>#REF!</v>
      </c>
      <c r="AG47" s="201" t="e">
        <f t="shared" si="23"/>
        <v>#REF!</v>
      </c>
    </row>
    <row r="48" spans="2:33" x14ac:dyDescent="0.3">
      <c r="B48" s="179">
        <f t="shared" si="10"/>
        <v>31</v>
      </c>
      <c r="C48" s="180">
        <f t="shared" si="19"/>
        <v>30.4</v>
      </c>
      <c r="D48" s="165">
        <f>IF(B48="","",Simulador!$F$62)</f>
        <v>0.11</v>
      </c>
      <c r="E48" s="167"/>
      <c r="F48" s="167" t="e">
        <f t="shared" si="20"/>
        <v>#REF!</v>
      </c>
      <c r="G48" s="166"/>
      <c r="H48" s="167" t="e">
        <f t="shared" si="6"/>
        <v>#REF!</v>
      </c>
      <c r="I48" s="167" t="e">
        <f t="shared" si="7"/>
        <v>#REF!</v>
      </c>
      <c r="J48" s="167" t="e">
        <f t="shared" si="8"/>
        <v>#REF!</v>
      </c>
      <c r="K48" s="167" t="e">
        <f t="shared" si="21"/>
        <v>#REF!</v>
      </c>
      <c r="L48" s="167" t="e">
        <f>IF(B48="","",IF(F48=0,0,Simulador!$N$13*$J$2))</f>
        <v>#REF!</v>
      </c>
      <c r="M48" s="167" t="e">
        <f>IF(B48="","",IF(F48=0,0,IF(Simulador!$F$11='Tabla Parámetros'!$W$1,'Tabla Parámetros'!$W$28,IF(Simulador!$F$11='Tabla Parámetros'!$Y$1,'Tabla Parámetros'!$Y$12))))</f>
        <v>#REF!</v>
      </c>
      <c r="N48" s="167" t="e">
        <f>IF(B48="","",IF(F48=0,0,IF(Simulador!$N$7='Tabla Parámetros'!$C$31,AportPat!L34,0)))</f>
        <v>#REF!</v>
      </c>
      <c r="O48" s="167" t="e">
        <f>Simulador!#REF!</f>
        <v>#REF!</v>
      </c>
      <c r="P48" s="167" t="e">
        <f t="shared" si="11"/>
        <v>#REF!</v>
      </c>
      <c r="Q48" s="167" t="e">
        <f t="shared" si="12"/>
        <v>#REF!</v>
      </c>
      <c r="T48" s="6"/>
      <c r="U48" s="6"/>
      <c r="V48" s="6"/>
      <c r="W48" s="29" t="e">
        <f t="shared" si="0"/>
        <v>#REF!</v>
      </c>
      <c r="Y48" s="201" t="e">
        <f t="shared" si="9"/>
        <v>#REF!</v>
      </c>
      <c r="Z48" s="201" t="e">
        <f t="shared" si="13"/>
        <v>#REF!</v>
      </c>
      <c r="AA48" s="202" t="e">
        <f t="shared" si="14"/>
        <v>#REF!</v>
      </c>
      <c r="AB48" s="201" t="e">
        <f t="shared" si="15"/>
        <v>#REF!</v>
      </c>
      <c r="AC48" s="201" t="e">
        <f t="shared" si="16"/>
        <v>#REF!</v>
      </c>
      <c r="AD48" s="201" t="e">
        <f t="shared" si="22"/>
        <v>#REF!</v>
      </c>
      <c r="AE48" s="201" t="e">
        <f t="shared" si="17"/>
        <v>#REF!</v>
      </c>
      <c r="AF48" s="201" t="e">
        <f t="shared" si="18"/>
        <v>#REF!</v>
      </c>
      <c r="AG48" s="201" t="e">
        <f t="shared" si="23"/>
        <v>#REF!</v>
      </c>
    </row>
    <row r="49" spans="2:33" x14ac:dyDescent="0.3">
      <c r="B49" s="179">
        <f t="shared" si="10"/>
        <v>32</v>
      </c>
      <c r="C49" s="180">
        <f t="shared" si="19"/>
        <v>30.4</v>
      </c>
      <c r="D49" s="165">
        <f>IF(B49="","",Simulador!$F$62)</f>
        <v>0.11</v>
      </c>
      <c r="E49" s="167"/>
      <c r="F49" s="167" t="e">
        <f t="shared" si="20"/>
        <v>#REF!</v>
      </c>
      <c r="G49" s="166"/>
      <c r="H49" s="167" t="e">
        <f t="shared" si="6"/>
        <v>#REF!</v>
      </c>
      <c r="I49" s="167" t="e">
        <f t="shared" si="7"/>
        <v>#REF!</v>
      </c>
      <c r="J49" s="167" t="e">
        <f t="shared" si="8"/>
        <v>#REF!</v>
      </c>
      <c r="K49" s="167" t="e">
        <f t="shared" si="21"/>
        <v>#REF!</v>
      </c>
      <c r="L49" s="167" t="e">
        <f>IF(B49="","",IF(F49=0,0,Simulador!$N$13*$J$2))</f>
        <v>#REF!</v>
      </c>
      <c r="M49" s="167" t="e">
        <f>IF(B49="","",IF(F49=0,0,IF(Simulador!$F$11='Tabla Parámetros'!$W$1,'Tabla Parámetros'!$W$28,IF(Simulador!$F$11='Tabla Parámetros'!$Y$1,'Tabla Parámetros'!$Y$12))))</f>
        <v>#REF!</v>
      </c>
      <c r="N49" s="167" t="e">
        <f>IF(B49="","",IF(F49=0,0,IF(Simulador!$N$7='Tabla Parámetros'!$C$31,AportPat!L35,0)))</f>
        <v>#REF!</v>
      </c>
      <c r="O49" s="167" t="e">
        <f>Simulador!#REF!</f>
        <v>#REF!</v>
      </c>
      <c r="P49" s="167" t="e">
        <f t="shared" si="11"/>
        <v>#REF!</v>
      </c>
      <c r="Q49" s="167" t="e">
        <f t="shared" si="12"/>
        <v>#REF!</v>
      </c>
      <c r="T49" s="6"/>
      <c r="U49" s="6"/>
      <c r="V49" s="6"/>
      <c r="W49" s="29" t="e">
        <f t="shared" si="0"/>
        <v>#REF!</v>
      </c>
      <c r="Y49" s="201" t="e">
        <f t="shared" si="9"/>
        <v>#REF!</v>
      </c>
      <c r="Z49" s="201" t="e">
        <f t="shared" si="13"/>
        <v>#REF!</v>
      </c>
      <c r="AA49" s="202" t="e">
        <f t="shared" si="14"/>
        <v>#REF!</v>
      </c>
      <c r="AB49" s="201" t="e">
        <f t="shared" si="15"/>
        <v>#REF!</v>
      </c>
      <c r="AC49" s="201" t="e">
        <f t="shared" si="16"/>
        <v>#REF!</v>
      </c>
      <c r="AD49" s="201" t="e">
        <f t="shared" si="22"/>
        <v>#REF!</v>
      </c>
      <c r="AE49" s="201" t="e">
        <f t="shared" si="17"/>
        <v>#REF!</v>
      </c>
      <c r="AF49" s="201" t="e">
        <f t="shared" si="18"/>
        <v>#REF!</v>
      </c>
      <c r="AG49" s="201" t="e">
        <f t="shared" si="23"/>
        <v>#REF!</v>
      </c>
    </row>
    <row r="50" spans="2:33" x14ac:dyDescent="0.3">
      <c r="B50" s="181">
        <f t="shared" si="10"/>
        <v>33</v>
      </c>
      <c r="C50" s="180">
        <f t="shared" si="19"/>
        <v>30.4</v>
      </c>
      <c r="D50" s="165">
        <f>IF(B50="","",Simulador!$F$62)</f>
        <v>0.11</v>
      </c>
      <c r="E50" s="167"/>
      <c r="F50" s="167" t="e">
        <f t="shared" si="20"/>
        <v>#REF!</v>
      </c>
      <c r="G50" s="166"/>
      <c r="H50" s="167" t="e">
        <f t="shared" si="6"/>
        <v>#REF!</v>
      </c>
      <c r="I50" s="167" t="e">
        <f t="shared" si="7"/>
        <v>#REF!</v>
      </c>
      <c r="J50" s="167" t="e">
        <f t="shared" si="8"/>
        <v>#REF!</v>
      </c>
      <c r="K50" s="167" t="e">
        <f t="shared" si="21"/>
        <v>#REF!</v>
      </c>
      <c r="L50" s="167" t="e">
        <f>IF(B50="","",IF(F50=0,0,Simulador!$N$13*$J$2))</f>
        <v>#REF!</v>
      </c>
      <c r="M50" s="167" t="e">
        <f>IF(B50="","",IF(F50=0,0,IF(Simulador!$F$11='Tabla Parámetros'!$W$1,'Tabla Parámetros'!$W$28,IF(Simulador!$F$11='Tabla Parámetros'!$Y$1,'Tabla Parámetros'!$Y$12))))</f>
        <v>#REF!</v>
      </c>
      <c r="N50" s="167" t="e">
        <f>IF(B50="","",IF(F50=0,0,IF(Simulador!$N$7='Tabla Parámetros'!$C$31,AportPat!L36,0)))</f>
        <v>#REF!</v>
      </c>
      <c r="O50" s="167" t="e">
        <f>Simulador!#REF!</f>
        <v>#REF!</v>
      </c>
      <c r="P50" s="167" t="e">
        <f t="shared" si="11"/>
        <v>#REF!</v>
      </c>
      <c r="Q50" s="167" t="e">
        <f t="shared" si="12"/>
        <v>#REF!</v>
      </c>
      <c r="T50" s="6"/>
      <c r="U50" s="6"/>
      <c r="V50" s="6"/>
      <c r="W50" s="29" t="e">
        <f t="shared" si="0"/>
        <v>#REF!</v>
      </c>
      <c r="Y50" s="201" t="e">
        <f t="shared" si="9"/>
        <v>#REF!</v>
      </c>
      <c r="Z50" s="201" t="e">
        <f t="shared" si="13"/>
        <v>#REF!</v>
      </c>
      <c r="AA50" s="202" t="e">
        <f t="shared" si="14"/>
        <v>#REF!</v>
      </c>
      <c r="AB50" s="201" t="e">
        <f t="shared" si="15"/>
        <v>#REF!</v>
      </c>
      <c r="AC50" s="201" t="e">
        <f t="shared" si="16"/>
        <v>#REF!</v>
      </c>
      <c r="AD50" s="201" t="e">
        <f t="shared" si="22"/>
        <v>#REF!</v>
      </c>
      <c r="AE50" s="201" t="e">
        <f t="shared" si="17"/>
        <v>#REF!</v>
      </c>
      <c r="AF50" s="201" t="e">
        <f t="shared" si="18"/>
        <v>#REF!</v>
      </c>
      <c r="AG50" s="201" t="e">
        <f t="shared" si="23"/>
        <v>#REF!</v>
      </c>
    </row>
    <row r="51" spans="2:33" x14ac:dyDescent="0.3">
      <c r="B51" s="179">
        <f t="shared" si="10"/>
        <v>34</v>
      </c>
      <c r="C51" s="180">
        <f t="shared" si="19"/>
        <v>30.4</v>
      </c>
      <c r="D51" s="165">
        <f>IF(B51="","",Simulador!$F$62)</f>
        <v>0.11</v>
      </c>
      <c r="E51" s="167"/>
      <c r="F51" s="167" t="e">
        <f t="shared" si="20"/>
        <v>#REF!</v>
      </c>
      <c r="G51" s="166"/>
      <c r="H51" s="167" t="e">
        <f t="shared" si="6"/>
        <v>#REF!</v>
      </c>
      <c r="I51" s="167" t="e">
        <f t="shared" si="7"/>
        <v>#REF!</v>
      </c>
      <c r="J51" s="167" t="e">
        <f t="shared" si="8"/>
        <v>#REF!</v>
      </c>
      <c r="K51" s="167" t="e">
        <f t="shared" si="21"/>
        <v>#REF!</v>
      </c>
      <c r="L51" s="167" t="e">
        <f>IF(B51="","",IF(F51=0,0,Simulador!$N$13*$J$2))</f>
        <v>#REF!</v>
      </c>
      <c r="M51" s="167" t="e">
        <f>IF(B51="","",IF(F51=0,0,IF(Simulador!$F$11='Tabla Parámetros'!$W$1,'Tabla Parámetros'!$W$28,IF(Simulador!$F$11='Tabla Parámetros'!$Y$1,'Tabla Parámetros'!$Y$12))))</f>
        <v>#REF!</v>
      </c>
      <c r="N51" s="167" t="e">
        <f>IF(B51="","",IF(F51=0,0,IF(Simulador!$N$7='Tabla Parámetros'!$C$31,AportPat!L37,0)))</f>
        <v>#REF!</v>
      </c>
      <c r="O51" s="167" t="e">
        <f>Simulador!#REF!</f>
        <v>#REF!</v>
      </c>
      <c r="P51" s="167" t="e">
        <f t="shared" si="11"/>
        <v>#REF!</v>
      </c>
      <c r="Q51" s="167" t="e">
        <f t="shared" si="12"/>
        <v>#REF!</v>
      </c>
      <c r="T51" s="6"/>
      <c r="U51" s="6"/>
      <c r="V51" s="6"/>
      <c r="W51" s="29" t="e">
        <f t="shared" si="0"/>
        <v>#REF!</v>
      </c>
      <c r="Y51" s="201" t="e">
        <f t="shared" si="9"/>
        <v>#REF!</v>
      </c>
      <c r="Z51" s="201" t="e">
        <f t="shared" si="13"/>
        <v>#REF!</v>
      </c>
      <c r="AA51" s="202" t="e">
        <f t="shared" si="14"/>
        <v>#REF!</v>
      </c>
      <c r="AB51" s="201" t="e">
        <f t="shared" si="15"/>
        <v>#REF!</v>
      </c>
      <c r="AC51" s="201" t="e">
        <f t="shared" si="16"/>
        <v>#REF!</v>
      </c>
      <c r="AD51" s="201" t="e">
        <f t="shared" si="22"/>
        <v>#REF!</v>
      </c>
      <c r="AE51" s="201" t="e">
        <f t="shared" si="17"/>
        <v>#REF!</v>
      </c>
      <c r="AF51" s="201" t="e">
        <f t="shared" si="18"/>
        <v>#REF!</v>
      </c>
      <c r="AG51" s="201" t="e">
        <f t="shared" si="23"/>
        <v>#REF!</v>
      </c>
    </row>
    <row r="52" spans="2:33" x14ac:dyDescent="0.3">
      <c r="B52" s="179">
        <f t="shared" si="10"/>
        <v>35</v>
      </c>
      <c r="C52" s="180">
        <f t="shared" si="19"/>
        <v>30.4</v>
      </c>
      <c r="D52" s="165">
        <f>IF(B52="","",Simulador!$F$62)</f>
        <v>0.11</v>
      </c>
      <c r="E52" s="167"/>
      <c r="F52" s="167" t="e">
        <f t="shared" si="20"/>
        <v>#REF!</v>
      </c>
      <c r="G52" s="166"/>
      <c r="H52" s="167" t="e">
        <f t="shared" si="6"/>
        <v>#REF!</v>
      </c>
      <c r="I52" s="167" t="e">
        <f t="shared" si="7"/>
        <v>#REF!</v>
      </c>
      <c r="J52" s="167" t="e">
        <f t="shared" si="8"/>
        <v>#REF!</v>
      </c>
      <c r="K52" s="167" t="e">
        <f t="shared" si="21"/>
        <v>#REF!</v>
      </c>
      <c r="L52" s="167" t="e">
        <f>IF(B52="","",IF(F52=0,0,Simulador!$N$13*$J$2))</f>
        <v>#REF!</v>
      </c>
      <c r="M52" s="167" t="e">
        <f>IF(B52="","",IF(F52=0,0,IF(Simulador!$F$11='Tabla Parámetros'!$W$1,'Tabla Parámetros'!$W$28,IF(Simulador!$F$11='Tabla Parámetros'!$Y$1,'Tabla Parámetros'!$Y$12))))</f>
        <v>#REF!</v>
      </c>
      <c r="N52" s="167" t="e">
        <f>IF(B52="","",IF(F52=0,0,IF(Simulador!$N$7='Tabla Parámetros'!$C$31,AportPat!L38,0)))</f>
        <v>#REF!</v>
      </c>
      <c r="O52" s="167" t="e">
        <f>Simulador!#REF!</f>
        <v>#REF!</v>
      </c>
      <c r="P52" s="167" t="e">
        <f t="shared" si="11"/>
        <v>#REF!</v>
      </c>
      <c r="Q52" s="167" t="e">
        <f t="shared" si="12"/>
        <v>#REF!</v>
      </c>
      <c r="T52" s="6"/>
      <c r="U52" s="6"/>
      <c r="V52" s="6"/>
      <c r="W52" s="29" t="e">
        <f t="shared" si="0"/>
        <v>#REF!</v>
      </c>
      <c r="Y52" s="201" t="e">
        <f t="shared" si="9"/>
        <v>#REF!</v>
      </c>
      <c r="Z52" s="201" t="e">
        <f t="shared" si="13"/>
        <v>#REF!</v>
      </c>
      <c r="AA52" s="202" t="e">
        <f t="shared" si="14"/>
        <v>#REF!</v>
      </c>
      <c r="AB52" s="201" t="e">
        <f t="shared" si="15"/>
        <v>#REF!</v>
      </c>
      <c r="AC52" s="201" t="e">
        <f t="shared" si="16"/>
        <v>#REF!</v>
      </c>
      <c r="AD52" s="201" t="e">
        <f t="shared" si="22"/>
        <v>#REF!</v>
      </c>
      <c r="AE52" s="201" t="e">
        <f t="shared" si="17"/>
        <v>#REF!</v>
      </c>
      <c r="AF52" s="201" t="e">
        <f t="shared" si="18"/>
        <v>#REF!</v>
      </c>
      <c r="AG52" s="201" t="e">
        <f t="shared" si="23"/>
        <v>#REF!</v>
      </c>
    </row>
    <row r="53" spans="2:33" x14ac:dyDescent="0.3">
      <c r="B53" s="179">
        <f t="shared" si="10"/>
        <v>36</v>
      </c>
      <c r="C53" s="180">
        <f t="shared" si="19"/>
        <v>30.4</v>
      </c>
      <c r="D53" s="165">
        <f>IF(B53="","",Simulador!$F$62)</f>
        <v>0.11</v>
      </c>
      <c r="E53" s="167"/>
      <c r="F53" s="167" t="e">
        <f t="shared" si="20"/>
        <v>#REF!</v>
      </c>
      <c r="G53" s="166"/>
      <c r="H53" s="167" t="e">
        <f t="shared" si="6"/>
        <v>#REF!</v>
      </c>
      <c r="I53" s="167" t="e">
        <f t="shared" si="7"/>
        <v>#REF!</v>
      </c>
      <c r="J53" s="167" t="e">
        <f t="shared" si="8"/>
        <v>#REF!</v>
      </c>
      <c r="K53" s="167" t="e">
        <f t="shared" si="21"/>
        <v>#REF!</v>
      </c>
      <c r="L53" s="167" t="e">
        <f>IF(B53="","",IF(F53=0,0,Simulador!$N$13*$J$2))</f>
        <v>#REF!</v>
      </c>
      <c r="M53" s="167" t="e">
        <f>IF(B53="","",IF(F53=0,0,IF(Simulador!$F$11='Tabla Parámetros'!$W$1,'Tabla Parámetros'!$W$28,IF(Simulador!$F$11='Tabla Parámetros'!$Y$1,'Tabla Parámetros'!$Y$12))))</f>
        <v>#REF!</v>
      </c>
      <c r="N53" s="167" t="e">
        <f>IF(B53="","",IF(F53=0,0,IF(Simulador!$N$7='Tabla Parámetros'!$C$31,AportPat!L39,0)))</f>
        <v>#REF!</v>
      </c>
      <c r="O53" s="167" t="e">
        <f>Simulador!#REF!</f>
        <v>#REF!</v>
      </c>
      <c r="P53" s="167" t="e">
        <f t="shared" si="11"/>
        <v>#REF!</v>
      </c>
      <c r="Q53" s="167" t="e">
        <f t="shared" si="12"/>
        <v>#REF!</v>
      </c>
      <c r="T53" s="6"/>
      <c r="U53" s="6"/>
      <c r="V53" s="6"/>
      <c r="W53" s="29" t="e">
        <f t="shared" si="0"/>
        <v>#REF!</v>
      </c>
      <c r="Y53" s="201" t="e">
        <f t="shared" si="9"/>
        <v>#REF!</v>
      </c>
      <c r="Z53" s="201" t="e">
        <f t="shared" si="13"/>
        <v>#REF!</v>
      </c>
      <c r="AA53" s="202" t="e">
        <f t="shared" si="14"/>
        <v>#REF!</v>
      </c>
      <c r="AB53" s="201" t="e">
        <f t="shared" si="15"/>
        <v>#REF!</v>
      </c>
      <c r="AC53" s="201" t="e">
        <f t="shared" si="16"/>
        <v>#REF!</v>
      </c>
      <c r="AD53" s="201" t="e">
        <f t="shared" si="22"/>
        <v>#REF!</v>
      </c>
      <c r="AE53" s="201" t="e">
        <f t="shared" si="17"/>
        <v>#REF!</v>
      </c>
      <c r="AF53" s="201" t="e">
        <f t="shared" si="18"/>
        <v>#REF!</v>
      </c>
      <c r="AG53" s="201" t="e">
        <f t="shared" si="23"/>
        <v>#REF!</v>
      </c>
    </row>
    <row r="54" spans="2:33" x14ac:dyDescent="0.3">
      <c r="B54" s="181">
        <f t="shared" si="10"/>
        <v>37</v>
      </c>
      <c r="C54" s="180">
        <f t="shared" si="19"/>
        <v>30.4</v>
      </c>
      <c r="D54" s="165">
        <f>IF(B54="","",Simulador!$F$62)</f>
        <v>0.11</v>
      </c>
      <c r="E54" s="167"/>
      <c r="F54" s="167" t="e">
        <f t="shared" si="20"/>
        <v>#REF!</v>
      </c>
      <c r="G54" s="166"/>
      <c r="H54" s="167" t="e">
        <f t="shared" si="6"/>
        <v>#REF!</v>
      </c>
      <c r="I54" s="167" t="e">
        <f t="shared" si="7"/>
        <v>#REF!</v>
      </c>
      <c r="J54" s="167" t="e">
        <f t="shared" si="8"/>
        <v>#REF!</v>
      </c>
      <c r="K54" s="167" t="e">
        <f t="shared" si="21"/>
        <v>#REF!</v>
      </c>
      <c r="L54" s="167" t="e">
        <f>IF(B54="","",IF(F54=0,0,Simulador!$N$13*$J$2))</f>
        <v>#REF!</v>
      </c>
      <c r="M54" s="167" t="e">
        <f>IF(B54="","",IF(F54=0,0,IF(Simulador!$F$11='Tabla Parámetros'!$W$1,'Tabla Parámetros'!$W$28,IF(Simulador!$F$11='Tabla Parámetros'!$Y$1,'Tabla Parámetros'!$Y$12))))</f>
        <v>#REF!</v>
      </c>
      <c r="N54" s="167" t="e">
        <f>IF(B54="","",IF(F54=0,0,IF(Simulador!$N$7='Tabla Parámetros'!$C$31,AportPat!L40,0)))</f>
        <v>#REF!</v>
      </c>
      <c r="O54" s="167" t="e">
        <f>Simulador!#REF!</f>
        <v>#REF!</v>
      </c>
      <c r="P54" s="167" t="e">
        <f t="shared" si="11"/>
        <v>#REF!</v>
      </c>
      <c r="Q54" s="167" t="e">
        <f t="shared" si="12"/>
        <v>#REF!</v>
      </c>
      <c r="T54" s="6"/>
      <c r="U54" s="6"/>
      <c r="V54" s="6"/>
      <c r="W54" s="29" t="e">
        <f t="shared" si="0"/>
        <v>#REF!</v>
      </c>
      <c r="Y54" s="201" t="e">
        <f t="shared" si="9"/>
        <v>#REF!</v>
      </c>
      <c r="Z54" s="201" t="e">
        <f t="shared" si="13"/>
        <v>#REF!</v>
      </c>
      <c r="AA54" s="202" t="e">
        <f t="shared" si="14"/>
        <v>#REF!</v>
      </c>
      <c r="AB54" s="201" t="e">
        <f t="shared" si="15"/>
        <v>#REF!</v>
      </c>
      <c r="AC54" s="201" t="e">
        <f t="shared" si="16"/>
        <v>#REF!</v>
      </c>
      <c r="AD54" s="201" t="e">
        <f t="shared" si="22"/>
        <v>#REF!</v>
      </c>
      <c r="AE54" s="201" t="e">
        <f t="shared" si="17"/>
        <v>#REF!</v>
      </c>
      <c r="AF54" s="201" t="e">
        <f t="shared" si="18"/>
        <v>#REF!</v>
      </c>
      <c r="AG54" s="201" t="e">
        <f t="shared" si="23"/>
        <v>#REF!</v>
      </c>
    </row>
    <row r="55" spans="2:33" x14ac:dyDescent="0.3">
      <c r="B55" s="179">
        <f t="shared" si="10"/>
        <v>38</v>
      </c>
      <c r="C55" s="180">
        <f t="shared" si="19"/>
        <v>30.4</v>
      </c>
      <c r="D55" s="165">
        <f>IF(B55="","",Simulador!$F$62)</f>
        <v>0.11</v>
      </c>
      <c r="E55" s="167"/>
      <c r="F55" s="167" t="e">
        <f t="shared" si="20"/>
        <v>#REF!</v>
      </c>
      <c r="G55" s="166"/>
      <c r="H55" s="167" t="e">
        <f t="shared" si="6"/>
        <v>#REF!</v>
      </c>
      <c r="I55" s="167" t="e">
        <f t="shared" si="7"/>
        <v>#REF!</v>
      </c>
      <c r="J55" s="167" t="e">
        <f t="shared" si="8"/>
        <v>#REF!</v>
      </c>
      <c r="K55" s="167" t="e">
        <f t="shared" si="21"/>
        <v>#REF!</v>
      </c>
      <c r="L55" s="167" t="e">
        <f>IF(B55="","",IF(F55=0,0,Simulador!$N$13*$J$2))</f>
        <v>#REF!</v>
      </c>
      <c r="M55" s="167" t="e">
        <f>IF(B55="","",IF(F55=0,0,IF(Simulador!$F$11='Tabla Parámetros'!$W$1,'Tabla Parámetros'!$W$28,IF(Simulador!$F$11='Tabla Parámetros'!$Y$1,'Tabla Parámetros'!$Y$12))))</f>
        <v>#REF!</v>
      </c>
      <c r="N55" s="167" t="e">
        <f>IF(B55="","",IF(F55=0,0,IF(Simulador!$N$7='Tabla Parámetros'!$C$31,AportPat!L41,0)))</f>
        <v>#REF!</v>
      </c>
      <c r="O55" s="167" t="e">
        <f>Simulador!#REF!</f>
        <v>#REF!</v>
      </c>
      <c r="P55" s="167" t="e">
        <f t="shared" si="11"/>
        <v>#REF!</v>
      </c>
      <c r="Q55" s="167" t="e">
        <f t="shared" si="12"/>
        <v>#REF!</v>
      </c>
      <c r="T55" s="6"/>
      <c r="U55" s="6"/>
      <c r="V55" s="6"/>
      <c r="W55" s="29" t="e">
        <f t="shared" si="0"/>
        <v>#REF!</v>
      </c>
      <c r="Y55" s="201" t="e">
        <f t="shared" si="9"/>
        <v>#REF!</v>
      </c>
      <c r="Z55" s="201" t="e">
        <f t="shared" si="13"/>
        <v>#REF!</v>
      </c>
      <c r="AA55" s="202" t="e">
        <f t="shared" si="14"/>
        <v>#REF!</v>
      </c>
      <c r="AB55" s="201" t="e">
        <f t="shared" si="15"/>
        <v>#REF!</v>
      </c>
      <c r="AC55" s="201" t="e">
        <f t="shared" si="16"/>
        <v>#REF!</v>
      </c>
      <c r="AD55" s="201" t="e">
        <f t="shared" si="22"/>
        <v>#REF!</v>
      </c>
      <c r="AE55" s="201" t="e">
        <f t="shared" si="17"/>
        <v>#REF!</v>
      </c>
      <c r="AF55" s="201" t="e">
        <f t="shared" si="18"/>
        <v>#REF!</v>
      </c>
      <c r="AG55" s="201" t="e">
        <f t="shared" si="23"/>
        <v>#REF!</v>
      </c>
    </row>
    <row r="56" spans="2:33" x14ac:dyDescent="0.3">
      <c r="B56" s="179">
        <f t="shared" si="10"/>
        <v>39</v>
      </c>
      <c r="C56" s="180">
        <f t="shared" si="19"/>
        <v>30.4</v>
      </c>
      <c r="D56" s="165">
        <f>IF(B56="","",Simulador!$F$62)</f>
        <v>0.11</v>
      </c>
      <c r="E56" s="167"/>
      <c r="F56" s="167" t="e">
        <f t="shared" si="20"/>
        <v>#REF!</v>
      </c>
      <c r="G56" s="166"/>
      <c r="H56" s="167" t="e">
        <f t="shared" si="6"/>
        <v>#REF!</v>
      </c>
      <c r="I56" s="167" t="e">
        <f t="shared" si="7"/>
        <v>#REF!</v>
      </c>
      <c r="J56" s="167" t="e">
        <f t="shared" si="8"/>
        <v>#REF!</v>
      </c>
      <c r="K56" s="167" t="e">
        <f t="shared" si="21"/>
        <v>#REF!</v>
      </c>
      <c r="L56" s="167" t="e">
        <f>IF(B56="","",IF(F56=0,0,Simulador!$N$13*$J$2))</f>
        <v>#REF!</v>
      </c>
      <c r="M56" s="167" t="e">
        <f>IF(B56="","",IF(F56=0,0,IF(Simulador!$F$11='Tabla Parámetros'!$W$1,'Tabla Parámetros'!$W$28,IF(Simulador!$F$11='Tabla Parámetros'!$Y$1,'Tabla Parámetros'!$Y$12))))</f>
        <v>#REF!</v>
      </c>
      <c r="N56" s="167" t="e">
        <f>IF(B56="","",IF(F56=0,0,IF(Simulador!$N$7='Tabla Parámetros'!$C$31,AportPat!L42,0)))</f>
        <v>#REF!</v>
      </c>
      <c r="O56" s="167" t="e">
        <f>Simulador!#REF!</f>
        <v>#REF!</v>
      </c>
      <c r="P56" s="167" t="e">
        <f t="shared" si="11"/>
        <v>#REF!</v>
      </c>
      <c r="Q56" s="167" t="e">
        <f t="shared" si="12"/>
        <v>#REF!</v>
      </c>
      <c r="T56" s="6"/>
      <c r="U56" s="6"/>
      <c r="V56" s="6"/>
      <c r="W56" s="29" t="e">
        <f t="shared" si="0"/>
        <v>#REF!</v>
      </c>
      <c r="Y56" s="201" t="e">
        <f t="shared" si="9"/>
        <v>#REF!</v>
      </c>
      <c r="Z56" s="201" t="e">
        <f t="shared" si="13"/>
        <v>#REF!</v>
      </c>
      <c r="AA56" s="202" t="e">
        <f t="shared" si="14"/>
        <v>#REF!</v>
      </c>
      <c r="AB56" s="201" t="e">
        <f t="shared" si="15"/>
        <v>#REF!</v>
      </c>
      <c r="AC56" s="201" t="e">
        <f t="shared" si="16"/>
        <v>#REF!</v>
      </c>
      <c r="AD56" s="201" t="e">
        <f t="shared" si="22"/>
        <v>#REF!</v>
      </c>
      <c r="AE56" s="201" t="e">
        <f t="shared" si="17"/>
        <v>#REF!</v>
      </c>
      <c r="AF56" s="201" t="e">
        <f t="shared" si="18"/>
        <v>#REF!</v>
      </c>
      <c r="AG56" s="201" t="e">
        <f t="shared" si="23"/>
        <v>#REF!</v>
      </c>
    </row>
    <row r="57" spans="2:33" x14ac:dyDescent="0.3">
      <c r="B57" s="179">
        <f t="shared" si="10"/>
        <v>40</v>
      </c>
      <c r="C57" s="180">
        <f t="shared" si="19"/>
        <v>30.4</v>
      </c>
      <c r="D57" s="165">
        <f>IF(B57="","",Simulador!$F$62)</f>
        <v>0.11</v>
      </c>
      <c r="E57" s="167"/>
      <c r="F57" s="167" t="e">
        <f t="shared" si="20"/>
        <v>#REF!</v>
      </c>
      <c r="G57" s="166"/>
      <c r="H57" s="167" t="e">
        <f t="shared" si="6"/>
        <v>#REF!</v>
      </c>
      <c r="I57" s="167" t="e">
        <f t="shared" si="7"/>
        <v>#REF!</v>
      </c>
      <c r="J57" s="167" t="e">
        <f t="shared" si="8"/>
        <v>#REF!</v>
      </c>
      <c r="K57" s="167" t="e">
        <f t="shared" si="21"/>
        <v>#REF!</v>
      </c>
      <c r="L57" s="167" t="e">
        <f>IF(B57="","",IF(F57=0,0,Simulador!$N$13*$J$2))</f>
        <v>#REF!</v>
      </c>
      <c r="M57" s="167" t="e">
        <f>IF(B57="","",IF(F57=0,0,IF(Simulador!$F$11='Tabla Parámetros'!$W$1,'Tabla Parámetros'!$W$28,IF(Simulador!$F$11='Tabla Parámetros'!$Y$1,'Tabla Parámetros'!$Y$12))))</f>
        <v>#REF!</v>
      </c>
      <c r="N57" s="167" t="e">
        <f>IF(B57="","",IF(F57=0,0,IF(Simulador!$N$7='Tabla Parámetros'!$C$31,AportPat!L43,0)))</f>
        <v>#REF!</v>
      </c>
      <c r="O57" s="167" t="e">
        <f>Simulador!#REF!</f>
        <v>#REF!</v>
      </c>
      <c r="P57" s="167" t="e">
        <f t="shared" si="11"/>
        <v>#REF!</v>
      </c>
      <c r="Q57" s="167" t="e">
        <f t="shared" si="12"/>
        <v>#REF!</v>
      </c>
      <c r="T57" s="6"/>
      <c r="U57" s="6"/>
      <c r="V57" s="6"/>
      <c r="W57" s="29" t="e">
        <f t="shared" si="0"/>
        <v>#REF!</v>
      </c>
      <c r="Y57" s="201" t="e">
        <f t="shared" si="9"/>
        <v>#REF!</v>
      </c>
      <c r="Z57" s="201" t="e">
        <f t="shared" si="13"/>
        <v>#REF!</v>
      </c>
      <c r="AA57" s="202" t="e">
        <f t="shared" si="14"/>
        <v>#REF!</v>
      </c>
      <c r="AB57" s="201" t="e">
        <f t="shared" si="15"/>
        <v>#REF!</v>
      </c>
      <c r="AC57" s="201" t="e">
        <f t="shared" si="16"/>
        <v>#REF!</v>
      </c>
      <c r="AD57" s="201" t="e">
        <f t="shared" si="22"/>
        <v>#REF!</v>
      </c>
      <c r="AE57" s="201" t="e">
        <f t="shared" si="17"/>
        <v>#REF!</v>
      </c>
      <c r="AF57" s="201" t="e">
        <f t="shared" si="18"/>
        <v>#REF!</v>
      </c>
      <c r="AG57" s="201" t="e">
        <f t="shared" si="23"/>
        <v>#REF!</v>
      </c>
    </row>
    <row r="58" spans="2:33" x14ac:dyDescent="0.3">
      <c r="B58" s="181">
        <f t="shared" si="10"/>
        <v>41</v>
      </c>
      <c r="C58" s="180">
        <f t="shared" si="19"/>
        <v>30.4</v>
      </c>
      <c r="D58" s="165">
        <f>IF(B58="","",Simulador!$F$62)</f>
        <v>0.11</v>
      </c>
      <c r="E58" s="167"/>
      <c r="F58" s="167" t="e">
        <f t="shared" si="20"/>
        <v>#REF!</v>
      </c>
      <c r="G58" s="166"/>
      <c r="H58" s="167" t="e">
        <f t="shared" si="6"/>
        <v>#REF!</v>
      </c>
      <c r="I58" s="167" t="e">
        <f t="shared" si="7"/>
        <v>#REF!</v>
      </c>
      <c r="J58" s="167" t="e">
        <f t="shared" si="8"/>
        <v>#REF!</v>
      </c>
      <c r="K58" s="167" t="e">
        <f t="shared" si="21"/>
        <v>#REF!</v>
      </c>
      <c r="L58" s="167" t="e">
        <f>IF(B58="","",IF(F58=0,0,Simulador!$N$13*$J$2))</f>
        <v>#REF!</v>
      </c>
      <c r="M58" s="167" t="e">
        <f>IF(B58="","",IF(F58=0,0,IF(Simulador!$F$11='Tabla Parámetros'!$W$1,'Tabla Parámetros'!$W$28,IF(Simulador!$F$11='Tabla Parámetros'!$Y$1,'Tabla Parámetros'!$Y$12))))</f>
        <v>#REF!</v>
      </c>
      <c r="N58" s="167" t="e">
        <f>IF(B58="","",IF(F58=0,0,IF(Simulador!$N$7='Tabla Parámetros'!$C$31,AportPat!L44,0)))</f>
        <v>#REF!</v>
      </c>
      <c r="O58" s="167" t="e">
        <f>Simulador!#REF!</f>
        <v>#REF!</v>
      </c>
      <c r="P58" s="167" t="e">
        <f t="shared" si="11"/>
        <v>#REF!</v>
      </c>
      <c r="Q58" s="167" t="e">
        <f t="shared" si="12"/>
        <v>#REF!</v>
      </c>
      <c r="T58" s="6"/>
      <c r="U58" s="6"/>
      <c r="V58" s="6"/>
      <c r="W58" s="29" t="e">
        <f t="shared" si="0"/>
        <v>#REF!</v>
      </c>
      <c r="Y58" s="201" t="e">
        <f t="shared" si="9"/>
        <v>#REF!</v>
      </c>
      <c r="Z58" s="201" t="e">
        <f t="shared" si="13"/>
        <v>#REF!</v>
      </c>
      <c r="AA58" s="202" t="e">
        <f t="shared" si="14"/>
        <v>#REF!</v>
      </c>
      <c r="AB58" s="201" t="e">
        <f t="shared" si="15"/>
        <v>#REF!</v>
      </c>
      <c r="AC58" s="201" t="e">
        <f t="shared" si="16"/>
        <v>#REF!</v>
      </c>
      <c r="AD58" s="201" t="e">
        <f t="shared" si="22"/>
        <v>#REF!</v>
      </c>
      <c r="AE58" s="201" t="e">
        <f t="shared" si="17"/>
        <v>#REF!</v>
      </c>
      <c r="AF58" s="201" t="e">
        <f t="shared" si="18"/>
        <v>#REF!</v>
      </c>
      <c r="AG58" s="201" t="e">
        <f t="shared" si="23"/>
        <v>#REF!</v>
      </c>
    </row>
    <row r="59" spans="2:33" x14ac:dyDescent="0.3">
      <c r="B59" s="179">
        <f t="shared" si="10"/>
        <v>42</v>
      </c>
      <c r="C59" s="180">
        <f t="shared" si="19"/>
        <v>30.4</v>
      </c>
      <c r="D59" s="165">
        <f>IF(B59="","",Simulador!$F$62)</f>
        <v>0.11</v>
      </c>
      <c r="E59" s="167"/>
      <c r="F59" s="167" t="e">
        <f t="shared" si="20"/>
        <v>#REF!</v>
      </c>
      <c r="G59" s="166"/>
      <c r="H59" s="167" t="e">
        <f t="shared" si="6"/>
        <v>#REF!</v>
      </c>
      <c r="I59" s="167" t="e">
        <f t="shared" si="7"/>
        <v>#REF!</v>
      </c>
      <c r="J59" s="167" t="e">
        <f t="shared" si="8"/>
        <v>#REF!</v>
      </c>
      <c r="K59" s="167" t="e">
        <f t="shared" si="21"/>
        <v>#REF!</v>
      </c>
      <c r="L59" s="167" t="e">
        <f>IF(B59="","",IF(F59=0,0,Simulador!$N$13*$J$2))</f>
        <v>#REF!</v>
      </c>
      <c r="M59" s="167" t="e">
        <f>IF(B59="","",IF(F59=0,0,IF(Simulador!$F$11='Tabla Parámetros'!$W$1,'Tabla Parámetros'!$W$28,IF(Simulador!$F$11='Tabla Parámetros'!$Y$1,'Tabla Parámetros'!$Y$12))))</f>
        <v>#REF!</v>
      </c>
      <c r="N59" s="167" t="e">
        <f>IF(B59="","",IF(F59=0,0,IF(Simulador!$N$7='Tabla Parámetros'!$C$31,AportPat!L45,0)))</f>
        <v>#REF!</v>
      </c>
      <c r="O59" s="167" t="e">
        <f>Simulador!#REF!</f>
        <v>#REF!</v>
      </c>
      <c r="P59" s="167" t="e">
        <f t="shared" si="11"/>
        <v>#REF!</v>
      </c>
      <c r="Q59" s="167" t="e">
        <f t="shared" si="12"/>
        <v>#REF!</v>
      </c>
      <c r="T59" s="6"/>
      <c r="U59" s="6"/>
      <c r="V59" s="6"/>
      <c r="W59" s="29" t="e">
        <f t="shared" si="0"/>
        <v>#REF!</v>
      </c>
      <c r="Y59" s="201" t="e">
        <f t="shared" si="9"/>
        <v>#REF!</v>
      </c>
      <c r="Z59" s="201" t="e">
        <f t="shared" si="13"/>
        <v>#REF!</v>
      </c>
      <c r="AA59" s="202" t="e">
        <f t="shared" si="14"/>
        <v>#REF!</v>
      </c>
      <c r="AB59" s="201" t="e">
        <f t="shared" si="15"/>
        <v>#REF!</v>
      </c>
      <c r="AC59" s="201" t="e">
        <f t="shared" si="16"/>
        <v>#REF!</v>
      </c>
      <c r="AD59" s="201" t="e">
        <f t="shared" si="22"/>
        <v>#REF!</v>
      </c>
      <c r="AE59" s="201" t="e">
        <f t="shared" si="17"/>
        <v>#REF!</v>
      </c>
      <c r="AF59" s="201" t="e">
        <f t="shared" si="18"/>
        <v>#REF!</v>
      </c>
      <c r="AG59" s="201" t="e">
        <f t="shared" si="23"/>
        <v>#REF!</v>
      </c>
    </row>
    <row r="60" spans="2:33" x14ac:dyDescent="0.3">
      <c r="B60" s="179">
        <f t="shared" si="10"/>
        <v>43</v>
      </c>
      <c r="C60" s="180">
        <f t="shared" si="19"/>
        <v>30.4</v>
      </c>
      <c r="D60" s="165">
        <f>IF(B60="","",Simulador!$F$62)</f>
        <v>0.11</v>
      </c>
      <c r="E60" s="167"/>
      <c r="F60" s="167" t="e">
        <f t="shared" si="20"/>
        <v>#REF!</v>
      </c>
      <c r="G60" s="166"/>
      <c r="H60" s="167" t="e">
        <f t="shared" si="6"/>
        <v>#REF!</v>
      </c>
      <c r="I60" s="167" t="e">
        <f t="shared" si="7"/>
        <v>#REF!</v>
      </c>
      <c r="J60" s="167" t="e">
        <f t="shared" si="8"/>
        <v>#REF!</v>
      </c>
      <c r="K60" s="167" t="e">
        <f t="shared" si="21"/>
        <v>#REF!</v>
      </c>
      <c r="L60" s="167" t="e">
        <f>IF(B60="","",IF(F60=0,0,Simulador!$N$13*$J$2))</f>
        <v>#REF!</v>
      </c>
      <c r="M60" s="167" t="e">
        <f>IF(B60="","",IF(F60=0,0,IF(Simulador!$F$11='Tabla Parámetros'!$W$1,'Tabla Parámetros'!$W$28,IF(Simulador!$F$11='Tabla Parámetros'!$Y$1,'Tabla Parámetros'!$Y$12))))</f>
        <v>#REF!</v>
      </c>
      <c r="N60" s="167" t="e">
        <f>IF(B60="","",IF(F60=0,0,IF(Simulador!$N$7='Tabla Parámetros'!$C$31,AportPat!L46,0)))</f>
        <v>#REF!</v>
      </c>
      <c r="O60" s="167" t="e">
        <f>Simulador!#REF!</f>
        <v>#REF!</v>
      </c>
      <c r="P60" s="167" t="e">
        <f t="shared" si="11"/>
        <v>#REF!</v>
      </c>
      <c r="Q60" s="167" t="e">
        <f t="shared" si="12"/>
        <v>#REF!</v>
      </c>
      <c r="T60" s="6"/>
      <c r="U60" s="6"/>
      <c r="V60" s="6"/>
      <c r="W60" s="29" t="e">
        <f t="shared" si="0"/>
        <v>#REF!</v>
      </c>
      <c r="Y60" s="201" t="e">
        <f t="shared" si="9"/>
        <v>#REF!</v>
      </c>
      <c r="Z60" s="201" t="e">
        <f t="shared" si="13"/>
        <v>#REF!</v>
      </c>
      <c r="AA60" s="202" t="e">
        <f t="shared" si="14"/>
        <v>#REF!</v>
      </c>
      <c r="AB60" s="201" t="e">
        <f t="shared" si="15"/>
        <v>#REF!</v>
      </c>
      <c r="AC60" s="201" t="e">
        <f t="shared" si="16"/>
        <v>#REF!</v>
      </c>
      <c r="AD60" s="201" t="e">
        <f t="shared" si="22"/>
        <v>#REF!</v>
      </c>
      <c r="AE60" s="201" t="e">
        <f t="shared" si="17"/>
        <v>#REF!</v>
      </c>
      <c r="AF60" s="201" t="e">
        <f t="shared" si="18"/>
        <v>#REF!</v>
      </c>
      <c r="AG60" s="201" t="e">
        <f t="shared" si="23"/>
        <v>#REF!</v>
      </c>
    </row>
    <row r="61" spans="2:33" x14ac:dyDescent="0.3">
      <c r="B61" s="179">
        <f t="shared" si="10"/>
        <v>44</v>
      </c>
      <c r="C61" s="180">
        <f t="shared" si="19"/>
        <v>30.4</v>
      </c>
      <c r="D61" s="165">
        <f>IF(B61="","",Simulador!$F$62)</f>
        <v>0.11</v>
      </c>
      <c r="E61" s="167"/>
      <c r="F61" s="167" t="e">
        <f t="shared" si="20"/>
        <v>#REF!</v>
      </c>
      <c r="G61" s="166"/>
      <c r="H61" s="167" t="e">
        <f t="shared" si="6"/>
        <v>#REF!</v>
      </c>
      <c r="I61" s="167" t="e">
        <f t="shared" si="7"/>
        <v>#REF!</v>
      </c>
      <c r="J61" s="167" t="e">
        <f t="shared" si="8"/>
        <v>#REF!</v>
      </c>
      <c r="K61" s="167" t="e">
        <f t="shared" si="21"/>
        <v>#REF!</v>
      </c>
      <c r="L61" s="167" t="e">
        <f>IF(B61="","",IF(F61=0,0,Simulador!$N$13*$J$2))</f>
        <v>#REF!</v>
      </c>
      <c r="M61" s="167" t="e">
        <f>IF(B61="","",IF(F61=0,0,IF(Simulador!$F$11='Tabla Parámetros'!$W$1,'Tabla Parámetros'!$W$28,IF(Simulador!$F$11='Tabla Parámetros'!$Y$1,'Tabla Parámetros'!$Y$12))))</f>
        <v>#REF!</v>
      </c>
      <c r="N61" s="167" t="e">
        <f>IF(B61="","",IF(F61=0,0,IF(Simulador!$N$7='Tabla Parámetros'!$C$31,AportPat!L47,0)))</f>
        <v>#REF!</v>
      </c>
      <c r="O61" s="167" t="e">
        <f>Simulador!#REF!</f>
        <v>#REF!</v>
      </c>
      <c r="P61" s="167" t="e">
        <f t="shared" si="11"/>
        <v>#REF!</v>
      </c>
      <c r="Q61" s="167" t="e">
        <f t="shared" si="12"/>
        <v>#REF!</v>
      </c>
      <c r="T61" s="6"/>
      <c r="U61" s="6"/>
      <c r="V61" s="6"/>
      <c r="W61" s="29" t="e">
        <f t="shared" si="0"/>
        <v>#REF!</v>
      </c>
      <c r="Y61" s="201" t="e">
        <f t="shared" si="9"/>
        <v>#REF!</v>
      </c>
      <c r="Z61" s="201" t="e">
        <f t="shared" si="13"/>
        <v>#REF!</v>
      </c>
      <c r="AA61" s="202" t="e">
        <f t="shared" si="14"/>
        <v>#REF!</v>
      </c>
      <c r="AB61" s="201" t="e">
        <f t="shared" si="15"/>
        <v>#REF!</v>
      </c>
      <c r="AC61" s="201" t="e">
        <f t="shared" si="16"/>
        <v>#REF!</v>
      </c>
      <c r="AD61" s="201" t="e">
        <f t="shared" si="22"/>
        <v>#REF!</v>
      </c>
      <c r="AE61" s="201" t="e">
        <f t="shared" si="17"/>
        <v>#REF!</v>
      </c>
      <c r="AF61" s="201" t="e">
        <f t="shared" si="18"/>
        <v>#REF!</v>
      </c>
      <c r="AG61" s="201" t="e">
        <f t="shared" si="23"/>
        <v>#REF!</v>
      </c>
    </row>
    <row r="62" spans="2:33" x14ac:dyDescent="0.3">
      <c r="B62" s="181">
        <f t="shared" si="10"/>
        <v>45</v>
      </c>
      <c r="C62" s="180">
        <f t="shared" si="19"/>
        <v>30.4</v>
      </c>
      <c r="D62" s="165">
        <f>IF(B62="","",Simulador!$F$62)</f>
        <v>0.11</v>
      </c>
      <c r="E62" s="167"/>
      <c r="F62" s="167" t="e">
        <f t="shared" si="20"/>
        <v>#REF!</v>
      </c>
      <c r="G62" s="166"/>
      <c r="H62" s="167" t="e">
        <f t="shared" si="6"/>
        <v>#REF!</v>
      </c>
      <c r="I62" s="167" t="e">
        <f t="shared" si="7"/>
        <v>#REF!</v>
      </c>
      <c r="J62" s="167" t="e">
        <f t="shared" si="8"/>
        <v>#REF!</v>
      </c>
      <c r="K62" s="167" t="e">
        <f t="shared" si="21"/>
        <v>#REF!</v>
      </c>
      <c r="L62" s="167" t="e">
        <f>IF(B62="","",IF(F62=0,0,Simulador!$N$13*$J$2))</f>
        <v>#REF!</v>
      </c>
      <c r="M62" s="167" t="e">
        <f>IF(B62="","",IF(F62=0,0,IF(Simulador!$F$11='Tabla Parámetros'!$W$1,'Tabla Parámetros'!$W$28,IF(Simulador!$F$11='Tabla Parámetros'!$Y$1,'Tabla Parámetros'!$Y$12))))</f>
        <v>#REF!</v>
      </c>
      <c r="N62" s="167" t="e">
        <f>IF(B62="","",IF(F62=0,0,IF(Simulador!$N$7='Tabla Parámetros'!$C$31,AportPat!L48,0)))</f>
        <v>#REF!</v>
      </c>
      <c r="O62" s="167" t="e">
        <f>Simulador!#REF!</f>
        <v>#REF!</v>
      </c>
      <c r="P62" s="167" t="e">
        <f t="shared" si="11"/>
        <v>#REF!</v>
      </c>
      <c r="Q62" s="167" t="e">
        <f t="shared" si="12"/>
        <v>#REF!</v>
      </c>
      <c r="T62" s="6"/>
      <c r="U62" s="6"/>
      <c r="V62" s="6"/>
      <c r="W62" s="29" t="e">
        <f t="shared" si="0"/>
        <v>#REF!</v>
      </c>
      <c r="Y62" s="201" t="e">
        <f t="shared" si="9"/>
        <v>#REF!</v>
      </c>
      <c r="Z62" s="201" t="e">
        <f t="shared" si="13"/>
        <v>#REF!</v>
      </c>
      <c r="AA62" s="202" t="e">
        <f t="shared" si="14"/>
        <v>#REF!</v>
      </c>
      <c r="AB62" s="201" t="e">
        <f t="shared" si="15"/>
        <v>#REF!</v>
      </c>
      <c r="AC62" s="201" t="e">
        <f t="shared" si="16"/>
        <v>#REF!</v>
      </c>
      <c r="AD62" s="201" t="e">
        <f t="shared" si="22"/>
        <v>#REF!</v>
      </c>
      <c r="AE62" s="201" t="e">
        <f t="shared" si="17"/>
        <v>#REF!</v>
      </c>
      <c r="AF62" s="201" t="e">
        <f t="shared" si="18"/>
        <v>#REF!</v>
      </c>
      <c r="AG62" s="201" t="e">
        <f t="shared" si="23"/>
        <v>#REF!</v>
      </c>
    </row>
    <row r="63" spans="2:33" x14ac:dyDescent="0.3">
      <c r="B63" s="179">
        <f t="shared" si="10"/>
        <v>46</v>
      </c>
      <c r="C63" s="180">
        <f t="shared" si="19"/>
        <v>30.4</v>
      </c>
      <c r="D63" s="165">
        <f>IF(B63="","",Simulador!$F$62)</f>
        <v>0.11</v>
      </c>
      <c r="E63" s="167"/>
      <c r="F63" s="167" t="e">
        <f t="shared" si="20"/>
        <v>#REF!</v>
      </c>
      <c r="G63" s="166"/>
      <c r="H63" s="167" t="e">
        <f t="shared" si="6"/>
        <v>#REF!</v>
      </c>
      <c r="I63" s="167" t="e">
        <f t="shared" si="7"/>
        <v>#REF!</v>
      </c>
      <c r="J63" s="167" t="e">
        <f t="shared" si="8"/>
        <v>#REF!</v>
      </c>
      <c r="K63" s="167" t="e">
        <f t="shared" si="21"/>
        <v>#REF!</v>
      </c>
      <c r="L63" s="167" t="e">
        <f>IF(B63="","",IF(F63=0,0,Simulador!$N$13*$J$2))</f>
        <v>#REF!</v>
      </c>
      <c r="M63" s="167" t="e">
        <f>IF(B63="","",IF(F63=0,0,IF(Simulador!$F$11='Tabla Parámetros'!$W$1,'Tabla Parámetros'!$W$28,IF(Simulador!$F$11='Tabla Parámetros'!$Y$1,'Tabla Parámetros'!$Y$12))))</f>
        <v>#REF!</v>
      </c>
      <c r="N63" s="167" t="e">
        <f>IF(B63="","",IF(F63=0,0,IF(Simulador!$N$7='Tabla Parámetros'!$C$31,AportPat!L49,0)))</f>
        <v>#REF!</v>
      </c>
      <c r="O63" s="167" t="e">
        <f>Simulador!#REF!</f>
        <v>#REF!</v>
      </c>
      <c r="P63" s="167" t="e">
        <f t="shared" si="11"/>
        <v>#REF!</v>
      </c>
      <c r="Q63" s="167" t="e">
        <f t="shared" si="12"/>
        <v>#REF!</v>
      </c>
      <c r="T63" s="6"/>
      <c r="U63" s="6"/>
      <c r="V63" s="6"/>
      <c r="W63" s="29" t="e">
        <f t="shared" si="0"/>
        <v>#REF!</v>
      </c>
      <c r="Y63" s="201" t="e">
        <f t="shared" si="9"/>
        <v>#REF!</v>
      </c>
      <c r="Z63" s="201" t="e">
        <f t="shared" si="13"/>
        <v>#REF!</v>
      </c>
      <c r="AA63" s="202" t="e">
        <f t="shared" si="14"/>
        <v>#REF!</v>
      </c>
      <c r="AB63" s="201" t="e">
        <f t="shared" si="15"/>
        <v>#REF!</v>
      </c>
      <c r="AC63" s="201" t="e">
        <f t="shared" si="16"/>
        <v>#REF!</v>
      </c>
      <c r="AD63" s="201" t="e">
        <f t="shared" si="22"/>
        <v>#REF!</v>
      </c>
      <c r="AE63" s="201" t="e">
        <f t="shared" si="17"/>
        <v>#REF!</v>
      </c>
      <c r="AF63" s="201" t="e">
        <f t="shared" si="18"/>
        <v>#REF!</v>
      </c>
      <c r="AG63" s="201" t="e">
        <f t="shared" si="23"/>
        <v>#REF!</v>
      </c>
    </row>
    <row r="64" spans="2:33" x14ac:dyDescent="0.3">
      <c r="B64" s="179">
        <f t="shared" si="10"/>
        <v>47</v>
      </c>
      <c r="C64" s="180">
        <f t="shared" si="19"/>
        <v>30.4</v>
      </c>
      <c r="D64" s="165">
        <f>IF(B64="","",Simulador!$F$62)</f>
        <v>0.11</v>
      </c>
      <c r="E64" s="167"/>
      <c r="F64" s="167" t="e">
        <f t="shared" si="20"/>
        <v>#REF!</v>
      </c>
      <c r="G64" s="166"/>
      <c r="H64" s="167" t="e">
        <f t="shared" si="6"/>
        <v>#REF!</v>
      </c>
      <c r="I64" s="167" t="e">
        <f t="shared" si="7"/>
        <v>#REF!</v>
      </c>
      <c r="J64" s="167" t="e">
        <f t="shared" si="8"/>
        <v>#REF!</v>
      </c>
      <c r="K64" s="167" t="e">
        <f t="shared" si="21"/>
        <v>#REF!</v>
      </c>
      <c r="L64" s="167" t="e">
        <f>IF(B64="","",IF(F64=0,0,Simulador!$N$13*$J$2))</f>
        <v>#REF!</v>
      </c>
      <c r="M64" s="167" t="e">
        <f>IF(B64="","",IF(F64=0,0,IF(Simulador!$F$11='Tabla Parámetros'!$W$1,'Tabla Parámetros'!$W$28,IF(Simulador!$F$11='Tabla Parámetros'!$Y$1,'Tabla Parámetros'!$Y$12))))</f>
        <v>#REF!</v>
      </c>
      <c r="N64" s="167" t="e">
        <f>IF(B64="","",IF(F64=0,0,IF(Simulador!$N$7='Tabla Parámetros'!$C$31,AportPat!L50,0)))</f>
        <v>#REF!</v>
      </c>
      <c r="O64" s="167" t="e">
        <f>Simulador!#REF!</f>
        <v>#REF!</v>
      </c>
      <c r="P64" s="167" t="e">
        <f t="shared" si="11"/>
        <v>#REF!</v>
      </c>
      <c r="Q64" s="167" t="e">
        <f t="shared" si="12"/>
        <v>#REF!</v>
      </c>
      <c r="T64" s="6"/>
      <c r="U64" s="6"/>
      <c r="V64" s="6"/>
      <c r="W64" s="29" t="e">
        <f t="shared" si="0"/>
        <v>#REF!</v>
      </c>
      <c r="Y64" s="201" t="e">
        <f t="shared" si="9"/>
        <v>#REF!</v>
      </c>
      <c r="Z64" s="201" t="e">
        <f t="shared" si="13"/>
        <v>#REF!</v>
      </c>
      <c r="AA64" s="202" t="e">
        <f t="shared" si="14"/>
        <v>#REF!</v>
      </c>
      <c r="AB64" s="201" t="e">
        <f t="shared" si="15"/>
        <v>#REF!</v>
      </c>
      <c r="AC64" s="201" t="e">
        <f t="shared" si="16"/>
        <v>#REF!</v>
      </c>
      <c r="AD64" s="201" t="e">
        <f t="shared" si="22"/>
        <v>#REF!</v>
      </c>
      <c r="AE64" s="201" t="e">
        <f t="shared" si="17"/>
        <v>#REF!</v>
      </c>
      <c r="AF64" s="201" t="e">
        <f t="shared" si="18"/>
        <v>#REF!</v>
      </c>
      <c r="AG64" s="201" t="e">
        <f t="shared" si="23"/>
        <v>#REF!</v>
      </c>
    </row>
    <row r="65" spans="2:33" x14ac:dyDescent="0.3">
      <c r="B65" s="179">
        <f t="shared" si="10"/>
        <v>48</v>
      </c>
      <c r="C65" s="180">
        <f t="shared" si="19"/>
        <v>30.4</v>
      </c>
      <c r="D65" s="165">
        <f>IF(B65="","",Simulador!$F$62)</f>
        <v>0.11</v>
      </c>
      <c r="E65" s="167"/>
      <c r="F65" s="167" t="e">
        <f t="shared" si="20"/>
        <v>#REF!</v>
      </c>
      <c r="G65" s="166"/>
      <c r="H65" s="167" t="e">
        <f t="shared" si="6"/>
        <v>#REF!</v>
      </c>
      <c r="I65" s="167" t="e">
        <f t="shared" si="7"/>
        <v>#REF!</v>
      </c>
      <c r="J65" s="167" t="e">
        <f t="shared" si="8"/>
        <v>#REF!</v>
      </c>
      <c r="K65" s="167" t="e">
        <f t="shared" si="21"/>
        <v>#REF!</v>
      </c>
      <c r="L65" s="167" t="e">
        <f>IF(B65="","",IF(F65=0,0,Simulador!$N$13*$J$2))</f>
        <v>#REF!</v>
      </c>
      <c r="M65" s="167" t="e">
        <f>IF(B65="","",IF(F65=0,0,IF(Simulador!$F$11='Tabla Parámetros'!$W$1,'Tabla Parámetros'!$W$28,IF(Simulador!$F$11='Tabla Parámetros'!$Y$1,'Tabla Parámetros'!$Y$12))))</f>
        <v>#REF!</v>
      </c>
      <c r="N65" s="167" t="e">
        <f>IF(B65="","",IF(F65=0,0,IF(Simulador!$N$7='Tabla Parámetros'!$C$31,AportPat!L51,0)))</f>
        <v>#REF!</v>
      </c>
      <c r="O65" s="167" t="e">
        <f>Simulador!#REF!</f>
        <v>#REF!</v>
      </c>
      <c r="P65" s="167" t="e">
        <f t="shared" si="11"/>
        <v>#REF!</v>
      </c>
      <c r="Q65" s="167" t="e">
        <f t="shared" si="12"/>
        <v>#REF!</v>
      </c>
      <c r="T65" s="6"/>
      <c r="U65" s="6"/>
      <c r="V65" s="6"/>
      <c r="W65" s="29" t="e">
        <f t="shared" si="0"/>
        <v>#REF!</v>
      </c>
      <c r="Y65" s="201" t="e">
        <f t="shared" si="9"/>
        <v>#REF!</v>
      </c>
      <c r="Z65" s="201" t="e">
        <f t="shared" si="13"/>
        <v>#REF!</v>
      </c>
      <c r="AA65" s="202" t="e">
        <f t="shared" si="14"/>
        <v>#REF!</v>
      </c>
      <c r="AB65" s="201" t="e">
        <f t="shared" si="15"/>
        <v>#REF!</v>
      </c>
      <c r="AC65" s="201" t="e">
        <f t="shared" si="16"/>
        <v>#REF!</v>
      </c>
      <c r="AD65" s="201" t="e">
        <f t="shared" si="22"/>
        <v>#REF!</v>
      </c>
      <c r="AE65" s="201" t="e">
        <f t="shared" si="17"/>
        <v>#REF!</v>
      </c>
      <c r="AF65" s="201" t="e">
        <f t="shared" si="18"/>
        <v>#REF!</v>
      </c>
      <c r="AG65" s="201" t="e">
        <f t="shared" si="23"/>
        <v>#REF!</v>
      </c>
    </row>
    <row r="66" spans="2:33" x14ac:dyDescent="0.3">
      <c r="B66" s="181">
        <f t="shared" si="10"/>
        <v>49</v>
      </c>
      <c r="C66" s="180">
        <f t="shared" si="19"/>
        <v>30.4</v>
      </c>
      <c r="D66" s="165">
        <f>IF(B66="","",Simulador!$F$62)</f>
        <v>0.11</v>
      </c>
      <c r="E66" s="167"/>
      <c r="F66" s="167" t="e">
        <f t="shared" si="20"/>
        <v>#REF!</v>
      </c>
      <c r="G66" s="166"/>
      <c r="H66" s="167" t="e">
        <f t="shared" si="6"/>
        <v>#REF!</v>
      </c>
      <c r="I66" s="167" t="e">
        <f t="shared" si="7"/>
        <v>#REF!</v>
      </c>
      <c r="J66" s="167" t="e">
        <f t="shared" si="8"/>
        <v>#REF!</v>
      </c>
      <c r="K66" s="167" t="e">
        <f t="shared" si="21"/>
        <v>#REF!</v>
      </c>
      <c r="L66" s="167" t="e">
        <f>IF(B66="","",IF(F66=0,0,Simulador!$N$13*$J$2))</f>
        <v>#REF!</v>
      </c>
      <c r="M66" s="167" t="e">
        <f>IF(B66="","",IF(F66=0,0,IF(Simulador!$F$11='Tabla Parámetros'!$W$1,'Tabla Parámetros'!$W$28,IF(Simulador!$F$11='Tabla Parámetros'!$Y$1,'Tabla Parámetros'!$Y$12))))</f>
        <v>#REF!</v>
      </c>
      <c r="N66" s="167" t="e">
        <f>IF(B66="","",IF(F66=0,0,IF(Simulador!$N$7='Tabla Parámetros'!$C$31,AportPat!L52,0)))</f>
        <v>#REF!</v>
      </c>
      <c r="O66" s="167" t="e">
        <f>Simulador!#REF!</f>
        <v>#REF!</v>
      </c>
      <c r="P66" s="167" t="e">
        <f t="shared" si="11"/>
        <v>#REF!</v>
      </c>
      <c r="Q66" s="167" t="e">
        <f t="shared" si="12"/>
        <v>#REF!</v>
      </c>
      <c r="T66" s="6"/>
      <c r="U66" s="6"/>
      <c r="V66" s="6"/>
      <c r="W66" s="29" t="e">
        <f t="shared" si="0"/>
        <v>#REF!</v>
      </c>
      <c r="Y66" s="201" t="e">
        <f t="shared" si="9"/>
        <v>#REF!</v>
      </c>
      <c r="Z66" s="201" t="e">
        <f t="shared" si="13"/>
        <v>#REF!</v>
      </c>
      <c r="AA66" s="202" t="e">
        <f t="shared" si="14"/>
        <v>#REF!</v>
      </c>
      <c r="AB66" s="201" t="e">
        <f t="shared" si="15"/>
        <v>#REF!</v>
      </c>
      <c r="AC66" s="201" t="e">
        <f t="shared" si="16"/>
        <v>#REF!</v>
      </c>
      <c r="AD66" s="201" t="e">
        <f t="shared" si="22"/>
        <v>#REF!</v>
      </c>
      <c r="AE66" s="201" t="e">
        <f t="shared" si="17"/>
        <v>#REF!</v>
      </c>
      <c r="AF66" s="201" t="e">
        <f t="shared" si="18"/>
        <v>#REF!</v>
      </c>
      <c r="AG66" s="201" t="e">
        <f t="shared" si="23"/>
        <v>#REF!</v>
      </c>
    </row>
    <row r="67" spans="2:33" x14ac:dyDescent="0.3">
      <c r="B67" s="179">
        <f t="shared" si="10"/>
        <v>50</v>
      </c>
      <c r="C67" s="180">
        <f t="shared" si="19"/>
        <v>30.4</v>
      </c>
      <c r="D67" s="165">
        <f>IF(B67="","",Simulador!$F$62)</f>
        <v>0.11</v>
      </c>
      <c r="E67" s="167"/>
      <c r="F67" s="167" t="e">
        <f t="shared" si="20"/>
        <v>#REF!</v>
      </c>
      <c r="G67" s="166"/>
      <c r="H67" s="167" t="e">
        <f t="shared" si="6"/>
        <v>#REF!</v>
      </c>
      <c r="I67" s="167" t="e">
        <f t="shared" si="7"/>
        <v>#REF!</v>
      </c>
      <c r="J67" s="167" t="e">
        <f t="shared" si="8"/>
        <v>#REF!</v>
      </c>
      <c r="K67" s="167" t="e">
        <f t="shared" si="21"/>
        <v>#REF!</v>
      </c>
      <c r="L67" s="167" t="e">
        <f>IF(B67="","",IF(F67=0,0,Simulador!$N$13*$J$2))</f>
        <v>#REF!</v>
      </c>
      <c r="M67" s="167" t="e">
        <f>IF(B67="","",IF(F67=0,0,IF(Simulador!$F$11='Tabla Parámetros'!$W$1,'Tabla Parámetros'!$W$28,IF(Simulador!$F$11='Tabla Parámetros'!$Y$1,'Tabla Parámetros'!$Y$12))))</f>
        <v>#REF!</v>
      </c>
      <c r="N67" s="167" t="e">
        <f>IF(B67="","",IF(F67=0,0,IF(Simulador!$N$7='Tabla Parámetros'!$C$31,AportPat!L53,0)))</f>
        <v>#REF!</v>
      </c>
      <c r="O67" s="167" t="e">
        <f>Simulador!#REF!</f>
        <v>#REF!</v>
      </c>
      <c r="P67" s="167" t="e">
        <f t="shared" si="11"/>
        <v>#REF!</v>
      </c>
      <c r="Q67" s="167" t="e">
        <f t="shared" si="12"/>
        <v>#REF!</v>
      </c>
      <c r="T67" s="6"/>
      <c r="U67" s="6"/>
      <c r="V67" s="6"/>
      <c r="W67" s="29" t="e">
        <f t="shared" si="0"/>
        <v>#REF!</v>
      </c>
      <c r="Y67" s="201" t="e">
        <f t="shared" si="9"/>
        <v>#REF!</v>
      </c>
      <c r="Z67" s="201" t="e">
        <f t="shared" si="13"/>
        <v>#REF!</v>
      </c>
      <c r="AA67" s="202" t="e">
        <f t="shared" si="14"/>
        <v>#REF!</v>
      </c>
      <c r="AB67" s="201" t="e">
        <f t="shared" si="15"/>
        <v>#REF!</v>
      </c>
      <c r="AC67" s="201" t="e">
        <f t="shared" si="16"/>
        <v>#REF!</v>
      </c>
      <c r="AD67" s="201" t="e">
        <f t="shared" si="22"/>
        <v>#REF!</v>
      </c>
      <c r="AE67" s="201" t="e">
        <f t="shared" si="17"/>
        <v>#REF!</v>
      </c>
      <c r="AF67" s="201" t="e">
        <f t="shared" si="18"/>
        <v>#REF!</v>
      </c>
      <c r="AG67" s="201" t="e">
        <f t="shared" si="23"/>
        <v>#REF!</v>
      </c>
    </row>
    <row r="68" spans="2:33" x14ac:dyDescent="0.3">
      <c r="B68" s="179">
        <f t="shared" si="10"/>
        <v>51</v>
      </c>
      <c r="C68" s="180">
        <f t="shared" si="19"/>
        <v>30.4</v>
      </c>
      <c r="D68" s="165">
        <f>IF(B68="","",Simulador!$F$62)</f>
        <v>0.11</v>
      </c>
      <c r="E68" s="167"/>
      <c r="F68" s="167" t="e">
        <f t="shared" si="20"/>
        <v>#REF!</v>
      </c>
      <c r="G68" s="166"/>
      <c r="H68" s="167" t="e">
        <f t="shared" si="6"/>
        <v>#REF!</v>
      </c>
      <c r="I68" s="167" t="e">
        <f t="shared" si="7"/>
        <v>#REF!</v>
      </c>
      <c r="J68" s="167" t="e">
        <f t="shared" si="8"/>
        <v>#REF!</v>
      </c>
      <c r="K68" s="167" t="e">
        <f t="shared" si="21"/>
        <v>#REF!</v>
      </c>
      <c r="L68" s="167" t="e">
        <f>IF(B68="","",IF(F68=0,0,Simulador!$N$13*$J$2))</f>
        <v>#REF!</v>
      </c>
      <c r="M68" s="167" t="e">
        <f>IF(B68="","",IF(F68=0,0,IF(Simulador!$F$11='Tabla Parámetros'!$W$1,'Tabla Parámetros'!$W$28,IF(Simulador!$F$11='Tabla Parámetros'!$Y$1,'Tabla Parámetros'!$Y$12))))</f>
        <v>#REF!</v>
      </c>
      <c r="N68" s="167" t="e">
        <f>IF(B68="","",IF(F68=0,0,IF(Simulador!$N$7='Tabla Parámetros'!$C$31,AportPat!L54,0)))</f>
        <v>#REF!</v>
      </c>
      <c r="O68" s="167" t="e">
        <f>Simulador!#REF!</f>
        <v>#REF!</v>
      </c>
      <c r="P68" s="167" t="e">
        <f t="shared" si="11"/>
        <v>#REF!</v>
      </c>
      <c r="Q68" s="167" t="e">
        <f t="shared" si="12"/>
        <v>#REF!</v>
      </c>
      <c r="T68" s="6"/>
      <c r="U68" s="6"/>
      <c r="V68" s="6"/>
      <c r="W68" s="29" t="e">
        <f t="shared" ref="W68:W131" si="24">P70</f>
        <v>#REF!</v>
      </c>
      <c r="Y68" s="201" t="e">
        <f t="shared" si="9"/>
        <v>#REF!</v>
      </c>
      <c r="Z68" s="201" t="e">
        <f t="shared" si="13"/>
        <v>#REF!</v>
      </c>
      <c r="AA68" s="202" t="e">
        <f t="shared" si="14"/>
        <v>#REF!</v>
      </c>
      <c r="AB68" s="201" t="e">
        <f t="shared" si="15"/>
        <v>#REF!</v>
      </c>
      <c r="AC68" s="201" t="e">
        <f t="shared" si="16"/>
        <v>#REF!</v>
      </c>
      <c r="AD68" s="201" t="e">
        <f t="shared" si="22"/>
        <v>#REF!</v>
      </c>
      <c r="AE68" s="201" t="e">
        <f t="shared" si="17"/>
        <v>#REF!</v>
      </c>
      <c r="AF68" s="201" t="e">
        <f t="shared" si="18"/>
        <v>#REF!</v>
      </c>
      <c r="AG68" s="201" t="e">
        <f t="shared" si="23"/>
        <v>#REF!</v>
      </c>
    </row>
    <row r="69" spans="2:33" x14ac:dyDescent="0.3">
      <c r="B69" s="179">
        <f t="shared" si="10"/>
        <v>52</v>
      </c>
      <c r="C69" s="180">
        <f t="shared" si="19"/>
        <v>30.4</v>
      </c>
      <c r="D69" s="165">
        <f>IF(B69="","",Simulador!$F$62)</f>
        <v>0.11</v>
      </c>
      <c r="E69" s="167"/>
      <c r="F69" s="167" t="e">
        <f t="shared" si="20"/>
        <v>#REF!</v>
      </c>
      <c r="G69" s="166"/>
      <c r="H69" s="167" t="e">
        <f t="shared" si="6"/>
        <v>#REF!</v>
      </c>
      <c r="I69" s="167" t="e">
        <f t="shared" si="7"/>
        <v>#REF!</v>
      </c>
      <c r="J69" s="167" t="e">
        <f t="shared" si="8"/>
        <v>#REF!</v>
      </c>
      <c r="K69" s="167" t="e">
        <f t="shared" si="21"/>
        <v>#REF!</v>
      </c>
      <c r="L69" s="167" t="e">
        <f>IF(B69="","",IF(F69=0,0,Simulador!$N$13*$J$2))</f>
        <v>#REF!</v>
      </c>
      <c r="M69" s="167" t="e">
        <f>IF(B69="","",IF(F69=0,0,IF(Simulador!$F$11='Tabla Parámetros'!$W$1,'Tabla Parámetros'!$W$28,IF(Simulador!$F$11='Tabla Parámetros'!$Y$1,'Tabla Parámetros'!$Y$12))))</f>
        <v>#REF!</v>
      </c>
      <c r="N69" s="167" t="e">
        <f>IF(B69="","",IF(F69=0,0,IF(Simulador!$N$7='Tabla Parámetros'!$C$31,AportPat!L55,0)))</f>
        <v>#REF!</v>
      </c>
      <c r="O69" s="167" t="e">
        <f>Simulador!#REF!</f>
        <v>#REF!</v>
      </c>
      <c r="P69" s="167" t="e">
        <f t="shared" si="11"/>
        <v>#REF!</v>
      </c>
      <c r="Q69" s="167" t="e">
        <f t="shared" si="12"/>
        <v>#REF!</v>
      </c>
      <c r="T69" s="6"/>
      <c r="U69" s="6"/>
      <c r="V69" s="6"/>
      <c r="W69" s="29" t="e">
        <f t="shared" si="24"/>
        <v>#REF!</v>
      </c>
      <c r="Y69" s="201" t="e">
        <f t="shared" si="9"/>
        <v>#REF!</v>
      </c>
      <c r="Z69" s="201" t="e">
        <f t="shared" si="13"/>
        <v>#REF!</v>
      </c>
      <c r="AA69" s="202" t="e">
        <f t="shared" si="14"/>
        <v>#REF!</v>
      </c>
      <c r="AB69" s="201" t="e">
        <f t="shared" si="15"/>
        <v>#REF!</v>
      </c>
      <c r="AC69" s="201" t="e">
        <f t="shared" si="16"/>
        <v>#REF!</v>
      </c>
      <c r="AD69" s="201" t="e">
        <f t="shared" si="22"/>
        <v>#REF!</v>
      </c>
      <c r="AE69" s="201" t="e">
        <f t="shared" si="17"/>
        <v>#REF!</v>
      </c>
      <c r="AF69" s="201" t="e">
        <f t="shared" si="18"/>
        <v>#REF!</v>
      </c>
      <c r="AG69" s="201" t="e">
        <f t="shared" si="23"/>
        <v>#REF!</v>
      </c>
    </row>
    <row r="70" spans="2:33" x14ac:dyDescent="0.3">
      <c r="B70" s="181">
        <f t="shared" si="10"/>
        <v>53</v>
      </c>
      <c r="C70" s="180">
        <f t="shared" si="19"/>
        <v>30.4</v>
      </c>
      <c r="D70" s="165">
        <f>IF(B70="","",Simulador!$F$62)</f>
        <v>0.11</v>
      </c>
      <c r="E70" s="167"/>
      <c r="F70" s="167" t="e">
        <f t="shared" si="20"/>
        <v>#REF!</v>
      </c>
      <c r="G70" s="166"/>
      <c r="H70" s="167" t="e">
        <f t="shared" si="6"/>
        <v>#REF!</v>
      </c>
      <c r="I70" s="167" t="e">
        <f t="shared" si="7"/>
        <v>#REF!</v>
      </c>
      <c r="J70" s="167" t="e">
        <f t="shared" si="8"/>
        <v>#REF!</v>
      </c>
      <c r="K70" s="167" t="e">
        <f t="shared" si="21"/>
        <v>#REF!</v>
      </c>
      <c r="L70" s="167" t="e">
        <f>IF(B70="","",IF(F70=0,0,Simulador!$N$13*$J$2))</f>
        <v>#REF!</v>
      </c>
      <c r="M70" s="167" t="e">
        <f>IF(B70="","",IF(F70=0,0,IF(Simulador!$F$11='Tabla Parámetros'!$W$1,'Tabla Parámetros'!$W$28,IF(Simulador!$F$11='Tabla Parámetros'!$Y$1,'Tabla Parámetros'!$Y$12))))</f>
        <v>#REF!</v>
      </c>
      <c r="N70" s="167" t="e">
        <f>IF(B70="","",IF(F70=0,0,IF(Simulador!$N$7='Tabla Parámetros'!$C$31,AportPat!L56,0)))</f>
        <v>#REF!</v>
      </c>
      <c r="O70" s="167" t="e">
        <f>Simulador!#REF!</f>
        <v>#REF!</v>
      </c>
      <c r="P70" s="167" t="e">
        <f t="shared" si="11"/>
        <v>#REF!</v>
      </c>
      <c r="Q70" s="167" t="e">
        <f t="shared" si="12"/>
        <v>#REF!</v>
      </c>
      <c r="T70" s="6"/>
      <c r="U70" s="6"/>
      <c r="V70" s="6"/>
      <c r="W70" s="29" t="e">
        <f t="shared" si="24"/>
        <v>#REF!</v>
      </c>
      <c r="Y70" s="201" t="e">
        <f t="shared" si="9"/>
        <v>#REF!</v>
      </c>
      <c r="Z70" s="201" t="e">
        <f t="shared" si="13"/>
        <v>#REF!</v>
      </c>
      <c r="AA70" s="202" t="e">
        <f t="shared" si="14"/>
        <v>#REF!</v>
      </c>
      <c r="AB70" s="201" t="e">
        <f t="shared" si="15"/>
        <v>#REF!</v>
      </c>
      <c r="AC70" s="201" t="e">
        <f t="shared" si="16"/>
        <v>#REF!</v>
      </c>
      <c r="AD70" s="201" t="e">
        <f t="shared" si="22"/>
        <v>#REF!</v>
      </c>
      <c r="AE70" s="201" t="e">
        <f t="shared" si="17"/>
        <v>#REF!</v>
      </c>
      <c r="AF70" s="201" t="e">
        <f t="shared" si="18"/>
        <v>#REF!</v>
      </c>
      <c r="AG70" s="201" t="e">
        <f t="shared" si="23"/>
        <v>#REF!</v>
      </c>
    </row>
    <row r="71" spans="2:33" x14ac:dyDescent="0.3">
      <c r="B71" s="179">
        <f t="shared" si="10"/>
        <v>54</v>
      </c>
      <c r="C71" s="180">
        <f t="shared" si="19"/>
        <v>30.4</v>
      </c>
      <c r="D71" s="165">
        <f>IF(B71="","",Simulador!$F$62)</f>
        <v>0.11</v>
      </c>
      <c r="E71" s="167"/>
      <c r="F71" s="167" t="e">
        <f t="shared" si="20"/>
        <v>#REF!</v>
      </c>
      <c r="G71" s="166"/>
      <c r="H71" s="167" t="e">
        <f t="shared" si="6"/>
        <v>#REF!</v>
      </c>
      <c r="I71" s="167" t="e">
        <f t="shared" si="7"/>
        <v>#REF!</v>
      </c>
      <c r="J71" s="167" t="e">
        <f t="shared" si="8"/>
        <v>#REF!</v>
      </c>
      <c r="K71" s="167" t="e">
        <f t="shared" si="21"/>
        <v>#REF!</v>
      </c>
      <c r="L71" s="167" t="e">
        <f>IF(B71="","",IF(F71=0,0,Simulador!$N$13*$J$2))</f>
        <v>#REF!</v>
      </c>
      <c r="M71" s="167" t="e">
        <f>IF(B71="","",IF(F71=0,0,IF(Simulador!$F$11='Tabla Parámetros'!$W$1,'Tabla Parámetros'!$W$28,IF(Simulador!$F$11='Tabla Parámetros'!$Y$1,'Tabla Parámetros'!$Y$12))))</f>
        <v>#REF!</v>
      </c>
      <c r="N71" s="167" t="e">
        <f>IF(B71="","",IF(F71=0,0,IF(Simulador!$N$7='Tabla Parámetros'!$C$31,AportPat!L57,0)))</f>
        <v>#REF!</v>
      </c>
      <c r="O71" s="167" t="e">
        <f>Simulador!#REF!</f>
        <v>#REF!</v>
      </c>
      <c r="P71" s="167" t="e">
        <f t="shared" si="11"/>
        <v>#REF!</v>
      </c>
      <c r="Q71" s="167" t="e">
        <f t="shared" si="12"/>
        <v>#REF!</v>
      </c>
      <c r="T71" s="6"/>
      <c r="U71" s="6"/>
      <c r="V71" s="6"/>
      <c r="W71" s="29" t="e">
        <f t="shared" si="24"/>
        <v>#REF!</v>
      </c>
      <c r="Y71" s="201" t="e">
        <f t="shared" si="9"/>
        <v>#REF!</v>
      </c>
      <c r="Z71" s="201" t="e">
        <f t="shared" si="13"/>
        <v>#REF!</v>
      </c>
      <c r="AA71" s="202" t="e">
        <f t="shared" si="14"/>
        <v>#REF!</v>
      </c>
      <c r="AB71" s="201" t="e">
        <f t="shared" si="15"/>
        <v>#REF!</v>
      </c>
      <c r="AC71" s="201" t="e">
        <f t="shared" si="16"/>
        <v>#REF!</v>
      </c>
      <c r="AD71" s="201" t="e">
        <f t="shared" si="22"/>
        <v>#REF!</v>
      </c>
      <c r="AE71" s="201" t="e">
        <f t="shared" si="17"/>
        <v>#REF!</v>
      </c>
      <c r="AF71" s="201" t="e">
        <f t="shared" si="18"/>
        <v>#REF!</v>
      </c>
      <c r="AG71" s="201" t="e">
        <f t="shared" si="23"/>
        <v>#REF!</v>
      </c>
    </row>
    <row r="72" spans="2:33" x14ac:dyDescent="0.3">
      <c r="B72" s="179">
        <f t="shared" si="10"/>
        <v>55</v>
      </c>
      <c r="C72" s="180">
        <f t="shared" si="19"/>
        <v>30.4</v>
      </c>
      <c r="D72" s="165">
        <f>IF(B72="","",Simulador!$F$62)</f>
        <v>0.11</v>
      </c>
      <c r="E72" s="167"/>
      <c r="F72" s="167" t="e">
        <f t="shared" si="20"/>
        <v>#REF!</v>
      </c>
      <c r="G72" s="166"/>
      <c r="H72" s="167" t="e">
        <f t="shared" si="6"/>
        <v>#REF!</v>
      </c>
      <c r="I72" s="167" t="e">
        <f t="shared" si="7"/>
        <v>#REF!</v>
      </c>
      <c r="J72" s="167" t="e">
        <f t="shared" si="8"/>
        <v>#REF!</v>
      </c>
      <c r="K72" s="167" t="e">
        <f t="shared" si="21"/>
        <v>#REF!</v>
      </c>
      <c r="L72" s="167" t="e">
        <f>IF(B72="","",IF(F72=0,0,Simulador!$N$13*$J$2))</f>
        <v>#REF!</v>
      </c>
      <c r="M72" s="167" t="e">
        <f>IF(B72="","",IF(F72=0,0,IF(Simulador!$F$11='Tabla Parámetros'!$W$1,'Tabla Parámetros'!$W$28,IF(Simulador!$F$11='Tabla Parámetros'!$Y$1,'Tabla Parámetros'!$Y$12))))</f>
        <v>#REF!</v>
      </c>
      <c r="N72" s="167" t="e">
        <f>IF(B72="","",IF(F72=0,0,IF(Simulador!$N$7='Tabla Parámetros'!$C$31,AportPat!L58,0)))</f>
        <v>#REF!</v>
      </c>
      <c r="O72" s="167" t="e">
        <f>Simulador!#REF!</f>
        <v>#REF!</v>
      </c>
      <c r="P72" s="167" t="e">
        <f t="shared" si="11"/>
        <v>#REF!</v>
      </c>
      <c r="Q72" s="167" t="e">
        <f t="shared" si="12"/>
        <v>#REF!</v>
      </c>
      <c r="T72" s="6"/>
      <c r="U72" s="6"/>
      <c r="V72" s="6"/>
      <c r="W72" s="29" t="e">
        <f t="shared" si="24"/>
        <v>#REF!</v>
      </c>
      <c r="Y72" s="201" t="e">
        <f t="shared" si="9"/>
        <v>#REF!</v>
      </c>
      <c r="Z72" s="201" t="e">
        <f t="shared" si="13"/>
        <v>#REF!</v>
      </c>
      <c r="AA72" s="202" t="e">
        <f t="shared" si="14"/>
        <v>#REF!</v>
      </c>
      <c r="AB72" s="201" t="e">
        <f t="shared" si="15"/>
        <v>#REF!</v>
      </c>
      <c r="AC72" s="201" t="e">
        <f t="shared" si="16"/>
        <v>#REF!</v>
      </c>
      <c r="AD72" s="201" t="e">
        <f t="shared" si="22"/>
        <v>#REF!</v>
      </c>
      <c r="AE72" s="201" t="e">
        <f t="shared" si="17"/>
        <v>#REF!</v>
      </c>
      <c r="AF72" s="201" t="e">
        <f t="shared" si="18"/>
        <v>#REF!</v>
      </c>
      <c r="AG72" s="201" t="e">
        <f t="shared" si="23"/>
        <v>#REF!</v>
      </c>
    </row>
    <row r="73" spans="2:33" x14ac:dyDescent="0.3">
      <c r="B73" s="179">
        <f t="shared" si="10"/>
        <v>56</v>
      </c>
      <c r="C73" s="180">
        <f t="shared" si="19"/>
        <v>30.4</v>
      </c>
      <c r="D73" s="165">
        <f>IF(B73="","",Simulador!$F$62)</f>
        <v>0.11</v>
      </c>
      <c r="E73" s="167"/>
      <c r="F73" s="167" t="e">
        <f t="shared" si="20"/>
        <v>#REF!</v>
      </c>
      <c r="G73" s="166"/>
      <c r="H73" s="167" t="e">
        <f t="shared" si="6"/>
        <v>#REF!</v>
      </c>
      <c r="I73" s="167" t="e">
        <f t="shared" si="7"/>
        <v>#REF!</v>
      </c>
      <c r="J73" s="167" t="e">
        <f t="shared" si="8"/>
        <v>#REF!</v>
      </c>
      <c r="K73" s="167" t="e">
        <f t="shared" si="21"/>
        <v>#REF!</v>
      </c>
      <c r="L73" s="167" t="e">
        <f>IF(B73="","",IF(F73=0,0,Simulador!$N$13*$J$2))</f>
        <v>#REF!</v>
      </c>
      <c r="M73" s="167" t="e">
        <f>IF(B73="","",IF(F73=0,0,IF(Simulador!$F$11='Tabla Parámetros'!$W$1,'Tabla Parámetros'!$W$28,IF(Simulador!$F$11='Tabla Parámetros'!$Y$1,'Tabla Parámetros'!$Y$12))))</f>
        <v>#REF!</v>
      </c>
      <c r="N73" s="167" t="e">
        <f>IF(B73="","",IF(F73=0,0,IF(Simulador!$N$7='Tabla Parámetros'!$C$31,AportPat!L59,0)))</f>
        <v>#REF!</v>
      </c>
      <c r="O73" s="167" t="e">
        <f>Simulador!#REF!</f>
        <v>#REF!</v>
      </c>
      <c r="P73" s="167" t="e">
        <f t="shared" si="11"/>
        <v>#REF!</v>
      </c>
      <c r="Q73" s="167" t="e">
        <f t="shared" si="12"/>
        <v>#REF!</v>
      </c>
      <c r="T73" s="6"/>
      <c r="U73" s="6"/>
      <c r="V73" s="6"/>
      <c r="W73" s="29" t="e">
        <f t="shared" si="24"/>
        <v>#REF!</v>
      </c>
      <c r="Y73" s="201" t="e">
        <f t="shared" si="9"/>
        <v>#REF!</v>
      </c>
      <c r="Z73" s="201" t="e">
        <f t="shared" si="13"/>
        <v>#REF!</v>
      </c>
      <c r="AA73" s="202" t="e">
        <f t="shared" si="14"/>
        <v>#REF!</v>
      </c>
      <c r="AB73" s="201" t="e">
        <f t="shared" si="15"/>
        <v>#REF!</v>
      </c>
      <c r="AC73" s="201" t="e">
        <f t="shared" si="16"/>
        <v>#REF!</v>
      </c>
      <c r="AD73" s="201" t="e">
        <f t="shared" si="22"/>
        <v>#REF!</v>
      </c>
      <c r="AE73" s="201" t="e">
        <f t="shared" si="17"/>
        <v>#REF!</v>
      </c>
      <c r="AF73" s="201" t="e">
        <f t="shared" si="18"/>
        <v>#REF!</v>
      </c>
      <c r="AG73" s="201" t="e">
        <f t="shared" si="23"/>
        <v>#REF!</v>
      </c>
    </row>
    <row r="74" spans="2:33" x14ac:dyDescent="0.3">
      <c r="B74" s="181">
        <f t="shared" si="10"/>
        <v>57</v>
      </c>
      <c r="C74" s="180">
        <f t="shared" si="19"/>
        <v>30.4</v>
      </c>
      <c r="D74" s="165">
        <f>IF(B74="","",Simulador!$F$62)</f>
        <v>0.11</v>
      </c>
      <c r="E74" s="167"/>
      <c r="F74" s="167" t="e">
        <f t="shared" si="20"/>
        <v>#REF!</v>
      </c>
      <c r="G74" s="166"/>
      <c r="H74" s="167" t="e">
        <f t="shared" si="6"/>
        <v>#REF!</v>
      </c>
      <c r="I74" s="167" t="e">
        <f t="shared" si="7"/>
        <v>#REF!</v>
      </c>
      <c r="J74" s="167" t="e">
        <f t="shared" si="8"/>
        <v>#REF!</v>
      </c>
      <c r="K74" s="167" t="e">
        <f t="shared" si="21"/>
        <v>#REF!</v>
      </c>
      <c r="L74" s="167" t="e">
        <f>IF(B74="","",IF(F74=0,0,Simulador!$N$13*$J$2))</f>
        <v>#REF!</v>
      </c>
      <c r="M74" s="167" t="e">
        <f>IF(B74="","",IF(F74=0,0,IF(Simulador!$F$11='Tabla Parámetros'!$W$1,'Tabla Parámetros'!$W$28,IF(Simulador!$F$11='Tabla Parámetros'!$Y$1,'Tabla Parámetros'!$Y$12))))</f>
        <v>#REF!</v>
      </c>
      <c r="N74" s="167" t="e">
        <f>IF(B74="","",IF(F74=0,0,IF(Simulador!$N$7='Tabla Parámetros'!$C$31,AportPat!L60,0)))</f>
        <v>#REF!</v>
      </c>
      <c r="O74" s="167" t="e">
        <f>Simulador!#REF!</f>
        <v>#REF!</v>
      </c>
      <c r="P74" s="167" t="e">
        <f t="shared" si="11"/>
        <v>#REF!</v>
      </c>
      <c r="Q74" s="167" t="e">
        <f t="shared" si="12"/>
        <v>#REF!</v>
      </c>
      <c r="T74" s="6"/>
      <c r="U74" s="6"/>
      <c r="V74" s="6"/>
      <c r="W74" s="29" t="e">
        <f t="shared" si="24"/>
        <v>#REF!</v>
      </c>
      <c r="Y74" s="201" t="e">
        <f t="shared" si="9"/>
        <v>#REF!</v>
      </c>
      <c r="Z74" s="201" t="e">
        <f t="shared" si="13"/>
        <v>#REF!</v>
      </c>
      <c r="AA74" s="202" t="e">
        <f t="shared" si="14"/>
        <v>#REF!</v>
      </c>
      <c r="AB74" s="201" t="e">
        <f t="shared" si="15"/>
        <v>#REF!</v>
      </c>
      <c r="AC74" s="201" t="e">
        <f t="shared" si="16"/>
        <v>#REF!</v>
      </c>
      <c r="AD74" s="201" t="e">
        <f t="shared" si="22"/>
        <v>#REF!</v>
      </c>
      <c r="AE74" s="201" t="e">
        <f t="shared" si="17"/>
        <v>#REF!</v>
      </c>
      <c r="AF74" s="201" t="e">
        <f t="shared" si="18"/>
        <v>#REF!</v>
      </c>
      <c r="AG74" s="201" t="e">
        <f t="shared" si="23"/>
        <v>#REF!</v>
      </c>
    </row>
    <row r="75" spans="2:33" x14ac:dyDescent="0.3">
      <c r="B75" s="179">
        <f t="shared" si="10"/>
        <v>58</v>
      </c>
      <c r="C75" s="180">
        <f t="shared" si="19"/>
        <v>30.4</v>
      </c>
      <c r="D75" s="165">
        <f>IF(B75="","",Simulador!$F$62)</f>
        <v>0.11</v>
      </c>
      <c r="E75" s="167"/>
      <c r="F75" s="167" t="e">
        <f t="shared" si="20"/>
        <v>#REF!</v>
      </c>
      <c r="G75" s="166"/>
      <c r="H75" s="167" t="e">
        <f t="shared" si="6"/>
        <v>#REF!</v>
      </c>
      <c r="I75" s="167" t="e">
        <f t="shared" si="7"/>
        <v>#REF!</v>
      </c>
      <c r="J75" s="167" t="e">
        <f t="shared" si="8"/>
        <v>#REF!</v>
      </c>
      <c r="K75" s="167" t="e">
        <f t="shared" si="21"/>
        <v>#REF!</v>
      </c>
      <c r="L75" s="167" t="e">
        <f>IF(B75="","",IF(F75=0,0,Simulador!$N$13*$J$2))</f>
        <v>#REF!</v>
      </c>
      <c r="M75" s="167" t="e">
        <f>IF(B75="","",IF(F75=0,0,IF(Simulador!$F$11='Tabla Parámetros'!$W$1,'Tabla Parámetros'!$W$28,IF(Simulador!$F$11='Tabla Parámetros'!$Y$1,'Tabla Parámetros'!$Y$12))))</f>
        <v>#REF!</v>
      </c>
      <c r="N75" s="167" t="e">
        <f>IF(B75="","",IF(F75=0,0,IF(Simulador!$N$7='Tabla Parámetros'!$C$31,AportPat!L61,0)))</f>
        <v>#REF!</v>
      </c>
      <c r="O75" s="167" t="e">
        <f>Simulador!#REF!</f>
        <v>#REF!</v>
      </c>
      <c r="P75" s="167" t="e">
        <f t="shared" si="11"/>
        <v>#REF!</v>
      </c>
      <c r="Q75" s="167" t="e">
        <f t="shared" si="12"/>
        <v>#REF!</v>
      </c>
      <c r="T75" s="6"/>
      <c r="U75" s="6"/>
      <c r="V75" s="6"/>
      <c r="W75" s="29" t="e">
        <f t="shared" si="24"/>
        <v>#REF!</v>
      </c>
      <c r="Y75" s="201" t="e">
        <f t="shared" si="9"/>
        <v>#REF!</v>
      </c>
      <c r="Z75" s="201" t="e">
        <f t="shared" si="13"/>
        <v>#REF!</v>
      </c>
      <c r="AA75" s="202" t="e">
        <f t="shared" si="14"/>
        <v>#REF!</v>
      </c>
      <c r="AB75" s="201" t="e">
        <f t="shared" si="15"/>
        <v>#REF!</v>
      </c>
      <c r="AC75" s="201" t="e">
        <f t="shared" si="16"/>
        <v>#REF!</v>
      </c>
      <c r="AD75" s="201" t="e">
        <f t="shared" si="22"/>
        <v>#REF!</v>
      </c>
      <c r="AE75" s="201" t="e">
        <f t="shared" si="17"/>
        <v>#REF!</v>
      </c>
      <c r="AF75" s="201" t="e">
        <f t="shared" si="18"/>
        <v>#REF!</v>
      </c>
      <c r="AG75" s="201" t="e">
        <f t="shared" si="23"/>
        <v>#REF!</v>
      </c>
    </row>
    <row r="76" spans="2:33" x14ac:dyDescent="0.3">
      <c r="B76" s="179">
        <f t="shared" si="10"/>
        <v>59</v>
      </c>
      <c r="C76" s="180">
        <f t="shared" si="19"/>
        <v>30.4</v>
      </c>
      <c r="D76" s="165">
        <f>IF(B76="","",Simulador!$F$62)</f>
        <v>0.11</v>
      </c>
      <c r="E76" s="167"/>
      <c r="F76" s="167" t="e">
        <f t="shared" si="20"/>
        <v>#REF!</v>
      </c>
      <c r="G76" s="166"/>
      <c r="H76" s="167" t="e">
        <f t="shared" si="6"/>
        <v>#REF!</v>
      </c>
      <c r="I76" s="167" t="e">
        <f t="shared" si="7"/>
        <v>#REF!</v>
      </c>
      <c r="J76" s="167" t="e">
        <f t="shared" si="8"/>
        <v>#REF!</v>
      </c>
      <c r="K76" s="167" t="e">
        <f t="shared" si="21"/>
        <v>#REF!</v>
      </c>
      <c r="L76" s="167" t="e">
        <f>IF(B76="","",IF(F76=0,0,Simulador!$N$13*$J$2))</f>
        <v>#REF!</v>
      </c>
      <c r="M76" s="167" t="e">
        <f>IF(B76="","",IF(F76=0,0,IF(Simulador!$F$11='Tabla Parámetros'!$W$1,'Tabla Parámetros'!$W$28,IF(Simulador!$F$11='Tabla Parámetros'!$Y$1,'Tabla Parámetros'!$Y$12))))</f>
        <v>#REF!</v>
      </c>
      <c r="N76" s="167" t="e">
        <f>IF(B76="","",IF(F76=0,0,IF(Simulador!$N$7='Tabla Parámetros'!$C$31,AportPat!L62,0)))</f>
        <v>#REF!</v>
      </c>
      <c r="O76" s="167" t="e">
        <f>Simulador!#REF!</f>
        <v>#REF!</v>
      </c>
      <c r="P76" s="167" t="e">
        <f t="shared" si="11"/>
        <v>#REF!</v>
      </c>
      <c r="Q76" s="167" t="e">
        <f t="shared" si="12"/>
        <v>#REF!</v>
      </c>
      <c r="T76" s="6"/>
      <c r="U76" s="6"/>
      <c r="V76" s="6"/>
      <c r="W76" s="29" t="e">
        <f t="shared" si="24"/>
        <v>#REF!</v>
      </c>
      <c r="Y76" s="201" t="e">
        <f t="shared" si="9"/>
        <v>#REF!</v>
      </c>
      <c r="Z76" s="201" t="e">
        <f t="shared" si="13"/>
        <v>#REF!</v>
      </c>
      <c r="AA76" s="202" t="e">
        <f t="shared" si="14"/>
        <v>#REF!</v>
      </c>
      <c r="AB76" s="201" t="e">
        <f t="shared" si="15"/>
        <v>#REF!</v>
      </c>
      <c r="AC76" s="201" t="e">
        <f t="shared" si="16"/>
        <v>#REF!</v>
      </c>
      <c r="AD76" s="201" t="e">
        <f t="shared" si="22"/>
        <v>#REF!</v>
      </c>
      <c r="AE76" s="201" t="e">
        <f t="shared" si="17"/>
        <v>#REF!</v>
      </c>
      <c r="AF76" s="201" t="e">
        <f t="shared" si="18"/>
        <v>#REF!</v>
      </c>
      <c r="AG76" s="201" t="e">
        <f t="shared" si="23"/>
        <v>#REF!</v>
      </c>
    </row>
    <row r="77" spans="2:33" x14ac:dyDescent="0.3">
      <c r="B77" s="179">
        <f t="shared" si="10"/>
        <v>60</v>
      </c>
      <c r="C77" s="180">
        <f t="shared" si="19"/>
        <v>30.4</v>
      </c>
      <c r="D77" s="165">
        <f>IF(B77="","",Simulador!$F$62)</f>
        <v>0.11</v>
      </c>
      <c r="E77" s="167"/>
      <c r="F77" s="167" t="e">
        <f t="shared" si="20"/>
        <v>#REF!</v>
      </c>
      <c r="G77" s="166"/>
      <c r="H77" s="167" t="e">
        <f t="shared" si="6"/>
        <v>#REF!</v>
      </c>
      <c r="I77" s="167" t="e">
        <f t="shared" si="7"/>
        <v>#REF!</v>
      </c>
      <c r="J77" s="167" t="e">
        <f t="shared" si="8"/>
        <v>#REF!</v>
      </c>
      <c r="K77" s="167" t="e">
        <f t="shared" si="21"/>
        <v>#REF!</v>
      </c>
      <c r="L77" s="167" t="e">
        <f>IF(B77="","",IF(F77=0,0,Simulador!$N$13*$J$2))</f>
        <v>#REF!</v>
      </c>
      <c r="M77" s="167" t="e">
        <f>IF(B77="","",IF(F77=0,0,IF(Simulador!$F$11='Tabla Parámetros'!$W$1,'Tabla Parámetros'!$W$28,IF(Simulador!$F$11='Tabla Parámetros'!$Y$1,'Tabla Parámetros'!$Y$12))))</f>
        <v>#REF!</v>
      </c>
      <c r="N77" s="167" t="e">
        <f>IF(B77="","",IF(F77=0,0,IF(Simulador!$N$7='Tabla Parámetros'!$C$31,AportPat!L63,0)))</f>
        <v>#REF!</v>
      </c>
      <c r="O77" s="167" t="e">
        <f>Simulador!#REF!</f>
        <v>#REF!</v>
      </c>
      <c r="P77" s="167" t="e">
        <f t="shared" si="11"/>
        <v>#REF!</v>
      </c>
      <c r="Q77" s="167" t="e">
        <f t="shared" si="12"/>
        <v>#REF!</v>
      </c>
      <c r="T77" s="6"/>
      <c r="U77" s="6"/>
      <c r="V77" s="6"/>
      <c r="W77" s="29" t="e">
        <f t="shared" si="24"/>
        <v>#REF!</v>
      </c>
      <c r="Y77" s="201" t="e">
        <f t="shared" si="9"/>
        <v>#REF!</v>
      </c>
      <c r="Z77" s="201" t="e">
        <f t="shared" si="13"/>
        <v>#REF!</v>
      </c>
      <c r="AA77" s="202" t="e">
        <f t="shared" si="14"/>
        <v>#REF!</v>
      </c>
      <c r="AB77" s="201" t="e">
        <f t="shared" si="15"/>
        <v>#REF!</v>
      </c>
      <c r="AC77" s="201" t="e">
        <f t="shared" si="16"/>
        <v>#REF!</v>
      </c>
      <c r="AD77" s="201" t="e">
        <f t="shared" si="22"/>
        <v>#REF!</v>
      </c>
      <c r="AE77" s="201" t="e">
        <f t="shared" si="17"/>
        <v>#REF!</v>
      </c>
      <c r="AF77" s="201" t="e">
        <f t="shared" si="18"/>
        <v>#REF!</v>
      </c>
      <c r="AG77" s="201" t="e">
        <f t="shared" si="23"/>
        <v>#REF!</v>
      </c>
    </row>
    <row r="78" spans="2:33" x14ac:dyDescent="0.3">
      <c r="B78" s="181">
        <f t="shared" si="10"/>
        <v>61</v>
      </c>
      <c r="C78" s="180">
        <f t="shared" si="19"/>
        <v>30.4</v>
      </c>
      <c r="D78" s="165">
        <f>IF(B78="","",Simulador!$F$62)</f>
        <v>0.11</v>
      </c>
      <c r="E78" s="167"/>
      <c r="F78" s="167" t="e">
        <f t="shared" si="20"/>
        <v>#REF!</v>
      </c>
      <c r="G78" s="166"/>
      <c r="H78" s="167" t="e">
        <f t="shared" si="6"/>
        <v>#REF!</v>
      </c>
      <c r="I78" s="167" t="e">
        <f t="shared" si="7"/>
        <v>#REF!</v>
      </c>
      <c r="J78" s="167" t="e">
        <f t="shared" si="8"/>
        <v>#REF!</v>
      </c>
      <c r="K78" s="167" t="e">
        <f t="shared" si="21"/>
        <v>#REF!</v>
      </c>
      <c r="L78" s="167" t="e">
        <f>IF(B78="","",IF(F78=0,0,Simulador!$N$13*$J$2))</f>
        <v>#REF!</v>
      </c>
      <c r="M78" s="167" t="e">
        <f>IF(B78="","",IF(F78=0,0,IF(Simulador!$F$11='Tabla Parámetros'!$W$1,'Tabla Parámetros'!$W$28,IF(Simulador!$F$11='Tabla Parámetros'!$Y$1,'Tabla Parámetros'!$Y$12))))</f>
        <v>#REF!</v>
      </c>
      <c r="N78" s="167" t="e">
        <f>IF(B78="","",IF(F78=0,0,IF(Simulador!$N$7='Tabla Parámetros'!$C$31,AportPat!L64,0)))</f>
        <v>#REF!</v>
      </c>
      <c r="O78" s="167" t="e">
        <f>Simulador!#REF!</f>
        <v>#REF!</v>
      </c>
      <c r="P78" s="167" t="e">
        <f t="shared" si="11"/>
        <v>#REF!</v>
      </c>
      <c r="Q78" s="167" t="e">
        <f t="shared" si="12"/>
        <v>#REF!</v>
      </c>
      <c r="T78" s="6"/>
      <c r="U78" s="6"/>
      <c r="V78" s="6"/>
      <c r="W78" s="29" t="e">
        <f t="shared" si="24"/>
        <v>#REF!</v>
      </c>
      <c r="Y78" s="201" t="e">
        <f t="shared" si="9"/>
        <v>#REF!</v>
      </c>
      <c r="Z78" s="201" t="e">
        <f t="shared" si="13"/>
        <v>#REF!</v>
      </c>
      <c r="AA78" s="202" t="e">
        <f t="shared" si="14"/>
        <v>#REF!</v>
      </c>
      <c r="AB78" s="201" t="e">
        <f t="shared" si="15"/>
        <v>#REF!</v>
      </c>
      <c r="AC78" s="201" t="e">
        <f t="shared" si="16"/>
        <v>#REF!</v>
      </c>
      <c r="AD78" s="201" t="e">
        <f t="shared" si="22"/>
        <v>#REF!</v>
      </c>
      <c r="AE78" s="201" t="e">
        <f t="shared" si="17"/>
        <v>#REF!</v>
      </c>
      <c r="AF78" s="201" t="e">
        <f t="shared" si="18"/>
        <v>#REF!</v>
      </c>
      <c r="AG78" s="201" t="e">
        <f t="shared" si="23"/>
        <v>#REF!</v>
      </c>
    </row>
    <row r="79" spans="2:33" x14ac:dyDescent="0.3">
      <c r="B79" s="179">
        <f t="shared" si="10"/>
        <v>62</v>
      </c>
      <c r="C79" s="180">
        <f t="shared" si="19"/>
        <v>30.4</v>
      </c>
      <c r="D79" s="165">
        <f>IF(B79="","",Simulador!$F$62)</f>
        <v>0.11</v>
      </c>
      <c r="E79" s="167"/>
      <c r="F79" s="167" t="e">
        <f t="shared" si="20"/>
        <v>#REF!</v>
      </c>
      <c r="G79" s="166"/>
      <c r="H79" s="167" t="e">
        <f t="shared" si="6"/>
        <v>#REF!</v>
      </c>
      <c r="I79" s="167" t="e">
        <f t="shared" si="7"/>
        <v>#REF!</v>
      </c>
      <c r="J79" s="167" t="e">
        <f t="shared" si="8"/>
        <v>#REF!</v>
      </c>
      <c r="K79" s="167" t="e">
        <f t="shared" si="21"/>
        <v>#REF!</v>
      </c>
      <c r="L79" s="167" t="e">
        <f>IF(B79="","",IF(F79=0,0,Simulador!$N$13*$J$2))</f>
        <v>#REF!</v>
      </c>
      <c r="M79" s="167" t="e">
        <f>IF(B79="","",IF(F79=0,0,IF(Simulador!$F$11='Tabla Parámetros'!$W$1,'Tabla Parámetros'!$W$28,IF(Simulador!$F$11='Tabla Parámetros'!$Y$1,'Tabla Parámetros'!$Y$12))))</f>
        <v>#REF!</v>
      </c>
      <c r="N79" s="167" t="e">
        <f>IF(B79="","",IF(F79=0,0,IF(Simulador!$N$7='Tabla Parámetros'!$C$31,AportPat!L65,0)))</f>
        <v>#REF!</v>
      </c>
      <c r="O79" s="167" t="e">
        <f>Simulador!#REF!</f>
        <v>#REF!</v>
      </c>
      <c r="P79" s="167" t="e">
        <f t="shared" si="11"/>
        <v>#REF!</v>
      </c>
      <c r="Q79" s="167" t="e">
        <f t="shared" si="12"/>
        <v>#REF!</v>
      </c>
      <c r="T79" s="6"/>
      <c r="U79" s="6"/>
      <c r="V79" s="6"/>
      <c r="W79" s="29" t="e">
        <f t="shared" si="24"/>
        <v>#REF!</v>
      </c>
      <c r="Y79" s="201" t="e">
        <f t="shared" si="9"/>
        <v>#REF!</v>
      </c>
      <c r="Z79" s="201" t="e">
        <f t="shared" si="13"/>
        <v>#REF!</v>
      </c>
      <c r="AA79" s="202" t="e">
        <f t="shared" si="14"/>
        <v>#REF!</v>
      </c>
      <c r="AB79" s="201" t="e">
        <f t="shared" si="15"/>
        <v>#REF!</v>
      </c>
      <c r="AC79" s="201" t="e">
        <f t="shared" si="16"/>
        <v>#REF!</v>
      </c>
      <c r="AD79" s="201" t="e">
        <f t="shared" si="22"/>
        <v>#REF!</v>
      </c>
      <c r="AE79" s="201" t="e">
        <f t="shared" si="17"/>
        <v>#REF!</v>
      </c>
      <c r="AF79" s="201" t="e">
        <f t="shared" si="18"/>
        <v>#REF!</v>
      </c>
      <c r="AG79" s="201" t="e">
        <f t="shared" si="23"/>
        <v>#REF!</v>
      </c>
    </row>
    <row r="80" spans="2:33" x14ac:dyDescent="0.3">
      <c r="B80" s="179">
        <f t="shared" si="10"/>
        <v>63</v>
      </c>
      <c r="C80" s="180">
        <f t="shared" si="19"/>
        <v>30.4</v>
      </c>
      <c r="D80" s="165">
        <f>IF(B80="","",Simulador!$F$62)</f>
        <v>0.11</v>
      </c>
      <c r="E80" s="167"/>
      <c r="F80" s="167" t="e">
        <f t="shared" si="20"/>
        <v>#REF!</v>
      </c>
      <c r="G80" s="166"/>
      <c r="H80" s="167" t="e">
        <f t="shared" si="6"/>
        <v>#REF!</v>
      </c>
      <c r="I80" s="167" t="e">
        <f t="shared" si="7"/>
        <v>#REF!</v>
      </c>
      <c r="J80" s="167" t="e">
        <f t="shared" si="8"/>
        <v>#REF!</v>
      </c>
      <c r="K80" s="167" t="e">
        <f t="shared" si="21"/>
        <v>#REF!</v>
      </c>
      <c r="L80" s="167" t="e">
        <f>IF(B80="","",IF(F80=0,0,Simulador!$N$13*$J$2))</f>
        <v>#REF!</v>
      </c>
      <c r="M80" s="167" t="e">
        <f>IF(B80="","",IF(F80=0,0,IF(Simulador!$F$11='Tabla Parámetros'!$W$1,'Tabla Parámetros'!$W$28,IF(Simulador!$F$11='Tabla Parámetros'!$Y$1,'Tabla Parámetros'!$Y$12))))</f>
        <v>#REF!</v>
      </c>
      <c r="N80" s="167" t="e">
        <f>IF(B80="","",IF(F80=0,0,IF(Simulador!$N$7='Tabla Parámetros'!$C$31,AportPat!L66,0)))</f>
        <v>#REF!</v>
      </c>
      <c r="O80" s="167" t="e">
        <f>Simulador!#REF!</f>
        <v>#REF!</v>
      </c>
      <c r="P80" s="167" t="e">
        <f t="shared" si="11"/>
        <v>#REF!</v>
      </c>
      <c r="Q80" s="167" t="e">
        <f t="shared" si="12"/>
        <v>#REF!</v>
      </c>
      <c r="T80" s="6"/>
      <c r="U80" s="6"/>
      <c r="V80" s="6"/>
      <c r="W80" s="29" t="e">
        <f t="shared" si="24"/>
        <v>#REF!</v>
      </c>
      <c r="Y80" s="201" t="e">
        <f t="shared" si="9"/>
        <v>#REF!</v>
      </c>
      <c r="Z80" s="201" t="e">
        <f t="shared" si="13"/>
        <v>#REF!</v>
      </c>
      <c r="AA80" s="202" t="e">
        <f t="shared" si="14"/>
        <v>#REF!</v>
      </c>
      <c r="AB80" s="201" t="e">
        <f t="shared" si="15"/>
        <v>#REF!</v>
      </c>
      <c r="AC80" s="201" t="e">
        <f t="shared" si="16"/>
        <v>#REF!</v>
      </c>
      <c r="AD80" s="201" t="e">
        <f t="shared" si="22"/>
        <v>#REF!</v>
      </c>
      <c r="AE80" s="201" t="e">
        <f t="shared" si="17"/>
        <v>#REF!</v>
      </c>
      <c r="AF80" s="201" t="e">
        <f t="shared" si="18"/>
        <v>#REF!</v>
      </c>
      <c r="AG80" s="201" t="e">
        <f t="shared" si="23"/>
        <v>#REF!</v>
      </c>
    </row>
    <row r="81" spans="2:33" x14ac:dyDescent="0.3">
      <c r="B81" s="179">
        <f t="shared" si="10"/>
        <v>64</v>
      </c>
      <c r="C81" s="180">
        <f t="shared" si="19"/>
        <v>30.4</v>
      </c>
      <c r="D81" s="165">
        <f>IF(B81="","",Simulador!$F$62)</f>
        <v>0.11</v>
      </c>
      <c r="E81" s="167"/>
      <c r="F81" s="167" t="e">
        <f t="shared" si="20"/>
        <v>#REF!</v>
      </c>
      <c r="G81" s="166"/>
      <c r="H81" s="167" t="e">
        <f t="shared" si="6"/>
        <v>#REF!</v>
      </c>
      <c r="I81" s="167" t="e">
        <f t="shared" si="7"/>
        <v>#REF!</v>
      </c>
      <c r="J81" s="167" t="e">
        <f t="shared" si="8"/>
        <v>#REF!</v>
      </c>
      <c r="K81" s="167" t="e">
        <f t="shared" si="21"/>
        <v>#REF!</v>
      </c>
      <c r="L81" s="167" t="e">
        <f>IF(B81="","",IF(F81=0,0,Simulador!$N$13*$J$2))</f>
        <v>#REF!</v>
      </c>
      <c r="M81" s="167" t="e">
        <f>IF(B81="","",IF(F81=0,0,IF(Simulador!$F$11='Tabla Parámetros'!$W$1,'Tabla Parámetros'!$W$28,IF(Simulador!$F$11='Tabla Parámetros'!$Y$1,'Tabla Parámetros'!$Y$12))))</f>
        <v>#REF!</v>
      </c>
      <c r="N81" s="167" t="e">
        <f>IF(B81="","",IF(F81=0,0,IF(Simulador!$N$7='Tabla Parámetros'!$C$31,AportPat!L67,0)))</f>
        <v>#REF!</v>
      </c>
      <c r="O81" s="167" t="e">
        <f>Simulador!#REF!</f>
        <v>#REF!</v>
      </c>
      <c r="P81" s="167" t="e">
        <f t="shared" si="11"/>
        <v>#REF!</v>
      </c>
      <c r="Q81" s="167" t="e">
        <f t="shared" si="12"/>
        <v>#REF!</v>
      </c>
      <c r="T81" s="6"/>
      <c r="U81" s="6"/>
      <c r="V81" s="6"/>
      <c r="W81" s="29" t="e">
        <f t="shared" si="24"/>
        <v>#REF!</v>
      </c>
      <c r="Y81" s="201" t="e">
        <f t="shared" si="9"/>
        <v>#REF!</v>
      </c>
      <c r="Z81" s="201" t="e">
        <f t="shared" si="13"/>
        <v>#REF!</v>
      </c>
      <c r="AA81" s="202" t="e">
        <f t="shared" si="14"/>
        <v>#REF!</v>
      </c>
      <c r="AB81" s="201" t="e">
        <f t="shared" si="15"/>
        <v>#REF!</v>
      </c>
      <c r="AC81" s="201" t="e">
        <f t="shared" si="16"/>
        <v>#REF!</v>
      </c>
      <c r="AD81" s="201" t="e">
        <f t="shared" si="22"/>
        <v>#REF!</v>
      </c>
      <c r="AE81" s="201" t="e">
        <f t="shared" si="17"/>
        <v>#REF!</v>
      </c>
      <c r="AF81" s="201" t="e">
        <f t="shared" si="18"/>
        <v>#REF!</v>
      </c>
      <c r="AG81" s="201" t="e">
        <f t="shared" si="23"/>
        <v>#REF!</v>
      </c>
    </row>
    <row r="82" spans="2:33" x14ac:dyDescent="0.3">
      <c r="B82" s="181">
        <f t="shared" si="10"/>
        <v>65</v>
      </c>
      <c r="C82" s="180">
        <f t="shared" si="19"/>
        <v>30.4</v>
      </c>
      <c r="D82" s="165">
        <f>IF(B82="","",Simulador!$F$62)</f>
        <v>0.11</v>
      </c>
      <c r="E82" s="167"/>
      <c r="F82" s="167" t="e">
        <f t="shared" si="20"/>
        <v>#REF!</v>
      </c>
      <c r="G82" s="166"/>
      <c r="H82" s="167" t="e">
        <f t="shared" si="6"/>
        <v>#REF!</v>
      </c>
      <c r="I82" s="167" t="e">
        <f t="shared" si="7"/>
        <v>#REF!</v>
      </c>
      <c r="J82" s="167" t="e">
        <f t="shared" si="8"/>
        <v>#REF!</v>
      </c>
      <c r="K82" s="167" t="e">
        <f t="shared" si="21"/>
        <v>#REF!</v>
      </c>
      <c r="L82" s="167" t="e">
        <f>IF(B82="","",IF(F82=0,0,Simulador!$N$13*$J$2))</f>
        <v>#REF!</v>
      </c>
      <c r="M82" s="167" t="e">
        <f>IF(B82="","",IF(F82=0,0,IF(Simulador!$F$11='Tabla Parámetros'!$W$1,'Tabla Parámetros'!$W$28,IF(Simulador!$F$11='Tabla Parámetros'!$Y$1,'Tabla Parámetros'!$Y$12))))</f>
        <v>#REF!</v>
      </c>
      <c r="N82" s="167" t="e">
        <f>IF(B82="","",IF(F82=0,0,IF(Simulador!$N$7='Tabla Parámetros'!$C$31,AportPat!L68,0)))</f>
        <v>#REF!</v>
      </c>
      <c r="O82" s="167" t="e">
        <f>Simulador!#REF!</f>
        <v>#REF!</v>
      </c>
      <c r="P82" s="167" t="e">
        <f t="shared" si="11"/>
        <v>#REF!</v>
      </c>
      <c r="Q82" s="167" t="e">
        <f t="shared" si="12"/>
        <v>#REF!</v>
      </c>
      <c r="T82" s="6"/>
      <c r="U82" s="6"/>
      <c r="V82" s="6"/>
      <c r="W82" s="29" t="e">
        <f t="shared" si="24"/>
        <v>#REF!</v>
      </c>
      <c r="Y82" s="201" t="e">
        <f t="shared" ref="Y82:Y145" si="25">PPMT(D82/360*30.4,B82,$E$2,-$F$18)+N82+O82</f>
        <v>#REF!</v>
      </c>
      <c r="Z82" s="201" t="e">
        <f t="shared" si="13"/>
        <v>#REF!</v>
      </c>
      <c r="AA82" s="202" t="e">
        <f t="shared" si="14"/>
        <v>#REF!</v>
      </c>
      <c r="AB82" s="201" t="e">
        <f t="shared" si="15"/>
        <v>#REF!</v>
      </c>
      <c r="AC82" s="201" t="e">
        <f t="shared" si="16"/>
        <v>#REF!</v>
      </c>
      <c r="AD82" s="201" t="e">
        <f t="shared" si="22"/>
        <v>#REF!</v>
      </c>
      <c r="AE82" s="201" t="e">
        <f t="shared" si="17"/>
        <v>#REF!</v>
      </c>
      <c r="AF82" s="201" t="e">
        <f t="shared" si="18"/>
        <v>#REF!</v>
      </c>
      <c r="AG82" s="201" t="e">
        <f t="shared" si="23"/>
        <v>#REF!</v>
      </c>
    </row>
    <row r="83" spans="2:33" x14ac:dyDescent="0.3">
      <c r="B83" s="179">
        <f t="shared" ref="B83:B146" si="26">IF(B82="","",IF(B82=$E$2,"",B82+1))</f>
        <v>66</v>
      </c>
      <c r="C83" s="180">
        <f t="shared" si="19"/>
        <v>30.4</v>
      </c>
      <c r="D83" s="165">
        <f>IF(B83="","",Simulador!$F$62)</f>
        <v>0.11</v>
      </c>
      <c r="E83" s="167"/>
      <c r="F83" s="167" t="e">
        <f t="shared" si="20"/>
        <v>#REF!</v>
      </c>
      <c r="G83" s="166"/>
      <c r="H83" s="167" t="e">
        <f t="shared" ref="H83:H146" si="27">IF(B83="","",IF(F83&lt;=H82,F83,IF($Q$2=$Y$16,Y83,IF($Q$2=$AB$16,AB83,IF($Q$2=$AE$16,AE83,)))))</f>
        <v>#REF!</v>
      </c>
      <c r="I83" s="167" t="e">
        <f t="shared" ref="I83:I146" si="28">IF(C83="","",IF($Q$2=$Y$16,Z83,IF($Q$2=$AB$16,AC83,IF($Q$2=$AE$16,AF83,))))</f>
        <v>#REF!</v>
      </c>
      <c r="J83" s="167" t="e">
        <f t="shared" ref="J83:J146" si="29">IF(D83="","",IF(F83=0,0,IF($Q$2=$Y$16,AA83,IF($Q$2=$AB$16,AD83,IF($Q$2=$AE$16,AG83,)))))</f>
        <v>#REF!</v>
      </c>
      <c r="K83" s="167" t="e">
        <f t="shared" si="21"/>
        <v>#REF!</v>
      </c>
      <c r="L83" s="167" t="e">
        <f>IF(B83="","",IF(F83=0,0,Simulador!$N$13*$J$2))</f>
        <v>#REF!</v>
      </c>
      <c r="M83" s="167" t="e">
        <f>IF(B83="","",IF(F83=0,0,IF(Simulador!$F$11='Tabla Parámetros'!$W$1,'Tabla Parámetros'!$W$28,IF(Simulador!$F$11='Tabla Parámetros'!$Y$1,'Tabla Parámetros'!$Y$12))))</f>
        <v>#REF!</v>
      </c>
      <c r="N83" s="167" t="e">
        <f>IF(B83="","",IF(F83=0,0,IF(Simulador!$N$7='Tabla Parámetros'!$C$31,AportPat!L69,0)))</f>
        <v>#REF!</v>
      </c>
      <c r="O83" s="167" t="e">
        <f>Simulador!#REF!</f>
        <v>#REF!</v>
      </c>
      <c r="P83" s="167" t="e">
        <f t="shared" ref="P83:P146" si="30">IF(B83="","",SUM(J83:O83))</f>
        <v>#REF!</v>
      </c>
      <c r="Q83" s="167" t="e">
        <f t="shared" ref="Q83:Q146" si="31">IF(B83="","",F83-H83)</f>
        <v>#REF!</v>
      </c>
      <c r="T83" s="6"/>
      <c r="U83" s="6"/>
      <c r="V83" s="6"/>
      <c r="W83" s="29" t="e">
        <f t="shared" si="24"/>
        <v>#REF!</v>
      </c>
      <c r="Y83" s="201" t="e">
        <f t="shared" si="25"/>
        <v>#REF!</v>
      </c>
      <c r="Z83" s="201" t="e">
        <f t="shared" ref="Z83:Z146" si="32">(D83/360*C83)*F83</f>
        <v>#REF!</v>
      </c>
      <c r="AA83" s="202" t="e">
        <f t="shared" ref="AA83:AA146" si="33">Y83+Z83</f>
        <v>#REF!</v>
      </c>
      <c r="AB83" s="201" t="e">
        <f t="shared" ref="AB83:AB146" si="34">AD83-AC83</f>
        <v>#REF!</v>
      </c>
      <c r="AC83" s="201" t="e">
        <f t="shared" ref="AC83:AC146" si="35">(D83/360*C83)*F83</f>
        <v>#REF!</v>
      </c>
      <c r="AD83" s="201" t="e">
        <f t="shared" si="22"/>
        <v>#REF!</v>
      </c>
      <c r="AE83" s="201" t="e">
        <f t="shared" ref="AE83:AE146" si="36">AG83-AF83</f>
        <v>#REF!</v>
      </c>
      <c r="AF83" s="201" t="e">
        <f t="shared" ref="AF83:AF146" si="37">(D83/360*C83)*F83</f>
        <v>#REF!</v>
      </c>
      <c r="AG83" s="201" t="e">
        <f t="shared" si="23"/>
        <v>#REF!</v>
      </c>
    </row>
    <row r="84" spans="2:33" x14ac:dyDescent="0.3">
      <c r="B84" s="179">
        <f t="shared" si="26"/>
        <v>67</v>
      </c>
      <c r="C84" s="180">
        <f t="shared" ref="C84:C147" si="38">IF(B84="","",30.4)</f>
        <v>30.4</v>
      </c>
      <c r="D84" s="165">
        <f>IF(B84="","",Simulador!$F$62)</f>
        <v>0.11</v>
      </c>
      <c r="E84" s="167"/>
      <c r="F84" s="167" t="e">
        <f t="shared" ref="F84:F147" si="39">IF(B84="","",F83-H83)</f>
        <v>#REF!</v>
      </c>
      <c r="G84" s="166"/>
      <c r="H84" s="167" t="e">
        <f t="shared" si="27"/>
        <v>#REF!</v>
      </c>
      <c r="I84" s="167" t="e">
        <f t="shared" si="28"/>
        <v>#REF!</v>
      </c>
      <c r="J84" s="167" t="e">
        <f t="shared" si="29"/>
        <v>#REF!</v>
      </c>
      <c r="K84" s="167" t="e">
        <f t="shared" ref="K84:K147" si="40">IF(B84="","",IF(F84=0,0,$H$2*$I$2))</f>
        <v>#REF!</v>
      </c>
      <c r="L84" s="167" t="e">
        <f>IF(B84="","",IF(F84=0,0,Simulador!$N$13*$J$2))</f>
        <v>#REF!</v>
      </c>
      <c r="M84" s="167" t="e">
        <f>IF(B84="","",IF(F84=0,0,IF(Simulador!$F$11='Tabla Parámetros'!$W$1,'Tabla Parámetros'!$W$28,IF(Simulador!$F$11='Tabla Parámetros'!$Y$1,'Tabla Parámetros'!$Y$12))))</f>
        <v>#REF!</v>
      </c>
      <c r="N84" s="167" t="e">
        <f>IF(B84="","",IF(F84=0,0,IF(Simulador!$N$7='Tabla Parámetros'!$C$31,AportPat!L70,0)))</f>
        <v>#REF!</v>
      </c>
      <c r="O84" s="167" t="e">
        <f>Simulador!#REF!</f>
        <v>#REF!</v>
      </c>
      <c r="P84" s="167" t="e">
        <f t="shared" si="30"/>
        <v>#REF!</v>
      </c>
      <c r="Q84" s="167" t="e">
        <f t="shared" si="31"/>
        <v>#REF!</v>
      </c>
      <c r="T84" s="6"/>
      <c r="U84" s="6"/>
      <c r="V84" s="6"/>
      <c r="W84" s="29" t="e">
        <f t="shared" si="24"/>
        <v>#REF!</v>
      </c>
      <c r="Y84" s="201" t="e">
        <f t="shared" si="25"/>
        <v>#REF!</v>
      </c>
      <c r="Z84" s="201" t="e">
        <f t="shared" si="32"/>
        <v>#REF!</v>
      </c>
      <c r="AA84" s="202" t="e">
        <f t="shared" si="33"/>
        <v>#REF!</v>
      </c>
      <c r="AB84" s="201" t="e">
        <f t="shared" si="34"/>
        <v>#REF!</v>
      </c>
      <c r="AC84" s="201" t="e">
        <f t="shared" si="35"/>
        <v>#REF!</v>
      </c>
      <c r="AD84" s="201" t="e">
        <f t="shared" ref="AD84:AD147" si="41">PMT($E$1/360*30.4,$E$2,-$H$2)+N84+O84</f>
        <v>#REF!</v>
      </c>
      <c r="AE84" s="201" t="e">
        <f t="shared" si="36"/>
        <v>#REF!</v>
      </c>
      <c r="AF84" s="201" t="e">
        <f t="shared" si="37"/>
        <v>#REF!</v>
      </c>
      <c r="AG84" s="201" t="e">
        <f t="shared" ref="AG84:AG147" si="42">PMT($E$1/360*30.4,$E$2-B83,-F84)+N84+O84</f>
        <v>#REF!</v>
      </c>
    </row>
    <row r="85" spans="2:33" x14ac:dyDescent="0.3">
      <c r="B85" s="179">
        <f t="shared" si="26"/>
        <v>68</v>
      </c>
      <c r="C85" s="180">
        <f t="shared" si="38"/>
        <v>30.4</v>
      </c>
      <c r="D85" s="165">
        <f>IF(B85="","",Simulador!$F$62)</f>
        <v>0.11</v>
      </c>
      <c r="E85" s="167"/>
      <c r="F85" s="167" t="e">
        <f t="shared" si="39"/>
        <v>#REF!</v>
      </c>
      <c r="G85" s="166"/>
      <c r="H85" s="167" t="e">
        <f t="shared" si="27"/>
        <v>#REF!</v>
      </c>
      <c r="I85" s="167" t="e">
        <f t="shared" si="28"/>
        <v>#REF!</v>
      </c>
      <c r="J85" s="167" t="e">
        <f t="shared" si="29"/>
        <v>#REF!</v>
      </c>
      <c r="K85" s="167" t="e">
        <f t="shared" si="40"/>
        <v>#REF!</v>
      </c>
      <c r="L85" s="167" t="e">
        <f>IF(B85="","",IF(F85=0,0,Simulador!$N$13*$J$2))</f>
        <v>#REF!</v>
      </c>
      <c r="M85" s="167" t="e">
        <f>IF(B85="","",IF(F85=0,0,IF(Simulador!$F$11='Tabla Parámetros'!$W$1,'Tabla Parámetros'!$W$28,IF(Simulador!$F$11='Tabla Parámetros'!$Y$1,'Tabla Parámetros'!$Y$12))))</f>
        <v>#REF!</v>
      </c>
      <c r="N85" s="167" t="e">
        <f>IF(B85="","",IF(F85=0,0,IF(Simulador!$N$7='Tabla Parámetros'!$C$31,AportPat!L71,0)))</f>
        <v>#REF!</v>
      </c>
      <c r="O85" s="167" t="e">
        <f>Simulador!#REF!</f>
        <v>#REF!</v>
      </c>
      <c r="P85" s="167" t="e">
        <f t="shared" si="30"/>
        <v>#REF!</v>
      </c>
      <c r="Q85" s="167" t="e">
        <f t="shared" si="31"/>
        <v>#REF!</v>
      </c>
      <c r="T85" s="6"/>
      <c r="U85" s="6"/>
      <c r="V85" s="6"/>
      <c r="W85" s="29" t="e">
        <f t="shared" si="24"/>
        <v>#REF!</v>
      </c>
      <c r="Y85" s="201" t="e">
        <f t="shared" si="25"/>
        <v>#REF!</v>
      </c>
      <c r="Z85" s="201" t="e">
        <f t="shared" si="32"/>
        <v>#REF!</v>
      </c>
      <c r="AA85" s="202" t="e">
        <f t="shared" si="33"/>
        <v>#REF!</v>
      </c>
      <c r="AB85" s="201" t="e">
        <f t="shared" si="34"/>
        <v>#REF!</v>
      </c>
      <c r="AC85" s="201" t="e">
        <f t="shared" si="35"/>
        <v>#REF!</v>
      </c>
      <c r="AD85" s="201" t="e">
        <f t="shared" si="41"/>
        <v>#REF!</v>
      </c>
      <c r="AE85" s="201" t="e">
        <f t="shared" si="36"/>
        <v>#REF!</v>
      </c>
      <c r="AF85" s="201" t="e">
        <f t="shared" si="37"/>
        <v>#REF!</v>
      </c>
      <c r="AG85" s="201" t="e">
        <f t="shared" si="42"/>
        <v>#REF!</v>
      </c>
    </row>
    <row r="86" spans="2:33" x14ac:dyDescent="0.3">
      <c r="B86" s="181">
        <f t="shared" si="26"/>
        <v>69</v>
      </c>
      <c r="C86" s="180">
        <f t="shared" si="38"/>
        <v>30.4</v>
      </c>
      <c r="D86" s="165">
        <f>IF(B86="","",Simulador!$F$62)</f>
        <v>0.11</v>
      </c>
      <c r="E86" s="167"/>
      <c r="F86" s="167" t="e">
        <f t="shared" si="39"/>
        <v>#REF!</v>
      </c>
      <c r="G86" s="166"/>
      <c r="H86" s="167" t="e">
        <f t="shared" si="27"/>
        <v>#REF!</v>
      </c>
      <c r="I86" s="167" t="e">
        <f t="shared" si="28"/>
        <v>#REF!</v>
      </c>
      <c r="J86" s="167" t="e">
        <f t="shared" si="29"/>
        <v>#REF!</v>
      </c>
      <c r="K86" s="167" t="e">
        <f t="shared" si="40"/>
        <v>#REF!</v>
      </c>
      <c r="L86" s="167" t="e">
        <f>IF(B86="","",IF(F86=0,0,Simulador!$N$13*$J$2))</f>
        <v>#REF!</v>
      </c>
      <c r="M86" s="167" t="e">
        <f>IF(B86="","",IF(F86=0,0,IF(Simulador!$F$11='Tabla Parámetros'!$W$1,'Tabla Parámetros'!$W$28,IF(Simulador!$F$11='Tabla Parámetros'!$Y$1,'Tabla Parámetros'!$Y$12))))</f>
        <v>#REF!</v>
      </c>
      <c r="N86" s="167" t="e">
        <f>IF(B86="","",IF(F86=0,0,IF(Simulador!$N$7='Tabla Parámetros'!$C$31,AportPat!L72,0)))</f>
        <v>#REF!</v>
      </c>
      <c r="O86" s="167" t="e">
        <f>Simulador!#REF!</f>
        <v>#REF!</v>
      </c>
      <c r="P86" s="167" t="e">
        <f t="shared" si="30"/>
        <v>#REF!</v>
      </c>
      <c r="Q86" s="167" t="e">
        <f t="shared" si="31"/>
        <v>#REF!</v>
      </c>
      <c r="T86" s="6"/>
      <c r="U86" s="6"/>
      <c r="V86" s="6"/>
      <c r="W86" s="29" t="e">
        <f t="shared" si="24"/>
        <v>#REF!</v>
      </c>
      <c r="Y86" s="201" t="e">
        <f t="shared" si="25"/>
        <v>#REF!</v>
      </c>
      <c r="Z86" s="201" t="e">
        <f t="shared" si="32"/>
        <v>#REF!</v>
      </c>
      <c r="AA86" s="202" t="e">
        <f t="shared" si="33"/>
        <v>#REF!</v>
      </c>
      <c r="AB86" s="201" t="e">
        <f t="shared" si="34"/>
        <v>#REF!</v>
      </c>
      <c r="AC86" s="201" t="e">
        <f t="shared" si="35"/>
        <v>#REF!</v>
      </c>
      <c r="AD86" s="201" t="e">
        <f t="shared" si="41"/>
        <v>#REF!</v>
      </c>
      <c r="AE86" s="201" t="e">
        <f t="shared" si="36"/>
        <v>#REF!</v>
      </c>
      <c r="AF86" s="201" t="e">
        <f t="shared" si="37"/>
        <v>#REF!</v>
      </c>
      <c r="AG86" s="201" t="e">
        <f t="shared" si="42"/>
        <v>#REF!</v>
      </c>
    </row>
    <row r="87" spans="2:33" x14ac:dyDescent="0.3">
      <c r="B87" s="179">
        <f t="shared" si="26"/>
        <v>70</v>
      </c>
      <c r="C87" s="180">
        <f t="shared" si="38"/>
        <v>30.4</v>
      </c>
      <c r="D87" s="165">
        <f>IF(B87="","",Simulador!$F$62)</f>
        <v>0.11</v>
      </c>
      <c r="E87" s="167"/>
      <c r="F87" s="167" t="e">
        <f t="shared" si="39"/>
        <v>#REF!</v>
      </c>
      <c r="G87" s="166"/>
      <c r="H87" s="167" t="e">
        <f t="shared" si="27"/>
        <v>#REF!</v>
      </c>
      <c r="I87" s="167" t="e">
        <f t="shared" si="28"/>
        <v>#REF!</v>
      </c>
      <c r="J87" s="167" t="e">
        <f t="shared" si="29"/>
        <v>#REF!</v>
      </c>
      <c r="K87" s="167" t="e">
        <f t="shared" si="40"/>
        <v>#REF!</v>
      </c>
      <c r="L87" s="167" t="e">
        <f>IF(B87="","",IF(F87=0,0,Simulador!$N$13*$J$2))</f>
        <v>#REF!</v>
      </c>
      <c r="M87" s="167" t="e">
        <f>IF(B87="","",IF(F87=0,0,IF(Simulador!$F$11='Tabla Parámetros'!$W$1,'Tabla Parámetros'!$W$28,IF(Simulador!$F$11='Tabla Parámetros'!$Y$1,'Tabla Parámetros'!$Y$12))))</f>
        <v>#REF!</v>
      </c>
      <c r="N87" s="167" t="e">
        <f>IF(B87="","",IF(F87=0,0,IF(Simulador!$N$7='Tabla Parámetros'!$C$31,AportPat!L73,0)))</f>
        <v>#REF!</v>
      </c>
      <c r="O87" s="167" t="e">
        <f>Simulador!#REF!</f>
        <v>#REF!</v>
      </c>
      <c r="P87" s="167" t="e">
        <f t="shared" si="30"/>
        <v>#REF!</v>
      </c>
      <c r="Q87" s="167" t="e">
        <f t="shared" si="31"/>
        <v>#REF!</v>
      </c>
      <c r="T87" s="6"/>
      <c r="U87" s="6"/>
      <c r="V87" s="6"/>
      <c r="W87" s="29" t="e">
        <f t="shared" si="24"/>
        <v>#REF!</v>
      </c>
      <c r="Y87" s="201" t="e">
        <f t="shared" si="25"/>
        <v>#REF!</v>
      </c>
      <c r="Z87" s="201" t="e">
        <f t="shared" si="32"/>
        <v>#REF!</v>
      </c>
      <c r="AA87" s="202" t="e">
        <f t="shared" si="33"/>
        <v>#REF!</v>
      </c>
      <c r="AB87" s="201" t="e">
        <f t="shared" si="34"/>
        <v>#REF!</v>
      </c>
      <c r="AC87" s="201" t="e">
        <f t="shared" si="35"/>
        <v>#REF!</v>
      </c>
      <c r="AD87" s="201" t="e">
        <f t="shared" si="41"/>
        <v>#REF!</v>
      </c>
      <c r="AE87" s="201" t="e">
        <f t="shared" si="36"/>
        <v>#REF!</v>
      </c>
      <c r="AF87" s="201" t="e">
        <f t="shared" si="37"/>
        <v>#REF!</v>
      </c>
      <c r="AG87" s="201" t="e">
        <f t="shared" si="42"/>
        <v>#REF!</v>
      </c>
    </row>
    <row r="88" spans="2:33" x14ac:dyDescent="0.3">
      <c r="B88" s="179">
        <f t="shared" si="26"/>
        <v>71</v>
      </c>
      <c r="C88" s="180">
        <f t="shared" si="38"/>
        <v>30.4</v>
      </c>
      <c r="D88" s="165">
        <f>IF(B88="","",Simulador!$F$62)</f>
        <v>0.11</v>
      </c>
      <c r="E88" s="167"/>
      <c r="F88" s="167" t="e">
        <f t="shared" si="39"/>
        <v>#REF!</v>
      </c>
      <c r="G88" s="166"/>
      <c r="H88" s="167" t="e">
        <f t="shared" si="27"/>
        <v>#REF!</v>
      </c>
      <c r="I88" s="167" t="e">
        <f t="shared" si="28"/>
        <v>#REF!</v>
      </c>
      <c r="J88" s="167" t="e">
        <f t="shared" si="29"/>
        <v>#REF!</v>
      </c>
      <c r="K88" s="167" t="e">
        <f t="shared" si="40"/>
        <v>#REF!</v>
      </c>
      <c r="L88" s="167" t="e">
        <f>IF(B88="","",IF(F88=0,0,Simulador!$N$13*$J$2))</f>
        <v>#REF!</v>
      </c>
      <c r="M88" s="167" t="e">
        <f>IF(B88="","",IF(F88=0,0,IF(Simulador!$F$11='Tabla Parámetros'!$W$1,'Tabla Parámetros'!$W$28,IF(Simulador!$F$11='Tabla Parámetros'!$Y$1,'Tabla Parámetros'!$Y$12))))</f>
        <v>#REF!</v>
      </c>
      <c r="N88" s="167" t="e">
        <f>IF(B88="","",IF(F88=0,0,IF(Simulador!$N$7='Tabla Parámetros'!$C$31,AportPat!L74,0)))</f>
        <v>#REF!</v>
      </c>
      <c r="O88" s="167" t="e">
        <f>Simulador!#REF!</f>
        <v>#REF!</v>
      </c>
      <c r="P88" s="167" t="e">
        <f t="shared" si="30"/>
        <v>#REF!</v>
      </c>
      <c r="Q88" s="167" t="e">
        <f t="shared" si="31"/>
        <v>#REF!</v>
      </c>
      <c r="T88" s="6"/>
      <c r="U88" s="6"/>
      <c r="V88" s="6"/>
      <c r="W88" s="29" t="e">
        <f t="shared" si="24"/>
        <v>#REF!</v>
      </c>
      <c r="Y88" s="201" t="e">
        <f t="shared" si="25"/>
        <v>#REF!</v>
      </c>
      <c r="Z88" s="201" t="e">
        <f t="shared" si="32"/>
        <v>#REF!</v>
      </c>
      <c r="AA88" s="202" t="e">
        <f t="shared" si="33"/>
        <v>#REF!</v>
      </c>
      <c r="AB88" s="201" t="e">
        <f t="shared" si="34"/>
        <v>#REF!</v>
      </c>
      <c r="AC88" s="201" t="e">
        <f t="shared" si="35"/>
        <v>#REF!</v>
      </c>
      <c r="AD88" s="201" t="e">
        <f t="shared" si="41"/>
        <v>#REF!</v>
      </c>
      <c r="AE88" s="201" t="e">
        <f t="shared" si="36"/>
        <v>#REF!</v>
      </c>
      <c r="AF88" s="201" t="e">
        <f t="shared" si="37"/>
        <v>#REF!</v>
      </c>
      <c r="AG88" s="201" t="e">
        <f t="shared" si="42"/>
        <v>#REF!</v>
      </c>
    </row>
    <row r="89" spans="2:33" x14ac:dyDescent="0.3">
      <c r="B89" s="179">
        <f t="shared" si="26"/>
        <v>72</v>
      </c>
      <c r="C89" s="180">
        <f t="shared" si="38"/>
        <v>30.4</v>
      </c>
      <c r="D89" s="165">
        <f>IF(B89="","",Simulador!$F$62)</f>
        <v>0.11</v>
      </c>
      <c r="E89" s="167"/>
      <c r="F89" s="167" t="e">
        <f t="shared" si="39"/>
        <v>#REF!</v>
      </c>
      <c r="G89" s="166"/>
      <c r="H89" s="167" t="e">
        <f t="shared" si="27"/>
        <v>#REF!</v>
      </c>
      <c r="I89" s="167" t="e">
        <f t="shared" si="28"/>
        <v>#REF!</v>
      </c>
      <c r="J89" s="167" t="e">
        <f t="shared" si="29"/>
        <v>#REF!</v>
      </c>
      <c r="K89" s="167" t="e">
        <f t="shared" si="40"/>
        <v>#REF!</v>
      </c>
      <c r="L89" s="167" t="e">
        <f>IF(B89="","",IF(F89=0,0,Simulador!$N$13*$J$2))</f>
        <v>#REF!</v>
      </c>
      <c r="M89" s="167" t="e">
        <f>IF(B89="","",IF(F89=0,0,IF(Simulador!$F$11='Tabla Parámetros'!$W$1,'Tabla Parámetros'!$W$28,IF(Simulador!$F$11='Tabla Parámetros'!$Y$1,'Tabla Parámetros'!$Y$12))))</f>
        <v>#REF!</v>
      </c>
      <c r="N89" s="167" t="e">
        <f>IF(B89="","",IF(F89=0,0,IF(Simulador!$N$7='Tabla Parámetros'!$C$31,AportPat!L75,0)))</f>
        <v>#REF!</v>
      </c>
      <c r="O89" s="167" t="e">
        <f>Simulador!#REF!</f>
        <v>#REF!</v>
      </c>
      <c r="P89" s="167" t="e">
        <f t="shared" si="30"/>
        <v>#REF!</v>
      </c>
      <c r="Q89" s="167" t="e">
        <f t="shared" si="31"/>
        <v>#REF!</v>
      </c>
      <c r="T89" s="6"/>
      <c r="U89" s="6"/>
      <c r="V89" s="6"/>
      <c r="W89" s="29" t="e">
        <f t="shared" si="24"/>
        <v>#REF!</v>
      </c>
      <c r="Y89" s="201" t="e">
        <f t="shared" si="25"/>
        <v>#REF!</v>
      </c>
      <c r="Z89" s="201" t="e">
        <f t="shared" si="32"/>
        <v>#REF!</v>
      </c>
      <c r="AA89" s="202" t="e">
        <f t="shared" si="33"/>
        <v>#REF!</v>
      </c>
      <c r="AB89" s="201" t="e">
        <f t="shared" si="34"/>
        <v>#REF!</v>
      </c>
      <c r="AC89" s="201" t="e">
        <f t="shared" si="35"/>
        <v>#REF!</v>
      </c>
      <c r="AD89" s="201" t="e">
        <f t="shared" si="41"/>
        <v>#REF!</v>
      </c>
      <c r="AE89" s="201" t="e">
        <f t="shared" si="36"/>
        <v>#REF!</v>
      </c>
      <c r="AF89" s="201" t="e">
        <f t="shared" si="37"/>
        <v>#REF!</v>
      </c>
      <c r="AG89" s="201" t="e">
        <f t="shared" si="42"/>
        <v>#REF!</v>
      </c>
    </row>
    <row r="90" spans="2:33" x14ac:dyDescent="0.3">
      <c r="B90" s="181">
        <f t="shared" si="26"/>
        <v>73</v>
      </c>
      <c r="C90" s="180">
        <f t="shared" si="38"/>
        <v>30.4</v>
      </c>
      <c r="D90" s="165">
        <f>IF(B90="","",Simulador!$F$62)</f>
        <v>0.11</v>
      </c>
      <c r="E90" s="167"/>
      <c r="F90" s="167" t="e">
        <f t="shared" si="39"/>
        <v>#REF!</v>
      </c>
      <c r="G90" s="166"/>
      <c r="H90" s="167" t="e">
        <f t="shared" si="27"/>
        <v>#REF!</v>
      </c>
      <c r="I90" s="167" t="e">
        <f t="shared" si="28"/>
        <v>#REF!</v>
      </c>
      <c r="J90" s="167" t="e">
        <f t="shared" si="29"/>
        <v>#REF!</v>
      </c>
      <c r="K90" s="167" t="e">
        <f t="shared" si="40"/>
        <v>#REF!</v>
      </c>
      <c r="L90" s="167" t="e">
        <f>IF(B90="","",IF(F90=0,0,Simulador!$N$13*$J$2))</f>
        <v>#REF!</v>
      </c>
      <c r="M90" s="167" t="e">
        <f>IF(B90="","",IF(F90=0,0,IF(Simulador!$F$11='Tabla Parámetros'!$W$1,'Tabla Parámetros'!$W$28,IF(Simulador!$F$11='Tabla Parámetros'!$Y$1,'Tabla Parámetros'!$Y$12))))</f>
        <v>#REF!</v>
      </c>
      <c r="N90" s="167" t="e">
        <f>IF(B90="","",IF(F90=0,0,IF(Simulador!$N$7='Tabla Parámetros'!$C$31,AportPat!L76,0)))</f>
        <v>#REF!</v>
      </c>
      <c r="O90" s="167" t="e">
        <f>Simulador!#REF!</f>
        <v>#REF!</v>
      </c>
      <c r="P90" s="167" t="e">
        <f t="shared" si="30"/>
        <v>#REF!</v>
      </c>
      <c r="Q90" s="167" t="e">
        <f t="shared" si="31"/>
        <v>#REF!</v>
      </c>
      <c r="T90" s="6"/>
      <c r="U90" s="6"/>
      <c r="V90" s="6"/>
      <c r="W90" s="29" t="e">
        <f t="shared" si="24"/>
        <v>#REF!</v>
      </c>
      <c r="Y90" s="201" t="e">
        <f t="shared" si="25"/>
        <v>#REF!</v>
      </c>
      <c r="Z90" s="201" t="e">
        <f t="shared" si="32"/>
        <v>#REF!</v>
      </c>
      <c r="AA90" s="202" t="e">
        <f t="shared" si="33"/>
        <v>#REF!</v>
      </c>
      <c r="AB90" s="201" t="e">
        <f t="shared" si="34"/>
        <v>#REF!</v>
      </c>
      <c r="AC90" s="201" t="e">
        <f t="shared" si="35"/>
        <v>#REF!</v>
      </c>
      <c r="AD90" s="201" t="e">
        <f t="shared" si="41"/>
        <v>#REF!</v>
      </c>
      <c r="AE90" s="201" t="e">
        <f t="shared" si="36"/>
        <v>#REF!</v>
      </c>
      <c r="AF90" s="201" t="e">
        <f t="shared" si="37"/>
        <v>#REF!</v>
      </c>
      <c r="AG90" s="201" t="e">
        <f t="shared" si="42"/>
        <v>#REF!</v>
      </c>
    </row>
    <row r="91" spans="2:33" x14ac:dyDescent="0.3">
      <c r="B91" s="179">
        <f t="shared" si="26"/>
        <v>74</v>
      </c>
      <c r="C91" s="180">
        <f t="shared" si="38"/>
        <v>30.4</v>
      </c>
      <c r="D91" s="165">
        <f>IF(B91="","",Simulador!$F$62)</f>
        <v>0.11</v>
      </c>
      <c r="E91" s="167"/>
      <c r="F91" s="167" t="e">
        <f t="shared" si="39"/>
        <v>#REF!</v>
      </c>
      <c r="G91" s="166"/>
      <c r="H91" s="167" t="e">
        <f t="shared" si="27"/>
        <v>#REF!</v>
      </c>
      <c r="I91" s="167" t="e">
        <f t="shared" si="28"/>
        <v>#REF!</v>
      </c>
      <c r="J91" s="167" t="e">
        <f t="shared" si="29"/>
        <v>#REF!</v>
      </c>
      <c r="K91" s="167" t="e">
        <f t="shared" si="40"/>
        <v>#REF!</v>
      </c>
      <c r="L91" s="167" t="e">
        <f>IF(B91="","",IF(F91=0,0,Simulador!$N$13*$J$2))</f>
        <v>#REF!</v>
      </c>
      <c r="M91" s="167" t="e">
        <f>IF(B91="","",IF(F91=0,0,IF(Simulador!$F$11='Tabla Parámetros'!$W$1,'Tabla Parámetros'!$W$28,IF(Simulador!$F$11='Tabla Parámetros'!$Y$1,'Tabla Parámetros'!$Y$12))))</f>
        <v>#REF!</v>
      </c>
      <c r="N91" s="167" t="e">
        <f>IF(B91="","",IF(F91=0,0,IF(Simulador!$N$7='Tabla Parámetros'!$C$31,AportPat!L77,0)))</f>
        <v>#REF!</v>
      </c>
      <c r="O91" s="167" t="e">
        <f>Simulador!#REF!</f>
        <v>#REF!</v>
      </c>
      <c r="P91" s="167" t="e">
        <f t="shared" si="30"/>
        <v>#REF!</v>
      </c>
      <c r="Q91" s="167" t="e">
        <f t="shared" si="31"/>
        <v>#REF!</v>
      </c>
      <c r="T91" s="6"/>
      <c r="U91" s="6"/>
      <c r="V91" s="6"/>
      <c r="W91" s="29" t="e">
        <f t="shared" si="24"/>
        <v>#REF!</v>
      </c>
      <c r="Y91" s="201" t="e">
        <f t="shared" si="25"/>
        <v>#REF!</v>
      </c>
      <c r="Z91" s="201" t="e">
        <f t="shared" si="32"/>
        <v>#REF!</v>
      </c>
      <c r="AA91" s="202" t="e">
        <f t="shared" si="33"/>
        <v>#REF!</v>
      </c>
      <c r="AB91" s="201" t="e">
        <f t="shared" si="34"/>
        <v>#REF!</v>
      </c>
      <c r="AC91" s="201" t="e">
        <f t="shared" si="35"/>
        <v>#REF!</v>
      </c>
      <c r="AD91" s="201" t="e">
        <f t="shared" si="41"/>
        <v>#REF!</v>
      </c>
      <c r="AE91" s="201" t="e">
        <f t="shared" si="36"/>
        <v>#REF!</v>
      </c>
      <c r="AF91" s="201" t="e">
        <f t="shared" si="37"/>
        <v>#REF!</v>
      </c>
      <c r="AG91" s="201" t="e">
        <f t="shared" si="42"/>
        <v>#REF!</v>
      </c>
    </row>
    <row r="92" spans="2:33" x14ac:dyDescent="0.3">
      <c r="B92" s="179">
        <f t="shared" si="26"/>
        <v>75</v>
      </c>
      <c r="C92" s="180">
        <f t="shared" si="38"/>
        <v>30.4</v>
      </c>
      <c r="D92" s="165">
        <f>IF(B92="","",Simulador!$F$62)</f>
        <v>0.11</v>
      </c>
      <c r="E92" s="167"/>
      <c r="F92" s="167" t="e">
        <f t="shared" si="39"/>
        <v>#REF!</v>
      </c>
      <c r="G92" s="166"/>
      <c r="H92" s="167" t="e">
        <f t="shared" si="27"/>
        <v>#REF!</v>
      </c>
      <c r="I92" s="167" t="e">
        <f t="shared" si="28"/>
        <v>#REF!</v>
      </c>
      <c r="J92" s="167" t="e">
        <f t="shared" si="29"/>
        <v>#REF!</v>
      </c>
      <c r="K92" s="167" t="e">
        <f t="shared" si="40"/>
        <v>#REF!</v>
      </c>
      <c r="L92" s="167" t="e">
        <f>IF(B92="","",IF(F92=0,0,Simulador!$N$13*$J$2))</f>
        <v>#REF!</v>
      </c>
      <c r="M92" s="167" t="e">
        <f>IF(B92="","",IF(F92=0,0,IF(Simulador!$F$11='Tabla Parámetros'!$W$1,'Tabla Parámetros'!$W$28,IF(Simulador!$F$11='Tabla Parámetros'!$Y$1,'Tabla Parámetros'!$Y$12))))</f>
        <v>#REF!</v>
      </c>
      <c r="N92" s="167" t="e">
        <f>IF(B92="","",IF(F92=0,0,IF(Simulador!$N$7='Tabla Parámetros'!$C$31,AportPat!L78,0)))</f>
        <v>#REF!</v>
      </c>
      <c r="O92" s="167" t="e">
        <f>Simulador!#REF!</f>
        <v>#REF!</v>
      </c>
      <c r="P92" s="167" t="e">
        <f t="shared" si="30"/>
        <v>#REF!</v>
      </c>
      <c r="Q92" s="167" t="e">
        <f t="shared" si="31"/>
        <v>#REF!</v>
      </c>
      <c r="T92" s="6"/>
      <c r="U92" s="6"/>
      <c r="V92" s="6"/>
      <c r="W92" s="29" t="e">
        <f t="shared" si="24"/>
        <v>#REF!</v>
      </c>
      <c r="Y92" s="201" t="e">
        <f t="shared" si="25"/>
        <v>#REF!</v>
      </c>
      <c r="Z92" s="201" t="e">
        <f t="shared" si="32"/>
        <v>#REF!</v>
      </c>
      <c r="AA92" s="202" t="e">
        <f t="shared" si="33"/>
        <v>#REF!</v>
      </c>
      <c r="AB92" s="201" t="e">
        <f t="shared" si="34"/>
        <v>#REF!</v>
      </c>
      <c r="AC92" s="201" t="e">
        <f t="shared" si="35"/>
        <v>#REF!</v>
      </c>
      <c r="AD92" s="201" t="e">
        <f t="shared" si="41"/>
        <v>#REF!</v>
      </c>
      <c r="AE92" s="201" t="e">
        <f t="shared" si="36"/>
        <v>#REF!</v>
      </c>
      <c r="AF92" s="201" t="e">
        <f t="shared" si="37"/>
        <v>#REF!</v>
      </c>
      <c r="AG92" s="201" t="e">
        <f t="shared" si="42"/>
        <v>#REF!</v>
      </c>
    </row>
    <row r="93" spans="2:33" x14ac:dyDescent="0.3">
      <c r="B93" s="179">
        <f t="shared" si="26"/>
        <v>76</v>
      </c>
      <c r="C93" s="180">
        <f t="shared" si="38"/>
        <v>30.4</v>
      </c>
      <c r="D93" s="165">
        <f>IF(B93="","",Simulador!$F$62)</f>
        <v>0.11</v>
      </c>
      <c r="E93" s="167"/>
      <c r="F93" s="167" t="e">
        <f t="shared" si="39"/>
        <v>#REF!</v>
      </c>
      <c r="G93" s="166"/>
      <c r="H93" s="167" t="e">
        <f t="shared" si="27"/>
        <v>#REF!</v>
      </c>
      <c r="I93" s="167" t="e">
        <f t="shared" si="28"/>
        <v>#REF!</v>
      </c>
      <c r="J93" s="167" t="e">
        <f t="shared" si="29"/>
        <v>#REF!</v>
      </c>
      <c r="K93" s="167" t="e">
        <f t="shared" si="40"/>
        <v>#REF!</v>
      </c>
      <c r="L93" s="167" t="e">
        <f>IF(B93="","",IF(F93=0,0,Simulador!$N$13*$J$2))</f>
        <v>#REF!</v>
      </c>
      <c r="M93" s="167" t="e">
        <f>IF(B93="","",IF(F93=0,0,IF(Simulador!$F$11='Tabla Parámetros'!$W$1,'Tabla Parámetros'!$W$28,IF(Simulador!$F$11='Tabla Parámetros'!$Y$1,'Tabla Parámetros'!$Y$12))))</f>
        <v>#REF!</v>
      </c>
      <c r="N93" s="167" t="e">
        <f>IF(B93="","",IF(F93=0,0,IF(Simulador!$N$7='Tabla Parámetros'!$C$31,AportPat!L79,0)))</f>
        <v>#REF!</v>
      </c>
      <c r="O93" s="167" t="e">
        <f>Simulador!#REF!</f>
        <v>#REF!</v>
      </c>
      <c r="P93" s="167" t="e">
        <f t="shared" si="30"/>
        <v>#REF!</v>
      </c>
      <c r="Q93" s="167" t="e">
        <f t="shared" si="31"/>
        <v>#REF!</v>
      </c>
      <c r="T93" s="6"/>
      <c r="U93" s="6"/>
      <c r="V93" s="6"/>
      <c r="W93" s="29" t="e">
        <f t="shared" si="24"/>
        <v>#REF!</v>
      </c>
      <c r="Y93" s="201" t="e">
        <f t="shared" si="25"/>
        <v>#REF!</v>
      </c>
      <c r="Z93" s="201" t="e">
        <f t="shared" si="32"/>
        <v>#REF!</v>
      </c>
      <c r="AA93" s="202" t="e">
        <f t="shared" si="33"/>
        <v>#REF!</v>
      </c>
      <c r="AB93" s="201" t="e">
        <f t="shared" si="34"/>
        <v>#REF!</v>
      </c>
      <c r="AC93" s="201" t="e">
        <f t="shared" si="35"/>
        <v>#REF!</v>
      </c>
      <c r="AD93" s="201" t="e">
        <f t="shared" si="41"/>
        <v>#REF!</v>
      </c>
      <c r="AE93" s="201" t="e">
        <f t="shared" si="36"/>
        <v>#REF!</v>
      </c>
      <c r="AF93" s="201" t="e">
        <f t="shared" si="37"/>
        <v>#REF!</v>
      </c>
      <c r="AG93" s="201" t="e">
        <f t="shared" si="42"/>
        <v>#REF!</v>
      </c>
    </row>
    <row r="94" spans="2:33" x14ac:dyDescent="0.3">
      <c r="B94" s="181">
        <f t="shared" si="26"/>
        <v>77</v>
      </c>
      <c r="C94" s="180">
        <f t="shared" si="38"/>
        <v>30.4</v>
      </c>
      <c r="D94" s="165">
        <f>IF(B94="","",Simulador!$F$62)</f>
        <v>0.11</v>
      </c>
      <c r="E94" s="167"/>
      <c r="F94" s="167" t="e">
        <f t="shared" si="39"/>
        <v>#REF!</v>
      </c>
      <c r="G94" s="166"/>
      <c r="H94" s="167" t="e">
        <f t="shared" si="27"/>
        <v>#REF!</v>
      </c>
      <c r="I94" s="167" t="e">
        <f t="shared" si="28"/>
        <v>#REF!</v>
      </c>
      <c r="J94" s="167" t="e">
        <f t="shared" si="29"/>
        <v>#REF!</v>
      </c>
      <c r="K94" s="167" t="e">
        <f t="shared" si="40"/>
        <v>#REF!</v>
      </c>
      <c r="L94" s="167" t="e">
        <f>IF(B94="","",IF(F94=0,0,Simulador!$N$13*$J$2))</f>
        <v>#REF!</v>
      </c>
      <c r="M94" s="167" t="e">
        <f>IF(B94="","",IF(F94=0,0,IF(Simulador!$F$11='Tabla Parámetros'!$W$1,'Tabla Parámetros'!$W$28,IF(Simulador!$F$11='Tabla Parámetros'!$Y$1,'Tabla Parámetros'!$Y$12))))</f>
        <v>#REF!</v>
      </c>
      <c r="N94" s="167" t="e">
        <f>IF(B94="","",IF(F94=0,0,IF(Simulador!$N$7='Tabla Parámetros'!$C$31,AportPat!L80,0)))</f>
        <v>#REF!</v>
      </c>
      <c r="O94" s="167" t="e">
        <f>Simulador!#REF!</f>
        <v>#REF!</v>
      </c>
      <c r="P94" s="167" t="e">
        <f t="shared" si="30"/>
        <v>#REF!</v>
      </c>
      <c r="Q94" s="167" t="e">
        <f t="shared" si="31"/>
        <v>#REF!</v>
      </c>
      <c r="T94" s="6"/>
      <c r="U94" s="6"/>
      <c r="V94" s="6"/>
      <c r="W94" s="29" t="e">
        <f t="shared" si="24"/>
        <v>#REF!</v>
      </c>
      <c r="Y94" s="201" t="e">
        <f t="shared" si="25"/>
        <v>#REF!</v>
      </c>
      <c r="Z94" s="201" t="e">
        <f t="shared" si="32"/>
        <v>#REF!</v>
      </c>
      <c r="AA94" s="202" t="e">
        <f t="shared" si="33"/>
        <v>#REF!</v>
      </c>
      <c r="AB94" s="201" t="e">
        <f t="shared" si="34"/>
        <v>#REF!</v>
      </c>
      <c r="AC94" s="201" t="e">
        <f t="shared" si="35"/>
        <v>#REF!</v>
      </c>
      <c r="AD94" s="201" t="e">
        <f t="shared" si="41"/>
        <v>#REF!</v>
      </c>
      <c r="AE94" s="201" t="e">
        <f t="shared" si="36"/>
        <v>#REF!</v>
      </c>
      <c r="AF94" s="201" t="e">
        <f t="shared" si="37"/>
        <v>#REF!</v>
      </c>
      <c r="AG94" s="201" t="e">
        <f t="shared" si="42"/>
        <v>#REF!</v>
      </c>
    </row>
    <row r="95" spans="2:33" x14ac:dyDescent="0.3">
      <c r="B95" s="179">
        <f t="shared" si="26"/>
        <v>78</v>
      </c>
      <c r="C95" s="180">
        <f t="shared" si="38"/>
        <v>30.4</v>
      </c>
      <c r="D95" s="165">
        <f>IF(B95="","",Simulador!$F$62)</f>
        <v>0.11</v>
      </c>
      <c r="E95" s="167"/>
      <c r="F95" s="167" t="e">
        <f t="shared" si="39"/>
        <v>#REF!</v>
      </c>
      <c r="G95" s="166"/>
      <c r="H95" s="167" t="e">
        <f t="shared" si="27"/>
        <v>#REF!</v>
      </c>
      <c r="I95" s="167" t="e">
        <f t="shared" si="28"/>
        <v>#REF!</v>
      </c>
      <c r="J95" s="167" t="e">
        <f t="shared" si="29"/>
        <v>#REF!</v>
      </c>
      <c r="K95" s="167" t="e">
        <f t="shared" si="40"/>
        <v>#REF!</v>
      </c>
      <c r="L95" s="167" t="e">
        <f>IF(B95="","",IF(F95=0,0,Simulador!$N$13*$J$2))</f>
        <v>#REF!</v>
      </c>
      <c r="M95" s="167" t="e">
        <f>IF(B95="","",IF(F95=0,0,IF(Simulador!$F$11='Tabla Parámetros'!$W$1,'Tabla Parámetros'!$W$28,IF(Simulador!$F$11='Tabla Parámetros'!$Y$1,'Tabla Parámetros'!$Y$12))))</f>
        <v>#REF!</v>
      </c>
      <c r="N95" s="167" t="e">
        <f>IF(B95="","",IF(F95=0,0,IF(Simulador!$N$7='Tabla Parámetros'!$C$31,AportPat!L81,0)))</f>
        <v>#REF!</v>
      </c>
      <c r="O95" s="167" t="e">
        <f>Simulador!#REF!</f>
        <v>#REF!</v>
      </c>
      <c r="P95" s="167" t="e">
        <f t="shared" si="30"/>
        <v>#REF!</v>
      </c>
      <c r="Q95" s="167" t="e">
        <f t="shared" si="31"/>
        <v>#REF!</v>
      </c>
      <c r="T95" s="6"/>
      <c r="U95" s="6"/>
      <c r="V95" s="6"/>
      <c r="W95" s="29" t="e">
        <f t="shared" si="24"/>
        <v>#REF!</v>
      </c>
      <c r="Y95" s="201" t="e">
        <f t="shared" si="25"/>
        <v>#REF!</v>
      </c>
      <c r="Z95" s="201" t="e">
        <f t="shared" si="32"/>
        <v>#REF!</v>
      </c>
      <c r="AA95" s="202" t="e">
        <f t="shared" si="33"/>
        <v>#REF!</v>
      </c>
      <c r="AB95" s="201" t="e">
        <f t="shared" si="34"/>
        <v>#REF!</v>
      </c>
      <c r="AC95" s="201" t="e">
        <f t="shared" si="35"/>
        <v>#REF!</v>
      </c>
      <c r="AD95" s="201" t="e">
        <f t="shared" si="41"/>
        <v>#REF!</v>
      </c>
      <c r="AE95" s="201" t="e">
        <f t="shared" si="36"/>
        <v>#REF!</v>
      </c>
      <c r="AF95" s="201" t="e">
        <f t="shared" si="37"/>
        <v>#REF!</v>
      </c>
      <c r="AG95" s="201" t="e">
        <f t="shared" si="42"/>
        <v>#REF!</v>
      </c>
    </row>
    <row r="96" spans="2:33" x14ac:dyDescent="0.3">
      <c r="B96" s="179">
        <f t="shared" si="26"/>
        <v>79</v>
      </c>
      <c r="C96" s="180">
        <f t="shared" si="38"/>
        <v>30.4</v>
      </c>
      <c r="D96" s="165">
        <f>IF(B96="","",Simulador!$F$62)</f>
        <v>0.11</v>
      </c>
      <c r="E96" s="167"/>
      <c r="F96" s="167" t="e">
        <f t="shared" si="39"/>
        <v>#REF!</v>
      </c>
      <c r="G96" s="166"/>
      <c r="H96" s="167" t="e">
        <f t="shared" si="27"/>
        <v>#REF!</v>
      </c>
      <c r="I96" s="167" t="e">
        <f t="shared" si="28"/>
        <v>#REF!</v>
      </c>
      <c r="J96" s="167" t="e">
        <f t="shared" si="29"/>
        <v>#REF!</v>
      </c>
      <c r="K96" s="167" t="e">
        <f t="shared" si="40"/>
        <v>#REF!</v>
      </c>
      <c r="L96" s="167" t="e">
        <f>IF(B96="","",IF(F96=0,0,Simulador!$N$13*$J$2))</f>
        <v>#REF!</v>
      </c>
      <c r="M96" s="167" t="e">
        <f>IF(B96="","",IF(F96=0,0,IF(Simulador!$F$11='Tabla Parámetros'!$W$1,'Tabla Parámetros'!$W$28,IF(Simulador!$F$11='Tabla Parámetros'!$Y$1,'Tabla Parámetros'!$Y$12))))</f>
        <v>#REF!</v>
      </c>
      <c r="N96" s="167" t="e">
        <f>IF(B96="","",IF(F96=0,0,IF(Simulador!$N$7='Tabla Parámetros'!$C$31,AportPat!L82,0)))</f>
        <v>#REF!</v>
      </c>
      <c r="O96" s="167" t="e">
        <f>Simulador!#REF!</f>
        <v>#REF!</v>
      </c>
      <c r="P96" s="167" t="e">
        <f t="shared" si="30"/>
        <v>#REF!</v>
      </c>
      <c r="Q96" s="167" t="e">
        <f t="shared" si="31"/>
        <v>#REF!</v>
      </c>
      <c r="T96" s="6"/>
      <c r="U96" s="6"/>
      <c r="V96" s="6"/>
      <c r="W96" s="29" t="e">
        <f t="shared" si="24"/>
        <v>#REF!</v>
      </c>
      <c r="Y96" s="201" t="e">
        <f t="shared" si="25"/>
        <v>#REF!</v>
      </c>
      <c r="Z96" s="201" t="e">
        <f t="shared" si="32"/>
        <v>#REF!</v>
      </c>
      <c r="AA96" s="202" t="e">
        <f t="shared" si="33"/>
        <v>#REF!</v>
      </c>
      <c r="AB96" s="201" t="e">
        <f t="shared" si="34"/>
        <v>#REF!</v>
      </c>
      <c r="AC96" s="201" t="e">
        <f t="shared" si="35"/>
        <v>#REF!</v>
      </c>
      <c r="AD96" s="201" t="e">
        <f t="shared" si="41"/>
        <v>#REF!</v>
      </c>
      <c r="AE96" s="201" t="e">
        <f t="shared" si="36"/>
        <v>#REF!</v>
      </c>
      <c r="AF96" s="201" t="e">
        <f t="shared" si="37"/>
        <v>#REF!</v>
      </c>
      <c r="AG96" s="201" t="e">
        <f t="shared" si="42"/>
        <v>#REF!</v>
      </c>
    </row>
    <row r="97" spans="2:33" x14ac:dyDescent="0.3">
      <c r="B97" s="179">
        <f t="shared" si="26"/>
        <v>80</v>
      </c>
      <c r="C97" s="180">
        <f t="shared" si="38"/>
        <v>30.4</v>
      </c>
      <c r="D97" s="165">
        <f>IF(B97="","",Simulador!$F$62)</f>
        <v>0.11</v>
      </c>
      <c r="E97" s="167"/>
      <c r="F97" s="167" t="e">
        <f t="shared" si="39"/>
        <v>#REF!</v>
      </c>
      <c r="G97" s="166"/>
      <c r="H97" s="167" t="e">
        <f t="shared" si="27"/>
        <v>#REF!</v>
      </c>
      <c r="I97" s="167" t="e">
        <f t="shared" si="28"/>
        <v>#REF!</v>
      </c>
      <c r="J97" s="167" t="e">
        <f t="shared" si="29"/>
        <v>#REF!</v>
      </c>
      <c r="K97" s="167" t="e">
        <f t="shared" si="40"/>
        <v>#REF!</v>
      </c>
      <c r="L97" s="167" t="e">
        <f>IF(B97="","",IF(F97=0,0,Simulador!$N$13*$J$2))</f>
        <v>#REF!</v>
      </c>
      <c r="M97" s="167" t="e">
        <f>IF(B97="","",IF(F97=0,0,IF(Simulador!$F$11='Tabla Parámetros'!$W$1,'Tabla Parámetros'!$W$28,IF(Simulador!$F$11='Tabla Parámetros'!$Y$1,'Tabla Parámetros'!$Y$12))))</f>
        <v>#REF!</v>
      </c>
      <c r="N97" s="167" t="e">
        <f>IF(B97="","",IF(F97=0,0,IF(Simulador!$N$7='Tabla Parámetros'!$C$31,AportPat!L83,0)))</f>
        <v>#REF!</v>
      </c>
      <c r="O97" s="167" t="e">
        <f>Simulador!#REF!</f>
        <v>#REF!</v>
      </c>
      <c r="P97" s="167" t="e">
        <f t="shared" si="30"/>
        <v>#REF!</v>
      </c>
      <c r="Q97" s="167" t="e">
        <f t="shared" si="31"/>
        <v>#REF!</v>
      </c>
      <c r="T97" s="6"/>
      <c r="U97" s="6"/>
      <c r="V97" s="6"/>
      <c r="W97" s="29" t="e">
        <f t="shared" si="24"/>
        <v>#REF!</v>
      </c>
      <c r="Y97" s="201" t="e">
        <f t="shared" si="25"/>
        <v>#REF!</v>
      </c>
      <c r="Z97" s="201" t="e">
        <f t="shared" si="32"/>
        <v>#REF!</v>
      </c>
      <c r="AA97" s="202" t="e">
        <f t="shared" si="33"/>
        <v>#REF!</v>
      </c>
      <c r="AB97" s="201" t="e">
        <f t="shared" si="34"/>
        <v>#REF!</v>
      </c>
      <c r="AC97" s="201" t="e">
        <f t="shared" si="35"/>
        <v>#REF!</v>
      </c>
      <c r="AD97" s="201" t="e">
        <f t="shared" si="41"/>
        <v>#REF!</v>
      </c>
      <c r="AE97" s="201" t="e">
        <f t="shared" si="36"/>
        <v>#REF!</v>
      </c>
      <c r="AF97" s="201" t="e">
        <f t="shared" si="37"/>
        <v>#REF!</v>
      </c>
      <c r="AG97" s="201" t="e">
        <f t="shared" si="42"/>
        <v>#REF!</v>
      </c>
    </row>
    <row r="98" spans="2:33" x14ac:dyDescent="0.3">
      <c r="B98" s="181">
        <f t="shared" si="26"/>
        <v>81</v>
      </c>
      <c r="C98" s="180">
        <f t="shared" si="38"/>
        <v>30.4</v>
      </c>
      <c r="D98" s="165">
        <f>IF(B98="","",Simulador!$F$62)</f>
        <v>0.11</v>
      </c>
      <c r="E98" s="167"/>
      <c r="F98" s="167" t="e">
        <f t="shared" si="39"/>
        <v>#REF!</v>
      </c>
      <c r="G98" s="166"/>
      <c r="H98" s="167" t="e">
        <f t="shared" si="27"/>
        <v>#REF!</v>
      </c>
      <c r="I98" s="167" t="e">
        <f t="shared" si="28"/>
        <v>#REF!</v>
      </c>
      <c r="J98" s="167" t="e">
        <f t="shared" si="29"/>
        <v>#REF!</v>
      </c>
      <c r="K98" s="167" t="e">
        <f t="shared" si="40"/>
        <v>#REF!</v>
      </c>
      <c r="L98" s="167" t="e">
        <f>IF(B98="","",IF(F98=0,0,Simulador!$N$13*$J$2))</f>
        <v>#REF!</v>
      </c>
      <c r="M98" s="167" t="e">
        <f>IF(B98="","",IF(F98=0,0,IF(Simulador!$F$11='Tabla Parámetros'!$W$1,'Tabla Parámetros'!$W$28,IF(Simulador!$F$11='Tabla Parámetros'!$Y$1,'Tabla Parámetros'!$Y$12))))</f>
        <v>#REF!</v>
      </c>
      <c r="N98" s="167" t="e">
        <f>IF(B98="","",IF(F98=0,0,IF(Simulador!$N$7='Tabla Parámetros'!$C$31,AportPat!L84,0)))</f>
        <v>#REF!</v>
      </c>
      <c r="O98" s="167" t="e">
        <f>Simulador!#REF!</f>
        <v>#REF!</v>
      </c>
      <c r="P98" s="167" t="e">
        <f t="shared" si="30"/>
        <v>#REF!</v>
      </c>
      <c r="Q98" s="167" t="e">
        <f t="shared" si="31"/>
        <v>#REF!</v>
      </c>
      <c r="T98" s="6"/>
      <c r="U98" s="6"/>
      <c r="V98" s="6"/>
      <c r="W98" s="29" t="e">
        <f t="shared" si="24"/>
        <v>#REF!</v>
      </c>
      <c r="Y98" s="201" t="e">
        <f t="shared" si="25"/>
        <v>#REF!</v>
      </c>
      <c r="Z98" s="201" t="e">
        <f t="shared" si="32"/>
        <v>#REF!</v>
      </c>
      <c r="AA98" s="202" t="e">
        <f t="shared" si="33"/>
        <v>#REF!</v>
      </c>
      <c r="AB98" s="201" t="e">
        <f t="shared" si="34"/>
        <v>#REF!</v>
      </c>
      <c r="AC98" s="201" t="e">
        <f t="shared" si="35"/>
        <v>#REF!</v>
      </c>
      <c r="AD98" s="201" t="e">
        <f t="shared" si="41"/>
        <v>#REF!</v>
      </c>
      <c r="AE98" s="201" t="e">
        <f t="shared" si="36"/>
        <v>#REF!</v>
      </c>
      <c r="AF98" s="201" t="e">
        <f t="shared" si="37"/>
        <v>#REF!</v>
      </c>
      <c r="AG98" s="201" t="e">
        <f t="shared" si="42"/>
        <v>#REF!</v>
      </c>
    </row>
    <row r="99" spans="2:33" x14ac:dyDescent="0.3">
      <c r="B99" s="179">
        <f t="shared" si="26"/>
        <v>82</v>
      </c>
      <c r="C99" s="180">
        <f t="shared" si="38"/>
        <v>30.4</v>
      </c>
      <c r="D99" s="165">
        <f>IF(B99="","",Simulador!$F$62)</f>
        <v>0.11</v>
      </c>
      <c r="E99" s="167"/>
      <c r="F99" s="167" t="e">
        <f t="shared" si="39"/>
        <v>#REF!</v>
      </c>
      <c r="G99" s="166"/>
      <c r="H99" s="167" t="e">
        <f t="shared" si="27"/>
        <v>#REF!</v>
      </c>
      <c r="I99" s="167" t="e">
        <f t="shared" si="28"/>
        <v>#REF!</v>
      </c>
      <c r="J99" s="167" t="e">
        <f t="shared" si="29"/>
        <v>#REF!</v>
      </c>
      <c r="K99" s="167" t="e">
        <f t="shared" si="40"/>
        <v>#REF!</v>
      </c>
      <c r="L99" s="167" t="e">
        <f>IF(B99="","",IF(F99=0,0,Simulador!$N$13*$J$2))</f>
        <v>#REF!</v>
      </c>
      <c r="M99" s="167" t="e">
        <f>IF(B99="","",IF(F99=0,0,IF(Simulador!$F$11='Tabla Parámetros'!$W$1,'Tabla Parámetros'!$W$28,IF(Simulador!$F$11='Tabla Parámetros'!$Y$1,'Tabla Parámetros'!$Y$12))))</f>
        <v>#REF!</v>
      </c>
      <c r="N99" s="167" t="e">
        <f>IF(B99="","",IF(F99=0,0,IF(Simulador!$N$7='Tabla Parámetros'!$C$31,AportPat!L85,0)))</f>
        <v>#REF!</v>
      </c>
      <c r="O99" s="167" t="e">
        <f>Simulador!#REF!</f>
        <v>#REF!</v>
      </c>
      <c r="P99" s="167" t="e">
        <f t="shared" si="30"/>
        <v>#REF!</v>
      </c>
      <c r="Q99" s="167" t="e">
        <f t="shared" si="31"/>
        <v>#REF!</v>
      </c>
      <c r="T99" s="6"/>
      <c r="U99" s="6"/>
      <c r="V99" s="6"/>
      <c r="W99" s="29" t="e">
        <f t="shared" si="24"/>
        <v>#REF!</v>
      </c>
      <c r="Y99" s="201" t="e">
        <f t="shared" si="25"/>
        <v>#REF!</v>
      </c>
      <c r="Z99" s="201" t="e">
        <f t="shared" si="32"/>
        <v>#REF!</v>
      </c>
      <c r="AA99" s="202" t="e">
        <f t="shared" si="33"/>
        <v>#REF!</v>
      </c>
      <c r="AB99" s="201" t="e">
        <f t="shared" si="34"/>
        <v>#REF!</v>
      </c>
      <c r="AC99" s="201" t="e">
        <f t="shared" si="35"/>
        <v>#REF!</v>
      </c>
      <c r="AD99" s="201" t="e">
        <f t="shared" si="41"/>
        <v>#REF!</v>
      </c>
      <c r="AE99" s="201" t="e">
        <f t="shared" si="36"/>
        <v>#REF!</v>
      </c>
      <c r="AF99" s="201" t="e">
        <f t="shared" si="37"/>
        <v>#REF!</v>
      </c>
      <c r="AG99" s="201" t="e">
        <f t="shared" si="42"/>
        <v>#REF!</v>
      </c>
    </row>
    <row r="100" spans="2:33" x14ac:dyDescent="0.3">
      <c r="B100" s="179">
        <f t="shared" si="26"/>
        <v>83</v>
      </c>
      <c r="C100" s="180">
        <f t="shared" si="38"/>
        <v>30.4</v>
      </c>
      <c r="D100" s="165">
        <f>IF(B100="","",Simulador!$F$62)</f>
        <v>0.11</v>
      </c>
      <c r="E100" s="167"/>
      <c r="F100" s="167" t="e">
        <f t="shared" si="39"/>
        <v>#REF!</v>
      </c>
      <c r="G100" s="166"/>
      <c r="H100" s="167" t="e">
        <f t="shared" si="27"/>
        <v>#REF!</v>
      </c>
      <c r="I100" s="167" t="e">
        <f t="shared" si="28"/>
        <v>#REF!</v>
      </c>
      <c r="J100" s="167" t="e">
        <f t="shared" si="29"/>
        <v>#REF!</v>
      </c>
      <c r="K100" s="167" t="e">
        <f t="shared" si="40"/>
        <v>#REF!</v>
      </c>
      <c r="L100" s="167" t="e">
        <f>IF(B100="","",IF(F100=0,0,Simulador!$N$13*$J$2))</f>
        <v>#REF!</v>
      </c>
      <c r="M100" s="167" t="e">
        <f>IF(B100="","",IF(F100=0,0,IF(Simulador!$F$11='Tabla Parámetros'!$W$1,'Tabla Parámetros'!$W$28,IF(Simulador!$F$11='Tabla Parámetros'!$Y$1,'Tabla Parámetros'!$Y$12))))</f>
        <v>#REF!</v>
      </c>
      <c r="N100" s="167" t="e">
        <f>IF(B100="","",IF(F100=0,0,IF(Simulador!$N$7='Tabla Parámetros'!$C$31,AportPat!L86,0)))</f>
        <v>#REF!</v>
      </c>
      <c r="O100" s="167" t="e">
        <f>Simulador!#REF!</f>
        <v>#REF!</v>
      </c>
      <c r="P100" s="167" t="e">
        <f t="shared" si="30"/>
        <v>#REF!</v>
      </c>
      <c r="Q100" s="167" t="e">
        <f t="shared" si="31"/>
        <v>#REF!</v>
      </c>
      <c r="T100" s="6"/>
      <c r="U100" s="6"/>
      <c r="V100" s="6"/>
      <c r="W100" s="29" t="e">
        <f t="shared" si="24"/>
        <v>#REF!</v>
      </c>
      <c r="Y100" s="201" t="e">
        <f t="shared" si="25"/>
        <v>#REF!</v>
      </c>
      <c r="Z100" s="201" t="e">
        <f t="shared" si="32"/>
        <v>#REF!</v>
      </c>
      <c r="AA100" s="202" t="e">
        <f t="shared" si="33"/>
        <v>#REF!</v>
      </c>
      <c r="AB100" s="201" t="e">
        <f t="shared" si="34"/>
        <v>#REF!</v>
      </c>
      <c r="AC100" s="201" t="e">
        <f t="shared" si="35"/>
        <v>#REF!</v>
      </c>
      <c r="AD100" s="201" t="e">
        <f t="shared" si="41"/>
        <v>#REF!</v>
      </c>
      <c r="AE100" s="201" t="e">
        <f t="shared" si="36"/>
        <v>#REF!</v>
      </c>
      <c r="AF100" s="201" t="e">
        <f t="shared" si="37"/>
        <v>#REF!</v>
      </c>
      <c r="AG100" s="201" t="e">
        <f t="shared" si="42"/>
        <v>#REF!</v>
      </c>
    </row>
    <row r="101" spans="2:33" x14ac:dyDescent="0.3">
      <c r="B101" s="179">
        <f t="shared" si="26"/>
        <v>84</v>
      </c>
      <c r="C101" s="180">
        <f t="shared" si="38"/>
        <v>30.4</v>
      </c>
      <c r="D101" s="165">
        <f>IF(B101="","",Simulador!$F$62)</f>
        <v>0.11</v>
      </c>
      <c r="E101" s="167"/>
      <c r="F101" s="167" t="e">
        <f t="shared" si="39"/>
        <v>#REF!</v>
      </c>
      <c r="G101" s="166"/>
      <c r="H101" s="167" t="e">
        <f t="shared" si="27"/>
        <v>#REF!</v>
      </c>
      <c r="I101" s="167" t="e">
        <f t="shared" si="28"/>
        <v>#REF!</v>
      </c>
      <c r="J101" s="167" t="e">
        <f t="shared" si="29"/>
        <v>#REF!</v>
      </c>
      <c r="K101" s="167" t="e">
        <f t="shared" si="40"/>
        <v>#REF!</v>
      </c>
      <c r="L101" s="167" t="e">
        <f>IF(B101="","",IF(F101=0,0,Simulador!$N$13*$J$2))</f>
        <v>#REF!</v>
      </c>
      <c r="M101" s="167" t="e">
        <f>IF(B101="","",IF(F101=0,0,IF(Simulador!$F$11='Tabla Parámetros'!$W$1,'Tabla Parámetros'!$W$28,IF(Simulador!$F$11='Tabla Parámetros'!$Y$1,'Tabla Parámetros'!$Y$12))))</f>
        <v>#REF!</v>
      </c>
      <c r="N101" s="167" t="e">
        <f>IF(B101="","",IF(F101=0,0,IF(Simulador!$N$7='Tabla Parámetros'!$C$31,AportPat!L87,0)))</f>
        <v>#REF!</v>
      </c>
      <c r="O101" s="167" t="e">
        <f>Simulador!#REF!</f>
        <v>#REF!</v>
      </c>
      <c r="P101" s="167" t="e">
        <f t="shared" si="30"/>
        <v>#REF!</v>
      </c>
      <c r="Q101" s="167" t="e">
        <f t="shared" si="31"/>
        <v>#REF!</v>
      </c>
      <c r="T101" s="6"/>
      <c r="U101" s="6"/>
      <c r="V101" s="6"/>
      <c r="W101" s="29" t="e">
        <f t="shared" si="24"/>
        <v>#REF!</v>
      </c>
      <c r="Y101" s="201" t="e">
        <f t="shared" si="25"/>
        <v>#REF!</v>
      </c>
      <c r="Z101" s="201" t="e">
        <f t="shared" si="32"/>
        <v>#REF!</v>
      </c>
      <c r="AA101" s="202" t="e">
        <f t="shared" si="33"/>
        <v>#REF!</v>
      </c>
      <c r="AB101" s="201" t="e">
        <f t="shared" si="34"/>
        <v>#REF!</v>
      </c>
      <c r="AC101" s="201" t="e">
        <f t="shared" si="35"/>
        <v>#REF!</v>
      </c>
      <c r="AD101" s="201" t="e">
        <f t="shared" si="41"/>
        <v>#REF!</v>
      </c>
      <c r="AE101" s="201" t="e">
        <f t="shared" si="36"/>
        <v>#REF!</v>
      </c>
      <c r="AF101" s="201" t="e">
        <f t="shared" si="37"/>
        <v>#REF!</v>
      </c>
      <c r="AG101" s="201" t="e">
        <f t="shared" si="42"/>
        <v>#REF!</v>
      </c>
    </row>
    <row r="102" spans="2:33" x14ac:dyDescent="0.3">
      <c r="B102" s="181">
        <f t="shared" si="26"/>
        <v>85</v>
      </c>
      <c r="C102" s="180">
        <f t="shared" si="38"/>
        <v>30.4</v>
      </c>
      <c r="D102" s="165">
        <f>IF(B102="","",Simulador!$F$62)</f>
        <v>0.11</v>
      </c>
      <c r="E102" s="167"/>
      <c r="F102" s="167" t="e">
        <f t="shared" si="39"/>
        <v>#REF!</v>
      </c>
      <c r="G102" s="166"/>
      <c r="H102" s="167" t="e">
        <f t="shared" si="27"/>
        <v>#REF!</v>
      </c>
      <c r="I102" s="167" t="e">
        <f t="shared" si="28"/>
        <v>#REF!</v>
      </c>
      <c r="J102" s="167" t="e">
        <f t="shared" si="29"/>
        <v>#REF!</v>
      </c>
      <c r="K102" s="167" t="e">
        <f t="shared" si="40"/>
        <v>#REF!</v>
      </c>
      <c r="L102" s="167" t="e">
        <f>IF(B102="","",IF(F102=0,0,Simulador!$N$13*$J$2))</f>
        <v>#REF!</v>
      </c>
      <c r="M102" s="167" t="e">
        <f>IF(B102="","",IF(F102=0,0,IF(Simulador!$F$11='Tabla Parámetros'!$W$1,'Tabla Parámetros'!$W$28,IF(Simulador!$F$11='Tabla Parámetros'!$Y$1,'Tabla Parámetros'!$Y$12))))</f>
        <v>#REF!</v>
      </c>
      <c r="N102" s="167" t="e">
        <f>IF(B102="","",IF(F102=0,0,IF(Simulador!$N$7='Tabla Parámetros'!$C$31,AportPat!L88,0)))</f>
        <v>#REF!</v>
      </c>
      <c r="O102" s="167" t="e">
        <f>Simulador!#REF!</f>
        <v>#REF!</v>
      </c>
      <c r="P102" s="167" t="e">
        <f t="shared" si="30"/>
        <v>#REF!</v>
      </c>
      <c r="Q102" s="167" t="e">
        <f t="shared" si="31"/>
        <v>#REF!</v>
      </c>
      <c r="T102" s="6"/>
      <c r="U102" s="6"/>
      <c r="V102" s="6"/>
      <c r="W102" s="29" t="e">
        <f t="shared" si="24"/>
        <v>#REF!</v>
      </c>
      <c r="Y102" s="201" t="e">
        <f t="shared" si="25"/>
        <v>#REF!</v>
      </c>
      <c r="Z102" s="201" t="e">
        <f t="shared" si="32"/>
        <v>#REF!</v>
      </c>
      <c r="AA102" s="202" t="e">
        <f t="shared" si="33"/>
        <v>#REF!</v>
      </c>
      <c r="AB102" s="201" t="e">
        <f t="shared" si="34"/>
        <v>#REF!</v>
      </c>
      <c r="AC102" s="201" t="e">
        <f t="shared" si="35"/>
        <v>#REF!</v>
      </c>
      <c r="AD102" s="201" t="e">
        <f t="shared" si="41"/>
        <v>#REF!</v>
      </c>
      <c r="AE102" s="201" t="e">
        <f t="shared" si="36"/>
        <v>#REF!</v>
      </c>
      <c r="AF102" s="201" t="e">
        <f t="shared" si="37"/>
        <v>#REF!</v>
      </c>
      <c r="AG102" s="201" t="e">
        <f t="shared" si="42"/>
        <v>#REF!</v>
      </c>
    </row>
    <row r="103" spans="2:33" x14ac:dyDescent="0.3">
      <c r="B103" s="179">
        <f t="shared" si="26"/>
        <v>86</v>
      </c>
      <c r="C103" s="180">
        <f t="shared" si="38"/>
        <v>30.4</v>
      </c>
      <c r="D103" s="165">
        <f>IF(B103="","",Simulador!$F$62)</f>
        <v>0.11</v>
      </c>
      <c r="E103" s="167"/>
      <c r="F103" s="167" t="e">
        <f t="shared" si="39"/>
        <v>#REF!</v>
      </c>
      <c r="G103" s="166"/>
      <c r="H103" s="167" t="e">
        <f t="shared" si="27"/>
        <v>#REF!</v>
      </c>
      <c r="I103" s="167" t="e">
        <f t="shared" si="28"/>
        <v>#REF!</v>
      </c>
      <c r="J103" s="167" t="e">
        <f t="shared" si="29"/>
        <v>#REF!</v>
      </c>
      <c r="K103" s="167" t="e">
        <f t="shared" si="40"/>
        <v>#REF!</v>
      </c>
      <c r="L103" s="167" t="e">
        <f>IF(B103="","",IF(F103=0,0,Simulador!$N$13*$J$2))</f>
        <v>#REF!</v>
      </c>
      <c r="M103" s="167" t="e">
        <f>IF(B103="","",IF(F103=0,0,IF(Simulador!$F$11='Tabla Parámetros'!$W$1,'Tabla Parámetros'!$W$28,IF(Simulador!$F$11='Tabla Parámetros'!$Y$1,'Tabla Parámetros'!$Y$12))))</f>
        <v>#REF!</v>
      </c>
      <c r="N103" s="167" t="e">
        <f>IF(B103="","",IF(F103=0,0,IF(Simulador!$N$7='Tabla Parámetros'!$C$31,AportPat!L89,0)))</f>
        <v>#REF!</v>
      </c>
      <c r="O103" s="167" t="e">
        <f>Simulador!#REF!</f>
        <v>#REF!</v>
      </c>
      <c r="P103" s="167" t="e">
        <f t="shared" si="30"/>
        <v>#REF!</v>
      </c>
      <c r="Q103" s="167" t="e">
        <f t="shared" si="31"/>
        <v>#REF!</v>
      </c>
      <c r="T103" s="6"/>
      <c r="U103" s="6"/>
      <c r="V103" s="6"/>
      <c r="W103" s="29" t="e">
        <f t="shared" si="24"/>
        <v>#REF!</v>
      </c>
      <c r="Y103" s="201" t="e">
        <f t="shared" si="25"/>
        <v>#REF!</v>
      </c>
      <c r="Z103" s="201" t="e">
        <f t="shared" si="32"/>
        <v>#REF!</v>
      </c>
      <c r="AA103" s="202" t="e">
        <f t="shared" si="33"/>
        <v>#REF!</v>
      </c>
      <c r="AB103" s="201" t="e">
        <f t="shared" si="34"/>
        <v>#REF!</v>
      </c>
      <c r="AC103" s="201" t="e">
        <f t="shared" si="35"/>
        <v>#REF!</v>
      </c>
      <c r="AD103" s="201" t="e">
        <f t="shared" si="41"/>
        <v>#REF!</v>
      </c>
      <c r="AE103" s="201" t="e">
        <f t="shared" si="36"/>
        <v>#REF!</v>
      </c>
      <c r="AF103" s="201" t="e">
        <f t="shared" si="37"/>
        <v>#REF!</v>
      </c>
      <c r="AG103" s="201" t="e">
        <f t="shared" si="42"/>
        <v>#REF!</v>
      </c>
    </row>
    <row r="104" spans="2:33" x14ac:dyDescent="0.3">
      <c r="B104" s="179">
        <f t="shared" si="26"/>
        <v>87</v>
      </c>
      <c r="C104" s="180">
        <f t="shared" si="38"/>
        <v>30.4</v>
      </c>
      <c r="D104" s="165">
        <f>IF(B104="","",Simulador!$F$62)</f>
        <v>0.11</v>
      </c>
      <c r="E104" s="167"/>
      <c r="F104" s="167" t="e">
        <f t="shared" si="39"/>
        <v>#REF!</v>
      </c>
      <c r="G104" s="166"/>
      <c r="H104" s="167" t="e">
        <f t="shared" si="27"/>
        <v>#REF!</v>
      </c>
      <c r="I104" s="167" t="e">
        <f t="shared" si="28"/>
        <v>#REF!</v>
      </c>
      <c r="J104" s="167" t="e">
        <f t="shared" si="29"/>
        <v>#REF!</v>
      </c>
      <c r="K104" s="167" t="e">
        <f t="shared" si="40"/>
        <v>#REF!</v>
      </c>
      <c r="L104" s="167" t="e">
        <f>IF(B104="","",IF(F104=0,0,Simulador!$N$13*$J$2))</f>
        <v>#REF!</v>
      </c>
      <c r="M104" s="167" t="e">
        <f>IF(B104="","",IF(F104=0,0,IF(Simulador!$F$11='Tabla Parámetros'!$W$1,'Tabla Parámetros'!$W$28,IF(Simulador!$F$11='Tabla Parámetros'!$Y$1,'Tabla Parámetros'!$Y$12))))</f>
        <v>#REF!</v>
      </c>
      <c r="N104" s="167" t="e">
        <f>IF(B104="","",IF(F104=0,0,IF(Simulador!$N$7='Tabla Parámetros'!$C$31,AportPat!L90,0)))</f>
        <v>#REF!</v>
      </c>
      <c r="O104" s="167" t="e">
        <f>Simulador!#REF!</f>
        <v>#REF!</v>
      </c>
      <c r="P104" s="167" t="e">
        <f t="shared" si="30"/>
        <v>#REF!</v>
      </c>
      <c r="Q104" s="167" t="e">
        <f t="shared" si="31"/>
        <v>#REF!</v>
      </c>
      <c r="T104" s="6"/>
      <c r="U104" s="6"/>
      <c r="V104" s="6"/>
      <c r="W104" s="29" t="e">
        <f t="shared" si="24"/>
        <v>#REF!</v>
      </c>
      <c r="Y104" s="201" t="e">
        <f t="shared" si="25"/>
        <v>#REF!</v>
      </c>
      <c r="Z104" s="201" t="e">
        <f t="shared" si="32"/>
        <v>#REF!</v>
      </c>
      <c r="AA104" s="202" t="e">
        <f t="shared" si="33"/>
        <v>#REF!</v>
      </c>
      <c r="AB104" s="201" t="e">
        <f t="shared" si="34"/>
        <v>#REF!</v>
      </c>
      <c r="AC104" s="201" t="e">
        <f t="shared" si="35"/>
        <v>#REF!</v>
      </c>
      <c r="AD104" s="201" t="e">
        <f t="shared" si="41"/>
        <v>#REF!</v>
      </c>
      <c r="AE104" s="201" t="e">
        <f t="shared" si="36"/>
        <v>#REF!</v>
      </c>
      <c r="AF104" s="201" t="e">
        <f t="shared" si="37"/>
        <v>#REF!</v>
      </c>
      <c r="AG104" s="201" t="e">
        <f t="shared" si="42"/>
        <v>#REF!</v>
      </c>
    </row>
    <row r="105" spans="2:33" x14ac:dyDescent="0.3">
      <c r="B105" s="179">
        <f t="shared" si="26"/>
        <v>88</v>
      </c>
      <c r="C105" s="180">
        <f t="shared" si="38"/>
        <v>30.4</v>
      </c>
      <c r="D105" s="165">
        <f>IF(B105="","",Simulador!$F$62)</f>
        <v>0.11</v>
      </c>
      <c r="E105" s="167"/>
      <c r="F105" s="167" t="e">
        <f t="shared" si="39"/>
        <v>#REF!</v>
      </c>
      <c r="G105" s="166"/>
      <c r="H105" s="167" t="e">
        <f t="shared" si="27"/>
        <v>#REF!</v>
      </c>
      <c r="I105" s="167" t="e">
        <f t="shared" si="28"/>
        <v>#REF!</v>
      </c>
      <c r="J105" s="167" t="e">
        <f t="shared" si="29"/>
        <v>#REF!</v>
      </c>
      <c r="K105" s="167" t="e">
        <f t="shared" si="40"/>
        <v>#REF!</v>
      </c>
      <c r="L105" s="167" t="e">
        <f>IF(B105="","",IF(F105=0,0,Simulador!$N$13*$J$2))</f>
        <v>#REF!</v>
      </c>
      <c r="M105" s="167" t="e">
        <f>IF(B105="","",IF(F105=0,0,IF(Simulador!$F$11='Tabla Parámetros'!$W$1,'Tabla Parámetros'!$W$28,IF(Simulador!$F$11='Tabla Parámetros'!$Y$1,'Tabla Parámetros'!$Y$12))))</f>
        <v>#REF!</v>
      </c>
      <c r="N105" s="167" t="e">
        <f>IF(B105="","",IF(F105=0,0,IF(Simulador!$N$7='Tabla Parámetros'!$C$31,AportPat!L91,0)))</f>
        <v>#REF!</v>
      </c>
      <c r="O105" s="167" t="e">
        <f>Simulador!#REF!</f>
        <v>#REF!</v>
      </c>
      <c r="P105" s="167" t="e">
        <f t="shared" si="30"/>
        <v>#REF!</v>
      </c>
      <c r="Q105" s="167" t="e">
        <f t="shared" si="31"/>
        <v>#REF!</v>
      </c>
      <c r="T105" s="6"/>
      <c r="U105" s="6"/>
      <c r="V105" s="6"/>
      <c r="W105" s="29" t="e">
        <f t="shared" si="24"/>
        <v>#REF!</v>
      </c>
      <c r="Y105" s="201" t="e">
        <f t="shared" si="25"/>
        <v>#REF!</v>
      </c>
      <c r="Z105" s="201" t="e">
        <f t="shared" si="32"/>
        <v>#REF!</v>
      </c>
      <c r="AA105" s="202" t="e">
        <f t="shared" si="33"/>
        <v>#REF!</v>
      </c>
      <c r="AB105" s="201" t="e">
        <f t="shared" si="34"/>
        <v>#REF!</v>
      </c>
      <c r="AC105" s="201" t="e">
        <f t="shared" si="35"/>
        <v>#REF!</v>
      </c>
      <c r="AD105" s="201" t="e">
        <f t="shared" si="41"/>
        <v>#REF!</v>
      </c>
      <c r="AE105" s="201" t="e">
        <f t="shared" si="36"/>
        <v>#REF!</v>
      </c>
      <c r="AF105" s="201" t="e">
        <f t="shared" si="37"/>
        <v>#REF!</v>
      </c>
      <c r="AG105" s="201" t="e">
        <f t="shared" si="42"/>
        <v>#REF!</v>
      </c>
    </row>
    <row r="106" spans="2:33" x14ac:dyDescent="0.3">
      <c r="B106" s="181">
        <f t="shared" si="26"/>
        <v>89</v>
      </c>
      <c r="C106" s="180">
        <f t="shared" si="38"/>
        <v>30.4</v>
      </c>
      <c r="D106" s="165">
        <f>IF(B106="","",Simulador!$F$62)</f>
        <v>0.11</v>
      </c>
      <c r="E106" s="167"/>
      <c r="F106" s="167" t="e">
        <f t="shared" si="39"/>
        <v>#REF!</v>
      </c>
      <c r="G106" s="166"/>
      <c r="H106" s="167" t="e">
        <f t="shared" si="27"/>
        <v>#REF!</v>
      </c>
      <c r="I106" s="167" t="e">
        <f t="shared" si="28"/>
        <v>#REF!</v>
      </c>
      <c r="J106" s="167" t="e">
        <f t="shared" si="29"/>
        <v>#REF!</v>
      </c>
      <c r="K106" s="167" t="e">
        <f t="shared" si="40"/>
        <v>#REF!</v>
      </c>
      <c r="L106" s="167" t="e">
        <f>IF(B106="","",IF(F106=0,0,Simulador!$N$13*$J$2))</f>
        <v>#REF!</v>
      </c>
      <c r="M106" s="167" t="e">
        <f>IF(B106="","",IF(F106=0,0,IF(Simulador!$F$11='Tabla Parámetros'!$W$1,'Tabla Parámetros'!$W$28,IF(Simulador!$F$11='Tabla Parámetros'!$Y$1,'Tabla Parámetros'!$Y$12))))</f>
        <v>#REF!</v>
      </c>
      <c r="N106" s="167" t="e">
        <f>IF(B106="","",IF(F106=0,0,IF(Simulador!$N$7='Tabla Parámetros'!$C$31,AportPat!L92,0)))</f>
        <v>#REF!</v>
      </c>
      <c r="O106" s="167" t="e">
        <f>Simulador!#REF!</f>
        <v>#REF!</v>
      </c>
      <c r="P106" s="167" t="e">
        <f t="shared" si="30"/>
        <v>#REF!</v>
      </c>
      <c r="Q106" s="167" t="e">
        <f t="shared" si="31"/>
        <v>#REF!</v>
      </c>
      <c r="T106" s="6"/>
      <c r="U106" s="6"/>
      <c r="V106" s="6"/>
      <c r="W106" s="29" t="e">
        <f t="shared" si="24"/>
        <v>#REF!</v>
      </c>
      <c r="Y106" s="201" t="e">
        <f t="shared" si="25"/>
        <v>#REF!</v>
      </c>
      <c r="Z106" s="201" t="e">
        <f t="shared" si="32"/>
        <v>#REF!</v>
      </c>
      <c r="AA106" s="202" t="e">
        <f t="shared" si="33"/>
        <v>#REF!</v>
      </c>
      <c r="AB106" s="201" t="e">
        <f t="shared" si="34"/>
        <v>#REF!</v>
      </c>
      <c r="AC106" s="201" t="e">
        <f t="shared" si="35"/>
        <v>#REF!</v>
      </c>
      <c r="AD106" s="201" t="e">
        <f t="shared" si="41"/>
        <v>#REF!</v>
      </c>
      <c r="AE106" s="201" t="e">
        <f t="shared" si="36"/>
        <v>#REF!</v>
      </c>
      <c r="AF106" s="201" t="e">
        <f t="shared" si="37"/>
        <v>#REF!</v>
      </c>
      <c r="AG106" s="201" t="e">
        <f t="shared" si="42"/>
        <v>#REF!</v>
      </c>
    </row>
    <row r="107" spans="2:33" x14ac:dyDescent="0.3">
      <c r="B107" s="179">
        <f t="shared" si="26"/>
        <v>90</v>
      </c>
      <c r="C107" s="180">
        <f t="shared" si="38"/>
        <v>30.4</v>
      </c>
      <c r="D107" s="165">
        <f>IF(B107="","",Simulador!$F$62)</f>
        <v>0.11</v>
      </c>
      <c r="E107" s="167"/>
      <c r="F107" s="167" t="e">
        <f t="shared" si="39"/>
        <v>#REF!</v>
      </c>
      <c r="G107" s="166"/>
      <c r="H107" s="167" t="e">
        <f t="shared" si="27"/>
        <v>#REF!</v>
      </c>
      <c r="I107" s="167" t="e">
        <f t="shared" si="28"/>
        <v>#REF!</v>
      </c>
      <c r="J107" s="167" t="e">
        <f t="shared" si="29"/>
        <v>#REF!</v>
      </c>
      <c r="K107" s="167" t="e">
        <f t="shared" si="40"/>
        <v>#REF!</v>
      </c>
      <c r="L107" s="167" t="e">
        <f>IF(B107="","",IF(F107=0,0,Simulador!$N$13*$J$2))</f>
        <v>#REF!</v>
      </c>
      <c r="M107" s="167" t="e">
        <f>IF(B107="","",IF(F107=0,0,IF(Simulador!$F$11='Tabla Parámetros'!$W$1,'Tabla Parámetros'!$W$28,IF(Simulador!$F$11='Tabla Parámetros'!$Y$1,'Tabla Parámetros'!$Y$12))))</f>
        <v>#REF!</v>
      </c>
      <c r="N107" s="167" t="e">
        <f>IF(B107="","",IF(F107=0,0,IF(Simulador!$N$7='Tabla Parámetros'!$C$31,AportPat!L93,0)))</f>
        <v>#REF!</v>
      </c>
      <c r="O107" s="167" t="e">
        <f>Simulador!#REF!</f>
        <v>#REF!</v>
      </c>
      <c r="P107" s="167" t="e">
        <f t="shared" si="30"/>
        <v>#REF!</v>
      </c>
      <c r="Q107" s="167" t="e">
        <f t="shared" si="31"/>
        <v>#REF!</v>
      </c>
      <c r="T107" s="6"/>
      <c r="U107" s="6"/>
      <c r="V107" s="6"/>
      <c r="W107" s="29" t="e">
        <f t="shared" si="24"/>
        <v>#REF!</v>
      </c>
      <c r="Y107" s="201" t="e">
        <f t="shared" si="25"/>
        <v>#REF!</v>
      </c>
      <c r="Z107" s="201" t="e">
        <f t="shared" si="32"/>
        <v>#REF!</v>
      </c>
      <c r="AA107" s="202" t="e">
        <f t="shared" si="33"/>
        <v>#REF!</v>
      </c>
      <c r="AB107" s="201" t="e">
        <f t="shared" si="34"/>
        <v>#REF!</v>
      </c>
      <c r="AC107" s="201" t="e">
        <f t="shared" si="35"/>
        <v>#REF!</v>
      </c>
      <c r="AD107" s="201" t="e">
        <f t="shared" si="41"/>
        <v>#REF!</v>
      </c>
      <c r="AE107" s="201" t="e">
        <f t="shared" si="36"/>
        <v>#REF!</v>
      </c>
      <c r="AF107" s="201" t="e">
        <f t="shared" si="37"/>
        <v>#REF!</v>
      </c>
      <c r="AG107" s="201" t="e">
        <f t="shared" si="42"/>
        <v>#REF!</v>
      </c>
    </row>
    <row r="108" spans="2:33" x14ac:dyDescent="0.3">
      <c r="B108" s="179">
        <f t="shared" si="26"/>
        <v>91</v>
      </c>
      <c r="C108" s="180">
        <f t="shared" si="38"/>
        <v>30.4</v>
      </c>
      <c r="D108" s="165">
        <f>IF(B108="","",Simulador!$F$62)</f>
        <v>0.11</v>
      </c>
      <c r="E108" s="167"/>
      <c r="F108" s="167" t="e">
        <f t="shared" si="39"/>
        <v>#REF!</v>
      </c>
      <c r="G108" s="166"/>
      <c r="H108" s="167" t="e">
        <f t="shared" si="27"/>
        <v>#REF!</v>
      </c>
      <c r="I108" s="167" t="e">
        <f t="shared" si="28"/>
        <v>#REF!</v>
      </c>
      <c r="J108" s="167" t="e">
        <f t="shared" si="29"/>
        <v>#REF!</v>
      </c>
      <c r="K108" s="167" t="e">
        <f t="shared" si="40"/>
        <v>#REF!</v>
      </c>
      <c r="L108" s="167" t="e">
        <f>IF(B108="","",IF(F108=0,0,Simulador!$N$13*$J$2))</f>
        <v>#REF!</v>
      </c>
      <c r="M108" s="167" t="e">
        <f>IF(B108="","",IF(F108=0,0,IF(Simulador!$F$11='Tabla Parámetros'!$W$1,'Tabla Parámetros'!$W$28,IF(Simulador!$F$11='Tabla Parámetros'!$Y$1,'Tabla Parámetros'!$Y$12))))</f>
        <v>#REF!</v>
      </c>
      <c r="N108" s="167" t="e">
        <f>IF(B108="","",IF(F108=0,0,IF(Simulador!$N$7='Tabla Parámetros'!$C$31,AportPat!L94,0)))</f>
        <v>#REF!</v>
      </c>
      <c r="O108" s="167" t="e">
        <f>Simulador!#REF!</f>
        <v>#REF!</v>
      </c>
      <c r="P108" s="167" t="e">
        <f t="shared" si="30"/>
        <v>#REF!</v>
      </c>
      <c r="Q108" s="167" t="e">
        <f t="shared" si="31"/>
        <v>#REF!</v>
      </c>
      <c r="T108" s="6"/>
      <c r="U108" s="6"/>
      <c r="V108" s="6"/>
      <c r="W108" s="29" t="e">
        <f t="shared" si="24"/>
        <v>#REF!</v>
      </c>
      <c r="Y108" s="201" t="e">
        <f t="shared" si="25"/>
        <v>#REF!</v>
      </c>
      <c r="Z108" s="201" t="e">
        <f t="shared" si="32"/>
        <v>#REF!</v>
      </c>
      <c r="AA108" s="202" t="e">
        <f t="shared" si="33"/>
        <v>#REF!</v>
      </c>
      <c r="AB108" s="201" t="e">
        <f t="shared" si="34"/>
        <v>#REF!</v>
      </c>
      <c r="AC108" s="201" t="e">
        <f t="shared" si="35"/>
        <v>#REF!</v>
      </c>
      <c r="AD108" s="201" t="e">
        <f t="shared" si="41"/>
        <v>#REF!</v>
      </c>
      <c r="AE108" s="201" t="e">
        <f t="shared" si="36"/>
        <v>#REF!</v>
      </c>
      <c r="AF108" s="201" t="e">
        <f t="shared" si="37"/>
        <v>#REF!</v>
      </c>
      <c r="AG108" s="201" t="e">
        <f t="shared" si="42"/>
        <v>#REF!</v>
      </c>
    </row>
    <row r="109" spans="2:33" x14ac:dyDescent="0.3">
      <c r="B109" s="179">
        <f t="shared" si="26"/>
        <v>92</v>
      </c>
      <c r="C109" s="180">
        <f t="shared" si="38"/>
        <v>30.4</v>
      </c>
      <c r="D109" s="165">
        <f>IF(B109="","",Simulador!$F$62)</f>
        <v>0.11</v>
      </c>
      <c r="E109" s="167"/>
      <c r="F109" s="167" t="e">
        <f t="shared" si="39"/>
        <v>#REF!</v>
      </c>
      <c r="G109" s="166"/>
      <c r="H109" s="167" t="e">
        <f t="shared" si="27"/>
        <v>#REF!</v>
      </c>
      <c r="I109" s="167" t="e">
        <f t="shared" si="28"/>
        <v>#REF!</v>
      </c>
      <c r="J109" s="167" t="e">
        <f t="shared" si="29"/>
        <v>#REF!</v>
      </c>
      <c r="K109" s="167" t="e">
        <f t="shared" si="40"/>
        <v>#REF!</v>
      </c>
      <c r="L109" s="167" t="e">
        <f>IF(B109="","",IF(F109=0,0,Simulador!$N$13*$J$2))</f>
        <v>#REF!</v>
      </c>
      <c r="M109" s="167" t="e">
        <f>IF(B109="","",IF(F109=0,0,IF(Simulador!$F$11='Tabla Parámetros'!$W$1,'Tabla Parámetros'!$W$28,IF(Simulador!$F$11='Tabla Parámetros'!$Y$1,'Tabla Parámetros'!$Y$12))))</f>
        <v>#REF!</v>
      </c>
      <c r="N109" s="167" t="e">
        <f>IF(B109="","",IF(F109=0,0,IF(Simulador!$N$7='Tabla Parámetros'!$C$31,AportPat!L95,0)))</f>
        <v>#REF!</v>
      </c>
      <c r="O109" s="167" t="e">
        <f>Simulador!#REF!</f>
        <v>#REF!</v>
      </c>
      <c r="P109" s="167" t="e">
        <f t="shared" si="30"/>
        <v>#REF!</v>
      </c>
      <c r="Q109" s="167" t="e">
        <f t="shared" si="31"/>
        <v>#REF!</v>
      </c>
      <c r="T109" s="6"/>
      <c r="U109" s="6"/>
      <c r="V109" s="6"/>
      <c r="W109" s="29" t="e">
        <f t="shared" si="24"/>
        <v>#REF!</v>
      </c>
      <c r="Y109" s="201" t="e">
        <f t="shared" si="25"/>
        <v>#REF!</v>
      </c>
      <c r="Z109" s="201" t="e">
        <f t="shared" si="32"/>
        <v>#REF!</v>
      </c>
      <c r="AA109" s="202" t="e">
        <f t="shared" si="33"/>
        <v>#REF!</v>
      </c>
      <c r="AB109" s="201" t="e">
        <f t="shared" si="34"/>
        <v>#REF!</v>
      </c>
      <c r="AC109" s="201" t="e">
        <f t="shared" si="35"/>
        <v>#REF!</v>
      </c>
      <c r="AD109" s="201" t="e">
        <f t="shared" si="41"/>
        <v>#REF!</v>
      </c>
      <c r="AE109" s="201" t="e">
        <f t="shared" si="36"/>
        <v>#REF!</v>
      </c>
      <c r="AF109" s="201" t="e">
        <f t="shared" si="37"/>
        <v>#REF!</v>
      </c>
      <c r="AG109" s="201" t="e">
        <f t="shared" si="42"/>
        <v>#REF!</v>
      </c>
    </row>
    <row r="110" spans="2:33" x14ac:dyDescent="0.3">
      <c r="B110" s="181">
        <f t="shared" si="26"/>
        <v>93</v>
      </c>
      <c r="C110" s="180">
        <f t="shared" si="38"/>
        <v>30.4</v>
      </c>
      <c r="D110" s="165">
        <f>IF(B110="","",Simulador!$F$62)</f>
        <v>0.11</v>
      </c>
      <c r="E110" s="167"/>
      <c r="F110" s="167" t="e">
        <f t="shared" si="39"/>
        <v>#REF!</v>
      </c>
      <c r="G110" s="166"/>
      <c r="H110" s="167" t="e">
        <f t="shared" si="27"/>
        <v>#REF!</v>
      </c>
      <c r="I110" s="167" t="e">
        <f t="shared" si="28"/>
        <v>#REF!</v>
      </c>
      <c r="J110" s="167" t="e">
        <f t="shared" si="29"/>
        <v>#REF!</v>
      </c>
      <c r="K110" s="167" t="e">
        <f t="shared" si="40"/>
        <v>#REF!</v>
      </c>
      <c r="L110" s="167" t="e">
        <f>IF(B110="","",IF(F110=0,0,Simulador!$N$13*$J$2))</f>
        <v>#REF!</v>
      </c>
      <c r="M110" s="167" t="e">
        <f>IF(B110="","",IF(F110=0,0,IF(Simulador!$F$11='Tabla Parámetros'!$W$1,'Tabla Parámetros'!$W$28,IF(Simulador!$F$11='Tabla Parámetros'!$Y$1,'Tabla Parámetros'!$Y$12))))</f>
        <v>#REF!</v>
      </c>
      <c r="N110" s="167" t="e">
        <f>IF(B110="","",IF(F110=0,0,IF(Simulador!$N$7='Tabla Parámetros'!$C$31,AportPat!L96,0)))</f>
        <v>#REF!</v>
      </c>
      <c r="O110" s="167" t="e">
        <f>Simulador!#REF!</f>
        <v>#REF!</v>
      </c>
      <c r="P110" s="167" t="e">
        <f t="shared" si="30"/>
        <v>#REF!</v>
      </c>
      <c r="Q110" s="167" t="e">
        <f t="shared" si="31"/>
        <v>#REF!</v>
      </c>
      <c r="T110" s="6"/>
      <c r="U110" s="6"/>
      <c r="V110" s="6"/>
      <c r="W110" s="29" t="e">
        <f t="shared" si="24"/>
        <v>#REF!</v>
      </c>
      <c r="Y110" s="201" t="e">
        <f t="shared" si="25"/>
        <v>#REF!</v>
      </c>
      <c r="Z110" s="201" t="e">
        <f t="shared" si="32"/>
        <v>#REF!</v>
      </c>
      <c r="AA110" s="202" t="e">
        <f t="shared" si="33"/>
        <v>#REF!</v>
      </c>
      <c r="AB110" s="201" t="e">
        <f t="shared" si="34"/>
        <v>#REF!</v>
      </c>
      <c r="AC110" s="201" t="e">
        <f t="shared" si="35"/>
        <v>#REF!</v>
      </c>
      <c r="AD110" s="201" t="e">
        <f t="shared" si="41"/>
        <v>#REF!</v>
      </c>
      <c r="AE110" s="201" t="e">
        <f t="shared" si="36"/>
        <v>#REF!</v>
      </c>
      <c r="AF110" s="201" t="e">
        <f t="shared" si="37"/>
        <v>#REF!</v>
      </c>
      <c r="AG110" s="201" t="e">
        <f t="shared" si="42"/>
        <v>#REF!</v>
      </c>
    </row>
    <row r="111" spans="2:33" x14ac:dyDescent="0.3">
      <c r="B111" s="179">
        <f t="shared" si="26"/>
        <v>94</v>
      </c>
      <c r="C111" s="180">
        <f t="shared" si="38"/>
        <v>30.4</v>
      </c>
      <c r="D111" s="165">
        <f>IF(B111="","",Simulador!$F$62)</f>
        <v>0.11</v>
      </c>
      <c r="E111" s="167"/>
      <c r="F111" s="167" t="e">
        <f t="shared" si="39"/>
        <v>#REF!</v>
      </c>
      <c r="G111" s="166"/>
      <c r="H111" s="167" t="e">
        <f t="shared" si="27"/>
        <v>#REF!</v>
      </c>
      <c r="I111" s="167" t="e">
        <f t="shared" si="28"/>
        <v>#REF!</v>
      </c>
      <c r="J111" s="167" t="e">
        <f t="shared" si="29"/>
        <v>#REF!</v>
      </c>
      <c r="K111" s="167" t="e">
        <f t="shared" si="40"/>
        <v>#REF!</v>
      </c>
      <c r="L111" s="167" t="e">
        <f>IF(B111="","",IF(F111=0,0,Simulador!$N$13*$J$2))</f>
        <v>#REF!</v>
      </c>
      <c r="M111" s="167" t="e">
        <f>IF(B111="","",IF(F111=0,0,IF(Simulador!$F$11='Tabla Parámetros'!$W$1,'Tabla Parámetros'!$W$28,IF(Simulador!$F$11='Tabla Parámetros'!$Y$1,'Tabla Parámetros'!$Y$12))))</f>
        <v>#REF!</v>
      </c>
      <c r="N111" s="167" t="e">
        <f>IF(B111="","",IF(F111=0,0,IF(Simulador!$N$7='Tabla Parámetros'!$C$31,AportPat!L97,0)))</f>
        <v>#REF!</v>
      </c>
      <c r="O111" s="167" t="e">
        <f>Simulador!#REF!</f>
        <v>#REF!</v>
      </c>
      <c r="P111" s="167" t="e">
        <f t="shared" si="30"/>
        <v>#REF!</v>
      </c>
      <c r="Q111" s="167" t="e">
        <f t="shared" si="31"/>
        <v>#REF!</v>
      </c>
      <c r="T111" s="6"/>
      <c r="U111" s="6"/>
      <c r="V111" s="6"/>
      <c r="W111" s="29" t="e">
        <f t="shared" si="24"/>
        <v>#REF!</v>
      </c>
      <c r="Y111" s="201" t="e">
        <f t="shared" si="25"/>
        <v>#REF!</v>
      </c>
      <c r="Z111" s="201" t="e">
        <f t="shared" si="32"/>
        <v>#REF!</v>
      </c>
      <c r="AA111" s="202" t="e">
        <f t="shared" si="33"/>
        <v>#REF!</v>
      </c>
      <c r="AB111" s="201" t="e">
        <f t="shared" si="34"/>
        <v>#REF!</v>
      </c>
      <c r="AC111" s="201" t="e">
        <f t="shared" si="35"/>
        <v>#REF!</v>
      </c>
      <c r="AD111" s="201" t="e">
        <f t="shared" si="41"/>
        <v>#REF!</v>
      </c>
      <c r="AE111" s="201" t="e">
        <f t="shared" si="36"/>
        <v>#REF!</v>
      </c>
      <c r="AF111" s="201" t="e">
        <f t="shared" si="37"/>
        <v>#REF!</v>
      </c>
      <c r="AG111" s="201" t="e">
        <f t="shared" si="42"/>
        <v>#REF!</v>
      </c>
    </row>
    <row r="112" spans="2:33" x14ac:dyDescent="0.3">
      <c r="B112" s="179">
        <f t="shared" si="26"/>
        <v>95</v>
      </c>
      <c r="C112" s="180">
        <f t="shared" si="38"/>
        <v>30.4</v>
      </c>
      <c r="D112" s="165">
        <f>IF(B112="","",Simulador!$F$62)</f>
        <v>0.11</v>
      </c>
      <c r="E112" s="167"/>
      <c r="F112" s="167" t="e">
        <f t="shared" si="39"/>
        <v>#REF!</v>
      </c>
      <c r="G112" s="166"/>
      <c r="H112" s="167" t="e">
        <f t="shared" si="27"/>
        <v>#REF!</v>
      </c>
      <c r="I112" s="167" t="e">
        <f t="shared" si="28"/>
        <v>#REF!</v>
      </c>
      <c r="J112" s="167" t="e">
        <f t="shared" si="29"/>
        <v>#REF!</v>
      </c>
      <c r="K112" s="167" t="e">
        <f t="shared" si="40"/>
        <v>#REF!</v>
      </c>
      <c r="L112" s="167" t="e">
        <f>IF(B112="","",IF(F112=0,0,Simulador!$N$13*$J$2))</f>
        <v>#REF!</v>
      </c>
      <c r="M112" s="167" t="e">
        <f>IF(B112="","",IF(F112=0,0,IF(Simulador!$F$11='Tabla Parámetros'!$W$1,'Tabla Parámetros'!$W$28,IF(Simulador!$F$11='Tabla Parámetros'!$Y$1,'Tabla Parámetros'!$Y$12))))</f>
        <v>#REF!</v>
      </c>
      <c r="N112" s="167" t="e">
        <f>IF(B112="","",IF(F112=0,0,IF(Simulador!$N$7='Tabla Parámetros'!$C$31,AportPat!L98,0)))</f>
        <v>#REF!</v>
      </c>
      <c r="O112" s="167" t="e">
        <f>Simulador!#REF!</f>
        <v>#REF!</v>
      </c>
      <c r="P112" s="167" t="e">
        <f t="shared" si="30"/>
        <v>#REF!</v>
      </c>
      <c r="Q112" s="167" t="e">
        <f t="shared" si="31"/>
        <v>#REF!</v>
      </c>
      <c r="T112" s="6"/>
      <c r="U112" s="6"/>
      <c r="V112" s="6"/>
      <c r="W112" s="29" t="e">
        <f t="shared" si="24"/>
        <v>#REF!</v>
      </c>
      <c r="Y112" s="201" t="e">
        <f t="shared" si="25"/>
        <v>#REF!</v>
      </c>
      <c r="Z112" s="201" t="e">
        <f t="shared" si="32"/>
        <v>#REF!</v>
      </c>
      <c r="AA112" s="202" t="e">
        <f t="shared" si="33"/>
        <v>#REF!</v>
      </c>
      <c r="AB112" s="201" t="e">
        <f t="shared" si="34"/>
        <v>#REF!</v>
      </c>
      <c r="AC112" s="201" t="e">
        <f t="shared" si="35"/>
        <v>#REF!</v>
      </c>
      <c r="AD112" s="201" t="e">
        <f t="shared" si="41"/>
        <v>#REF!</v>
      </c>
      <c r="AE112" s="201" t="e">
        <f t="shared" si="36"/>
        <v>#REF!</v>
      </c>
      <c r="AF112" s="201" t="e">
        <f t="shared" si="37"/>
        <v>#REF!</v>
      </c>
      <c r="AG112" s="201" t="e">
        <f t="shared" si="42"/>
        <v>#REF!</v>
      </c>
    </row>
    <row r="113" spans="2:33" x14ac:dyDescent="0.3">
      <c r="B113" s="179">
        <f t="shared" si="26"/>
        <v>96</v>
      </c>
      <c r="C113" s="180">
        <f t="shared" si="38"/>
        <v>30.4</v>
      </c>
      <c r="D113" s="165">
        <f>IF(B113="","",Simulador!$F$62)</f>
        <v>0.11</v>
      </c>
      <c r="E113" s="167"/>
      <c r="F113" s="167" t="e">
        <f t="shared" si="39"/>
        <v>#REF!</v>
      </c>
      <c r="G113" s="166"/>
      <c r="H113" s="167" t="e">
        <f t="shared" si="27"/>
        <v>#REF!</v>
      </c>
      <c r="I113" s="167" t="e">
        <f t="shared" si="28"/>
        <v>#REF!</v>
      </c>
      <c r="J113" s="167" t="e">
        <f t="shared" si="29"/>
        <v>#REF!</v>
      </c>
      <c r="K113" s="167" t="e">
        <f t="shared" si="40"/>
        <v>#REF!</v>
      </c>
      <c r="L113" s="167" t="e">
        <f>IF(B113="","",IF(F113=0,0,Simulador!$N$13*$J$2))</f>
        <v>#REF!</v>
      </c>
      <c r="M113" s="167" t="e">
        <f>IF(B113="","",IF(F113=0,0,IF(Simulador!$F$11='Tabla Parámetros'!$W$1,'Tabla Parámetros'!$W$28,IF(Simulador!$F$11='Tabla Parámetros'!$Y$1,'Tabla Parámetros'!$Y$12))))</f>
        <v>#REF!</v>
      </c>
      <c r="N113" s="167" t="e">
        <f>IF(B113="","",IF(F113=0,0,IF(Simulador!$N$7='Tabla Parámetros'!$C$31,AportPat!L99,0)))</f>
        <v>#REF!</v>
      </c>
      <c r="O113" s="167" t="e">
        <f>Simulador!#REF!</f>
        <v>#REF!</v>
      </c>
      <c r="P113" s="167" t="e">
        <f t="shared" si="30"/>
        <v>#REF!</v>
      </c>
      <c r="Q113" s="167" t="e">
        <f t="shared" si="31"/>
        <v>#REF!</v>
      </c>
      <c r="T113" s="6"/>
      <c r="U113" s="6"/>
      <c r="V113" s="6"/>
      <c r="W113" s="29" t="e">
        <f t="shared" si="24"/>
        <v>#REF!</v>
      </c>
      <c r="Y113" s="201" t="e">
        <f t="shared" si="25"/>
        <v>#REF!</v>
      </c>
      <c r="Z113" s="201" t="e">
        <f t="shared" si="32"/>
        <v>#REF!</v>
      </c>
      <c r="AA113" s="202" t="e">
        <f t="shared" si="33"/>
        <v>#REF!</v>
      </c>
      <c r="AB113" s="201" t="e">
        <f t="shared" si="34"/>
        <v>#REF!</v>
      </c>
      <c r="AC113" s="201" t="e">
        <f t="shared" si="35"/>
        <v>#REF!</v>
      </c>
      <c r="AD113" s="201" t="e">
        <f t="shared" si="41"/>
        <v>#REF!</v>
      </c>
      <c r="AE113" s="201" t="e">
        <f t="shared" si="36"/>
        <v>#REF!</v>
      </c>
      <c r="AF113" s="201" t="e">
        <f t="shared" si="37"/>
        <v>#REF!</v>
      </c>
      <c r="AG113" s="201" t="e">
        <f t="shared" si="42"/>
        <v>#REF!</v>
      </c>
    </row>
    <row r="114" spans="2:33" x14ac:dyDescent="0.3">
      <c r="B114" s="181">
        <f t="shared" si="26"/>
        <v>97</v>
      </c>
      <c r="C114" s="180">
        <f t="shared" si="38"/>
        <v>30.4</v>
      </c>
      <c r="D114" s="165">
        <f>IF(B114="","",Simulador!$F$62)</f>
        <v>0.11</v>
      </c>
      <c r="E114" s="167"/>
      <c r="F114" s="167" t="e">
        <f t="shared" si="39"/>
        <v>#REF!</v>
      </c>
      <c r="G114" s="166"/>
      <c r="H114" s="167" t="e">
        <f t="shared" si="27"/>
        <v>#REF!</v>
      </c>
      <c r="I114" s="167" t="e">
        <f t="shared" si="28"/>
        <v>#REF!</v>
      </c>
      <c r="J114" s="167" t="e">
        <f t="shared" si="29"/>
        <v>#REF!</v>
      </c>
      <c r="K114" s="167" t="e">
        <f t="shared" si="40"/>
        <v>#REF!</v>
      </c>
      <c r="L114" s="167" t="e">
        <f>IF(B114="","",IF(F114=0,0,Simulador!$N$13*$J$2))</f>
        <v>#REF!</v>
      </c>
      <c r="M114" s="167" t="e">
        <f>IF(B114="","",IF(F114=0,0,IF(Simulador!$F$11='Tabla Parámetros'!$W$1,'Tabla Parámetros'!$W$28,IF(Simulador!$F$11='Tabla Parámetros'!$Y$1,'Tabla Parámetros'!$Y$12))))</f>
        <v>#REF!</v>
      </c>
      <c r="N114" s="167" t="e">
        <f>IF(B114="","",IF(F114=0,0,IF(Simulador!$N$7='Tabla Parámetros'!$C$31,AportPat!L100,0)))</f>
        <v>#REF!</v>
      </c>
      <c r="O114" s="167" t="e">
        <f>Simulador!#REF!</f>
        <v>#REF!</v>
      </c>
      <c r="P114" s="167" t="e">
        <f t="shared" si="30"/>
        <v>#REF!</v>
      </c>
      <c r="Q114" s="167" t="e">
        <f t="shared" si="31"/>
        <v>#REF!</v>
      </c>
      <c r="T114" s="6"/>
      <c r="U114" s="6"/>
      <c r="V114" s="6"/>
      <c r="W114" s="29" t="e">
        <f t="shared" si="24"/>
        <v>#REF!</v>
      </c>
      <c r="Y114" s="201" t="e">
        <f t="shared" si="25"/>
        <v>#REF!</v>
      </c>
      <c r="Z114" s="201" t="e">
        <f t="shared" si="32"/>
        <v>#REF!</v>
      </c>
      <c r="AA114" s="202" t="e">
        <f t="shared" si="33"/>
        <v>#REF!</v>
      </c>
      <c r="AB114" s="201" t="e">
        <f t="shared" si="34"/>
        <v>#REF!</v>
      </c>
      <c r="AC114" s="201" t="e">
        <f t="shared" si="35"/>
        <v>#REF!</v>
      </c>
      <c r="AD114" s="201" t="e">
        <f t="shared" si="41"/>
        <v>#REF!</v>
      </c>
      <c r="AE114" s="201" t="e">
        <f t="shared" si="36"/>
        <v>#REF!</v>
      </c>
      <c r="AF114" s="201" t="e">
        <f t="shared" si="37"/>
        <v>#REF!</v>
      </c>
      <c r="AG114" s="201" t="e">
        <f t="shared" si="42"/>
        <v>#REF!</v>
      </c>
    </row>
    <row r="115" spans="2:33" x14ac:dyDescent="0.3">
      <c r="B115" s="179">
        <f t="shared" si="26"/>
        <v>98</v>
      </c>
      <c r="C115" s="180">
        <f t="shared" si="38"/>
        <v>30.4</v>
      </c>
      <c r="D115" s="165">
        <f>IF(B115="","",Simulador!$F$62)</f>
        <v>0.11</v>
      </c>
      <c r="E115" s="167"/>
      <c r="F115" s="167" t="e">
        <f t="shared" si="39"/>
        <v>#REF!</v>
      </c>
      <c r="G115" s="166"/>
      <c r="H115" s="167" t="e">
        <f t="shared" si="27"/>
        <v>#REF!</v>
      </c>
      <c r="I115" s="167" t="e">
        <f t="shared" si="28"/>
        <v>#REF!</v>
      </c>
      <c r="J115" s="167" t="e">
        <f t="shared" si="29"/>
        <v>#REF!</v>
      </c>
      <c r="K115" s="167" t="e">
        <f t="shared" si="40"/>
        <v>#REF!</v>
      </c>
      <c r="L115" s="167" t="e">
        <f>IF(B115="","",IF(F115=0,0,Simulador!$N$13*$J$2))</f>
        <v>#REF!</v>
      </c>
      <c r="M115" s="167" t="e">
        <f>IF(B115="","",IF(F115=0,0,IF(Simulador!$F$11='Tabla Parámetros'!$W$1,'Tabla Parámetros'!$W$28,IF(Simulador!$F$11='Tabla Parámetros'!$Y$1,'Tabla Parámetros'!$Y$12))))</f>
        <v>#REF!</v>
      </c>
      <c r="N115" s="167" t="e">
        <f>IF(B115="","",IF(F115=0,0,IF(Simulador!$N$7='Tabla Parámetros'!$C$31,AportPat!L101,0)))</f>
        <v>#REF!</v>
      </c>
      <c r="O115" s="167" t="e">
        <f>Simulador!#REF!</f>
        <v>#REF!</v>
      </c>
      <c r="P115" s="167" t="e">
        <f t="shared" si="30"/>
        <v>#REF!</v>
      </c>
      <c r="Q115" s="167" t="e">
        <f t="shared" si="31"/>
        <v>#REF!</v>
      </c>
      <c r="T115" s="6"/>
      <c r="U115" s="6"/>
      <c r="V115" s="6"/>
      <c r="W115" s="29" t="e">
        <f t="shared" si="24"/>
        <v>#REF!</v>
      </c>
      <c r="Y115" s="201" t="e">
        <f t="shared" si="25"/>
        <v>#REF!</v>
      </c>
      <c r="Z115" s="201" t="e">
        <f t="shared" si="32"/>
        <v>#REF!</v>
      </c>
      <c r="AA115" s="202" t="e">
        <f t="shared" si="33"/>
        <v>#REF!</v>
      </c>
      <c r="AB115" s="201" t="e">
        <f t="shared" si="34"/>
        <v>#REF!</v>
      </c>
      <c r="AC115" s="201" t="e">
        <f t="shared" si="35"/>
        <v>#REF!</v>
      </c>
      <c r="AD115" s="201" t="e">
        <f t="shared" si="41"/>
        <v>#REF!</v>
      </c>
      <c r="AE115" s="201" t="e">
        <f t="shared" si="36"/>
        <v>#REF!</v>
      </c>
      <c r="AF115" s="201" t="e">
        <f t="shared" si="37"/>
        <v>#REF!</v>
      </c>
      <c r="AG115" s="201" t="e">
        <f t="shared" si="42"/>
        <v>#REF!</v>
      </c>
    </row>
    <row r="116" spans="2:33" x14ac:dyDescent="0.3">
      <c r="B116" s="179">
        <f t="shared" si="26"/>
        <v>99</v>
      </c>
      <c r="C116" s="180">
        <f t="shared" si="38"/>
        <v>30.4</v>
      </c>
      <c r="D116" s="165">
        <f>IF(B116="","",Simulador!$F$62)</f>
        <v>0.11</v>
      </c>
      <c r="E116" s="167"/>
      <c r="F116" s="167" t="e">
        <f t="shared" si="39"/>
        <v>#REF!</v>
      </c>
      <c r="G116" s="166"/>
      <c r="H116" s="167" t="e">
        <f t="shared" si="27"/>
        <v>#REF!</v>
      </c>
      <c r="I116" s="167" t="e">
        <f t="shared" si="28"/>
        <v>#REF!</v>
      </c>
      <c r="J116" s="167" t="e">
        <f t="shared" si="29"/>
        <v>#REF!</v>
      </c>
      <c r="K116" s="167" t="e">
        <f t="shared" si="40"/>
        <v>#REF!</v>
      </c>
      <c r="L116" s="167" t="e">
        <f>IF(B116="","",IF(F116=0,0,Simulador!$N$13*$J$2))</f>
        <v>#REF!</v>
      </c>
      <c r="M116" s="167" t="e">
        <f>IF(B116="","",IF(F116=0,0,IF(Simulador!$F$11='Tabla Parámetros'!$W$1,'Tabla Parámetros'!$W$28,IF(Simulador!$F$11='Tabla Parámetros'!$Y$1,'Tabla Parámetros'!$Y$12))))</f>
        <v>#REF!</v>
      </c>
      <c r="N116" s="167" t="e">
        <f>IF(B116="","",IF(F116=0,0,IF(Simulador!$N$7='Tabla Parámetros'!$C$31,AportPat!L102,0)))</f>
        <v>#REF!</v>
      </c>
      <c r="O116" s="167" t="e">
        <f>Simulador!#REF!</f>
        <v>#REF!</v>
      </c>
      <c r="P116" s="167" t="e">
        <f t="shared" si="30"/>
        <v>#REF!</v>
      </c>
      <c r="Q116" s="167" t="e">
        <f t="shared" si="31"/>
        <v>#REF!</v>
      </c>
      <c r="T116" s="6"/>
      <c r="U116" s="6"/>
      <c r="V116" s="6"/>
      <c r="W116" s="29" t="e">
        <f t="shared" si="24"/>
        <v>#REF!</v>
      </c>
      <c r="Y116" s="201" t="e">
        <f t="shared" si="25"/>
        <v>#REF!</v>
      </c>
      <c r="Z116" s="201" t="e">
        <f t="shared" si="32"/>
        <v>#REF!</v>
      </c>
      <c r="AA116" s="202" t="e">
        <f t="shared" si="33"/>
        <v>#REF!</v>
      </c>
      <c r="AB116" s="201" t="e">
        <f t="shared" si="34"/>
        <v>#REF!</v>
      </c>
      <c r="AC116" s="201" t="e">
        <f t="shared" si="35"/>
        <v>#REF!</v>
      </c>
      <c r="AD116" s="201" t="e">
        <f t="shared" si="41"/>
        <v>#REF!</v>
      </c>
      <c r="AE116" s="201" t="e">
        <f t="shared" si="36"/>
        <v>#REF!</v>
      </c>
      <c r="AF116" s="201" t="e">
        <f t="shared" si="37"/>
        <v>#REF!</v>
      </c>
      <c r="AG116" s="201" t="e">
        <f t="shared" si="42"/>
        <v>#REF!</v>
      </c>
    </row>
    <row r="117" spans="2:33" x14ac:dyDescent="0.3">
      <c r="B117" s="179">
        <f t="shared" si="26"/>
        <v>100</v>
      </c>
      <c r="C117" s="180">
        <f t="shared" si="38"/>
        <v>30.4</v>
      </c>
      <c r="D117" s="165">
        <f>IF(B117="","",Simulador!$F$62)</f>
        <v>0.11</v>
      </c>
      <c r="E117" s="167"/>
      <c r="F117" s="167" t="e">
        <f t="shared" si="39"/>
        <v>#REF!</v>
      </c>
      <c r="G117" s="166"/>
      <c r="H117" s="167" t="e">
        <f t="shared" si="27"/>
        <v>#REF!</v>
      </c>
      <c r="I117" s="167" t="e">
        <f t="shared" si="28"/>
        <v>#REF!</v>
      </c>
      <c r="J117" s="167" t="e">
        <f t="shared" si="29"/>
        <v>#REF!</v>
      </c>
      <c r="K117" s="167" t="e">
        <f t="shared" si="40"/>
        <v>#REF!</v>
      </c>
      <c r="L117" s="167" t="e">
        <f>IF(B117="","",IF(F117=0,0,Simulador!$N$13*$J$2))</f>
        <v>#REF!</v>
      </c>
      <c r="M117" s="167" t="e">
        <f>IF(B117="","",IF(F117=0,0,IF(Simulador!$F$11='Tabla Parámetros'!$W$1,'Tabla Parámetros'!$W$28,IF(Simulador!$F$11='Tabla Parámetros'!$Y$1,'Tabla Parámetros'!$Y$12))))</f>
        <v>#REF!</v>
      </c>
      <c r="N117" s="167" t="e">
        <f>IF(B117="","",IF(F117=0,0,IF(Simulador!$N$7='Tabla Parámetros'!$C$31,AportPat!L103,0)))</f>
        <v>#REF!</v>
      </c>
      <c r="O117" s="167" t="e">
        <f>Simulador!#REF!</f>
        <v>#REF!</v>
      </c>
      <c r="P117" s="167" t="e">
        <f t="shared" si="30"/>
        <v>#REF!</v>
      </c>
      <c r="Q117" s="167" t="e">
        <f t="shared" si="31"/>
        <v>#REF!</v>
      </c>
      <c r="T117" s="6"/>
      <c r="U117" s="6"/>
      <c r="V117" s="6"/>
      <c r="W117" s="29" t="e">
        <f t="shared" si="24"/>
        <v>#REF!</v>
      </c>
      <c r="Y117" s="201" t="e">
        <f t="shared" si="25"/>
        <v>#REF!</v>
      </c>
      <c r="Z117" s="201" t="e">
        <f t="shared" si="32"/>
        <v>#REF!</v>
      </c>
      <c r="AA117" s="202" t="e">
        <f t="shared" si="33"/>
        <v>#REF!</v>
      </c>
      <c r="AB117" s="201" t="e">
        <f t="shared" si="34"/>
        <v>#REF!</v>
      </c>
      <c r="AC117" s="201" t="e">
        <f t="shared" si="35"/>
        <v>#REF!</v>
      </c>
      <c r="AD117" s="201" t="e">
        <f t="shared" si="41"/>
        <v>#REF!</v>
      </c>
      <c r="AE117" s="201" t="e">
        <f t="shared" si="36"/>
        <v>#REF!</v>
      </c>
      <c r="AF117" s="201" t="e">
        <f t="shared" si="37"/>
        <v>#REF!</v>
      </c>
      <c r="AG117" s="201" t="e">
        <f t="shared" si="42"/>
        <v>#REF!</v>
      </c>
    </row>
    <row r="118" spans="2:33" x14ac:dyDescent="0.3">
      <c r="B118" s="181">
        <f t="shared" si="26"/>
        <v>101</v>
      </c>
      <c r="C118" s="180">
        <f t="shared" si="38"/>
        <v>30.4</v>
      </c>
      <c r="D118" s="165">
        <f>IF(B118="","",Simulador!$F$62)</f>
        <v>0.11</v>
      </c>
      <c r="E118" s="167"/>
      <c r="F118" s="167" t="e">
        <f t="shared" si="39"/>
        <v>#REF!</v>
      </c>
      <c r="G118" s="166"/>
      <c r="H118" s="167" t="e">
        <f t="shared" si="27"/>
        <v>#REF!</v>
      </c>
      <c r="I118" s="167" t="e">
        <f t="shared" si="28"/>
        <v>#REF!</v>
      </c>
      <c r="J118" s="167" t="e">
        <f t="shared" si="29"/>
        <v>#REF!</v>
      </c>
      <c r="K118" s="167" t="e">
        <f t="shared" si="40"/>
        <v>#REF!</v>
      </c>
      <c r="L118" s="167" t="e">
        <f>IF(B118="","",IF(F118=0,0,Simulador!$N$13*$J$2))</f>
        <v>#REF!</v>
      </c>
      <c r="M118" s="167" t="e">
        <f>IF(B118="","",IF(F118=0,0,IF(Simulador!$F$11='Tabla Parámetros'!$W$1,'Tabla Parámetros'!$W$28,IF(Simulador!$F$11='Tabla Parámetros'!$Y$1,'Tabla Parámetros'!$Y$12))))</f>
        <v>#REF!</v>
      </c>
      <c r="N118" s="167" t="e">
        <f>IF(B118="","",IF(F118=0,0,IF(Simulador!$N$7='Tabla Parámetros'!$C$31,AportPat!L104,0)))</f>
        <v>#REF!</v>
      </c>
      <c r="O118" s="167" t="e">
        <f>Simulador!#REF!</f>
        <v>#REF!</v>
      </c>
      <c r="P118" s="167" t="e">
        <f t="shared" si="30"/>
        <v>#REF!</v>
      </c>
      <c r="Q118" s="167" t="e">
        <f t="shared" si="31"/>
        <v>#REF!</v>
      </c>
      <c r="T118" s="6"/>
      <c r="U118" s="6"/>
      <c r="V118" s="6"/>
      <c r="W118" s="29" t="e">
        <f t="shared" si="24"/>
        <v>#REF!</v>
      </c>
      <c r="Y118" s="201" t="e">
        <f t="shared" si="25"/>
        <v>#REF!</v>
      </c>
      <c r="Z118" s="201" t="e">
        <f t="shared" si="32"/>
        <v>#REF!</v>
      </c>
      <c r="AA118" s="202" t="e">
        <f t="shared" si="33"/>
        <v>#REF!</v>
      </c>
      <c r="AB118" s="201" t="e">
        <f t="shared" si="34"/>
        <v>#REF!</v>
      </c>
      <c r="AC118" s="201" t="e">
        <f t="shared" si="35"/>
        <v>#REF!</v>
      </c>
      <c r="AD118" s="201" t="e">
        <f t="shared" si="41"/>
        <v>#REF!</v>
      </c>
      <c r="AE118" s="201" t="e">
        <f t="shared" si="36"/>
        <v>#REF!</v>
      </c>
      <c r="AF118" s="201" t="e">
        <f t="shared" si="37"/>
        <v>#REF!</v>
      </c>
      <c r="AG118" s="201" t="e">
        <f t="shared" si="42"/>
        <v>#REF!</v>
      </c>
    </row>
    <row r="119" spans="2:33" x14ac:dyDescent="0.3">
      <c r="B119" s="179">
        <f t="shared" si="26"/>
        <v>102</v>
      </c>
      <c r="C119" s="180">
        <f t="shared" si="38"/>
        <v>30.4</v>
      </c>
      <c r="D119" s="165">
        <f>IF(B119="","",Simulador!$F$62)</f>
        <v>0.11</v>
      </c>
      <c r="E119" s="167"/>
      <c r="F119" s="167" t="e">
        <f t="shared" si="39"/>
        <v>#REF!</v>
      </c>
      <c r="G119" s="166"/>
      <c r="H119" s="167" t="e">
        <f t="shared" si="27"/>
        <v>#REF!</v>
      </c>
      <c r="I119" s="167" t="e">
        <f t="shared" si="28"/>
        <v>#REF!</v>
      </c>
      <c r="J119" s="167" t="e">
        <f t="shared" si="29"/>
        <v>#REF!</v>
      </c>
      <c r="K119" s="167" t="e">
        <f t="shared" si="40"/>
        <v>#REF!</v>
      </c>
      <c r="L119" s="167" t="e">
        <f>IF(B119="","",IF(F119=0,0,Simulador!$N$13*$J$2))</f>
        <v>#REF!</v>
      </c>
      <c r="M119" s="167" t="e">
        <f>IF(B119="","",IF(F119=0,0,IF(Simulador!$F$11='Tabla Parámetros'!$W$1,'Tabla Parámetros'!$W$28,IF(Simulador!$F$11='Tabla Parámetros'!$Y$1,'Tabla Parámetros'!$Y$12))))</f>
        <v>#REF!</v>
      </c>
      <c r="N119" s="167" t="e">
        <f>IF(B119="","",IF(F119=0,0,IF(Simulador!$N$7='Tabla Parámetros'!$C$31,AportPat!L105,0)))</f>
        <v>#REF!</v>
      </c>
      <c r="O119" s="167" t="e">
        <f>Simulador!#REF!</f>
        <v>#REF!</v>
      </c>
      <c r="P119" s="167" t="e">
        <f t="shared" si="30"/>
        <v>#REF!</v>
      </c>
      <c r="Q119" s="167" t="e">
        <f t="shared" si="31"/>
        <v>#REF!</v>
      </c>
      <c r="T119" s="6"/>
      <c r="U119" s="6"/>
      <c r="V119" s="6"/>
      <c r="W119" s="29" t="e">
        <f t="shared" si="24"/>
        <v>#REF!</v>
      </c>
      <c r="Y119" s="201" t="e">
        <f t="shared" si="25"/>
        <v>#REF!</v>
      </c>
      <c r="Z119" s="201" t="e">
        <f t="shared" si="32"/>
        <v>#REF!</v>
      </c>
      <c r="AA119" s="202" t="e">
        <f t="shared" si="33"/>
        <v>#REF!</v>
      </c>
      <c r="AB119" s="201" t="e">
        <f t="shared" si="34"/>
        <v>#REF!</v>
      </c>
      <c r="AC119" s="201" t="e">
        <f t="shared" si="35"/>
        <v>#REF!</v>
      </c>
      <c r="AD119" s="201" t="e">
        <f t="shared" si="41"/>
        <v>#REF!</v>
      </c>
      <c r="AE119" s="201" t="e">
        <f t="shared" si="36"/>
        <v>#REF!</v>
      </c>
      <c r="AF119" s="201" t="e">
        <f t="shared" si="37"/>
        <v>#REF!</v>
      </c>
      <c r="AG119" s="201" t="e">
        <f t="shared" si="42"/>
        <v>#REF!</v>
      </c>
    </row>
    <row r="120" spans="2:33" x14ac:dyDescent="0.3">
      <c r="B120" s="179">
        <f t="shared" si="26"/>
        <v>103</v>
      </c>
      <c r="C120" s="180">
        <f t="shared" si="38"/>
        <v>30.4</v>
      </c>
      <c r="D120" s="165">
        <f>IF(B120="","",Simulador!$F$62)</f>
        <v>0.11</v>
      </c>
      <c r="E120" s="167"/>
      <c r="F120" s="167" t="e">
        <f t="shared" si="39"/>
        <v>#REF!</v>
      </c>
      <c r="G120" s="166"/>
      <c r="H120" s="167" t="e">
        <f t="shared" si="27"/>
        <v>#REF!</v>
      </c>
      <c r="I120" s="167" t="e">
        <f t="shared" si="28"/>
        <v>#REF!</v>
      </c>
      <c r="J120" s="167" t="e">
        <f t="shared" si="29"/>
        <v>#REF!</v>
      </c>
      <c r="K120" s="167" t="e">
        <f t="shared" si="40"/>
        <v>#REF!</v>
      </c>
      <c r="L120" s="167" t="e">
        <f>IF(B120="","",IF(F120=0,0,Simulador!$N$13*$J$2))</f>
        <v>#REF!</v>
      </c>
      <c r="M120" s="167" t="e">
        <f>IF(B120="","",IF(F120=0,0,IF(Simulador!$F$11='Tabla Parámetros'!$W$1,'Tabla Parámetros'!$W$28,IF(Simulador!$F$11='Tabla Parámetros'!$Y$1,'Tabla Parámetros'!$Y$12))))</f>
        <v>#REF!</v>
      </c>
      <c r="N120" s="167" t="e">
        <f>IF(B120="","",IF(F120=0,0,IF(Simulador!$N$7='Tabla Parámetros'!$C$31,AportPat!L106,0)))</f>
        <v>#REF!</v>
      </c>
      <c r="O120" s="167" t="e">
        <f>Simulador!#REF!</f>
        <v>#REF!</v>
      </c>
      <c r="P120" s="167" t="e">
        <f t="shared" si="30"/>
        <v>#REF!</v>
      </c>
      <c r="Q120" s="167" t="e">
        <f t="shared" si="31"/>
        <v>#REF!</v>
      </c>
      <c r="T120" s="6"/>
      <c r="U120" s="6"/>
      <c r="V120" s="6"/>
      <c r="W120" s="29" t="e">
        <f t="shared" si="24"/>
        <v>#REF!</v>
      </c>
      <c r="Y120" s="201" t="e">
        <f t="shared" si="25"/>
        <v>#REF!</v>
      </c>
      <c r="Z120" s="201" t="e">
        <f t="shared" si="32"/>
        <v>#REF!</v>
      </c>
      <c r="AA120" s="202" t="e">
        <f t="shared" si="33"/>
        <v>#REF!</v>
      </c>
      <c r="AB120" s="201" t="e">
        <f t="shared" si="34"/>
        <v>#REF!</v>
      </c>
      <c r="AC120" s="201" t="e">
        <f t="shared" si="35"/>
        <v>#REF!</v>
      </c>
      <c r="AD120" s="201" t="e">
        <f t="shared" si="41"/>
        <v>#REF!</v>
      </c>
      <c r="AE120" s="201" t="e">
        <f t="shared" si="36"/>
        <v>#REF!</v>
      </c>
      <c r="AF120" s="201" t="e">
        <f t="shared" si="37"/>
        <v>#REF!</v>
      </c>
      <c r="AG120" s="201" t="e">
        <f t="shared" si="42"/>
        <v>#REF!</v>
      </c>
    </row>
    <row r="121" spans="2:33" x14ac:dyDescent="0.3">
      <c r="B121" s="179">
        <f t="shared" si="26"/>
        <v>104</v>
      </c>
      <c r="C121" s="180">
        <f t="shared" si="38"/>
        <v>30.4</v>
      </c>
      <c r="D121" s="165">
        <f>IF(B121="","",Simulador!$F$62)</f>
        <v>0.11</v>
      </c>
      <c r="E121" s="167"/>
      <c r="F121" s="167" t="e">
        <f t="shared" si="39"/>
        <v>#REF!</v>
      </c>
      <c r="G121" s="166"/>
      <c r="H121" s="167" t="e">
        <f t="shared" si="27"/>
        <v>#REF!</v>
      </c>
      <c r="I121" s="167" t="e">
        <f t="shared" si="28"/>
        <v>#REF!</v>
      </c>
      <c r="J121" s="167" t="e">
        <f t="shared" si="29"/>
        <v>#REF!</v>
      </c>
      <c r="K121" s="167" t="e">
        <f t="shared" si="40"/>
        <v>#REF!</v>
      </c>
      <c r="L121" s="167" t="e">
        <f>IF(B121="","",IF(F121=0,0,Simulador!$N$13*$J$2))</f>
        <v>#REF!</v>
      </c>
      <c r="M121" s="167" t="e">
        <f>IF(B121="","",IF(F121=0,0,IF(Simulador!$F$11='Tabla Parámetros'!$W$1,'Tabla Parámetros'!$W$28,IF(Simulador!$F$11='Tabla Parámetros'!$Y$1,'Tabla Parámetros'!$Y$12))))</f>
        <v>#REF!</v>
      </c>
      <c r="N121" s="167" t="e">
        <f>IF(B121="","",IF(F121=0,0,IF(Simulador!$N$7='Tabla Parámetros'!$C$31,AportPat!L107,0)))</f>
        <v>#REF!</v>
      </c>
      <c r="O121" s="167" t="e">
        <f>Simulador!#REF!</f>
        <v>#REF!</v>
      </c>
      <c r="P121" s="167" t="e">
        <f t="shared" si="30"/>
        <v>#REF!</v>
      </c>
      <c r="Q121" s="167" t="e">
        <f t="shared" si="31"/>
        <v>#REF!</v>
      </c>
      <c r="T121" s="6"/>
      <c r="U121" s="6"/>
      <c r="V121" s="6"/>
      <c r="W121" s="29" t="e">
        <f t="shared" si="24"/>
        <v>#REF!</v>
      </c>
      <c r="Y121" s="201" t="e">
        <f t="shared" si="25"/>
        <v>#REF!</v>
      </c>
      <c r="Z121" s="201" t="e">
        <f t="shared" si="32"/>
        <v>#REF!</v>
      </c>
      <c r="AA121" s="202" t="e">
        <f t="shared" si="33"/>
        <v>#REF!</v>
      </c>
      <c r="AB121" s="201" t="e">
        <f t="shared" si="34"/>
        <v>#REF!</v>
      </c>
      <c r="AC121" s="201" t="e">
        <f t="shared" si="35"/>
        <v>#REF!</v>
      </c>
      <c r="AD121" s="201" t="e">
        <f t="shared" si="41"/>
        <v>#REF!</v>
      </c>
      <c r="AE121" s="201" t="e">
        <f t="shared" si="36"/>
        <v>#REF!</v>
      </c>
      <c r="AF121" s="201" t="e">
        <f t="shared" si="37"/>
        <v>#REF!</v>
      </c>
      <c r="AG121" s="201" t="e">
        <f t="shared" si="42"/>
        <v>#REF!</v>
      </c>
    </row>
    <row r="122" spans="2:33" x14ac:dyDescent="0.3">
      <c r="B122" s="181">
        <f t="shared" si="26"/>
        <v>105</v>
      </c>
      <c r="C122" s="180">
        <f t="shared" si="38"/>
        <v>30.4</v>
      </c>
      <c r="D122" s="165">
        <f>IF(B122="","",Simulador!$F$62)</f>
        <v>0.11</v>
      </c>
      <c r="E122" s="167"/>
      <c r="F122" s="167" t="e">
        <f t="shared" si="39"/>
        <v>#REF!</v>
      </c>
      <c r="G122" s="166"/>
      <c r="H122" s="167" t="e">
        <f t="shared" si="27"/>
        <v>#REF!</v>
      </c>
      <c r="I122" s="167" t="e">
        <f t="shared" si="28"/>
        <v>#REF!</v>
      </c>
      <c r="J122" s="167" t="e">
        <f t="shared" si="29"/>
        <v>#REF!</v>
      </c>
      <c r="K122" s="167" t="e">
        <f t="shared" si="40"/>
        <v>#REF!</v>
      </c>
      <c r="L122" s="167" t="e">
        <f>IF(B122="","",IF(F122=0,0,Simulador!$N$13*$J$2))</f>
        <v>#REF!</v>
      </c>
      <c r="M122" s="167" t="e">
        <f>IF(B122="","",IF(F122=0,0,IF(Simulador!$F$11='Tabla Parámetros'!$W$1,'Tabla Parámetros'!$W$28,IF(Simulador!$F$11='Tabla Parámetros'!$Y$1,'Tabla Parámetros'!$Y$12))))</f>
        <v>#REF!</v>
      </c>
      <c r="N122" s="167" t="e">
        <f>IF(B122="","",IF(F122=0,0,IF(Simulador!$N$7='Tabla Parámetros'!$C$31,AportPat!L108,0)))</f>
        <v>#REF!</v>
      </c>
      <c r="O122" s="167" t="e">
        <f>Simulador!#REF!</f>
        <v>#REF!</v>
      </c>
      <c r="P122" s="167" t="e">
        <f t="shared" si="30"/>
        <v>#REF!</v>
      </c>
      <c r="Q122" s="167" t="e">
        <f t="shared" si="31"/>
        <v>#REF!</v>
      </c>
      <c r="T122" s="6"/>
      <c r="U122" s="6"/>
      <c r="V122" s="6"/>
      <c r="W122" s="29" t="e">
        <f t="shared" si="24"/>
        <v>#REF!</v>
      </c>
      <c r="Y122" s="201" t="e">
        <f t="shared" si="25"/>
        <v>#REF!</v>
      </c>
      <c r="Z122" s="201" t="e">
        <f t="shared" si="32"/>
        <v>#REF!</v>
      </c>
      <c r="AA122" s="202" t="e">
        <f t="shared" si="33"/>
        <v>#REF!</v>
      </c>
      <c r="AB122" s="201" t="e">
        <f t="shared" si="34"/>
        <v>#REF!</v>
      </c>
      <c r="AC122" s="201" t="e">
        <f t="shared" si="35"/>
        <v>#REF!</v>
      </c>
      <c r="AD122" s="201" t="e">
        <f t="shared" si="41"/>
        <v>#REF!</v>
      </c>
      <c r="AE122" s="201" t="e">
        <f t="shared" si="36"/>
        <v>#REF!</v>
      </c>
      <c r="AF122" s="201" t="e">
        <f t="shared" si="37"/>
        <v>#REF!</v>
      </c>
      <c r="AG122" s="201" t="e">
        <f t="shared" si="42"/>
        <v>#REF!</v>
      </c>
    </row>
    <row r="123" spans="2:33" x14ac:dyDescent="0.3">
      <c r="B123" s="179">
        <f t="shared" si="26"/>
        <v>106</v>
      </c>
      <c r="C123" s="180">
        <f t="shared" si="38"/>
        <v>30.4</v>
      </c>
      <c r="D123" s="165">
        <f>IF(B123="","",Simulador!$F$62)</f>
        <v>0.11</v>
      </c>
      <c r="E123" s="167"/>
      <c r="F123" s="167" t="e">
        <f t="shared" si="39"/>
        <v>#REF!</v>
      </c>
      <c r="G123" s="166"/>
      <c r="H123" s="167" t="e">
        <f t="shared" si="27"/>
        <v>#REF!</v>
      </c>
      <c r="I123" s="167" t="e">
        <f t="shared" si="28"/>
        <v>#REF!</v>
      </c>
      <c r="J123" s="167" t="e">
        <f t="shared" si="29"/>
        <v>#REF!</v>
      </c>
      <c r="K123" s="167" t="e">
        <f t="shared" si="40"/>
        <v>#REF!</v>
      </c>
      <c r="L123" s="167" t="e">
        <f>IF(B123="","",IF(F123=0,0,Simulador!$N$13*$J$2))</f>
        <v>#REF!</v>
      </c>
      <c r="M123" s="167" t="e">
        <f>IF(B123="","",IF(F123=0,0,IF(Simulador!$F$11='Tabla Parámetros'!$W$1,'Tabla Parámetros'!$W$28,IF(Simulador!$F$11='Tabla Parámetros'!$Y$1,'Tabla Parámetros'!$Y$12))))</f>
        <v>#REF!</v>
      </c>
      <c r="N123" s="167" t="e">
        <f>IF(B123="","",IF(F123=0,0,IF(Simulador!$N$7='Tabla Parámetros'!$C$31,AportPat!L109,0)))</f>
        <v>#REF!</v>
      </c>
      <c r="O123" s="167" t="e">
        <f>Simulador!#REF!</f>
        <v>#REF!</v>
      </c>
      <c r="P123" s="167" t="e">
        <f t="shared" si="30"/>
        <v>#REF!</v>
      </c>
      <c r="Q123" s="167" t="e">
        <f t="shared" si="31"/>
        <v>#REF!</v>
      </c>
      <c r="T123" s="6"/>
      <c r="U123" s="6"/>
      <c r="V123" s="6"/>
      <c r="W123" s="29" t="e">
        <f t="shared" si="24"/>
        <v>#REF!</v>
      </c>
      <c r="Y123" s="201" t="e">
        <f t="shared" si="25"/>
        <v>#REF!</v>
      </c>
      <c r="Z123" s="201" t="e">
        <f t="shared" si="32"/>
        <v>#REF!</v>
      </c>
      <c r="AA123" s="202" t="e">
        <f t="shared" si="33"/>
        <v>#REF!</v>
      </c>
      <c r="AB123" s="201" t="e">
        <f t="shared" si="34"/>
        <v>#REF!</v>
      </c>
      <c r="AC123" s="201" t="e">
        <f t="shared" si="35"/>
        <v>#REF!</v>
      </c>
      <c r="AD123" s="201" t="e">
        <f t="shared" si="41"/>
        <v>#REF!</v>
      </c>
      <c r="AE123" s="201" t="e">
        <f t="shared" si="36"/>
        <v>#REF!</v>
      </c>
      <c r="AF123" s="201" t="e">
        <f t="shared" si="37"/>
        <v>#REF!</v>
      </c>
      <c r="AG123" s="201" t="e">
        <f t="shared" si="42"/>
        <v>#REF!</v>
      </c>
    </row>
    <row r="124" spans="2:33" x14ac:dyDescent="0.3">
      <c r="B124" s="179">
        <f t="shared" si="26"/>
        <v>107</v>
      </c>
      <c r="C124" s="180">
        <f t="shared" si="38"/>
        <v>30.4</v>
      </c>
      <c r="D124" s="165">
        <f>IF(B124="","",Simulador!$F$62)</f>
        <v>0.11</v>
      </c>
      <c r="E124" s="167"/>
      <c r="F124" s="167" t="e">
        <f t="shared" si="39"/>
        <v>#REF!</v>
      </c>
      <c r="G124" s="166"/>
      <c r="H124" s="167" t="e">
        <f t="shared" si="27"/>
        <v>#REF!</v>
      </c>
      <c r="I124" s="167" t="e">
        <f t="shared" si="28"/>
        <v>#REF!</v>
      </c>
      <c r="J124" s="167" t="e">
        <f t="shared" si="29"/>
        <v>#REF!</v>
      </c>
      <c r="K124" s="167" t="e">
        <f t="shared" si="40"/>
        <v>#REF!</v>
      </c>
      <c r="L124" s="167" t="e">
        <f>IF(B124="","",IF(F124=0,0,Simulador!$N$13*$J$2))</f>
        <v>#REF!</v>
      </c>
      <c r="M124" s="167" t="e">
        <f>IF(B124="","",IF(F124=0,0,IF(Simulador!$F$11='Tabla Parámetros'!$W$1,'Tabla Parámetros'!$W$28,IF(Simulador!$F$11='Tabla Parámetros'!$Y$1,'Tabla Parámetros'!$Y$12))))</f>
        <v>#REF!</v>
      </c>
      <c r="N124" s="167" t="e">
        <f>IF(B124="","",IF(F124=0,0,IF(Simulador!$N$7='Tabla Parámetros'!$C$31,AportPat!L110,0)))</f>
        <v>#REF!</v>
      </c>
      <c r="O124" s="167" t="e">
        <f>Simulador!#REF!</f>
        <v>#REF!</v>
      </c>
      <c r="P124" s="167" t="e">
        <f t="shared" si="30"/>
        <v>#REF!</v>
      </c>
      <c r="Q124" s="167" t="e">
        <f t="shared" si="31"/>
        <v>#REF!</v>
      </c>
      <c r="T124" s="6"/>
      <c r="U124" s="6"/>
      <c r="V124" s="6"/>
      <c r="W124" s="29" t="e">
        <f t="shared" si="24"/>
        <v>#REF!</v>
      </c>
      <c r="Y124" s="201" t="e">
        <f t="shared" si="25"/>
        <v>#REF!</v>
      </c>
      <c r="Z124" s="201" t="e">
        <f t="shared" si="32"/>
        <v>#REF!</v>
      </c>
      <c r="AA124" s="202" t="e">
        <f t="shared" si="33"/>
        <v>#REF!</v>
      </c>
      <c r="AB124" s="201" t="e">
        <f t="shared" si="34"/>
        <v>#REF!</v>
      </c>
      <c r="AC124" s="201" t="e">
        <f t="shared" si="35"/>
        <v>#REF!</v>
      </c>
      <c r="AD124" s="201" t="e">
        <f t="shared" si="41"/>
        <v>#REF!</v>
      </c>
      <c r="AE124" s="201" t="e">
        <f t="shared" si="36"/>
        <v>#REF!</v>
      </c>
      <c r="AF124" s="201" t="e">
        <f t="shared" si="37"/>
        <v>#REF!</v>
      </c>
      <c r="AG124" s="201" t="e">
        <f t="shared" si="42"/>
        <v>#REF!</v>
      </c>
    </row>
    <row r="125" spans="2:33" x14ac:dyDescent="0.3">
      <c r="B125" s="179">
        <f t="shared" si="26"/>
        <v>108</v>
      </c>
      <c r="C125" s="180">
        <f t="shared" si="38"/>
        <v>30.4</v>
      </c>
      <c r="D125" s="165">
        <f>IF(B125="","",Simulador!$F$62)</f>
        <v>0.11</v>
      </c>
      <c r="E125" s="167"/>
      <c r="F125" s="167" t="e">
        <f t="shared" si="39"/>
        <v>#REF!</v>
      </c>
      <c r="G125" s="166"/>
      <c r="H125" s="167" t="e">
        <f t="shared" si="27"/>
        <v>#REF!</v>
      </c>
      <c r="I125" s="167" t="e">
        <f t="shared" si="28"/>
        <v>#REF!</v>
      </c>
      <c r="J125" s="167" t="e">
        <f t="shared" si="29"/>
        <v>#REF!</v>
      </c>
      <c r="K125" s="167" t="e">
        <f t="shared" si="40"/>
        <v>#REF!</v>
      </c>
      <c r="L125" s="167" t="e">
        <f>IF(B125="","",IF(F125=0,0,Simulador!$N$13*$J$2))</f>
        <v>#REF!</v>
      </c>
      <c r="M125" s="167" t="e">
        <f>IF(B125="","",IF(F125=0,0,IF(Simulador!$F$11='Tabla Parámetros'!$W$1,'Tabla Parámetros'!$W$28,IF(Simulador!$F$11='Tabla Parámetros'!$Y$1,'Tabla Parámetros'!$Y$12))))</f>
        <v>#REF!</v>
      </c>
      <c r="N125" s="167" t="e">
        <f>IF(B125="","",IF(F125=0,0,IF(Simulador!$N$7='Tabla Parámetros'!$C$31,AportPat!L111,0)))</f>
        <v>#REF!</v>
      </c>
      <c r="O125" s="167" t="e">
        <f>Simulador!#REF!</f>
        <v>#REF!</v>
      </c>
      <c r="P125" s="167" t="e">
        <f t="shared" si="30"/>
        <v>#REF!</v>
      </c>
      <c r="Q125" s="167" t="e">
        <f t="shared" si="31"/>
        <v>#REF!</v>
      </c>
      <c r="T125" s="6"/>
      <c r="U125" s="6"/>
      <c r="V125" s="6"/>
      <c r="W125" s="29" t="e">
        <f t="shared" si="24"/>
        <v>#REF!</v>
      </c>
      <c r="Y125" s="201" t="e">
        <f t="shared" si="25"/>
        <v>#REF!</v>
      </c>
      <c r="Z125" s="201" t="e">
        <f t="shared" si="32"/>
        <v>#REF!</v>
      </c>
      <c r="AA125" s="202" t="e">
        <f t="shared" si="33"/>
        <v>#REF!</v>
      </c>
      <c r="AB125" s="201" t="e">
        <f t="shared" si="34"/>
        <v>#REF!</v>
      </c>
      <c r="AC125" s="201" t="e">
        <f t="shared" si="35"/>
        <v>#REF!</v>
      </c>
      <c r="AD125" s="201" t="e">
        <f t="shared" si="41"/>
        <v>#REF!</v>
      </c>
      <c r="AE125" s="201" t="e">
        <f t="shared" si="36"/>
        <v>#REF!</v>
      </c>
      <c r="AF125" s="201" t="e">
        <f t="shared" si="37"/>
        <v>#REF!</v>
      </c>
      <c r="AG125" s="201" t="e">
        <f t="shared" si="42"/>
        <v>#REF!</v>
      </c>
    </row>
    <row r="126" spans="2:33" x14ac:dyDescent="0.3">
      <c r="B126" s="181">
        <f t="shared" si="26"/>
        <v>109</v>
      </c>
      <c r="C126" s="180">
        <f t="shared" si="38"/>
        <v>30.4</v>
      </c>
      <c r="D126" s="165">
        <f>IF(B126="","",Simulador!$F$62)</f>
        <v>0.11</v>
      </c>
      <c r="E126" s="167"/>
      <c r="F126" s="167" t="e">
        <f t="shared" si="39"/>
        <v>#REF!</v>
      </c>
      <c r="G126" s="166"/>
      <c r="H126" s="167" t="e">
        <f t="shared" si="27"/>
        <v>#REF!</v>
      </c>
      <c r="I126" s="167" t="e">
        <f t="shared" si="28"/>
        <v>#REF!</v>
      </c>
      <c r="J126" s="167" t="e">
        <f t="shared" si="29"/>
        <v>#REF!</v>
      </c>
      <c r="K126" s="167" t="e">
        <f t="shared" si="40"/>
        <v>#REF!</v>
      </c>
      <c r="L126" s="167" t="e">
        <f>IF(B126="","",IF(F126=0,0,Simulador!$N$13*$J$2))</f>
        <v>#REF!</v>
      </c>
      <c r="M126" s="167" t="e">
        <f>IF(B126="","",IF(F126=0,0,IF(Simulador!$F$11='Tabla Parámetros'!$W$1,'Tabla Parámetros'!$W$28,IF(Simulador!$F$11='Tabla Parámetros'!$Y$1,'Tabla Parámetros'!$Y$12))))</f>
        <v>#REF!</v>
      </c>
      <c r="N126" s="167" t="e">
        <f>IF(B126="","",IF(F126=0,0,IF(Simulador!$N$7='Tabla Parámetros'!$C$31,AportPat!L112,0)))</f>
        <v>#REF!</v>
      </c>
      <c r="O126" s="167" t="e">
        <f>Simulador!#REF!</f>
        <v>#REF!</v>
      </c>
      <c r="P126" s="167" t="e">
        <f t="shared" si="30"/>
        <v>#REF!</v>
      </c>
      <c r="Q126" s="167" t="e">
        <f t="shared" si="31"/>
        <v>#REF!</v>
      </c>
      <c r="T126" s="6"/>
      <c r="U126" s="6"/>
      <c r="V126" s="6"/>
      <c r="W126" s="29" t="e">
        <f t="shared" si="24"/>
        <v>#REF!</v>
      </c>
      <c r="Y126" s="201" t="e">
        <f t="shared" si="25"/>
        <v>#REF!</v>
      </c>
      <c r="Z126" s="201" t="e">
        <f t="shared" si="32"/>
        <v>#REF!</v>
      </c>
      <c r="AA126" s="202" t="e">
        <f t="shared" si="33"/>
        <v>#REF!</v>
      </c>
      <c r="AB126" s="201" t="e">
        <f t="shared" si="34"/>
        <v>#REF!</v>
      </c>
      <c r="AC126" s="201" t="e">
        <f t="shared" si="35"/>
        <v>#REF!</v>
      </c>
      <c r="AD126" s="201" t="e">
        <f t="shared" si="41"/>
        <v>#REF!</v>
      </c>
      <c r="AE126" s="201" t="e">
        <f t="shared" si="36"/>
        <v>#REF!</v>
      </c>
      <c r="AF126" s="201" t="e">
        <f t="shared" si="37"/>
        <v>#REF!</v>
      </c>
      <c r="AG126" s="201" t="e">
        <f t="shared" si="42"/>
        <v>#REF!</v>
      </c>
    </row>
    <row r="127" spans="2:33" x14ac:dyDescent="0.3">
      <c r="B127" s="179">
        <f t="shared" si="26"/>
        <v>110</v>
      </c>
      <c r="C127" s="180">
        <f t="shared" si="38"/>
        <v>30.4</v>
      </c>
      <c r="D127" s="165">
        <f>IF(B127="","",Simulador!$F$62)</f>
        <v>0.11</v>
      </c>
      <c r="E127" s="167"/>
      <c r="F127" s="167" t="e">
        <f t="shared" si="39"/>
        <v>#REF!</v>
      </c>
      <c r="G127" s="166"/>
      <c r="H127" s="167" t="e">
        <f t="shared" si="27"/>
        <v>#REF!</v>
      </c>
      <c r="I127" s="167" t="e">
        <f t="shared" si="28"/>
        <v>#REF!</v>
      </c>
      <c r="J127" s="167" t="e">
        <f t="shared" si="29"/>
        <v>#REF!</v>
      </c>
      <c r="K127" s="167" t="e">
        <f t="shared" si="40"/>
        <v>#REF!</v>
      </c>
      <c r="L127" s="167" t="e">
        <f>IF(B127="","",IF(F127=0,0,Simulador!$N$13*$J$2))</f>
        <v>#REF!</v>
      </c>
      <c r="M127" s="167" t="e">
        <f>IF(B127="","",IF(F127=0,0,IF(Simulador!$F$11='Tabla Parámetros'!$W$1,'Tabla Parámetros'!$W$28,IF(Simulador!$F$11='Tabla Parámetros'!$Y$1,'Tabla Parámetros'!$Y$12))))</f>
        <v>#REF!</v>
      </c>
      <c r="N127" s="167" t="e">
        <f>IF(B127="","",IF(F127=0,0,IF(Simulador!$N$7='Tabla Parámetros'!$C$31,AportPat!L113,0)))</f>
        <v>#REF!</v>
      </c>
      <c r="O127" s="167" t="e">
        <f>Simulador!#REF!</f>
        <v>#REF!</v>
      </c>
      <c r="P127" s="167" t="e">
        <f t="shared" si="30"/>
        <v>#REF!</v>
      </c>
      <c r="Q127" s="167" t="e">
        <f t="shared" si="31"/>
        <v>#REF!</v>
      </c>
      <c r="T127" s="6"/>
      <c r="U127" s="6"/>
      <c r="V127" s="6"/>
      <c r="W127" s="29" t="e">
        <f t="shared" si="24"/>
        <v>#REF!</v>
      </c>
      <c r="Y127" s="201" t="e">
        <f t="shared" si="25"/>
        <v>#REF!</v>
      </c>
      <c r="Z127" s="201" t="e">
        <f t="shared" si="32"/>
        <v>#REF!</v>
      </c>
      <c r="AA127" s="202" t="e">
        <f t="shared" si="33"/>
        <v>#REF!</v>
      </c>
      <c r="AB127" s="201" t="e">
        <f t="shared" si="34"/>
        <v>#REF!</v>
      </c>
      <c r="AC127" s="201" t="e">
        <f t="shared" si="35"/>
        <v>#REF!</v>
      </c>
      <c r="AD127" s="201" t="e">
        <f t="shared" si="41"/>
        <v>#REF!</v>
      </c>
      <c r="AE127" s="201" t="e">
        <f t="shared" si="36"/>
        <v>#REF!</v>
      </c>
      <c r="AF127" s="201" t="e">
        <f t="shared" si="37"/>
        <v>#REF!</v>
      </c>
      <c r="AG127" s="201" t="e">
        <f t="shared" si="42"/>
        <v>#REF!</v>
      </c>
    </row>
    <row r="128" spans="2:33" x14ac:dyDescent="0.3">
      <c r="B128" s="179">
        <f t="shared" si="26"/>
        <v>111</v>
      </c>
      <c r="C128" s="180">
        <f t="shared" si="38"/>
        <v>30.4</v>
      </c>
      <c r="D128" s="165">
        <f>IF(B128="","",Simulador!$F$62)</f>
        <v>0.11</v>
      </c>
      <c r="E128" s="167"/>
      <c r="F128" s="167" t="e">
        <f t="shared" si="39"/>
        <v>#REF!</v>
      </c>
      <c r="G128" s="166"/>
      <c r="H128" s="167" t="e">
        <f t="shared" si="27"/>
        <v>#REF!</v>
      </c>
      <c r="I128" s="167" t="e">
        <f t="shared" si="28"/>
        <v>#REF!</v>
      </c>
      <c r="J128" s="167" t="e">
        <f t="shared" si="29"/>
        <v>#REF!</v>
      </c>
      <c r="K128" s="167" t="e">
        <f t="shared" si="40"/>
        <v>#REF!</v>
      </c>
      <c r="L128" s="167" t="e">
        <f>IF(B128="","",IF(F128=0,0,Simulador!$N$13*$J$2))</f>
        <v>#REF!</v>
      </c>
      <c r="M128" s="167" t="e">
        <f>IF(B128="","",IF(F128=0,0,IF(Simulador!$F$11='Tabla Parámetros'!$W$1,'Tabla Parámetros'!$W$28,IF(Simulador!$F$11='Tabla Parámetros'!$Y$1,'Tabla Parámetros'!$Y$12))))</f>
        <v>#REF!</v>
      </c>
      <c r="N128" s="167" t="e">
        <f>IF(B128="","",IF(F128=0,0,IF(Simulador!$N$7='Tabla Parámetros'!$C$31,AportPat!L114,0)))</f>
        <v>#REF!</v>
      </c>
      <c r="O128" s="167" t="e">
        <f>Simulador!#REF!</f>
        <v>#REF!</v>
      </c>
      <c r="P128" s="167" t="e">
        <f t="shared" si="30"/>
        <v>#REF!</v>
      </c>
      <c r="Q128" s="167" t="e">
        <f t="shared" si="31"/>
        <v>#REF!</v>
      </c>
      <c r="T128" s="6"/>
      <c r="U128" s="6"/>
      <c r="V128" s="6"/>
      <c r="W128" s="29" t="e">
        <f t="shared" si="24"/>
        <v>#REF!</v>
      </c>
      <c r="Y128" s="201" t="e">
        <f t="shared" si="25"/>
        <v>#REF!</v>
      </c>
      <c r="Z128" s="201" t="e">
        <f t="shared" si="32"/>
        <v>#REF!</v>
      </c>
      <c r="AA128" s="202" t="e">
        <f t="shared" si="33"/>
        <v>#REF!</v>
      </c>
      <c r="AB128" s="201" t="e">
        <f t="shared" si="34"/>
        <v>#REF!</v>
      </c>
      <c r="AC128" s="201" t="e">
        <f t="shared" si="35"/>
        <v>#REF!</v>
      </c>
      <c r="AD128" s="201" t="e">
        <f t="shared" si="41"/>
        <v>#REF!</v>
      </c>
      <c r="AE128" s="201" t="e">
        <f t="shared" si="36"/>
        <v>#REF!</v>
      </c>
      <c r="AF128" s="201" t="e">
        <f t="shared" si="37"/>
        <v>#REF!</v>
      </c>
      <c r="AG128" s="201" t="e">
        <f t="shared" si="42"/>
        <v>#REF!</v>
      </c>
    </row>
    <row r="129" spans="2:33" x14ac:dyDescent="0.3">
      <c r="B129" s="179">
        <f t="shared" si="26"/>
        <v>112</v>
      </c>
      <c r="C129" s="180">
        <f t="shared" si="38"/>
        <v>30.4</v>
      </c>
      <c r="D129" s="165">
        <f>IF(B129="","",Simulador!$F$62)</f>
        <v>0.11</v>
      </c>
      <c r="E129" s="167"/>
      <c r="F129" s="167" t="e">
        <f t="shared" si="39"/>
        <v>#REF!</v>
      </c>
      <c r="G129" s="166"/>
      <c r="H129" s="167" t="e">
        <f t="shared" si="27"/>
        <v>#REF!</v>
      </c>
      <c r="I129" s="167" t="e">
        <f t="shared" si="28"/>
        <v>#REF!</v>
      </c>
      <c r="J129" s="167" t="e">
        <f t="shared" si="29"/>
        <v>#REF!</v>
      </c>
      <c r="K129" s="167" t="e">
        <f t="shared" si="40"/>
        <v>#REF!</v>
      </c>
      <c r="L129" s="167" t="e">
        <f>IF(B129="","",IF(F129=0,0,Simulador!$N$13*$J$2))</f>
        <v>#REF!</v>
      </c>
      <c r="M129" s="167" t="e">
        <f>IF(B129="","",IF(F129=0,0,IF(Simulador!$F$11='Tabla Parámetros'!$W$1,'Tabla Parámetros'!$W$28,IF(Simulador!$F$11='Tabla Parámetros'!$Y$1,'Tabla Parámetros'!$Y$12))))</f>
        <v>#REF!</v>
      </c>
      <c r="N129" s="167" t="e">
        <f>IF(B129="","",IF(F129=0,0,IF(Simulador!$N$7='Tabla Parámetros'!$C$31,AportPat!L115,0)))</f>
        <v>#REF!</v>
      </c>
      <c r="O129" s="167" t="e">
        <f>Simulador!#REF!</f>
        <v>#REF!</v>
      </c>
      <c r="P129" s="167" t="e">
        <f t="shared" si="30"/>
        <v>#REF!</v>
      </c>
      <c r="Q129" s="167" t="e">
        <f t="shared" si="31"/>
        <v>#REF!</v>
      </c>
      <c r="T129" s="6"/>
      <c r="U129" s="6"/>
      <c r="V129" s="6"/>
      <c r="W129" s="29" t="e">
        <f t="shared" si="24"/>
        <v>#REF!</v>
      </c>
      <c r="Y129" s="201" t="e">
        <f t="shared" si="25"/>
        <v>#REF!</v>
      </c>
      <c r="Z129" s="201" t="e">
        <f t="shared" si="32"/>
        <v>#REF!</v>
      </c>
      <c r="AA129" s="202" t="e">
        <f t="shared" si="33"/>
        <v>#REF!</v>
      </c>
      <c r="AB129" s="201" t="e">
        <f t="shared" si="34"/>
        <v>#REF!</v>
      </c>
      <c r="AC129" s="201" t="e">
        <f t="shared" si="35"/>
        <v>#REF!</v>
      </c>
      <c r="AD129" s="201" t="e">
        <f t="shared" si="41"/>
        <v>#REF!</v>
      </c>
      <c r="AE129" s="201" t="e">
        <f t="shared" si="36"/>
        <v>#REF!</v>
      </c>
      <c r="AF129" s="201" t="e">
        <f t="shared" si="37"/>
        <v>#REF!</v>
      </c>
      <c r="AG129" s="201" t="e">
        <f t="shared" si="42"/>
        <v>#REF!</v>
      </c>
    </row>
    <row r="130" spans="2:33" x14ac:dyDescent="0.3">
      <c r="B130" s="181">
        <f t="shared" si="26"/>
        <v>113</v>
      </c>
      <c r="C130" s="180">
        <f t="shared" si="38"/>
        <v>30.4</v>
      </c>
      <c r="D130" s="165">
        <f>IF(B130="","",Simulador!$F$62)</f>
        <v>0.11</v>
      </c>
      <c r="E130" s="167"/>
      <c r="F130" s="167" t="e">
        <f t="shared" si="39"/>
        <v>#REF!</v>
      </c>
      <c r="G130" s="166"/>
      <c r="H130" s="167" t="e">
        <f t="shared" si="27"/>
        <v>#REF!</v>
      </c>
      <c r="I130" s="167" t="e">
        <f t="shared" si="28"/>
        <v>#REF!</v>
      </c>
      <c r="J130" s="167" t="e">
        <f t="shared" si="29"/>
        <v>#REF!</v>
      </c>
      <c r="K130" s="167" t="e">
        <f t="shared" si="40"/>
        <v>#REF!</v>
      </c>
      <c r="L130" s="167" t="e">
        <f>IF(B130="","",IF(F130=0,0,Simulador!$N$13*$J$2))</f>
        <v>#REF!</v>
      </c>
      <c r="M130" s="167" t="e">
        <f>IF(B130="","",IF(F130=0,0,IF(Simulador!$F$11='Tabla Parámetros'!$W$1,'Tabla Parámetros'!$W$28,IF(Simulador!$F$11='Tabla Parámetros'!$Y$1,'Tabla Parámetros'!$Y$12))))</f>
        <v>#REF!</v>
      </c>
      <c r="N130" s="167" t="e">
        <f>IF(B130="","",IF(F130=0,0,IF(Simulador!$N$7='Tabla Parámetros'!$C$31,AportPat!L116,0)))</f>
        <v>#REF!</v>
      </c>
      <c r="O130" s="167" t="e">
        <f>Simulador!#REF!</f>
        <v>#REF!</v>
      </c>
      <c r="P130" s="167" t="e">
        <f t="shared" si="30"/>
        <v>#REF!</v>
      </c>
      <c r="Q130" s="167" t="e">
        <f t="shared" si="31"/>
        <v>#REF!</v>
      </c>
      <c r="T130" s="6"/>
      <c r="U130" s="6"/>
      <c r="V130" s="6"/>
      <c r="W130" s="29" t="e">
        <f t="shared" si="24"/>
        <v>#REF!</v>
      </c>
      <c r="Y130" s="201" t="e">
        <f t="shared" si="25"/>
        <v>#REF!</v>
      </c>
      <c r="Z130" s="201" t="e">
        <f t="shared" si="32"/>
        <v>#REF!</v>
      </c>
      <c r="AA130" s="202" t="e">
        <f t="shared" si="33"/>
        <v>#REF!</v>
      </c>
      <c r="AB130" s="201" t="e">
        <f t="shared" si="34"/>
        <v>#REF!</v>
      </c>
      <c r="AC130" s="201" t="e">
        <f t="shared" si="35"/>
        <v>#REF!</v>
      </c>
      <c r="AD130" s="201" t="e">
        <f t="shared" si="41"/>
        <v>#REF!</v>
      </c>
      <c r="AE130" s="201" t="e">
        <f t="shared" si="36"/>
        <v>#REF!</v>
      </c>
      <c r="AF130" s="201" t="e">
        <f t="shared" si="37"/>
        <v>#REF!</v>
      </c>
      <c r="AG130" s="201" t="e">
        <f t="shared" si="42"/>
        <v>#REF!</v>
      </c>
    </row>
    <row r="131" spans="2:33" x14ac:dyDescent="0.3">
      <c r="B131" s="179">
        <f t="shared" si="26"/>
        <v>114</v>
      </c>
      <c r="C131" s="180">
        <f t="shared" si="38"/>
        <v>30.4</v>
      </c>
      <c r="D131" s="165">
        <f>IF(B131="","",Simulador!$F$62)</f>
        <v>0.11</v>
      </c>
      <c r="E131" s="167"/>
      <c r="F131" s="167" t="e">
        <f t="shared" si="39"/>
        <v>#REF!</v>
      </c>
      <c r="G131" s="166"/>
      <c r="H131" s="167" t="e">
        <f t="shared" si="27"/>
        <v>#REF!</v>
      </c>
      <c r="I131" s="167" t="e">
        <f t="shared" si="28"/>
        <v>#REF!</v>
      </c>
      <c r="J131" s="167" t="e">
        <f t="shared" si="29"/>
        <v>#REF!</v>
      </c>
      <c r="K131" s="167" t="e">
        <f t="shared" si="40"/>
        <v>#REF!</v>
      </c>
      <c r="L131" s="167" t="e">
        <f>IF(B131="","",IF(F131=0,0,Simulador!$N$13*$J$2))</f>
        <v>#REF!</v>
      </c>
      <c r="M131" s="167" t="e">
        <f>IF(B131="","",IF(F131=0,0,IF(Simulador!$F$11='Tabla Parámetros'!$W$1,'Tabla Parámetros'!$W$28,IF(Simulador!$F$11='Tabla Parámetros'!$Y$1,'Tabla Parámetros'!$Y$12))))</f>
        <v>#REF!</v>
      </c>
      <c r="N131" s="167" t="e">
        <f>IF(B131="","",IF(F131=0,0,IF(Simulador!$N$7='Tabla Parámetros'!$C$31,AportPat!L117,0)))</f>
        <v>#REF!</v>
      </c>
      <c r="O131" s="167" t="e">
        <f>Simulador!#REF!</f>
        <v>#REF!</v>
      </c>
      <c r="P131" s="167" t="e">
        <f t="shared" si="30"/>
        <v>#REF!</v>
      </c>
      <c r="Q131" s="167" t="e">
        <f t="shared" si="31"/>
        <v>#REF!</v>
      </c>
      <c r="T131" s="6"/>
      <c r="U131" s="6"/>
      <c r="V131" s="6"/>
      <c r="W131" s="29" t="e">
        <f t="shared" si="24"/>
        <v>#REF!</v>
      </c>
      <c r="Y131" s="201" t="e">
        <f t="shared" si="25"/>
        <v>#REF!</v>
      </c>
      <c r="Z131" s="201" t="e">
        <f t="shared" si="32"/>
        <v>#REF!</v>
      </c>
      <c r="AA131" s="202" t="e">
        <f t="shared" si="33"/>
        <v>#REF!</v>
      </c>
      <c r="AB131" s="201" t="e">
        <f t="shared" si="34"/>
        <v>#REF!</v>
      </c>
      <c r="AC131" s="201" t="e">
        <f t="shared" si="35"/>
        <v>#REF!</v>
      </c>
      <c r="AD131" s="201" t="e">
        <f t="shared" si="41"/>
        <v>#REF!</v>
      </c>
      <c r="AE131" s="201" t="e">
        <f t="shared" si="36"/>
        <v>#REF!</v>
      </c>
      <c r="AF131" s="201" t="e">
        <f t="shared" si="37"/>
        <v>#REF!</v>
      </c>
      <c r="AG131" s="201" t="e">
        <f t="shared" si="42"/>
        <v>#REF!</v>
      </c>
    </row>
    <row r="132" spans="2:33" x14ac:dyDescent="0.3">
      <c r="B132" s="179">
        <f t="shared" si="26"/>
        <v>115</v>
      </c>
      <c r="C132" s="180">
        <f t="shared" si="38"/>
        <v>30.4</v>
      </c>
      <c r="D132" s="165">
        <f>IF(B132="","",Simulador!$F$62)</f>
        <v>0.11</v>
      </c>
      <c r="E132" s="167"/>
      <c r="F132" s="167" t="e">
        <f t="shared" si="39"/>
        <v>#REF!</v>
      </c>
      <c r="G132" s="166"/>
      <c r="H132" s="167" t="e">
        <f t="shared" si="27"/>
        <v>#REF!</v>
      </c>
      <c r="I132" s="167" t="e">
        <f t="shared" si="28"/>
        <v>#REF!</v>
      </c>
      <c r="J132" s="167" t="e">
        <f t="shared" si="29"/>
        <v>#REF!</v>
      </c>
      <c r="K132" s="167" t="e">
        <f t="shared" si="40"/>
        <v>#REF!</v>
      </c>
      <c r="L132" s="167" t="e">
        <f>IF(B132="","",IF(F132=0,0,Simulador!$N$13*$J$2))</f>
        <v>#REF!</v>
      </c>
      <c r="M132" s="167" t="e">
        <f>IF(B132="","",IF(F132=0,0,IF(Simulador!$F$11='Tabla Parámetros'!$W$1,'Tabla Parámetros'!$W$28,IF(Simulador!$F$11='Tabla Parámetros'!$Y$1,'Tabla Parámetros'!$Y$12))))</f>
        <v>#REF!</v>
      </c>
      <c r="N132" s="167" t="e">
        <f>IF(B132="","",IF(F132=0,0,IF(Simulador!$N$7='Tabla Parámetros'!$C$31,AportPat!L118,0)))</f>
        <v>#REF!</v>
      </c>
      <c r="O132" s="167" t="e">
        <f>Simulador!#REF!</f>
        <v>#REF!</v>
      </c>
      <c r="P132" s="167" t="e">
        <f t="shared" si="30"/>
        <v>#REF!</v>
      </c>
      <c r="Q132" s="167" t="e">
        <f t="shared" si="31"/>
        <v>#REF!</v>
      </c>
      <c r="T132" s="6"/>
      <c r="U132" s="6"/>
      <c r="V132" s="6"/>
      <c r="W132" s="29" t="e">
        <f t="shared" ref="W132:W195" si="43">P134</f>
        <v>#REF!</v>
      </c>
      <c r="Y132" s="201" t="e">
        <f t="shared" si="25"/>
        <v>#REF!</v>
      </c>
      <c r="Z132" s="201" t="e">
        <f t="shared" si="32"/>
        <v>#REF!</v>
      </c>
      <c r="AA132" s="202" t="e">
        <f t="shared" si="33"/>
        <v>#REF!</v>
      </c>
      <c r="AB132" s="201" t="e">
        <f t="shared" si="34"/>
        <v>#REF!</v>
      </c>
      <c r="AC132" s="201" t="e">
        <f t="shared" si="35"/>
        <v>#REF!</v>
      </c>
      <c r="AD132" s="201" t="e">
        <f t="shared" si="41"/>
        <v>#REF!</v>
      </c>
      <c r="AE132" s="201" t="e">
        <f t="shared" si="36"/>
        <v>#REF!</v>
      </c>
      <c r="AF132" s="201" t="e">
        <f t="shared" si="37"/>
        <v>#REF!</v>
      </c>
      <c r="AG132" s="201" t="e">
        <f t="shared" si="42"/>
        <v>#REF!</v>
      </c>
    </row>
    <row r="133" spans="2:33" x14ac:dyDescent="0.3">
      <c r="B133" s="179">
        <f t="shared" si="26"/>
        <v>116</v>
      </c>
      <c r="C133" s="180">
        <f t="shared" si="38"/>
        <v>30.4</v>
      </c>
      <c r="D133" s="165">
        <f>IF(B133="","",Simulador!$F$62)</f>
        <v>0.11</v>
      </c>
      <c r="E133" s="167"/>
      <c r="F133" s="167" t="e">
        <f t="shared" si="39"/>
        <v>#REF!</v>
      </c>
      <c r="G133" s="166"/>
      <c r="H133" s="167" t="e">
        <f t="shared" si="27"/>
        <v>#REF!</v>
      </c>
      <c r="I133" s="167" t="e">
        <f t="shared" si="28"/>
        <v>#REF!</v>
      </c>
      <c r="J133" s="167" t="e">
        <f t="shared" si="29"/>
        <v>#REF!</v>
      </c>
      <c r="K133" s="167" t="e">
        <f t="shared" si="40"/>
        <v>#REF!</v>
      </c>
      <c r="L133" s="167" t="e">
        <f>IF(B133="","",IF(F133=0,0,Simulador!$N$13*$J$2))</f>
        <v>#REF!</v>
      </c>
      <c r="M133" s="167" t="e">
        <f>IF(B133="","",IF(F133=0,0,IF(Simulador!$F$11='Tabla Parámetros'!$W$1,'Tabla Parámetros'!$W$28,IF(Simulador!$F$11='Tabla Parámetros'!$Y$1,'Tabla Parámetros'!$Y$12))))</f>
        <v>#REF!</v>
      </c>
      <c r="N133" s="167" t="e">
        <f>IF(B133="","",IF(F133=0,0,IF(Simulador!$N$7='Tabla Parámetros'!$C$31,AportPat!L119,0)))</f>
        <v>#REF!</v>
      </c>
      <c r="O133" s="167" t="e">
        <f>Simulador!#REF!</f>
        <v>#REF!</v>
      </c>
      <c r="P133" s="167" t="e">
        <f t="shared" si="30"/>
        <v>#REF!</v>
      </c>
      <c r="Q133" s="167" t="e">
        <f t="shared" si="31"/>
        <v>#REF!</v>
      </c>
      <c r="T133" s="6"/>
      <c r="U133" s="6"/>
      <c r="V133" s="6"/>
      <c r="W133" s="29" t="e">
        <f t="shared" si="43"/>
        <v>#REF!</v>
      </c>
      <c r="Y133" s="201" t="e">
        <f t="shared" si="25"/>
        <v>#REF!</v>
      </c>
      <c r="Z133" s="201" t="e">
        <f t="shared" si="32"/>
        <v>#REF!</v>
      </c>
      <c r="AA133" s="202" t="e">
        <f t="shared" si="33"/>
        <v>#REF!</v>
      </c>
      <c r="AB133" s="201" t="e">
        <f t="shared" si="34"/>
        <v>#REF!</v>
      </c>
      <c r="AC133" s="201" t="e">
        <f t="shared" si="35"/>
        <v>#REF!</v>
      </c>
      <c r="AD133" s="201" t="e">
        <f t="shared" si="41"/>
        <v>#REF!</v>
      </c>
      <c r="AE133" s="201" t="e">
        <f t="shared" si="36"/>
        <v>#REF!</v>
      </c>
      <c r="AF133" s="201" t="e">
        <f t="shared" si="37"/>
        <v>#REF!</v>
      </c>
      <c r="AG133" s="201" t="e">
        <f t="shared" si="42"/>
        <v>#REF!</v>
      </c>
    </row>
    <row r="134" spans="2:33" x14ac:dyDescent="0.3">
      <c r="B134" s="181">
        <f t="shared" si="26"/>
        <v>117</v>
      </c>
      <c r="C134" s="180">
        <f t="shared" si="38"/>
        <v>30.4</v>
      </c>
      <c r="D134" s="165">
        <f>IF(B134="","",Simulador!$F$62)</f>
        <v>0.11</v>
      </c>
      <c r="E134" s="167"/>
      <c r="F134" s="167" t="e">
        <f t="shared" si="39"/>
        <v>#REF!</v>
      </c>
      <c r="G134" s="166"/>
      <c r="H134" s="167" t="e">
        <f t="shared" si="27"/>
        <v>#REF!</v>
      </c>
      <c r="I134" s="167" t="e">
        <f t="shared" si="28"/>
        <v>#REF!</v>
      </c>
      <c r="J134" s="167" t="e">
        <f t="shared" si="29"/>
        <v>#REF!</v>
      </c>
      <c r="K134" s="167" t="e">
        <f t="shared" si="40"/>
        <v>#REF!</v>
      </c>
      <c r="L134" s="167" t="e">
        <f>IF(B134="","",IF(F134=0,0,Simulador!$N$13*$J$2))</f>
        <v>#REF!</v>
      </c>
      <c r="M134" s="167" t="e">
        <f>IF(B134="","",IF(F134=0,0,IF(Simulador!$F$11='Tabla Parámetros'!$W$1,'Tabla Parámetros'!$W$28,IF(Simulador!$F$11='Tabla Parámetros'!$Y$1,'Tabla Parámetros'!$Y$12))))</f>
        <v>#REF!</v>
      </c>
      <c r="N134" s="167" t="e">
        <f>IF(B134="","",IF(F134=0,0,IF(Simulador!$N$7='Tabla Parámetros'!$C$31,AportPat!L120,0)))</f>
        <v>#REF!</v>
      </c>
      <c r="O134" s="167" t="e">
        <f>Simulador!#REF!</f>
        <v>#REF!</v>
      </c>
      <c r="P134" s="167" t="e">
        <f t="shared" si="30"/>
        <v>#REF!</v>
      </c>
      <c r="Q134" s="167" t="e">
        <f t="shared" si="31"/>
        <v>#REF!</v>
      </c>
      <c r="T134" s="6"/>
      <c r="U134" s="6"/>
      <c r="V134" s="6"/>
      <c r="W134" s="29" t="e">
        <f t="shared" si="43"/>
        <v>#REF!</v>
      </c>
      <c r="Y134" s="201" t="e">
        <f t="shared" si="25"/>
        <v>#REF!</v>
      </c>
      <c r="Z134" s="201" t="e">
        <f t="shared" si="32"/>
        <v>#REF!</v>
      </c>
      <c r="AA134" s="202" t="e">
        <f t="shared" si="33"/>
        <v>#REF!</v>
      </c>
      <c r="AB134" s="201" t="e">
        <f t="shared" si="34"/>
        <v>#REF!</v>
      </c>
      <c r="AC134" s="201" t="e">
        <f t="shared" si="35"/>
        <v>#REF!</v>
      </c>
      <c r="AD134" s="201" t="e">
        <f t="shared" si="41"/>
        <v>#REF!</v>
      </c>
      <c r="AE134" s="201" t="e">
        <f t="shared" si="36"/>
        <v>#REF!</v>
      </c>
      <c r="AF134" s="201" t="e">
        <f t="shared" si="37"/>
        <v>#REF!</v>
      </c>
      <c r="AG134" s="201" t="e">
        <f t="shared" si="42"/>
        <v>#REF!</v>
      </c>
    </row>
    <row r="135" spans="2:33" x14ac:dyDescent="0.3">
      <c r="B135" s="179">
        <f t="shared" si="26"/>
        <v>118</v>
      </c>
      <c r="C135" s="180">
        <f t="shared" si="38"/>
        <v>30.4</v>
      </c>
      <c r="D135" s="165">
        <f>IF(B135="","",Simulador!$F$62)</f>
        <v>0.11</v>
      </c>
      <c r="E135" s="167"/>
      <c r="F135" s="167" t="e">
        <f t="shared" si="39"/>
        <v>#REF!</v>
      </c>
      <c r="G135" s="166"/>
      <c r="H135" s="167" t="e">
        <f t="shared" si="27"/>
        <v>#REF!</v>
      </c>
      <c r="I135" s="167" t="e">
        <f t="shared" si="28"/>
        <v>#REF!</v>
      </c>
      <c r="J135" s="167" t="e">
        <f t="shared" si="29"/>
        <v>#REF!</v>
      </c>
      <c r="K135" s="167" t="e">
        <f t="shared" si="40"/>
        <v>#REF!</v>
      </c>
      <c r="L135" s="167" t="e">
        <f>IF(B135="","",IF(F135=0,0,Simulador!$N$13*$J$2))</f>
        <v>#REF!</v>
      </c>
      <c r="M135" s="167" t="e">
        <f>IF(B135="","",IF(F135=0,0,IF(Simulador!$F$11='Tabla Parámetros'!$W$1,'Tabla Parámetros'!$W$28,IF(Simulador!$F$11='Tabla Parámetros'!$Y$1,'Tabla Parámetros'!$Y$12))))</f>
        <v>#REF!</v>
      </c>
      <c r="N135" s="167" t="e">
        <f>IF(B135="","",IF(F135=0,0,IF(Simulador!$N$7='Tabla Parámetros'!$C$31,AportPat!L121,0)))</f>
        <v>#REF!</v>
      </c>
      <c r="O135" s="167" t="e">
        <f>Simulador!#REF!</f>
        <v>#REF!</v>
      </c>
      <c r="P135" s="167" t="e">
        <f t="shared" si="30"/>
        <v>#REF!</v>
      </c>
      <c r="Q135" s="167" t="e">
        <f t="shared" si="31"/>
        <v>#REF!</v>
      </c>
      <c r="T135" s="6"/>
      <c r="U135" s="6"/>
      <c r="V135" s="6"/>
      <c r="W135" s="29" t="e">
        <f t="shared" si="43"/>
        <v>#REF!</v>
      </c>
      <c r="Y135" s="201" t="e">
        <f t="shared" si="25"/>
        <v>#REF!</v>
      </c>
      <c r="Z135" s="201" t="e">
        <f t="shared" si="32"/>
        <v>#REF!</v>
      </c>
      <c r="AA135" s="202" t="e">
        <f t="shared" si="33"/>
        <v>#REF!</v>
      </c>
      <c r="AB135" s="201" t="e">
        <f t="shared" si="34"/>
        <v>#REF!</v>
      </c>
      <c r="AC135" s="201" t="e">
        <f t="shared" si="35"/>
        <v>#REF!</v>
      </c>
      <c r="AD135" s="201" t="e">
        <f t="shared" si="41"/>
        <v>#REF!</v>
      </c>
      <c r="AE135" s="201" t="e">
        <f t="shared" si="36"/>
        <v>#REF!</v>
      </c>
      <c r="AF135" s="201" t="e">
        <f t="shared" si="37"/>
        <v>#REF!</v>
      </c>
      <c r="AG135" s="201" t="e">
        <f t="shared" si="42"/>
        <v>#REF!</v>
      </c>
    </row>
    <row r="136" spans="2:33" x14ac:dyDescent="0.3">
      <c r="B136" s="179">
        <f t="shared" si="26"/>
        <v>119</v>
      </c>
      <c r="C136" s="180">
        <f t="shared" si="38"/>
        <v>30.4</v>
      </c>
      <c r="D136" s="165">
        <f>IF(B136="","",Simulador!$F$62)</f>
        <v>0.11</v>
      </c>
      <c r="E136" s="167"/>
      <c r="F136" s="167" t="e">
        <f t="shared" si="39"/>
        <v>#REF!</v>
      </c>
      <c r="G136" s="166"/>
      <c r="H136" s="167" t="e">
        <f t="shared" si="27"/>
        <v>#REF!</v>
      </c>
      <c r="I136" s="167" t="e">
        <f t="shared" si="28"/>
        <v>#REF!</v>
      </c>
      <c r="J136" s="167" t="e">
        <f t="shared" si="29"/>
        <v>#REF!</v>
      </c>
      <c r="K136" s="167" t="e">
        <f t="shared" si="40"/>
        <v>#REF!</v>
      </c>
      <c r="L136" s="167" t="e">
        <f>IF(B136="","",IF(F136=0,0,Simulador!$N$13*$J$2))</f>
        <v>#REF!</v>
      </c>
      <c r="M136" s="167" t="e">
        <f>IF(B136="","",IF(F136=0,0,IF(Simulador!$F$11='Tabla Parámetros'!$W$1,'Tabla Parámetros'!$W$28,IF(Simulador!$F$11='Tabla Parámetros'!$Y$1,'Tabla Parámetros'!$Y$12))))</f>
        <v>#REF!</v>
      </c>
      <c r="N136" s="167" t="e">
        <f>IF(B136="","",IF(F136=0,0,IF(Simulador!$N$7='Tabla Parámetros'!$C$31,AportPat!L122,0)))</f>
        <v>#REF!</v>
      </c>
      <c r="O136" s="167" t="e">
        <f>Simulador!#REF!</f>
        <v>#REF!</v>
      </c>
      <c r="P136" s="167" t="e">
        <f t="shared" si="30"/>
        <v>#REF!</v>
      </c>
      <c r="Q136" s="167" t="e">
        <f t="shared" si="31"/>
        <v>#REF!</v>
      </c>
      <c r="T136" s="6"/>
      <c r="U136" s="6"/>
      <c r="V136" s="6"/>
      <c r="W136" s="29" t="e">
        <f t="shared" si="43"/>
        <v>#REF!</v>
      </c>
      <c r="Y136" s="201" t="e">
        <f t="shared" si="25"/>
        <v>#REF!</v>
      </c>
      <c r="Z136" s="201" t="e">
        <f t="shared" si="32"/>
        <v>#REF!</v>
      </c>
      <c r="AA136" s="202" t="e">
        <f t="shared" si="33"/>
        <v>#REF!</v>
      </c>
      <c r="AB136" s="201" t="e">
        <f t="shared" si="34"/>
        <v>#REF!</v>
      </c>
      <c r="AC136" s="201" t="e">
        <f t="shared" si="35"/>
        <v>#REF!</v>
      </c>
      <c r="AD136" s="201" t="e">
        <f t="shared" si="41"/>
        <v>#REF!</v>
      </c>
      <c r="AE136" s="201" t="e">
        <f t="shared" si="36"/>
        <v>#REF!</v>
      </c>
      <c r="AF136" s="201" t="e">
        <f t="shared" si="37"/>
        <v>#REF!</v>
      </c>
      <c r="AG136" s="201" t="e">
        <f t="shared" si="42"/>
        <v>#REF!</v>
      </c>
    </row>
    <row r="137" spans="2:33" x14ac:dyDescent="0.3">
      <c r="B137" s="179">
        <f t="shared" si="26"/>
        <v>120</v>
      </c>
      <c r="C137" s="180">
        <f t="shared" si="38"/>
        <v>30.4</v>
      </c>
      <c r="D137" s="165">
        <f>IF(B137="","",Simulador!$F$62)</f>
        <v>0.11</v>
      </c>
      <c r="E137" s="167"/>
      <c r="F137" s="167" t="e">
        <f t="shared" si="39"/>
        <v>#REF!</v>
      </c>
      <c r="G137" s="166"/>
      <c r="H137" s="167" t="e">
        <f t="shared" si="27"/>
        <v>#REF!</v>
      </c>
      <c r="I137" s="167" t="e">
        <f t="shared" si="28"/>
        <v>#REF!</v>
      </c>
      <c r="J137" s="167" t="e">
        <f t="shared" si="29"/>
        <v>#REF!</v>
      </c>
      <c r="K137" s="167" t="e">
        <f t="shared" si="40"/>
        <v>#REF!</v>
      </c>
      <c r="L137" s="167" t="e">
        <f>IF(B137="","",IF(F137=0,0,Simulador!$N$13*$J$2))</f>
        <v>#REF!</v>
      </c>
      <c r="M137" s="167" t="e">
        <f>IF(B137="","",IF(F137=0,0,IF(Simulador!$F$11='Tabla Parámetros'!$W$1,'Tabla Parámetros'!$W$28,IF(Simulador!$F$11='Tabla Parámetros'!$Y$1,'Tabla Parámetros'!$Y$12))))</f>
        <v>#REF!</v>
      </c>
      <c r="N137" s="167" t="e">
        <f>IF(B137="","",IF(F137=0,0,IF(Simulador!$N$7='Tabla Parámetros'!$C$31,AportPat!L123,0)))</f>
        <v>#REF!</v>
      </c>
      <c r="O137" s="167" t="e">
        <f>Simulador!#REF!</f>
        <v>#REF!</v>
      </c>
      <c r="P137" s="167" t="e">
        <f t="shared" si="30"/>
        <v>#REF!</v>
      </c>
      <c r="Q137" s="167" t="e">
        <f t="shared" si="31"/>
        <v>#REF!</v>
      </c>
      <c r="T137" s="6"/>
      <c r="U137" s="6"/>
      <c r="V137" s="6"/>
      <c r="W137" s="29" t="e">
        <f t="shared" si="43"/>
        <v>#REF!</v>
      </c>
      <c r="Y137" s="201" t="e">
        <f t="shared" si="25"/>
        <v>#REF!</v>
      </c>
      <c r="Z137" s="201" t="e">
        <f t="shared" si="32"/>
        <v>#REF!</v>
      </c>
      <c r="AA137" s="202" t="e">
        <f t="shared" si="33"/>
        <v>#REF!</v>
      </c>
      <c r="AB137" s="201" t="e">
        <f t="shared" si="34"/>
        <v>#REF!</v>
      </c>
      <c r="AC137" s="201" t="e">
        <f t="shared" si="35"/>
        <v>#REF!</v>
      </c>
      <c r="AD137" s="201" t="e">
        <f t="shared" si="41"/>
        <v>#REF!</v>
      </c>
      <c r="AE137" s="201" t="e">
        <f t="shared" si="36"/>
        <v>#REF!</v>
      </c>
      <c r="AF137" s="201" t="e">
        <f t="shared" si="37"/>
        <v>#REF!</v>
      </c>
      <c r="AG137" s="201" t="e">
        <f t="shared" si="42"/>
        <v>#REF!</v>
      </c>
    </row>
    <row r="138" spans="2:33" x14ac:dyDescent="0.3">
      <c r="B138" s="181">
        <f t="shared" si="26"/>
        <v>121</v>
      </c>
      <c r="C138" s="180">
        <f t="shared" si="38"/>
        <v>30.4</v>
      </c>
      <c r="D138" s="165">
        <f>IF(B138="","",Simulador!$F$62)</f>
        <v>0.11</v>
      </c>
      <c r="E138" s="167"/>
      <c r="F138" s="167" t="e">
        <f t="shared" si="39"/>
        <v>#REF!</v>
      </c>
      <c r="G138" s="166"/>
      <c r="H138" s="167" t="e">
        <f t="shared" si="27"/>
        <v>#REF!</v>
      </c>
      <c r="I138" s="167" t="e">
        <f t="shared" si="28"/>
        <v>#REF!</v>
      </c>
      <c r="J138" s="167" t="e">
        <f t="shared" si="29"/>
        <v>#REF!</v>
      </c>
      <c r="K138" s="167" t="e">
        <f t="shared" si="40"/>
        <v>#REF!</v>
      </c>
      <c r="L138" s="167" t="e">
        <f>IF(B138="","",IF(F138=0,0,Simulador!$N$13*$J$2))</f>
        <v>#REF!</v>
      </c>
      <c r="M138" s="167" t="e">
        <f>IF(B138="","",IF(F138=0,0,IF(Simulador!$F$11='Tabla Parámetros'!$W$1,'Tabla Parámetros'!$W$28,IF(Simulador!$F$11='Tabla Parámetros'!$Y$1,'Tabla Parámetros'!$Y$12))))</f>
        <v>#REF!</v>
      </c>
      <c r="N138" s="167" t="e">
        <f>IF(B138="","",IF(F138=0,0,IF(Simulador!$N$7='Tabla Parámetros'!$C$31,AportPat!L124,0)))</f>
        <v>#REF!</v>
      </c>
      <c r="O138" s="167" t="e">
        <f>Simulador!#REF!</f>
        <v>#REF!</v>
      </c>
      <c r="P138" s="167" t="e">
        <f t="shared" si="30"/>
        <v>#REF!</v>
      </c>
      <c r="Q138" s="167" t="e">
        <f t="shared" si="31"/>
        <v>#REF!</v>
      </c>
      <c r="T138" s="6"/>
      <c r="U138" s="6"/>
      <c r="V138" s="6"/>
      <c r="W138" s="29" t="e">
        <f t="shared" si="43"/>
        <v>#REF!</v>
      </c>
      <c r="Y138" s="201" t="e">
        <f t="shared" si="25"/>
        <v>#REF!</v>
      </c>
      <c r="Z138" s="201" t="e">
        <f t="shared" si="32"/>
        <v>#REF!</v>
      </c>
      <c r="AA138" s="202" t="e">
        <f t="shared" si="33"/>
        <v>#REF!</v>
      </c>
      <c r="AB138" s="201" t="e">
        <f t="shared" si="34"/>
        <v>#REF!</v>
      </c>
      <c r="AC138" s="201" t="e">
        <f t="shared" si="35"/>
        <v>#REF!</v>
      </c>
      <c r="AD138" s="201" t="e">
        <f t="shared" si="41"/>
        <v>#REF!</v>
      </c>
      <c r="AE138" s="201" t="e">
        <f t="shared" si="36"/>
        <v>#REF!</v>
      </c>
      <c r="AF138" s="201" t="e">
        <f t="shared" si="37"/>
        <v>#REF!</v>
      </c>
      <c r="AG138" s="201" t="e">
        <f t="shared" si="42"/>
        <v>#REF!</v>
      </c>
    </row>
    <row r="139" spans="2:33" x14ac:dyDescent="0.3">
      <c r="B139" s="179">
        <f t="shared" si="26"/>
        <v>122</v>
      </c>
      <c r="C139" s="180">
        <f t="shared" si="38"/>
        <v>30.4</v>
      </c>
      <c r="D139" s="165">
        <f>IF(B139="","",Simulador!$F$62)</f>
        <v>0.11</v>
      </c>
      <c r="E139" s="167"/>
      <c r="F139" s="167" t="e">
        <f t="shared" si="39"/>
        <v>#REF!</v>
      </c>
      <c r="G139" s="166"/>
      <c r="H139" s="167" t="e">
        <f t="shared" si="27"/>
        <v>#REF!</v>
      </c>
      <c r="I139" s="167" t="e">
        <f t="shared" si="28"/>
        <v>#REF!</v>
      </c>
      <c r="J139" s="167" t="e">
        <f t="shared" si="29"/>
        <v>#REF!</v>
      </c>
      <c r="K139" s="167" t="e">
        <f t="shared" si="40"/>
        <v>#REF!</v>
      </c>
      <c r="L139" s="167" t="e">
        <f>IF(B139="","",IF(F139=0,0,Simulador!$N$13*$J$2))</f>
        <v>#REF!</v>
      </c>
      <c r="M139" s="167" t="e">
        <f>IF(B139="","",IF(F139=0,0,IF(Simulador!$F$11='Tabla Parámetros'!$W$1,'Tabla Parámetros'!$W$28,IF(Simulador!$F$11='Tabla Parámetros'!$Y$1,'Tabla Parámetros'!$Y$12))))</f>
        <v>#REF!</v>
      </c>
      <c r="N139" s="167" t="e">
        <f>IF(B139="","",IF(F139=0,0,IF(Simulador!$N$7='Tabla Parámetros'!$C$31,AportPat!L125,0)))</f>
        <v>#REF!</v>
      </c>
      <c r="O139" s="167" t="e">
        <f>Simulador!#REF!</f>
        <v>#REF!</v>
      </c>
      <c r="P139" s="167" t="e">
        <f t="shared" si="30"/>
        <v>#REF!</v>
      </c>
      <c r="Q139" s="167" t="e">
        <f t="shared" si="31"/>
        <v>#REF!</v>
      </c>
      <c r="T139" s="6"/>
      <c r="U139" s="6"/>
      <c r="V139" s="6"/>
      <c r="W139" s="29" t="e">
        <f t="shared" si="43"/>
        <v>#REF!</v>
      </c>
      <c r="Y139" s="201" t="e">
        <f t="shared" si="25"/>
        <v>#REF!</v>
      </c>
      <c r="Z139" s="201" t="e">
        <f t="shared" si="32"/>
        <v>#REF!</v>
      </c>
      <c r="AA139" s="202" t="e">
        <f t="shared" si="33"/>
        <v>#REF!</v>
      </c>
      <c r="AB139" s="201" t="e">
        <f t="shared" si="34"/>
        <v>#REF!</v>
      </c>
      <c r="AC139" s="201" t="e">
        <f t="shared" si="35"/>
        <v>#REF!</v>
      </c>
      <c r="AD139" s="201" t="e">
        <f t="shared" si="41"/>
        <v>#REF!</v>
      </c>
      <c r="AE139" s="201" t="e">
        <f t="shared" si="36"/>
        <v>#REF!</v>
      </c>
      <c r="AF139" s="201" t="e">
        <f t="shared" si="37"/>
        <v>#REF!</v>
      </c>
      <c r="AG139" s="201" t="e">
        <f t="shared" si="42"/>
        <v>#REF!</v>
      </c>
    </row>
    <row r="140" spans="2:33" x14ac:dyDescent="0.3">
      <c r="B140" s="179">
        <f t="shared" si="26"/>
        <v>123</v>
      </c>
      <c r="C140" s="180">
        <f t="shared" si="38"/>
        <v>30.4</v>
      </c>
      <c r="D140" s="165">
        <f>IF(B140="","",Simulador!$F$62)</f>
        <v>0.11</v>
      </c>
      <c r="E140" s="167"/>
      <c r="F140" s="167" t="e">
        <f t="shared" si="39"/>
        <v>#REF!</v>
      </c>
      <c r="G140" s="166"/>
      <c r="H140" s="167" t="e">
        <f t="shared" si="27"/>
        <v>#REF!</v>
      </c>
      <c r="I140" s="167" t="e">
        <f t="shared" si="28"/>
        <v>#REF!</v>
      </c>
      <c r="J140" s="167" t="e">
        <f t="shared" si="29"/>
        <v>#REF!</v>
      </c>
      <c r="K140" s="167" t="e">
        <f t="shared" si="40"/>
        <v>#REF!</v>
      </c>
      <c r="L140" s="167" t="e">
        <f>IF(B140="","",IF(F140=0,0,Simulador!$N$13*$J$2))</f>
        <v>#REF!</v>
      </c>
      <c r="M140" s="167" t="e">
        <f>IF(B140="","",IF(F140=0,0,IF(Simulador!$F$11='Tabla Parámetros'!$W$1,'Tabla Parámetros'!$W$28,IF(Simulador!$F$11='Tabla Parámetros'!$Y$1,'Tabla Parámetros'!$Y$12))))</f>
        <v>#REF!</v>
      </c>
      <c r="N140" s="167" t="e">
        <f>IF(B140="","",IF(F140=0,0,IF(Simulador!$N$7='Tabla Parámetros'!$C$31,AportPat!L126,0)))</f>
        <v>#REF!</v>
      </c>
      <c r="O140" s="167" t="e">
        <f>Simulador!#REF!</f>
        <v>#REF!</v>
      </c>
      <c r="P140" s="167" t="e">
        <f t="shared" si="30"/>
        <v>#REF!</v>
      </c>
      <c r="Q140" s="167" t="e">
        <f t="shared" si="31"/>
        <v>#REF!</v>
      </c>
      <c r="T140" s="6"/>
      <c r="U140" s="6"/>
      <c r="V140" s="6"/>
      <c r="W140" s="29" t="e">
        <f t="shared" si="43"/>
        <v>#REF!</v>
      </c>
      <c r="Y140" s="201" t="e">
        <f t="shared" si="25"/>
        <v>#REF!</v>
      </c>
      <c r="Z140" s="201" t="e">
        <f t="shared" si="32"/>
        <v>#REF!</v>
      </c>
      <c r="AA140" s="202" t="e">
        <f t="shared" si="33"/>
        <v>#REF!</v>
      </c>
      <c r="AB140" s="201" t="e">
        <f t="shared" si="34"/>
        <v>#REF!</v>
      </c>
      <c r="AC140" s="201" t="e">
        <f t="shared" si="35"/>
        <v>#REF!</v>
      </c>
      <c r="AD140" s="201" t="e">
        <f t="shared" si="41"/>
        <v>#REF!</v>
      </c>
      <c r="AE140" s="201" t="e">
        <f t="shared" si="36"/>
        <v>#REF!</v>
      </c>
      <c r="AF140" s="201" t="e">
        <f t="shared" si="37"/>
        <v>#REF!</v>
      </c>
      <c r="AG140" s="201" t="e">
        <f t="shared" si="42"/>
        <v>#REF!</v>
      </c>
    </row>
    <row r="141" spans="2:33" x14ac:dyDescent="0.3">
      <c r="B141" s="179">
        <f t="shared" si="26"/>
        <v>124</v>
      </c>
      <c r="C141" s="180">
        <f t="shared" si="38"/>
        <v>30.4</v>
      </c>
      <c r="D141" s="165">
        <f>IF(B141="","",Simulador!$F$62)</f>
        <v>0.11</v>
      </c>
      <c r="E141" s="167"/>
      <c r="F141" s="167" t="e">
        <f t="shared" si="39"/>
        <v>#REF!</v>
      </c>
      <c r="G141" s="166"/>
      <c r="H141" s="167" t="e">
        <f t="shared" si="27"/>
        <v>#REF!</v>
      </c>
      <c r="I141" s="167" t="e">
        <f t="shared" si="28"/>
        <v>#REF!</v>
      </c>
      <c r="J141" s="167" t="e">
        <f t="shared" si="29"/>
        <v>#REF!</v>
      </c>
      <c r="K141" s="167" t="e">
        <f t="shared" si="40"/>
        <v>#REF!</v>
      </c>
      <c r="L141" s="167" t="e">
        <f>IF(B141="","",IF(F141=0,0,Simulador!$N$13*$J$2))</f>
        <v>#REF!</v>
      </c>
      <c r="M141" s="167" t="e">
        <f>IF(B141="","",IF(F141=0,0,IF(Simulador!$F$11='Tabla Parámetros'!$W$1,'Tabla Parámetros'!$W$28,IF(Simulador!$F$11='Tabla Parámetros'!$Y$1,'Tabla Parámetros'!$Y$12))))</f>
        <v>#REF!</v>
      </c>
      <c r="N141" s="167" t="e">
        <f>IF(B141="","",IF(F141=0,0,IF(Simulador!$N$7='Tabla Parámetros'!$C$31,AportPat!L127,0)))</f>
        <v>#REF!</v>
      </c>
      <c r="O141" s="167" t="e">
        <f>Simulador!#REF!</f>
        <v>#REF!</v>
      </c>
      <c r="P141" s="167" t="e">
        <f t="shared" si="30"/>
        <v>#REF!</v>
      </c>
      <c r="Q141" s="167" t="e">
        <f t="shared" si="31"/>
        <v>#REF!</v>
      </c>
      <c r="T141" s="6"/>
      <c r="U141" s="6"/>
      <c r="V141" s="6"/>
      <c r="W141" s="29" t="e">
        <f t="shared" si="43"/>
        <v>#REF!</v>
      </c>
      <c r="Y141" s="201" t="e">
        <f t="shared" si="25"/>
        <v>#REF!</v>
      </c>
      <c r="Z141" s="201" t="e">
        <f t="shared" si="32"/>
        <v>#REF!</v>
      </c>
      <c r="AA141" s="202" t="e">
        <f t="shared" si="33"/>
        <v>#REF!</v>
      </c>
      <c r="AB141" s="201" t="e">
        <f t="shared" si="34"/>
        <v>#REF!</v>
      </c>
      <c r="AC141" s="201" t="e">
        <f t="shared" si="35"/>
        <v>#REF!</v>
      </c>
      <c r="AD141" s="201" t="e">
        <f t="shared" si="41"/>
        <v>#REF!</v>
      </c>
      <c r="AE141" s="201" t="e">
        <f t="shared" si="36"/>
        <v>#REF!</v>
      </c>
      <c r="AF141" s="201" t="e">
        <f t="shared" si="37"/>
        <v>#REF!</v>
      </c>
      <c r="AG141" s="201" t="e">
        <f t="shared" si="42"/>
        <v>#REF!</v>
      </c>
    </row>
    <row r="142" spans="2:33" x14ac:dyDescent="0.3">
      <c r="B142" s="181">
        <f t="shared" si="26"/>
        <v>125</v>
      </c>
      <c r="C142" s="180">
        <f t="shared" si="38"/>
        <v>30.4</v>
      </c>
      <c r="D142" s="165">
        <f>IF(B142="","",Simulador!$F$62)</f>
        <v>0.11</v>
      </c>
      <c r="E142" s="167"/>
      <c r="F142" s="167" t="e">
        <f t="shared" si="39"/>
        <v>#REF!</v>
      </c>
      <c r="G142" s="166"/>
      <c r="H142" s="167" t="e">
        <f t="shared" si="27"/>
        <v>#REF!</v>
      </c>
      <c r="I142" s="167" t="e">
        <f t="shared" si="28"/>
        <v>#REF!</v>
      </c>
      <c r="J142" s="167" t="e">
        <f t="shared" si="29"/>
        <v>#REF!</v>
      </c>
      <c r="K142" s="167" t="e">
        <f t="shared" si="40"/>
        <v>#REF!</v>
      </c>
      <c r="L142" s="167" t="e">
        <f>IF(B142="","",IF(F142=0,0,Simulador!$N$13*$J$2))</f>
        <v>#REF!</v>
      </c>
      <c r="M142" s="167" t="e">
        <f>IF(B142="","",IF(F142=0,0,IF(Simulador!$F$11='Tabla Parámetros'!$W$1,'Tabla Parámetros'!$W$28,IF(Simulador!$F$11='Tabla Parámetros'!$Y$1,'Tabla Parámetros'!$Y$12))))</f>
        <v>#REF!</v>
      </c>
      <c r="N142" s="167" t="e">
        <f>IF(B142="","",IF(F142=0,0,IF(Simulador!$N$7='Tabla Parámetros'!$C$31,AportPat!L128,0)))</f>
        <v>#REF!</v>
      </c>
      <c r="O142" s="167" t="e">
        <f>Simulador!#REF!</f>
        <v>#REF!</v>
      </c>
      <c r="P142" s="167" t="e">
        <f t="shared" si="30"/>
        <v>#REF!</v>
      </c>
      <c r="Q142" s="167" t="e">
        <f t="shared" si="31"/>
        <v>#REF!</v>
      </c>
      <c r="T142" s="6"/>
      <c r="U142" s="6"/>
      <c r="V142" s="6"/>
      <c r="W142" s="29" t="e">
        <f t="shared" si="43"/>
        <v>#REF!</v>
      </c>
      <c r="Y142" s="201" t="e">
        <f t="shared" si="25"/>
        <v>#REF!</v>
      </c>
      <c r="Z142" s="201" t="e">
        <f t="shared" si="32"/>
        <v>#REF!</v>
      </c>
      <c r="AA142" s="202" t="e">
        <f t="shared" si="33"/>
        <v>#REF!</v>
      </c>
      <c r="AB142" s="201" t="e">
        <f t="shared" si="34"/>
        <v>#REF!</v>
      </c>
      <c r="AC142" s="201" t="e">
        <f t="shared" si="35"/>
        <v>#REF!</v>
      </c>
      <c r="AD142" s="201" t="e">
        <f t="shared" si="41"/>
        <v>#REF!</v>
      </c>
      <c r="AE142" s="201" t="e">
        <f t="shared" si="36"/>
        <v>#REF!</v>
      </c>
      <c r="AF142" s="201" t="e">
        <f t="shared" si="37"/>
        <v>#REF!</v>
      </c>
      <c r="AG142" s="201" t="e">
        <f t="shared" si="42"/>
        <v>#REF!</v>
      </c>
    </row>
    <row r="143" spans="2:33" x14ac:dyDescent="0.3">
      <c r="B143" s="179">
        <f t="shared" si="26"/>
        <v>126</v>
      </c>
      <c r="C143" s="180">
        <f t="shared" si="38"/>
        <v>30.4</v>
      </c>
      <c r="D143" s="165">
        <f>IF(B143="","",Simulador!$F$62)</f>
        <v>0.11</v>
      </c>
      <c r="E143" s="167"/>
      <c r="F143" s="167" t="e">
        <f t="shared" si="39"/>
        <v>#REF!</v>
      </c>
      <c r="G143" s="166"/>
      <c r="H143" s="167" t="e">
        <f t="shared" si="27"/>
        <v>#REF!</v>
      </c>
      <c r="I143" s="167" t="e">
        <f t="shared" si="28"/>
        <v>#REF!</v>
      </c>
      <c r="J143" s="167" t="e">
        <f t="shared" si="29"/>
        <v>#REF!</v>
      </c>
      <c r="K143" s="167" t="e">
        <f t="shared" si="40"/>
        <v>#REF!</v>
      </c>
      <c r="L143" s="167" t="e">
        <f>IF(B143="","",IF(F143=0,0,Simulador!$N$13*$J$2))</f>
        <v>#REF!</v>
      </c>
      <c r="M143" s="167" t="e">
        <f>IF(B143="","",IF(F143=0,0,IF(Simulador!$F$11='Tabla Parámetros'!$W$1,'Tabla Parámetros'!$W$28,IF(Simulador!$F$11='Tabla Parámetros'!$Y$1,'Tabla Parámetros'!$Y$12))))</f>
        <v>#REF!</v>
      </c>
      <c r="N143" s="167" t="e">
        <f>IF(B143="","",IF(F143=0,0,IF(Simulador!$N$7='Tabla Parámetros'!$C$31,AportPat!L129,0)))</f>
        <v>#REF!</v>
      </c>
      <c r="O143" s="167" t="e">
        <f>Simulador!#REF!</f>
        <v>#REF!</v>
      </c>
      <c r="P143" s="167" t="e">
        <f t="shared" si="30"/>
        <v>#REF!</v>
      </c>
      <c r="Q143" s="167" t="e">
        <f t="shared" si="31"/>
        <v>#REF!</v>
      </c>
      <c r="T143" s="6"/>
      <c r="U143" s="6"/>
      <c r="V143" s="6"/>
      <c r="W143" s="29" t="e">
        <f t="shared" si="43"/>
        <v>#REF!</v>
      </c>
      <c r="Y143" s="201" t="e">
        <f t="shared" si="25"/>
        <v>#REF!</v>
      </c>
      <c r="Z143" s="201" t="e">
        <f t="shared" si="32"/>
        <v>#REF!</v>
      </c>
      <c r="AA143" s="202" t="e">
        <f t="shared" si="33"/>
        <v>#REF!</v>
      </c>
      <c r="AB143" s="201" t="e">
        <f t="shared" si="34"/>
        <v>#REF!</v>
      </c>
      <c r="AC143" s="201" t="e">
        <f t="shared" si="35"/>
        <v>#REF!</v>
      </c>
      <c r="AD143" s="201" t="e">
        <f t="shared" si="41"/>
        <v>#REF!</v>
      </c>
      <c r="AE143" s="201" t="e">
        <f t="shared" si="36"/>
        <v>#REF!</v>
      </c>
      <c r="AF143" s="201" t="e">
        <f t="shared" si="37"/>
        <v>#REF!</v>
      </c>
      <c r="AG143" s="201" t="e">
        <f t="shared" si="42"/>
        <v>#REF!</v>
      </c>
    </row>
    <row r="144" spans="2:33" x14ac:dyDescent="0.3">
      <c r="B144" s="179">
        <f t="shared" si="26"/>
        <v>127</v>
      </c>
      <c r="C144" s="180">
        <f t="shared" si="38"/>
        <v>30.4</v>
      </c>
      <c r="D144" s="165">
        <f>IF(B144="","",Simulador!$F$62)</f>
        <v>0.11</v>
      </c>
      <c r="E144" s="167"/>
      <c r="F144" s="167" t="e">
        <f t="shared" si="39"/>
        <v>#REF!</v>
      </c>
      <c r="G144" s="166"/>
      <c r="H144" s="167" t="e">
        <f t="shared" si="27"/>
        <v>#REF!</v>
      </c>
      <c r="I144" s="167" t="e">
        <f t="shared" si="28"/>
        <v>#REF!</v>
      </c>
      <c r="J144" s="167" t="e">
        <f t="shared" si="29"/>
        <v>#REF!</v>
      </c>
      <c r="K144" s="167" t="e">
        <f t="shared" si="40"/>
        <v>#REF!</v>
      </c>
      <c r="L144" s="167" t="e">
        <f>IF(B144="","",IF(F144=0,0,Simulador!$N$13*$J$2))</f>
        <v>#REF!</v>
      </c>
      <c r="M144" s="167" t="e">
        <f>IF(B144="","",IF(F144=0,0,IF(Simulador!$F$11='Tabla Parámetros'!$W$1,'Tabla Parámetros'!$W$28,IF(Simulador!$F$11='Tabla Parámetros'!$Y$1,'Tabla Parámetros'!$Y$12))))</f>
        <v>#REF!</v>
      </c>
      <c r="N144" s="167" t="e">
        <f>IF(B144="","",IF(F144=0,0,IF(Simulador!$N$7='Tabla Parámetros'!$C$31,AportPat!L130,0)))</f>
        <v>#REF!</v>
      </c>
      <c r="O144" s="167" t="e">
        <f>Simulador!#REF!</f>
        <v>#REF!</v>
      </c>
      <c r="P144" s="167" t="e">
        <f t="shared" si="30"/>
        <v>#REF!</v>
      </c>
      <c r="Q144" s="167" t="e">
        <f t="shared" si="31"/>
        <v>#REF!</v>
      </c>
      <c r="T144" s="6"/>
      <c r="U144" s="6"/>
      <c r="V144" s="6"/>
      <c r="W144" s="29" t="e">
        <f t="shared" si="43"/>
        <v>#REF!</v>
      </c>
      <c r="Y144" s="201" t="e">
        <f t="shared" si="25"/>
        <v>#REF!</v>
      </c>
      <c r="Z144" s="201" t="e">
        <f t="shared" si="32"/>
        <v>#REF!</v>
      </c>
      <c r="AA144" s="202" t="e">
        <f t="shared" si="33"/>
        <v>#REF!</v>
      </c>
      <c r="AB144" s="201" t="e">
        <f t="shared" si="34"/>
        <v>#REF!</v>
      </c>
      <c r="AC144" s="201" t="e">
        <f t="shared" si="35"/>
        <v>#REF!</v>
      </c>
      <c r="AD144" s="201" t="e">
        <f t="shared" si="41"/>
        <v>#REF!</v>
      </c>
      <c r="AE144" s="201" t="e">
        <f t="shared" si="36"/>
        <v>#REF!</v>
      </c>
      <c r="AF144" s="201" t="e">
        <f t="shared" si="37"/>
        <v>#REF!</v>
      </c>
      <c r="AG144" s="201" t="e">
        <f t="shared" si="42"/>
        <v>#REF!</v>
      </c>
    </row>
    <row r="145" spans="2:33" x14ac:dyDescent="0.3">
      <c r="B145" s="179">
        <f t="shared" si="26"/>
        <v>128</v>
      </c>
      <c r="C145" s="180">
        <f t="shared" si="38"/>
        <v>30.4</v>
      </c>
      <c r="D145" s="165">
        <f>IF(B145="","",Simulador!$F$62)</f>
        <v>0.11</v>
      </c>
      <c r="E145" s="167"/>
      <c r="F145" s="167" t="e">
        <f t="shared" si="39"/>
        <v>#REF!</v>
      </c>
      <c r="G145" s="166"/>
      <c r="H145" s="167" t="e">
        <f t="shared" si="27"/>
        <v>#REF!</v>
      </c>
      <c r="I145" s="167" t="e">
        <f t="shared" si="28"/>
        <v>#REF!</v>
      </c>
      <c r="J145" s="167" t="e">
        <f t="shared" si="29"/>
        <v>#REF!</v>
      </c>
      <c r="K145" s="167" t="e">
        <f t="shared" si="40"/>
        <v>#REF!</v>
      </c>
      <c r="L145" s="167" t="e">
        <f>IF(B145="","",IF(F145=0,0,Simulador!$N$13*$J$2))</f>
        <v>#REF!</v>
      </c>
      <c r="M145" s="167" t="e">
        <f>IF(B145="","",IF(F145=0,0,IF(Simulador!$F$11='Tabla Parámetros'!$W$1,'Tabla Parámetros'!$W$28,IF(Simulador!$F$11='Tabla Parámetros'!$Y$1,'Tabla Parámetros'!$Y$12))))</f>
        <v>#REF!</v>
      </c>
      <c r="N145" s="167" t="e">
        <f>IF(B145="","",IF(F145=0,0,IF(Simulador!$N$7='Tabla Parámetros'!$C$31,AportPat!L131,0)))</f>
        <v>#REF!</v>
      </c>
      <c r="O145" s="167" t="e">
        <f>Simulador!#REF!</f>
        <v>#REF!</v>
      </c>
      <c r="P145" s="167" t="e">
        <f t="shared" si="30"/>
        <v>#REF!</v>
      </c>
      <c r="Q145" s="167" t="e">
        <f t="shared" si="31"/>
        <v>#REF!</v>
      </c>
      <c r="T145" s="6"/>
      <c r="U145" s="6"/>
      <c r="V145" s="6"/>
      <c r="W145" s="29" t="e">
        <f t="shared" si="43"/>
        <v>#REF!</v>
      </c>
      <c r="Y145" s="201" t="e">
        <f t="shared" si="25"/>
        <v>#REF!</v>
      </c>
      <c r="Z145" s="201" t="e">
        <f t="shared" si="32"/>
        <v>#REF!</v>
      </c>
      <c r="AA145" s="202" t="e">
        <f t="shared" si="33"/>
        <v>#REF!</v>
      </c>
      <c r="AB145" s="201" t="e">
        <f t="shared" si="34"/>
        <v>#REF!</v>
      </c>
      <c r="AC145" s="201" t="e">
        <f t="shared" si="35"/>
        <v>#REF!</v>
      </c>
      <c r="AD145" s="201" t="e">
        <f t="shared" si="41"/>
        <v>#REF!</v>
      </c>
      <c r="AE145" s="201" t="e">
        <f t="shared" si="36"/>
        <v>#REF!</v>
      </c>
      <c r="AF145" s="201" t="e">
        <f t="shared" si="37"/>
        <v>#REF!</v>
      </c>
      <c r="AG145" s="201" t="e">
        <f t="shared" si="42"/>
        <v>#REF!</v>
      </c>
    </row>
    <row r="146" spans="2:33" x14ac:dyDescent="0.3">
      <c r="B146" s="181">
        <f t="shared" si="26"/>
        <v>129</v>
      </c>
      <c r="C146" s="180">
        <f t="shared" si="38"/>
        <v>30.4</v>
      </c>
      <c r="D146" s="165">
        <f>IF(B146="","",Simulador!$F$62)</f>
        <v>0.11</v>
      </c>
      <c r="E146" s="167"/>
      <c r="F146" s="167" t="e">
        <f t="shared" si="39"/>
        <v>#REF!</v>
      </c>
      <c r="G146" s="166"/>
      <c r="H146" s="167" t="e">
        <f t="shared" si="27"/>
        <v>#REF!</v>
      </c>
      <c r="I146" s="167" t="e">
        <f t="shared" si="28"/>
        <v>#REF!</v>
      </c>
      <c r="J146" s="167" t="e">
        <f t="shared" si="29"/>
        <v>#REF!</v>
      </c>
      <c r="K146" s="167" t="e">
        <f t="shared" si="40"/>
        <v>#REF!</v>
      </c>
      <c r="L146" s="167" t="e">
        <f>IF(B146="","",IF(F146=0,0,Simulador!$N$13*$J$2))</f>
        <v>#REF!</v>
      </c>
      <c r="M146" s="167" t="e">
        <f>IF(B146="","",IF(F146=0,0,IF(Simulador!$F$11='Tabla Parámetros'!$W$1,'Tabla Parámetros'!$W$28,IF(Simulador!$F$11='Tabla Parámetros'!$Y$1,'Tabla Parámetros'!$Y$12))))</f>
        <v>#REF!</v>
      </c>
      <c r="N146" s="167" t="e">
        <f>IF(B146="","",IF(F146=0,0,IF(Simulador!$N$7='Tabla Parámetros'!$C$31,AportPat!L132,0)))</f>
        <v>#REF!</v>
      </c>
      <c r="O146" s="167" t="e">
        <f>Simulador!#REF!</f>
        <v>#REF!</v>
      </c>
      <c r="P146" s="167" t="e">
        <f t="shared" si="30"/>
        <v>#REF!</v>
      </c>
      <c r="Q146" s="167" t="e">
        <f t="shared" si="31"/>
        <v>#REF!</v>
      </c>
      <c r="T146" s="6"/>
      <c r="U146" s="6"/>
      <c r="V146" s="6"/>
      <c r="W146" s="29" t="e">
        <f t="shared" si="43"/>
        <v>#REF!</v>
      </c>
      <c r="Y146" s="201" t="e">
        <f t="shared" ref="Y146:Y209" si="44">PPMT(D146/360*30.4,B146,$E$2,-$F$18)+N146+O146</f>
        <v>#REF!</v>
      </c>
      <c r="Z146" s="201" t="e">
        <f t="shared" si="32"/>
        <v>#REF!</v>
      </c>
      <c r="AA146" s="202" t="e">
        <f t="shared" si="33"/>
        <v>#REF!</v>
      </c>
      <c r="AB146" s="201" t="e">
        <f t="shared" si="34"/>
        <v>#REF!</v>
      </c>
      <c r="AC146" s="201" t="e">
        <f t="shared" si="35"/>
        <v>#REF!</v>
      </c>
      <c r="AD146" s="201" t="e">
        <f t="shared" si="41"/>
        <v>#REF!</v>
      </c>
      <c r="AE146" s="201" t="e">
        <f t="shared" si="36"/>
        <v>#REF!</v>
      </c>
      <c r="AF146" s="201" t="e">
        <f t="shared" si="37"/>
        <v>#REF!</v>
      </c>
      <c r="AG146" s="201" t="e">
        <f t="shared" si="42"/>
        <v>#REF!</v>
      </c>
    </row>
    <row r="147" spans="2:33" x14ac:dyDescent="0.3">
      <c r="B147" s="179">
        <f t="shared" ref="B147:B210" si="45">IF(B146="","",IF(B146=$E$2,"",B146+1))</f>
        <v>130</v>
      </c>
      <c r="C147" s="180">
        <f t="shared" si="38"/>
        <v>30.4</v>
      </c>
      <c r="D147" s="165">
        <f>IF(B147="","",Simulador!$F$62)</f>
        <v>0.11</v>
      </c>
      <c r="E147" s="167"/>
      <c r="F147" s="167" t="e">
        <f t="shared" si="39"/>
        <v>#REF!</v>
      </c>
      <c r="G147" s="166"/>
      <c r="H147" s="167" t="e">
        <f t="shared" ref="H147:H210" si="46">IF(B147="","",IF(F147&lt;=H146,F147,IF($Q$2=$Y$16,Y147,IF($Q$2=$AB$16,AB147,IF($Q$2=$AE$16,AE147,)))))</f>
        <v>#REF!</v>
      </c>
      <c r="I147" s="167" t="e">
        <f t="shared" ref="I147:I210" si="47">IF(C147="","",IF($Q$2=$Y$16,Z147,IF($Q$2=$AB$16,AC147,IF($Q$2=$AE$16,AF147,))))</f>
        <v>#REF!</v>
      </c>
      <c r="J147" s="167" t="e">
        <f t="shared" ref="J147:J210" si="48">IF(D147="","",IF(F147=0,0,IF($Q$2=$Y$16,AA147,IF($Q$2=$AB$16,AD147,IF($Q$2=$AE$16,AG147,)))))</f>
        <v>#REF!</v>
      </c>
      <c r="K147" s="167" t="e">
        <f t="shared" si="40"/>
        <v>#REF!</v>
      </c>
      <c r="L147" s="167" t="e">
        <f>IF(B147="","",IF(F147=0,0,Simulador!$N$13*$J$2))</f>
        <v>#REF!</v>
      </c>
      <c r="M147" s="167" t="e">
        <f>IF(B147="","",IF(F147=0,0,IF(Simulador!$F$11='Tabla Parámetros'!$W$1,'Tabla Parámetros'!$W$28,IF(Simulador!$F$11='Tabla Parámetros'!$Y$1,'Tabla Parámetros'!$Y$12))))</f>
        <v>#REF!</v>
      </c>
      <c r="N147" s="167" t="e">
        <f>IF(B147="","",IF(F147=0,0,IF(Simulador!$N$7='Tabla Parámetros'!$C$31,AportPat!L133,0)))</f>
        <v>#REF!</v>
      </c>
      <c r="O147" s="167" t="e">
        <f>Simulador!#REF!</f>
        <v>#REF!</v>
      </c>
      <c r="P147" s="167" t="e">
        <f t="shared" ref="P147:P210" si="49">IF(B147="","",SUM(J147:O147))</f>
        <v>#REF!</v>
      </c>
      <c r="Q147" s="167" t="e">
        <f t="shared" ref="Q147:Q210" si="50">IF(B147="","",F147-H147)</f>
        <v>#REF!</v>
      </c>
      <c r="T147" s="6"/>
      <c r="U147" s="6"/>
      <c r="V147" s="6"/>
      <c r="W147" s="29" t="e">
        <f t="shared" si="43"/>
        <v>#REF!</v>
      </c>
      <c r="Y147" s="201" t="e">
        <f t="shared" si="44"/>
        <v>#REF!</v>
      </c>
      <c r="Z147" s="201" t="e">
        <f t="shared" ref="Z147:Z210" si="51">(D147/360*C147)*F147</f>
        <v>#REF!</v>
      </c>
      <c r="AA147" s="202" t="e">
        <f t="shared" ref="AA147:AA210" si="52">Y147+Z147</f>
        <v>#REF!</v>
      </c>
      <c r="AB147" s="201" t="e">
        <f t="shared" ref="AB147:AB210" si="53">AD147-AC147</f>
        <v>#REF!</v>
      </c>
      <c r="AC147" s="201" t="e">
        <f t="shared" ref="AC147:AC210" si="54">(D147/360*C147)*F147</f>
        <v>#REF!</v>
      </c>
      <c r="AD147" s="201" t="e">
        <f t="shared" si="41"/>
        <v>#REF!</v>
      </c>
      <c r="AE147" s="201" t="e">
        <f t="shared" ref="AE147:AE210" si="55">AG147-AF147</f>
        <v>#REF!</v>
      </c>
      <c r="AF147" s="201" t="e">
        <f t="shared" ref="AF147:AF210" si="56">(D147/360*C147)*F147</f>
        <v>#REF!</v>
      </c>
      <c r="AG147" s="201" t="e">
        <f t="shared" si="42"/>
        <v>#REF!</v>
      </c>
    </row>
    <row r="148" spans="2:33" x14ac:dyDescent="0.3">
      <c r="B148" s="179">
        <f t="shared" si="45"/>
        <v>131</v>
      </c>
      <c r="C148" s="180">
        <f t="shared" ref="C148:C211" si="57">IF(B148="","",30.4)</f>
        <v>30.4</v>
      </c>
      <c r="D148" s="165">
        <f>IF(B148="","",Simulador!$F$62)</f>
        <v>0.11</v>
      </c>
      <c r="E148" s="167"/>
      <c r="F148" s="167" t="e">
        <f t="shared" ref="F148:F211" si="58">IF(B148="","",F147-H147)</f>
        <v>#REF!</v>
      </c>
      <c r="G148" s="166"/>
      <c r="H148" s="167" t="e">
        <f t="shared" si="46"/>
        <v>#REF!</v>
      </c>
      <c r="I148" s="167" t="e">
        <f t="shared" si="47"/>
        <v>#REF!</v>
      </c>
      <c r="J148" s="167" t="e">
        <f t="shared" si="48"/>
        <v>#REF!</v>
      </c>
      <c r="K148" s="167" t="e">
        <f t="shared" ref="K148:K211" si="59">IF(B148="","",IF(F148=0,0,$H$2*$I$2))</f>
        <v>#REF!</v>
      </c>
      <c r="L148" s="167" t="e">
        <f>IF(B148="","",IF(F148=0,0,Simulador!$N$13*$J$2))</f>
        <v>#REF!</v>
      </c>
      <c r="M148" s="167" t="e">
        <f>IF(B148="","",IF(F148=0,0,IF(Simulador!$F$11='Tabla Parámetros'!$W$1,'Tabla Parámetros'!$W$28,IF(Simulador!$F$11='Tabla Parámetros'!$Y$1,'Tabla Parámetros'!$Y$12))))</f>
        <v>#REF!</v>
      </c>
      <c r="N148" s="167" t="e">
        <f>IF(B148="","",IF(F148=0,0,IF(Simulador!$N$7='Tabla Parámetros'!$C$31,AportPat!L134,0)))</f>
        <v>#REF!</v>
      </c>
      <c r="O148" s="167" t="e">
        <f>Simulador!#REF!</f>
        <v>#REF!</v>
      </c>
      <c r="P148" s="167" t="e">
        <f t="shared" si="49"/>
        <v>#REF!</v>
      </c>
      <c r="Q148" s="167" t="e">
        <f t="shared" si="50"/>
        <v>#REF!</v>
      </c>
      <c r="T148" s="6"/>
      <c r="U148" s="6"/>
      <c r="V148" s="6"/>
      <c r="W148" s="29" t="e">
        <f t="shared" si="43"/>
        <v>#REF!</v>
      </c>
      <c r="Y148" s="201" t="e">
        <f t="shared" si="44"/>
        <v>#REF!</v>
      </c>
      <c r="Z148" s="201" t="e">
        <f t="shared" si="51"/>
        <v>#REF!</v>
      </c>
      <c r="AA148" s="202" t="e">
        <f t="shared" si="52"/>
        <v>#REF!</v>
      </c>
      <c r="AB148" s="201" t="e">
        <f t="shared" si="53"/>
        <v>#REF!</v>
      </c>
      <c r="AC148" s="201" t="e">
        <f t="shared" si="54"/>
        <v>#REF!</v>
      </c>
      <c r="AD148" s="201" t="e">
        <f t="shared" ref="AD148:AD211" si="60">PMT($E$1/360*30.4,$E$2,-$H$2)+N148+O148</f>
        <v>#REF!</v>
      </c>
      <c r="AE148" s="201" t="e">
        <f t="shared" si="55"/>
        <v>#REF!</v>
      </c>
      <c r="AF148" s="201" t="e">
        <f t="shared" si="56"/>
        <v>#REF!</v>
      </c>
      <c r="AG148" s="201" t="e">
        <f t="shared" ref="AG148:AG211" si="61">PMT($E$1/360*30.4,$E$2-B147,-F148)+N148+O148</f>
        <v>#REF!</v>
      </c>
    </row>
    <row r="149" spans="2:33" x14ac:dyDescent="0.3">
      <c r="B149" s="179">
        <f t="shared" si="45"/>
        <v>132</v>
      </c>
      <c r="C149" s="180">
        <f t="shared" si="57"/>
        <v>30.4</v>
      </c>
      <c r="D149" s="165">
        <f>IF(B149="","",Simulador!$F$62)</f>
        <v>0.11</v>
      </c>
      <c r="E149" s="167"/>
      <c r="F149" s="167" t="e">
        <f t="shared" si="58"/>
        <v>#REF!</v>
      </c>
      <c r="G149" s="166"/>
      <c r="H149" s="167" t="e">
        <f t="shared" si="46"/>
        <v>#REF!</v>
      </c>
      <c r="I149" s="167" t="e">
        <f t="shared" si="47"/>
        <v>#REF!</v>
      </c>
      <c r="J149" s="167" t="e">
        <f t="shared" si="48"/>
        <v>#REF!</v>
      </c>
      <c r="K149" s="167" t="e">
        <f t="shared" si="59"/>
        <v>#REF!</v>
      </c>
      <c r="L149" s="167" t="e">
        <f>IF(B149="","",IF(F149=0,0,Simulador!$N$13*$J$2))</f>
        <v>#REF!</v>
      </c>
      <c r="M149" s="167" t="e">
        <f>IF(B149="","",IF(F149=0,0,IF(Simulador!$F$11='Tabla Parámetros'!$W$1,'Tabla Parámetros'!$W$28,IF(Simulador!$F$11='Tabla Parámetros'!$Y$1,'Tabla Parámetros'!$Y$12))))</f>
        <v>#REF!</v>
      </c>
      <c r="N149" s="167" t="e">
        <f>IF(B149="","",IF(F149=0,0,IF(Simulador!$N$7='Tabla Parámetros'!$C$31,AportPat!L135,0)))</f>
        <v>#REF!</v>
      </c>
      <c r="O149" s="167" t="e">
        <f>Simulador!#REF!</f>
        <v>#REF!</v>
      </c>
      <c r="P149" s="167" t="e">
        <f t="shared" si="49"/>
        <v>#REF!</v>
      </c>
      <c r="Q149" s="167" t="e">
        <f t="shared" si="50"/>
        <v>#REF!</v>
      </c>
      <c r="T149" s="6"/>
      <c r="U149" s="6"/>
      <c r="V149" s="6"/>
      <c r="W149" s="29" t="e">
        <f t="shared" si="43"/>
        <v>#REF!</v>
      </c>
      <c r="Y149" s="201" t="e">
        <f t="shared" si="44"/>
        <v>#REF!</v>
      </c>
      <c r="Z149" s="201" t="e">
        <f t="shared" si="51"/>
        <v>#REF!</v>
      </c>
      <c r="AA149" s="202" t="e">
        <f t="shared" si="52"/>
        <v>#REF!</v>
      </c>
      <c r="AB149" s="201" t="e">
        <f t="shared" si="53"/>
        <v>#REF!</v>
      </c>
      <c r="AC149" s="201" t="e">
        <f t="shared" si="54"/>
        <v>#REF!</v>
      </c>
      <c r="AD149" s="201" t="e">
        <f t="shared" si="60"/>
        <v>#REF!</v>
      </c>
      <c r="AE149" s="201" t="e">
        <f t="shared" si="55"/>
        <v>#REF!</v>
      </c>
      <c r="AF149" s="201" t="e">
        <f t="shared" si="56"/>
        <v>#REF!</v>
      </c>
      <c r="AG149" s="201" t="e">
        <f t="shared" si="61"/>
        <v>#REF!</v>
      </c>
    </row>
    <row r="150" spans="2:33" x14ac:dyDescent="0.3">
      <c r="B150" s="181">
        <f t="shared" si="45"/>
        <v>133</v>
      </c>
      <c r="C150" s="180">
        <f t="shared" si="57"/>
        <v>30.4</v>
      </c>
      <c r="D150" s="165">
        <f>IF(B150="","",Simulador!$F$62)</f>
        <v>0.11</v>
      </c>
      <c r="E150" s="167"/>
      <c r="F150" s="167" t="e">
        <f t="shared" si="58"/>
        <v>#REF!</v>
      </c>
      <c r="G150" s="166"/>
      <c r="H150" s="167" t="e">
        <f t="shared" si="46"/>
        <v>#REF!</v>
      </c>
      <c r="I150" s="167" t="e">
        <f t="shared" si="47"/>
        <v>#REF!</v>
      </c>
      <c r="J150" s="167" t="e">
        <f t="shared" si="48"/>
        <v>#REF!</v>
      </c>
      <c r="K150" s="167" t="e">
        <f t="shared" si="59"/>
        <v>#REF!</v>
      </c>
      <c r="L150" s="167" t="e">
        <f>IF(B150="","",IF(F150=0,0,Simulador!$N$13*$J$2))</f>
        <v>#REF!</v>
      </c>
      <c r="M150" s="167" t="e">
        <f>IF(B150="","",IF(F150=0,0,IF(Simulador!$F$11='Tabla Parámetros'!$W$1,'Tabla Parámetros'!$W$28,IF(Simulador!$F$11='Tabla Parámetros'!$Y$1,'Tabla Parámetros'!$Y$12))))</f>
        <v>#REF!</v>
      </c>
      <c r="N150" s="167" t="e">
        <f>IF(B150="","",IF(F150=0,0,IF(Simulador!$N$7='Tabla Parámetros'!$C$31,AportPat!L136,0)))</f>
        <v>#REF!</v>
      </c>
      <c r="O150" s="167" t="e">
        <f>Simulador!#REF!</f>
        <v>#REF!</v>
      </c>
      <c r="P150" s="167" t="e">
        <f t="shared" si="49"/>
        <v>#REF!</v>
      </c>
      <c r="Q150" s="167" t="e">
        <f t="shared" si="50"/>
        <v>#REF!</v>
      </c>
      <c r="T150" s="6"/>
      <c r="U150" s="6"/>
      <c r="V150" s="6"/>
      <c r="W150" s="29" t="e">
        <f t="shared" si="43"/>
        <v>#REF!</v>
      </c>
      <c r="Y150" s="201" t="e">
        <f t="shared" si="44"/>
        <v>#REF!</v>
      </c>
      <c r="Z150" s="201" t="e">
        <f t="shared" si="51"/>
        <v>#REF!</v>
      </c>
      <c r="AA150" s="202" t="e">
        <f t="shared" si="52"/>
        <v>#REF!</v>
      </c>
      <c r="AB150" s="201" t="e">
        <f t="shared" si="53"/>
        <v>#REF!</v>
      </c>
      <c r="AC150" s="201" t="e">
        <f t="shared" si="54"/>
        <v>#REF!</v>
      </c>
      <c r="AD150" s="201" t="e">
        <f t="shared" si="60"/>
        <v>#REF!</v>
      </c>
      <c r="AE150" s="201" t="e">
        <f t="shared" si="55"/>
        <v>#REF!</v>
      </c>
      <c r="AF150" s="201" t="e">
        <f t="shared" si="56"/>
        <v>#REF!</v>
      </c>
      <c r="AG150" s="201" t="e">
        <f t="shared" si="61"/>
        <v>#REF!</v>
      </c>
    </row>
    <row r="151" spans="2:33" x14ac:dyDescent="0.3">
      <c r="B151" s="179">
        <f t="shared" si="45"/>
        <v>134</v>
      </c>
      <c r="C151" s="180">
        <f t="shared" si="57"/>
        <v>30.4</v>
      </c>
      <c r="D151" s="165">
        <f>IF(B151="","",Simulador!$F$62)</f>
        <v>0.11</v>
      </c>
      <c r="E151" s="167"/>
      <c r="F151" s="167" t="e">
        <f t="shared" si="58"/>
        <v>#REF!</v>
      </c>
      <c r="G151" s="166"/>
      <c r="H151" s="167" t="e">
        <f t="shared" si="46"/>
        <v>#REF!</v>
      </c>
      <c r="I151" s="167" t="e">
        <f t="shared" si="47"/>
        <v>#REF!</v>
      </c>
      <c r="J151" s="167" t="e">
        <f t="shared" si="48"/>
        <v>#REF!</v>
      </c>
      <c r="K151" s="167" t="e">
        <f t="shared" si="59"/>
        <v>#REF!</v>
      </c>
      <c r="L151" s="167" t="e">
        <f>IF(B151="","",IF(F151=0,0,Simulador!$N$13*$J$2))</f>
        <v>#REF!</v>
      </c>
      <c r="M151" s="167" t="e">
        <f>IF(B151="","",IF(F151=0,0,IF(Simulador!$F$11='Tabla Parámetros'!$W$1,'Tabla Parámetros'!$W$28,IF(Simulador!$F$11='Tabla Parámetros'!$Y$1,'Tabla Parámetros'!$Y$12))))</f>
        <v>#REF!</v>
      </c>
      <c r="N151" s="167" t="e">
        <f>IF(B151="","",IF(F151=0,0,IF(Simulador!$N$7='Tabla Parámetros'!$C$31,AportPat!L137,0)))</f>
        <v>#REF!</v>
      </c>
      <c r="O151" s="167" t="e">
        <f>Simulador!#REF!</f>
        <v>#REF!</v>
      </c>
      <c r="P151" s="167" t="e">
        <f t="shared" si="49"/>
        <v>#REF!</v>
      </c>
      <c r="Q151" s="167" t="e">
        <f t="shared" si="50"/>
        <v>#REF!</v>
      </c>
      <c r="T151" s="6"/>
      <c r="U151" s="6"/>
      <c r="V151" s="6"/>
      <c r="W151" s="29" t="e">
        <f t="shared" si="43"/>
        <v>#REF!</v>
      </c>
      <c r="Y151" s="201" t="e">
        <f t="shared" si="44"/>
        <v>#REF!</v>
      </c>
      <c r="Z151" s="201" t="e">
        <f t="shared" si="51"/>
        <v>#REF!</v>
      </c>
      <c r="AA151" s="202" t="e">
        <f t="shared" si="52"/>
        <v>#REF!</v>
      </c>
      <c r="AB151" s="201" t="e">
        <f t="shared" si="53"/>
        <v>#REF!</v>
      </c>
      <c r="AC151" s="201" t="e">
        <f t="shared" si="54"/>
        <v>#REF!</v>
      </c>
      <c r="AD151" s="201" t="e">
        <f t="shared" si="60"/>
        <v>#REF!</v>
      </c>
      <c r="AE151" s="201" t="e">
        <f t="shared" si="55"/>
        <v>#REF!</v>
      </c>
      <c r="AF151" s="201" t="e">
        <f t="shared" si="56"/>
        <v>#REF!</v>
      </c>
      <c r="AG151" s="201" t="e">
        <f t="shared" si="61"/>
        <v>#REF!</v>
      </c>
    </row>
    <row r="152" spans="2:33" x14ac:dyDescent="0.3">
      <c r="B152" s="179">
        <f t="shared" si="45"/>
        <v>135</v>
      </c>
      <c r="C152" s="180">
        <f t="shared" si="57"/>
        <v>30.4</v>
      </c>
      <c r="D152" s="165">
        <f>IF(B152="","",Simulador!$F$62)</f>
        <v>0.11</v>
      </c>
      <c r="E152" s="167"/>
      <c r="F152" s="167" t="e">
        <f t="shared" si="58"/>
        <v>#REF!</v>
      </c>
      <c r="G152" s="166"/>
      <c r="H152" s="167" t="e">
        <f t="shared" si="46"/>
        <v>#REF!</v>
      </c>
      <c r="I152" s="167" t="e">
        <f t="shared" si="47"/>
        <v>#REF!</v>
      </c>
      <c r="J152" s="167" t="e">
        <f t="shared" si="48"/>
        <v>#REF!</v>
      </c>
      <c r="K152" s="167" t="e">
        <f t="shared" si="59"/>
        <v>#REF!</v>
      </c>
      <c r="L152" s="167" t="e">
        <f>IF(B152="","",IF(F152=0,0,Simulador!$N$13*$J$2))</f>
        <v>#REF!</v>
      </c>
      <c r="M152" s="167" t="e">
        <f>IF(B152="","",IF(F152=0,0,IF(Simulador!$F$11='Tabla Parámetros'!$W$1,'Tabla Parámetros'!$W$28,IF(Simulador!$F$11='Tabla Parámetros'!$Y$1,'Tabla Parámetros'!$Y$12))))</f>
        <v>#REF!</v>
      </c>
      <c r="N152" s="167" t="e">
        <f>IF(B152="","",IF(F152=0,0,IF(Simulador!$N$7='Tabla Parámetros'!$C$31,AportPat!L138,0)))</f>
        <v>#REF!</v>
      </c>
      <c r="O152" s="167" t="e">
        <f>Simulador!#REF!</f>
        <v>#REF!</v>
      </c>
      <c r="P152" s="167" t="e">
        <f t="shared" si="49"/>
        <v>#REF!</v>
      </c>
      <c r="Q152" s="167" t="e">
        <f t="shared" si="50"/>
        <v>#REF!</v>
      </c>
      <c r="T152" s="6"/>
      <c r="U152" s="6"/>
      <c r="V152" s="6"/>
      <c r="W152" s="29" t="e">
        <f t="shared" si="43"/>
        <v>#REF!</v>
      </c>
      <c r="Y152" s="201" t="e">
        <f t="shared" si="44"/>
        <v>#REF!</v>
      </c>
      <c r="Z152" s="201" t="e">
        <f t="shared" si="51"/>
        <v>#REF!</v>
      </c>
      <c r="AA152" s="202" t="e">
        <f t="shared" si="52"/>
        <v>#REF!</v>
      </c>
      <c r="AB152" s="201" t="e">
        <f t="shared" si="53"/>
        <v>#REF!</v>
      </c>
      <c r="AC152" s="201" t="e">
        <f t="shared" si="54"/>
        <v>#REF!</v>
      </c>
      <c r="AD152" s="201" t="e">
        <f t="shared" si="60"/>
        <v>#REF!</v>
      </c>
      <c r="AE152" s="201" t="e">
        <f t="shared" si="55"/>
        <v>#REF!</v>
      </c>
      <c r="AF152" s="201" t="e">
        <f t="shared" si="56"/>
        <v>#REF!</v>
      </c>
      <c r="AG152" s="201" t="e">
        <f t="shared" si="61"/>
        <v>#REF!</v>
      </c>
    </row>
    <row r="153" spans="2:33" x14ac:dyDescent="0.3">
      <c r="B153" s="179">
        <f t="shared" si="45"/>
        <v>136</v>
      </c>
      <c r="C153" s="180">
        <f t="shared" si="57"/>
        <v>30.4</v>
      </c>
      <c r="D153" s="165">
        <f>IF(B153="","",Simulador!$F$62)</f>
        <v>0.11</v>
      </c>
      <c r="E153" s="167"/>
      <c r="F153" s="167" t="e">
        <f t="shared" si="58"/>
        <v>#REF!</v>
      </c>
      <c r="G153" s="166"/>
      <c r="H153" s="167" t="e">
        <f t="shared" si="46"/>
        <v>#REF!</v>
      </c>
      <c r="I153" s="167" t="e">
        <f t="shared" si="47"/>
        <v>#REF!</v>
      </c>
      <c r="J153" s="167" t="e">
        <f t="shared" si="48"/>
        <v>#REF!</v>
      </c>
      <c r="K153" s="167" t="e">
        <f t="shared" si="59"/>
        <v>#REF!</v>
      </c>
      <c r="L153" s="167" t="e">
        <f>IF(B153="","",IF(F153=0,0,Simulador!$N$13*$J$2))</f>
        <v>#REF!</v>
      </c>
      <c r="M153" s="167" t="e">
        <f>IF(B153="","",IF(F153=0,0,IF(Simulador!$F$11='Tabla Parámetros'!$W$1,'Tabla Parámetros'!$W$28,IF(Simulador!$F$11='Tabla Parámetros'!$Y$1,'Tabla Parámetros'!$Y$12))))</f>
        <v>#REF!</v>
      </c>
      <c r="N153" s="167" t="e">
        <f>IF(B153="","",IF(F153=0,0,IF(Simulador!$N$7='Tabla Parámetros'!$C$31,AportPat!L139,0)))</f>
        <v>#REF!</v>
      </c>
      <c r="O153" s="167" t="e">
        <f>Simulador!#REF!</f>
        <v>#REF!</v>
      </c>
      <c r="P153" s="167" t="e">
        <f t="shared" si="49"/>
        <v>#REF!</v>
      </c>
      <c r="Q153" s="167" t="e">
        <f t="shared" si="50"/>
        <v>#REF!</v>
      </c>
      <c r="T153" s="6"/>
      <c r="U153" s="6"/>
      <c r="V153" s="6"/>
      <c r="W153" s="29" t="e">
        <f t="shared" si="43"/>
        <v>#REF!</v>
      </c>
      <c r="Y153" s="201" t="e">
        <f t="shared" si="44"/>
        <v>#REF!</v>
      </c>
      <c r="Z153" s="201" t="e">
        <f t="shared" si="51"/>
        <v>#REF!</v>
      </c>
      <c r="AA153" s="202" t="e">
        <f t="shared" si="52"/>
        <v>#REF!</v>
      </c>
      <c r="AB153" s="201" t="e">
        <f t="shared" si="53"/>
        <v>#REF!</v>
      </c>
      <c r="AC153" s="201" t="e">
        <f t="shared" si="54"/>
        <v>#REF!</v>
      </c>
      <c r="AD153" s="201" t="e">
        <f t="shared" si="60"/>
        <v>#REF!</v>
      </c>
      <c r="AE153" s="201" t="e">
        <f t="shared" si="55"/>
        <v>#REF!</v>
      </c>
      <c r="AF153" s="201" t="e">
        <f t="shared" si="56"/>
        <v>#REF!</v>
      </c>
      <c r="AG153" s="201" t="e">
        <f t="shared" si="61"/>
        <v>#REF!</v>
      </c>
    </row>
    <row r="154" spans="2:33" x14ac:dyDescent="0.3">
      <c r="B154" s="181">
        <f t="shared" si="45"/>
        <v>137</v>
      </c>
      <c r="C154" s="180">
        <f t="shared" si="57"/>
        <v>30.4</v>
      </c>
      <c r="D154" s="165">
        <f>IF(B154="","",Simulador!$F$62)</f>
        <v>0.11</v>
      </c>
      <c r="E154" s="167"/>
      <c r="F154" s="167" t="e">
        <f t="shared" si="58"/>
        <v>#REF!</v>
      </c>
      <c r="G154" s="166"/>
      <c r="H154" s="167" t="e">
        <f t="shared" si="46"/>
        <v>#REF!</v>
      </c>
      <c r="I154" s="167" t="e">
        <f t="shared" si="47"/>
        <v>#REF!</v>
      </c>
      <c r="J154" s="167" t="e">
        <f t="shared" si="48"/>
        <v>#REF!</v>
      </c>
      <c r="K154" s="167" t="e">
        <f t="shared" si="59"/>
        <v>#REF!</v>
      </c>
      <c r="L154" s="167" t="e">
        <f>IF(B154="","",IF(F154=0,0,Simulador!$N$13*$J$2))</f>
        <v>#REF!</v>
      </c>
      <c r="M154" s="167" t="e">
        <f>IF(B154="","",IF(F154=0,0,IF(Simulador!$F$11='Tabla Parámetros'!$W$1,'Tabla Parámetros'!$W$28,IF(Simulador!$F$11='Tabla Parámetros'!$Y$1,'Tabla Parámetros'!$Y$12))))</f>
        <v>#REF!</v>
      </c>
      <c r="N154" s="167" t="e">
        <f>IF(B154="","",IF(F154=0,0,IF(Simulador!$N$7='Tabla Parámetros'!$C$31,AportPat!L140,0)))</f>
        <v>#REF!</v>
      </c>
      <c r="O154" s="167" t="e">
        <f>Simulador!#REF!</f>
        <v>#REF!</v>
      </c>
      <c r="P154" s="167" t="e">
        <f t="shared" si="49"/>
        <v>#REF!</v>
      </c>
      <c r="Q154" s="167" t="e">
        <f t="shared" si="50"/>
        <v>#REF!</v>
      </c>
      <c r="T154" s="6"/>
      <c r="U154" s="6"/>
      <c r="V154" s="6"/>
      <c r="W154" s="29" t="e">
        <f t="shared" si="43"/>
        <v>#REF!</v>
      </c>
      <c r="Y154" s="201" t="e">
        <f t="shared" si="44"/>
        <v>#REF!</v>
      </c>
      <c r="Z154" s="201" t="e">
        <f t="shared" si="51"/>
        <v>#REF!</v>
      </c>
      <c r="AA154" s="202" t="e">
        <f t="shared" si="52"/>
        <v>#REF!</v>
      </c>
      <c r="AB154" s="201" t="e">
        <f t="shared" si="53"/>
        <v>#REF!</v>
      </c>
      <c r="AC154" s="201" t="e">
        <f t="shared" si="54"/>
        <v>#REF!</v>
      </c>
      <c r="AD154" s="201" t="e">
        <f t="shared" si="60"/>
        <v>#REF!</v>
      </c>
      <c r="AE154" s="201" t="e">
        <f t="shared" si="55"/>
        <v>#REF!</v>
      </c>
      <c r="AF154" s="201" t="e">
        <f t="shared" si="56"/>
        <v>#REF!</v>
      </c>
      <c r="AG154" s="201" t="e">
        <f t="shared" si="61"/>
        <v>#REF!</v>
      </c>
    </row>
    <row r="155" spans="2:33" x14ac:dyDescent="0.3">
      <c r="B155" s="179">
        <f t="shared" si="45"/>
        <v>138</v>
      </c>
      <c r="C155" s="180">
        <f t="shared" si="57"/>
        <v>30.4</v>
      </c>
      <c r="D155" s="165">
        <f>IF(B155="","",Simulador!$F$62)</f>
        <v>0.11</v>
      </c>
      <c r="E155" s="167"/>
      <c r="F155" s="167" t="e">
        <f t="shared" si="58"/>
        <v>#REF!</v>
      </c>
      <c r="G155" s="166"/>
      <c r="H155" s="167" t="e">
        <f t="shared" si="46"/>
        <v>#REF!</v>
      </c>
      <c r="I155" s="167" t="e">
        <f t="shared" si="47"/>
        <v>#REF!</v>
      </c>
      <c r="J155" s="167" t="e">
        <f t="shared" si="48"/>
        <v>#REF!</v>
      </c>
      <c r="K155" s="167" t="e">
        <f t="shared" si="59"/>
        <v>#REF!</v>
      </c>
      <c r="L155" s="167" t="e">
        <f>IF(B155="","",IF(F155=0,0,Simulador!$N$13*$J$2))</f>
        <v>#REF!</v>
      </c>
      <c r="M155" s="167" t="e">
        <f>IF(B155="","",IF(F155=0,0,IF(Simulador!$F$11='Tabla Parámetros'!$W$1,'Tabla Parámetros'!$W$28,IF(Simulador!$F$11='Tabla Parámetros'!$Y$1,'Tabla Parámetros'!$Y$12))))</f>
        <v>#REF!</v>
      </c>
      <c r="N155" s="167" t="e">
        <f>IF(B155="","",IF(F155=0,0,IF(Simulador!$N$7='Tabla Parámetros'!$C$31,AportPat!L141,0)))</f>
        <v>#REF!</v>
      </c>
      <c r="O155" s="167" t="e">
        <f>Simulador!#REF!</f>
        <v>#REF!</v>
      </c>
      <c r="P155" s="167" t="e">
        <f t="shared" si="49"/>
        <v>#REF!</v>
      </c>
      <c r="Q155" s="167" t="e">
        <f t="shared" si="50"/>
        <v>#REF!</v>
      </c>
      <c r="T155" s="6"/>
      <c r="U155" s="6"/>
      <c r="V155" s="6"/>
      <c r="W155" s="29" t="e">
        <f t="shared" si="43"/>
        <v>#REF!</v>
      </c>
      <c r="Y155" s="201" t="e">
        <f t="shared" si="44"/>
        <v>#REF!</v>
      </c>
      <c r="Z155" s="201" t="e">
        <f t="shared" si="51"/>
        <v>#REF!</v>
      </c>
      <c r="AA155" s="202" t="e">
        <f t="shared" si="52"/>
        <v>#REF!</v>
      </c>
      <c r="AB155" s="201" t="e">
        <f t="shared" si="53"/>
        <v>#REF!</v>
      </c>
      <c r="AC155" s="201" t="e">
        <f t="shared" si="54"/>
        <v>#REF!</v>
      </c>
      <c r="AD155" s="201" t="e">
        <f t="shared" si="60"/>
        <v>#REF!</v>
      </c>
      <c r="AE155" s="201" t="e">
        <f t="shared" si="55"/>
        <v>#REF!</v>
      </c>
      <c r="AF155" s="201" t="e">
        <f t="shared" si="56"/>
        <v>#REF!</v>
      </c>
      <c r="AG155" s="201" t="e">
        <f t="shared" si="61"/>
        <v>#REF!</v>
      </c>
    </row>
    <row r="156" spans="2:33" x14ac:dyDescent="0.3">
      <c r="B156" s="179">
        <f t="shared" si="45"/>
        <v>139</v>
      </c>
      <c r="C156" s="180">
        <f t="shared" si="57"/>
        <v>30.4</v>
      </c>
      <c r="D156" s="165">
        <f>IF(B156="","",Simulador!$F$62)</f>
        <v>0.11</v>
      </c>
      <c r="E156" s="167"/>
      <c r="F156" s="167" t="e">
        <f t="shared" si="58"/>
        <v>#REF!</v>
      </c>
      <c r="G156" s="166"/>
      <c r="H156" s="167" t="e">
        <f t="shared" si="46"/>
        <v>#REF!</v>
      </c>
      <c r="I156" s="167" t="e">
        <f t="shared" si="47"/>
        <v>#REF!</v>
      </c>
      <c r="J156" s="167" t="e">
        <f t="shared" si="48"/>
        <v>#REF!</v>
      </c>
      <c r="K156" s="167" t="e">
        <f t="shared" si="59"/>
        <v>#REF!</v>
      </c>
      <c r="L156" s="167" t="e">
        <f>IF(B156="","",IF(F156=0,0,Simulador!$N$13*$J$2))</f>
        <v>#REF!</v>
      </c>
      <c r="M156" s="167" t="e">
        <f>IF(B156="","",IF(F156=0,0,IF(Simulador!$F$11='Tabla Parámetros'!$W$1,'Tabla Parámetros'!$W$28,IF(Simulador!$F$11='Tabla Parámetros'!$Y$1,'Tabla Parámetros'!$Y$12))))</f>
        <v>#REF!</v>
      </c>
      <c r="N156" s="167" t="e">
        <f>IF(B156="","",IF(F156=0,0,IF(Simulador!$N$7='Tabla Parámetros'!$C$31,AportPat!L142,0)))</f>
        <v>#REF!</v>
      </c>
      <c r="O156" s="167" t="e">
        <f>Simulador!#REF!</f>
        <v>#REF!</v>
      </c>
      <c r="P156" s="167" t="e">
        <f t="shared" si="49"/>
        <v>#REF!</v>
      </c>
      <c r="Q156" s="167" t="e">
        <f t="shared" si="50"/>
        <v>#REF!</v>
      </c>
      <c r="T156" s="6"/>
      <c r="U156" s="6"/>
      <c r="V156" s="6"/>
      <c r="W156" s="29" t="e">
        <f t="shared" si="43"/>
        <v>#REF!</v>
      </c>
      <c r="Y156" s="201" t="e">
        <f t="shared" si="44"/>
        <v>#REF!</v>
      </c>
      <c r="Z156" s="201" t="e">
        <f t="shared" si="51"/>
        <v>#REF!</v>
      </c>
      <c r="AA156" s="202" t="e">
        <f t="shared" si="52"/>
        <v>#REF!</v>
      </c>
      <c r="AB156" s="201" t="e">
        <f t="shared" si="53"/>
        <v>#REF!</v>
      </c>
      <c r="AC156" s="201" t="e">
        <f t="shared" si="54"/>
        <v>#REF!</v>
      </c>
      <c r="AD156" s="201" t="e">
        <f t="shared" si="60"/>
        <v>#REF!</v>
      </c>
      <c r="AE156" s="201" t="e">
        <f t="shared" si="55"/>
        <v>#REF!</v>
      </c>
      <c r="AF156" s="201" t="e">
        <f t="shared" si="56"/>
        <v>#REF!</v>
      </c>
      <c r="AG156" s="201" t="e">
        <f t="shared" si="61"/>
        <v>#REF!</v>
      </c>
    </row>
    <row r="157" spans="2:33" x14ac:dyDescent="0.3">
      <c r="B157" s="179">
        <f t="shared" si="45"/>
        <v>140</v>
      </c>
      <c r="C157" s="180">
        <f t="shared" si="57"/>
        <v>30.4</v>
      </c>
      <c r="D157" s="165">
        <f>IF(B157="","",Simulador!$F$62)</f>
        <v>0.11</v>
      </c>
      <c r="E157" s="167"/>
      <c r="F157" s="167" t="e">
        <f t="shared" si="58"/>
        <v>#REF!</v>
      </c>
      <c r="G157" s="166"/>
      <c r="H157" s="167" t="e">
        <f t="shared" si="46"/>
        <v>#REF!</v>
      </c>
      <c r="I157" s="167" t="e">
        <f t="shared" si="47"/>
        <v>#REF!</v>
      </c>
      <c r="J157" s="167" t="e">
        <f t="shared" si="48"/>
        <v>#REF!</v>
      </c>
      <c r="K157" s="167" t="e">
        <f t="shared" si="59"/>
        <v>#REF!</v>
      </c>
      <c r="L157" s="167" t="e">
        <f>IF(B157="","",IF(F157=0,0,Simulador!$N$13*$J$2))</f>
        <v>#REF!</v>
      </c>
      <c r="M157" s="167" t="e">
        <f>IF(B157="","",IF(F157=0,0,IF(Simulador!$F$11='Tabla Parámetros'!$W$1,'Tabla Parámetros'!$W$28,IF(Simulador!$F$11='Tabla Parámetros'!$Y$1,'Tabla Parámetros'!$Y$12))))</f>
        <v>#REF!</v>
      </c>
      <c r="N157" s="167" t="e">
        <f>IF(B157="","",IF(F157=0,0,IF(Simulador!$N$7='Tabla Parámetros'!$C$31,AportPat!L143,0)))</f>
        <v>#REF!</v>
      </c>
      <c r="O157" s="167" t="e">
        <f>Simulador!#REF!</f>
        <v>#REF!</v>
      </c>
      <c r="P157" s="167" t="e">
        <f t="shared" si="49"/>
        <v>#REF!</v>
      </c>
      <c r="Q157" s="167" t="e">
        <f t="shared" si="50"/>
        <v>#REF!</v>
      </c>
      <c r="T157" s="6"/>
      <c r="U157" s="6"/>
      <c r="V157" s="6"/>
      <c r="W157" s="29" t="e">
        <f t="shared" si="43"/>
        <v>#REF!</v>
      </c>
      <c r="Y157" s="201" t="e">
        <f t="shared" si="44"/>
        <v>#REF!</v>
      </c>
      <c r="Z157" s="201" t="e">
        <f t="shared" si="51"/>
        <v>#REF!</v>
      </c>
      <c r="AA157" s="202" t="e">
        <f t="shared" si="52"/>
        <v>#REF!</v>
      </c>
      <c r="AB157" s="201" t="e">
        <f t="shared" si="53"/>
        <v>#REF!</v>
      </c>
      <c r="AC157" s="201" t="e">
        <f t="shared" si="54"/>
        <v>#REF!</v>
      </c>
      <c r="AD157" s="201" t="e">
        <f t="shared" si="60"/>
        <v>#REF!</v>
      </c>
      <c r="AE157" s="201" t="e">
        <f t="shared" si="55"/>
        <v>#REF!</v>
      </c>
      <c r="AF157" s="201" t="e">
        <f t="shared" si="56"/>
        <v>#REF!</v>
      </c>
      <c r="AG157" s="201" t="e">
        <f t="shared" si="61"/>
        <v>#REF!</v>
      </c>
    </row>
    <row r="158" spans="2:33" x14ac:dyDescent="0.3">
      <c r="B158" s="181">
        <f t="shared" si="45"/>
        <v>141</v>
      </c>
      <c r="C158" s="180">
        <f t="shared" si="57"/>
        <v>30.4</v>
      </c>
      <c r="D158" s="165">
        <f>IF(B158="","",Simulador!$F$62)</f>
        <v>0.11</v>
      </c>
      <c r="E158" s="167"/>
      <c r="F158" s="167" t="e">
        <f t="shared" si="58"/>
        <v>#REF!</v>
      </c>
      <c r="G158" s="166"/>
      <c r="H158" s="167" t="e">
        <f t="shared" si="46"/>
        <v>#REF!</v>
      </c>
      <c r="I158" s="167" t="e">
        <f t="shared" si="47"/>
        <v>#REF!</v>
      </c>
      <c r="J158" s="167" t="e">
        <f t="shared" si="48"/>
        <v>#REF!</v>
      </c>
      <c r="K158" s="167" t="e">
        <f t="shared" si="59"/>
        <v>#REF!</v>
      </c>
      <c r="L158" s="167" t="e">
        <f>IF(B158="","",IF(F158=0,0,Simulador!$N$13*$J$2))</f>
        <v>#REF!</v>
      </c>
      <c r="M158" s="167" t="e">
        <f>IF(B158="","",IF(F158=0,0,IF(Simulador!$F$11='Tabla Parámetros'!$W$1,'Tabla Parámetros'!$W$28,IF(Simulador!$F$11='Tabla Parámetros'!$Y$1,'Tabla Parámetros'!$Y$12))))</f>
        <v>#REF!</v>
      </c>
      <c r="N158" s="167" t="e">
        <f>IF(B158="","",IF(F158=0,0,IF(Simulador!$N$7='Tabla Parámetros'!$C$31,AportPat!L144,0)))</f>
        <v>#REF!</v>
      </c>
      <c r="O158" s="167" t="e">
        <f>Simulador!#REF!</f>
        <v>#REF!</v>
      </c>
      <c r="P158" s="167" t="e">
        <f t="shared" si="49"/>
        <v>#REF!</v>
      </c>
      <c r="Q158" s="167" t="e">
        <f t="shared" si="50"/>
        <v>#REF!</v>
      </c>
      <c r="T158" s="6"/>
      <c r="U158" s="6"/>
      <c r="V158" s="6"/>
      <c r="W158" s="29" t="e">
        <f t="shared" si="43"/>
        <v>#REF!</v>
      </c>
      <c r="Y158" s="201" t="e">
        <f t="shared" si="44"/>
        <v>#REF!</v>
      </c>
      <c r="Z158" s="201" t="e">
        <f t="shared" si="51"/>
        <v>#REF!</v>
      </c>
      <c r="AA158" s="202" t="e">
        <f t="shared" si="52"/>
        <v>#REF!</v>
      </c>
      <c r="AB158" s="201" t="e">
        <f t="shared" si="53"/>
        <v>#REF!</v>
      </c>
      <c r="AC158" s="201" t="e">
        <f t="shared" si="54"/>
        <v>#REF!</v>
      </c>
      <c r="AD158" s="201" t="e">
        <f t="shared" si="60"/>
        <v>#REF!</v>
      </c>
      <c r="AE158" s="201" t="e">
        <f t="shared" si="55"/>
        <v>#REF!</v>
      </c>
      <c r="AF158" s="201" t="e">
        <f t="shared" si="56"/>
        <v>#REF!</v>
      </c>
      <c r="AG158" s="201" t="e">
        <f t="shared" si="61"/>
        <v>#REF!</v>
      </c>
    </row>
    <row r="159" spans="2:33" x14ac:dyDescent="0.3">
      <c r="B159" s="179">
        <f t="shared" si="45"/>
        <v>142</v>
      </c>
      <c r="C159" s="180">
        <f t="shared" si="57"/>
        <v>30.4</v>
      </c>
      <c r="D159" s="165">
        <f>IF(B159="","",Simulador!$F$62)</f>
        <v>0.11</v>
      </c>
      <c r="E159" s="167"/>
      <c r="F159" s="167" t="e">
        <f t="shared" si="58"/>
        <v>#REF!</v>
      </c>
      <c r="G159" s="166"/>
      <c r="H159" s="167" t="e">
        <f t="shared" si="46"/>
        <v>#REF!</v>
      </c>
      <c r="I159" s="167" t="e">
        <f t="shared" si="47"/>
        <v>#REF!</v>
      </c>
      <c r="J159" s="167" t="e">
        <f t="shared" si="48"/>
        <v>#REF!</v>
      </c>
      <c r="K159" s="167" t="e">
        <f t="shared" si="59"/>
        <v>#REF!</v>
      </c>
      <c r="L159" s="167" t="e">
        <f>IF(B159="","",IF(F159=0,0,Simulador!$N$13*$J$2))</f>
        <v>#REF!</v>
      </c>
      <c r="M159" s="167" t="e">
        <f>IF(B159="","",IF(F159=0,0,IF(Simulador!$F$11='Tabla Parámetros'!$W$1,'Tabla Parámetros'!$W$28,IF(Simulador!$F$11='Tabla Parámetros'!$Y$1,'Tabla Parámetros'!$Y$12))))</f>
        <v>#REF!</v>
      </c>
      <c r="N159" s="167" t="e">
        <f>IF(B159="","",IF(F159=0,0,IF(Simulador!$N$7='Tabla Parámetros'!$C$31,AportPat!L145,0)))</f>
        <v>#REF!</v>
      </c>
      <c r="O159" s="167" t="e">
        <f>Simulador!#REF!</f>
        <v>#REF!</v>
      </c>
      <c r="P159" s="167" t="e">
        <f t="shared" si="49"/>
        <v>#REF!</v>
      </c>
      <c r="Q159" s="167" t="e">
        <f t="shared" si="50"/>
        <v>#REF!</v>
      </c>
      <c r="T159" s="6"/>
      <c r="U159" s="6"/>
      <c r="V159" s="6"/>
      <c r="W159" s="29" t="e">
        <f t="shared" si="43"/>
        <v>#REF!</v>
      </c>
      <c r="Y159" s="201" t="e">
        <f t="shared" si="44"/>
        <v>#REF!</v>
      </c>
      <c r="Z159" s="201" t="e">
        <f t="shared" si="51"/>
        <v>#REF!</v>
      </c>
      <c r="AA159" s="202" t="e">
        <f t="shared" si="52"/>
        <v>#REF!</v>
      </c>
      <c r="AB159" s="201" t="e">
        <f t="shared" si="53"/>
        <v>#REF!</v>
      </c>
      <c r="AC159" s="201" t="e">
        <f t="shared" si="54"/>
        <v>#REF!</v>
      </c>
      <c r="AD159" s="201" t="e">
        <f t="shared" si="60"/>
        <v>#REF!</v>
      </c>
      <c r="AE159" s="201" t="e">
        <f t="shared" si="55"/>
        <v>#REF!</v>
      </c>
      <c r="AF159" s="201" t="e">
        <f t="shared" si="56"/>
        <v>#REF!</v>
      </c>
      <c r="AG159" s="201" t="e">
        <f t="shared" si="61"/>
        <v>#REF!</v>
      </c>
    </row>
    <row r="160" spans="2:33" x14ac:dyDescent="0.3">
      <c r="B160" s="179">
        <f t="shared" si="45"/>
        <v>143</v>
      </c>
      <c r="C160" s="180">
        <f t="shared" si="57"/>
        <v>30.4</v>
      </c>
      <c r="D160" s="165">
        <f>IF(B160="","",Simulador!$F$62)</f>
        <v>0.11</v>
      </c>
      <c r="E160" s="167"/>
      <c r="F160" s="167" t="e">
        <f t="shared" si="58"/>
        <v>#REF!</v>
      </c>
      <c r="G160" s="166"/>
      <c r="H160" s="167" t="e">
        <f t="shared" si="46"/>
        <v>#REF!</v>
      </c>
      <c r="I160" s="167" t="e">
        <f t="shared" si="47"/>
        <v>#REF!</v>
      </c>
      <c r="J160" s="167" t="e">
        <f t="shared" si="48"/>
        <v>#REF!</v>
      </c>
      <c r="K160" s="167" t="e">
        <f t="shared" si="59"/>
        <v>#REF!</v>
      </c>
      <c r="L160" s="167" t="e">
        <f>IF(B160="","",IF(F160=0,0,Simulador!$N$13*$J$2))</f>
        <v>#REF!</v>
      </c>
      <c r="M160" s="167" t="e">
        <f>IF(B160="","",IF(F160=0,0,IF(Simulador!$F$11='Tabla Parámetros'!$W$1,'Tabla Parámetros'!$W$28,IF(Simulador!$F$11='Tabla Parámetros'!$Y$1,'Tabla Parámetros'!$Y$12))))</f>
        <v>#REF!</v>
      </c>
      <c r="N160" s="167" t="e">
        <f>IF(B160="","",IF(F160=0,0,IF(Simulador!$N$7='Tabla Parámetros'!$C$31,AportPat!L146,0)))</f>
        <v>#REF!</v>
      </c>
      <c r="O160" s="167" t="e">
        <f>Simulador!#REF!</f>
        <v>#REF!</v>
      </c>
      <c r="P160" s="167" t="e">
        <f t="shared" si="49"/>
        <v>#REF!</v>
      </c>
      <c r="Q160" s="167" t="e">
        <f t="shared" si="50"/>
        <v>#REF!</v>
      </c>
      <c r="T160" s="6"/>
      <c r="U160" s="6"/>
      <c r="V160" s="6"/>
      <c r="W160" s="29" t="e">
        <f t="shared" si="43"/>
        <v>#REF!</v>
      </c>
      <c r="Y160" s="201" t="e">
        <f t="shared" si="44"/>
        <v>#REF!</v>
      </c>
      <c r="Z160" s="201" t="e">
        <f t="shared" si="51"/>
        <v>#REF!</v>
      </c>
      <c r="AA160" s="202" t="e">
        <f t="shared" si="52"/>
        <v>#REF!</v>
      </c>
      <c r="AB160" s="201" t="e">
        <f t="shared" si="53"/>
        <v>#REF!</v>
      </c>
      <c r="AC160" s="201" t="e">
        <f t="shared" si="54"/>
        <v>#REF!</v>
      </c>
      <c r="AD160" s="201" t="e">
        <f t="shared" si="60"/>
        <v>#REF!</v>
      </c>
      <c r="AE160" s="201" t="e">
        <f t="shared" si="55"/>
        <v>#REF!</v>
      </c>
      <c r="AF160" s="201" t="e">
        <f t="shared" si="56"/>
        <v>#REF!</v>
      </c>
      <c r="AG160" s="201" t="e">
        <f t="shared" si="61"/>
        <v>#REF!</v>
      </c>
    </row>
    <row r="161" spans="2:33" x14ac:dyDescent="0.3">
      <c r="B161" s="179">
        <f t="shared" si="45"/>
        <v>144</v>
      </c>
      <c r="C161" s="180">
        <f t="shared" si="57"/>
        <v>30.4</v>
      </c>
      <c r="D161" s="165">
        <f>IF(B161="","",Simulador!$F$62)</f>
        <v>0.11</v>
      </c>
      <c r="E161" s="167"/>
      <c r="F161" s="167" t="e">
        <f t="shared" si="58"/>
        <v>#REF!</v>
      </c>
      <c r="G161" s="166"/>
      <c r="H161" s="167" t="e">
        <f t="shared" si="46"/>
        <v>#REF!</v>
      </c>
      <c r="I161" s="167" t="e">
        <f t="shared" si="47"/>
        <v>#REF!</v>
      </c>
      <c r="J161" s="167" t="e">
        <f t="shared" si="48"/>
        <v>#REF!</v>
      </c>
      <c r="K161" s="167" t="e">
        <f t="shared" si="59"/>
        <v>#REF!</v>
      </c>
      <c r="L161" s="167" t="e">
        <f>IF(B161="","",IF(F161=0,0,Simulador!$N$13*$J$2))</f>
        <v>#REF!</v>
      </c>
      <c r="M161" s="167" t="e">
        <f>IF(B161="","",IF(F161=0,0,IF(Simulador!$F$11='Tabla Parámetros'!$W$1,'Tabla Parámetros'!$W$28,IF(Simulador!$F$11='Tabla Parámetros'!$Y$1,'Tabla Parámetros'!$Y$12))))</f>
        <v>#REF!</v>
      </c>
      <c r="N161" s="167" t="e">
        <f>IF(B161="","",IF(F161=0,0,IF(Simulador!$N$7='Tabla Parámetros'!$C$31,AportPat!L147,0)))</f>
        <v>#REF!</v>
      </c>
      <c r="O161" s="167" t="e">
        <f>Simulador!#REF!</f>
        <v>#REF!</v>
      </c>
      <c r="P161" s="167" t="e">
        <f t="shared" si="49"/>
        <v>#REF!</v>
      </c>
      <c r="Q161" s="167" t="e">
        <f t="shared" si="50"/>
        <v>#REF!</v>
      </c>
      <c r="T161" s="6"/>
      <c r="U161" s="6"/>
      <c r="V161" s="6"/>
      <c r="W161" s="29" t="e">
        <f t="shared" si="43"/>
        <v>#REF!</v>
      </c>
      <c r="Y161" s="201" t="e">
        <f t="shared" si="44"/>
        <v>#REF!</v>
      </c>
      <c r="Z161" s="201" t="e">
        <f t="shared" si="51"/>
        <v>#REF!</v>
      </c>
      <c r="AA161" s="202" t="e">
        <f t="shared" si="52"/>
        <v>#REF!</v>
      </c>
      <c r="AB161" s="201" t="e">
        <f t="shared" si="53"/>
        <v>#REF!</v>
      </c>
      <c r="AC161" s="201" t="e">
        <f t="shared" si="54"/>
        <v>#REF!</v>
      </c>
      <c r="AD161" s="201" t="e">
        <f t="shared" si="60"/>
        <v>#REF!</v>
      </c>
      <c r="AE161" s="201" t="e">
        <f t="shared" si="55"/>
        <v>#REF!</v>
      </c>
      <c r="AF161" s="201" t="e">
        <f t="shared" si="56"/>
        <v>#REF!</v>
      </c>
      <c r="AG161" s="201" t="e">
        <f t="shared" si="61"/>
        <v>#REF!</v>
      </c>
    </row>
    <row r="162" spans="2:33" x14ac:dyDescent="0.3">
      <c r="B162" s="181">
        <f t="shared" si="45"/>
        <v>145</v>
      </c>
      <c r="C162" s="180">
        <f t="shared" si="57"/>
        <v>30.4</v>
      </c>
      <c r="D162" s="165">
        <f>IF(B162="","",Simulador!$F$62)</f>
        <v>0.11</v>
      </c>
      <c r="E162" s="167"/>
      <c r="F162" s="167" t="e">
        <f t="shared" si="58"/>
        <v>#REF!</v>
      </c>
      <c r="G162" s="166"/>
      <c r="H162" s="167" t="e">
        <f t="shared" si="46"/>
        <v>#REF!</v>
      </c>
      <c r="I162" s="167" t="e">
        <f t="shared" si="47"/>
        <v>#REF!</v>
      </c>
      <c r="J162" s="167" t="e">
        <f t="shared" si="48"/>
        <v>#REF!</v>
      </c>
      <c r="K162" s="167" t="e">
        <f t="shared" si="59"/>
        <v>#REF!</v>
      </c>
      <c r="L162" s="167" t="e">
        <f>IF(B162="","",IF(F162=0,0,Simulador!$N$13*$J$2))</f>
        <v>#REF!</v>
      </c>
      <c r="M162" s="167" t="e">
        <f>IF(B162="","",IF(F162=0,0,IF(Simulador!$F$11='Tabla Parámetros'!$W$1,'Tabla Parámetros'!$W$28,IF(Simulador!$F$11='Tabla Parámetros'!$Y$1,'Tabla Parámetros'!$Y$12))))</f>
        <v>#REF!</v>
      </c>
      <c r="N162" s="167" t="e">
        <f>IF(B162="","",IF(F162=0,0,IF(Simulador!$N$7='Tabla Parámetros'!$C$31,AportPat!L148,0)))</f>
        <v>#REF!</v>
      </c>
      <c r="O162" s="167" t="e">
        <f>Simulador!#REF!</f>
        <v>#REF!</v>
      </c>
      <c r="P162" s="167" t="e">
        <f t="shared" si="49"/>
        <v>#REF!</v>
      </c>
      <c r="Q162" s="167" t="e">
        <f t="shared" si="50"/>
        <v>#REF!</v>
      </c>
      <c r="T162" s="6"/>
      <c r="U162" s="6"/>
      <c r="V162" s="6"/>
      <c r="W162" s="29" t="e">
        <f t="shared" si="43"/>
        <v>#REF!</v>
      </c>
      <c r="Y162" s="201" t="e">
        <f t="shared" si="44"/>
        <v>#REF!</v>
      </c>
      <c r="Z162" s="201" t="e">
        <f t="shared" si="51"/>
        <v>#REF!</v>
      </c>
      <c r="AA162" s="202" t="e">
        <f t="shared" si="52"/>
        <v>#REF!</v>
      </c>
      <c r="AB162" s="201" t="e">
        <f t="shared" si="53"/>
        <v>#REF!</v>
      </c>
      <c r="AC162" s="201" t="e">
        <f t="shared" si="54"/>
        <v>#REF!</v>
      </c>
      <c r="AD162" s="201" t="e">
        <f t="shared" si="60"/>
        <v>#REF!</v>
      </c>
      <c r="AE162" s="201" t="e">
        <f t="shared" si="55"/>
        <v>#REF!</v>
      </c>
      <c r="AF162" s="201" t="e">
        <f t="shared" si="56"/>
        <v>#REF!</v>
      </c>
      <c r="AG162" s="201" t="e">
        <f t="shared" si="61"/>
        <v>#REF!</v>
      </c>
    </row>
    <row r="163" spans="2:33" x14ac:dyDescent="0.3">
      <c r="B163" s="179">
        <f t="shared" si="45"/>
        <v>146</v>
      </c>
      <c r="C163" s="180">
        <f t="shared" si="57"/>
        <v>30.4</v>
      </c>
      <c r="D163" s="165">
        <f>IF(B163="","",Simulador!$F$62)</f>
        <v>0.11</v>
      </c>
      <c r="E163" s="167"/>
      <c r="F163" s="167" t="e">
        <f t="shared" si="58"/>
        <v>#REF!</v>
      </c>
      <c r="G163" s="166"/>
      <c r="H163" s="167" t="e">
        <f t="shared" si="46"/>
        <v>#REF!</v>
      </c>
      <c r="I163" s="167" t="e">
        <f t="shared" si="47"/>
        <v>#REF!</v>
      </c>
      <c r="J163" s="167" t="e">
        <f t="shared" si="48"/>
        <v>#REF!</v>
      </c>
      <c r="K163" s="167" t="e">
        <f t="shared" si="59"/>
        <v>#REF!</v>
      </c>
      <c r="L163" s="167" t="e">
        <f>IF(B163="","",IF(F163=0,0,Simulador!$N$13*$J$2))</f>
        <v>#REF!</v>
      </c>
      <c r="M163" s="167" t="e">
        <f>IF(B163="","",IF(F163=0,0,IF(Simulador!$F$11='Tabla Parámetros'!$W$1,'Tabla Parámetros'!$W$28,IF(Simulador!$F$11='Tabla Parámetros'!$Y$1,'Tabla Parámetros'!$Y$12))))</f>
        <v>#REF!</v>
      </c>
      <c r="N163" s="167" t="e">
        <f>IF(B163="","",IF(F163=0,0,IF(Simulador!$N$7='Tabla Parámetros'!$C$31,AportPat!L149,0)))</f>
        <v>#REF!</v>
      </c>
      <c r="O163" s="167" t="e">
        <f>Simulador!#REF!</f>
        <v>#REF!</v>
      </c>
      <c r="P163" s="167" t="e">
        <f t="shared" si="49"/>
        <v>#REF!</v>
      </c>
      <c r="Q163" s="167" t="e">
        <f t="shared" si="50"/>
        <v>#REF!</v>
      </c>
      <c r="T163" s="6"/>
      <c r="U163" s="6"/>
      <c r="V163" s="6"/>
      <c r="W163" s="29" t="e">
        <f t="shared" si="43"/>
        <v>#REF!</v>
      </c>
      <c r="Y163" s="201" t="e">
        <f t="shared" si="44"/>
        <v>#REF!</v>
      </c>
      <c r="Z163" s="201" t="e">
        <f t="shared" si="51"/>
        <v>#REF!</v>
      </c>
      <c r="AA163" s="202" t="e">
        <f t="shared" si="52"/>
        <v>#REF!</v>
      </c>
      <c r="AB163" s="201" t="e">
        <f t="shared" si="53"/>
        <v>#REF!</v>
      </c>
      <c r="AC163" s="201" t="e">
        <f t="shared" si="54"/>
        <v>#REF!</v>
      </c>
      <c r="AD163" s="201" t="e">
        <f t="shared" si="60"/>
        <v>#REF!</v>
      </c>
      <c r="AE163" s="201" t="e">
        <f t="shared" si="55"/>
        <v>#REF!</v>
      </c>
      <c r="AF163" s="201" t="e">
        <f t="shared" si="56"/>
        <v>#REF!</v>
      </c>
      <c r="AG163" s="201" t="e">
        <f t="shared" si="61"/>
        <v>#REF!</v>
      </c>
    </row>
    <row r="164" spans="2:33" x14ac:dyDescent="0.3">
      <c r="B164" s="179">
        <f t="shared" si="45"/>
        <v>147</v>
      </c>
      <c r="C164" s="180">
        <f t="shared" si="57"/>
        <v>30.4</v>
      </c>
      <c r="D164" s="165">
        <f>IF(B164="","",Simulador!$F$62)</f>
        <v>0.11</v>
      </c>
      <c r="E164" s="167"/>
      <c r="F164" s="167" t="e">
        <f t="shared" si="58"/>
        <v>#REF!</v>
      </c>
      <c r="G164" s="166"/>
      <c r="H164" s="167" t="e">
        <f t="shared" si="46"/>
        <v>#REF!</v>
      </c>
      <c r="I164" s="167" t="e">
        <f t="shared" si="47"/>
        <v>#REF!</v>
      </c>
      <c r="J164" s="167" t="e">
        <f t="shared" si="48"/>
        <v>#REF!</v>
      </c>
      <c r="K164" s="167" t="e">
        <f t="shared" si="59"/>
        <v>#REF!</v>
      </c>
      <c r="L164" s="167" t="e">
        <f>IF(B164="","",IF(F164=0,0,Simulador!$N$13*$J$2))</f>
        <v>#REF!</v>
      </c>
      <c r="M164" s="167" t="e">
        <f>IF(B164="","",IF(F164=0,0,IF(Simulador!$F$11='Tabla Parámetros'!$W$1,'Tabla Parámetros'!$W$28,IF(Simulador!$F$11='Tabla Parámetros'!$Y$1,'Tabla Parámetros'!$Y$12))))</f>
        <v>#REF!</v>
      </c>
      <c r="N164" s="167" t="e">
        <f>IF(B164="","",IF(F164=0,0,IF(Simulador!$N$7='Tabla Parámetros'!$C$31,AportPat!L150,0)))</f>
        <v>#REF!</v>
      </c>
      <c r="O164" s="167" t="e">
        <f>Simulador!#REF!</f>
        <v>#REF!</v>
      </c>
      <c r="P164" s="167" t="e">
        <f t="shared" si="49"/>
        <v>#REF!</v>
      </c>
      <c r="Q164" s="167" t="e">
        <f t="shared" si="50"/>
        <v>#REF!</v>
      </c>
      <c r="T164" s="6"/>
      <c r="U164" s="6"/>
      <c r="V164" s="6"/>
      <c r="W164" s="29" t="e">
        <f t="shared" si="43"/>
        <v>#REF!</v>
      </c>
      <c r="Y164" s="201" t="e">
        <f t="shared" si="44"/>
        <v>#REF!</v>
      </c>
      <c r="Z164" s="201" t="e">
        <f t="shared" si="51"/>
        <v>#REF!</v>
      </c>
      <c r="AA164" s="202" t="e">
        <f t="shared" si="52"/>
        <v>#REF!</v>
      </c>
      <c r="AB164" s="201" t="e">
        <f t="shared" si="53"/>
        <v>#REF!</v>
      </c>
      <c r="AC164" s="201" t="e">
        <f t="shared" si="54"/>
        <v>#REF!</v>
      </c>
      <c r="AD164" s="201" t="e">
        <f t="shared" si="60"/>
        <v>#REF!</v>
      </c>
      <c r="AE164" s="201" t="e">
        <f t="shared" si="55"/>
        <v>#REF!</v>
      </c>
      <c r="AF164" s="201" t="e">
        <f t="shared" si="56"/>
        <v>#REF!</v>
      </c>
      <c r="AG164" s="201" t="e">
        <f t="shared" si="61"/>
        <v>#REF!</v>
      </c>
    </row>
    <row r="165" spans="2:33" x14ac:dyDescent="0.3">
      <c r="B165" s="179">
        <f t="shared" si="45"/>
        <v>148</v>
      </c>
      <c r="C165" s="180">
        <f t="shared" si="57"/>
        <v>30.4</v>
      </c>
      <c r="D165" s="165">
        <f>IF(B165="","",Simulador!$F$62)</f>
        <v>0.11</v>
      </c>
      <c r="E165" s="167"/>
      <c r="F165" s="167" t="e">
        <f t="shared" si="58"/>
        <v>#REF!</v>
      </c>
      <c r="G165" s="166"/>
      <c r="H165" s="167" t="e">
        <f t="shared" si="46"/>
        <v>#REF!</v>
      </c>
      <c r="I165" s="167" t="e">
        <f t="shared" si="47"/>
        <v>#REF!</v>
      </c>
      <c r="J165" s="167" t="e">
        <f t="shared" si="48"/>
        <v>#REF!</v>
      </c>
      <c r="K165" s="167" t="e">
        <f t="shared" si="59"/>
        <v>#REF!</v>
      </c>
      <c r="L165" s="167" t="e">
        <f>IF(B165="","",IF(F165=0,0,Simulador!$N$13*$J$2))</f>
        <v>#REF!</v>
      </c>
      <c r="M165" s="167" t="e">
        <f>IF(B165="","",IF(F165=0,0,IF(Simulador!$F$11='Tabla Parámetros'!$W$1,'Tabla Parámetros'!$W$28,IF(Simulador!$F$11='Tabla Parámetros'!$Y$1,'Tabla Parámetros'!$Y$12))))</f>
        <v>#REF!</v>
      </c>
      <c r="N165" s="167" t="e">
        <f>IF(B165="","",IF(F165=0,0,IF(Simulador!$N$7='Tabla Parámetros'!$C$31,AportPat!L151,0)))</f>
        <v>#REF!</v>
      </c>
      <c r="O165" s="167" t="e">
        <f>Simulador!#REF!</f>
        <v>#REF!</v>
      </c>
      <c r="P165" s="167" t="e">
        <f t="shared" si="49"/>
        <v>#REF!</v>
      </c>
      <c r="Q165" s="167" t="e">
        <f t="shared" si="50"/>
        <v>#REF!</v>
      </c>
      <c r="T165" s="6"/>
      <c r="U165" s="6"/>
      <c r="V165" s="6"/>
      <c r="W165" s="29" t="e">
        <f t="shared" si="43"/>
        <v>#REF!</v>
      </c>
      <c r="Y165" s="201" t="e">
        <f t="shared" si="44"/>
        <v>#REF!</v>
      </c>
      <c r="Z165" s="201" t="e">
        <f t="shared" si="51"/>
        <v>#REF!</v>
      </c>
      <c r="AA165" s="202" t="e">
        <f t="shared" si="52"/>
        <v>#REF!</v>
      </c>
      <c r="AB165" s="201" t="e">
        <f t="shared" si="53"/>
        <v>#REF!</v>
      </c>
      <c r="AC165" s="201" t="e">
        <f t="shared" si="54"/>
        <v>#REF!</v>
      </c>
      <c r="AD165" s="201" t="e">
        <f t="shared" si="60"/>
        <v>#REF!</v>
      </c>
      <c r="AE165" s="201" t="e">
        <f t="shared" si="55"/>
        <v>#REF!</v>
      </c>
      <c r="AF165" s="201" t="e">
        <f t="shared" si="56"/>
        <v>#REF!</v>
      </c>
      <c r="AG165" s="201" t="e">
        <f t="shared" si="61"/>
        <v>#REF!</v>
      </c>
    </row>
    <row r="166" spans="2:33" x14ac:dyDescent="0.3">
      <c r="B166" s="181">
        <f t="shared" si="45"/>
        <v>149</v>
      </c>
      <c r="C166" s="180">
        <f t="shared" si="57"/>
        <v>30.4</v>
      </c>
      <c r="D166" s="165">
        <f>IF(B166="","",Simulador!$F$62)</f>
        <v>0.11</v>
      </c>
      <c r="E166" s="167"/>
      <c r="F166" s="167" t="e">
        <f t="shared" si="58"/>
        <v>#REF!</v>
      </c>
      <c r="G166" s="166"/>
      <c r="H166" s="167" t="e">
        <f t="shared" si="46"/>
        <v>#REF!</v>
      </c>
      <c r="I166" s="167" t="e">
        <f t="shared" si="47"/>
        <v>#REF!</v>
      </c>
      <c r="J166" s="167" t="e">
        <f t="shared" si="48"/>
        <v>#REF!</v>
      </c>
      <c r="K166" s="167" t="e">
        <f t="shared" si="59"/>
        <v>#REF!</v>
      </c>
      <c r="L166" s="167" t="e">
        <f>IF(B166="","",IF(F166=0,0,Simulador!$N$13*$J$2))</f>
        <v>#REF!</v>
      </c>
      <c r="M166" s="167" t="e">
        <f>IF(B166="","",IF(F166=0,0,IF(Simulador!$F$11='Tabla Parámetros'!$W$1,'Tabla Parámetros'!$W$28,IF(Simulador!$F$11='Tabla Parámetros'!$Y$1,'Tabla Parámetros'!$Y$12))))</f>
        <v>#REF!</v>
      </c>
      <c r="N166" s="167" t="e">
        <f>IF(B166="","",IF(F166=0,0,IF(Simulador!$N$7='Tabla Parámetros'!$C$31,AportPat!L152,0)))</f>
        <v>#REF!</v>
      </c>
      <c r="O166" s="167" t="e">
        <f>Simulador!#REF!</f>
        <v>#REF!</v>
      </c>
      <c r="P166" s="167" t="e">
        <f t="shared" si="49"/>
        <v>#REF!</v>
      </c>
      <c r="Q166" s="167" t="e">
        <f t="shared" si="50"/>
        <v>#REF!</v>
      </c>
      <c r="T166" s="6"/>
      <c r="U166" s="6"/>
      <c r="V166" s="6"/>
      <c r="W166" s="29" t="e">
        <f t="shared" si="43"/>
        <v>#REF!</v>
      </c>
      <c r="Y166" s="201" t="e">
        <f t="shared" si="44"/>
        <v>#REF!</v>
      </c>
      <c r="Z166" s="201" t="e">
        <f t="shared" si="51"/>
        <v>#REF!</v>
      </c>
      <c r="AA166" s="202" t="e">
        <f t="shared" si="52"/>
        <v>#REF!</v>
      </c>
      <c r="AB166" s="201" t="e">
        <f t="shared" si="53"/>
        <v>#REF!</v>
      </c>
      <c r="AC166" s="201" t="e">
        <f t="shared" si="54"/>
        <v>#REF!</v>
      </c>
      <c r="AD166" s="201" t="e">
        <f t="shared" si="60"/>
        <v>#REF!</v>
      </c>
      <c r="AE166" s="201" t="e">
        <f t="shared" si="55"/>
        <v>#REF!</v>
      </c>
      <c r="AF166" s="201" t="e">
        <f t="shared" si="56"/>
        <v>#REF!</v>
      </c>
      <c r="AG166" s="201" t="e">
        <f t="shared" si="61"/>
        <v>#REF!</v>
      </c>
    </row>
    <row r="167" spans="2:33" x14ac:dyDescent="0.3">
      <c r="B167" s="179">
        <f t="shared" si="45"/>
        <v>150</v>
      </c>
      <c r="C167" s="180">
        <f t="shared" si="57"/>
        <v>30.4</v>
      </c>
      <c r="D167" s="165">
        <f>IF(B167="","",Simulador!$F$62)</f>
        <v>0.11</v>
      </c>
      <c r="E167" s="167"/>
      <c r="F167" s="167" t="e">
        <f t="shared" si="58"/>
        <v>#REF!</v>
      </c>
      <c r="G167" s="166"/>
      <c r="H167" s="167" t="e">
        <f t="shared" si="46"/>
        <v>#REF!</v>
      </c>
      <c r="I167" s="167" t="e">
        <f t="shared" si="47"/>
        <v>#REF!</v>
      </c>
      <c r="J167" s="167" t="e">
        <f t="shared" si="48"/>
        <v>#REF!</v>
      </c>
      <c r="K167" s="167" t="e">
        <f t="shared" si="59"/>
        <v>#REF!</v>
      </c>
      <c r="L167" s="167" t="e">
        <f>IF(B167="","",IF(F167=0,0,Simulador!$N$13*$J$2))</f>
        <v>#REF!</v>
      </c>
      <c r="M167" s="167" t="e">
        <f>IF(B167="","",IF(F167=0,0,IF(Simulador!$F$11='Tabla Parámetros'!$W$1,'Tabla Parámetros'!$W$28,IF(Simulador!$F$11='Tabla Parámetros'!$Y$1,'Tabla Parámetros'!$Y$12))))</f>
        <v>#REF!</v>
      </c>
      <c r="N167" s="167" t="e">
        <f>IF(B167="","",IF(F167=0,0,IF(Simulador!$N$7='Tabla Parámetros'!$C$31,AportPat!L153,0)))</f>
        <v>#REF!</v>
      </c>
      <c r="O167" s="167" t="e">
        <f>Simulador!#REF!</f>
        <v>#REF!</v>
      </c>
      <c r="P167" s="167" t="e">
        <f t="shared" si="49"/>
        <v>#REF!</v>
      </c>
      <c r="Q167" s="167" t="e">
        <f t="shared" si="50"/>
        <v>#REF!</v>
      </c>
      <c r="T167" s="6"/>
      <c r="U167" s="6"/>
      <c r="V167" s="6"/>
      <c r="W167" s="29" t="e">
        <f t="shared" si="43"/>
        <v>#REF!</v>
      </c>
      <c r="Y167" s="201" t="e">
        <f t="shared" si="44"/>
        <v>#REF!</v>
      </c>
      <c r="Z167" s="201" t="e">
        <f t="shared" si="51"/>
        <v>#REF!</v>
      </c>
      <c r="AA167" s="202" t="e">
        <f t="shared" si="52"/>
        <v>#REF!</v>
      </c>
      <c r="AB167" s="201" t="e">
        <f t="shared" si="53"/>
        <v>#REF!</v>
      </c>
      <c r="AC167" s="201" t="e">
        <f t="shared" si="54"/>
        <v>#REF!</v>
      </c>
      <c r="AD167" s="201" t="e">
        <f t="shared" si="60"/>
        <v>#REF!</v>
      </c>
      <c r="AE167" s="201" t="e">
        <f t="shared" si="55"/>
        <v>#REF!</v>
      </c>
      <c r="AF167" s="201" t="e">
        <f t="shared" si="56"/>
        <v>#REF!</v>
      </c>
      <c r="AG167" s="201" t="e">
        <f t="shared" si="61"/>
        <v>#REF!</v>
      </c>
    </row>
    <row r="168" spans="2:33" x14ac:dyDescent="0.3">
      <c r="B168" s="179">
        <f t="shared" si="45"/>
        <v>151</v>
      </c>
      <c r="C168" s="180">
        <f t="shared" si="57"/>
        <v>30.4</v>
      </c>
      <c r="D168" s="165">
        <f>IF(B168="","",Simulador!$F$62)</f>
        <v>0.11</v>
      </c>
      <c r="E168" s="167"/>
      <c r="F168" s="167" t="e">
        <f t="shared" si="58"/>
        <v>#REF!</v>
      </c>
      <c r="G168" s="166"/>
      <c r="H168" s="167" t="e">
        <f t="shared" si="46"/>
        <v>#REF!</v>
      </c>
      <c r="I168" s="167" t="e">
        <f t="shared" si="47"/>
        <v>#REF!</v>
      </c>
      <c r="J168" s="167" t="e">
        <f t="shared" si="48"/>
        <v>#REF!</v>
      </c>
      <c r="K168" s="167" t="e">
        <f t="shared" si="59"/>
        <v>#REF!</v>
      </c>
      <c r="L168" s="167" t="e">
        <f>IF(B168="","",IF(F168=0,0,Simulador!$N$13*$J$2))</f>
        <v>#REF!</v>
      </c>
      <c r="M168" s="167" t="e">
        <f>IF(B168="","",IF(F168=0,0,IF(Simulador!$F$11='Tabla Parámetros'!$W$1,'Tabla Parámetros'!$W$28,IF(Simulador!$F$11='Tabla Parámetros'!$Y$1,'Tabla Parámetros'!$Y$12))))</f>
        <v>#REF!</v>
      </c>
      <c r="N168" s="167" t="e">
        <f>IF(B168="","",IF(F168=0,0,IF(Simulador!$N$7='Tabla Parámetros'!$C$31,AportPat!L154,0)))</f>
        <v>#REF!</v>
      </c>
      <c r="O168" s="167" t="e">
        <f>Simulador!#REF!</f>
        <v>#REF!</v>
      </c>
      <c r="P168" s="167" t="e">
        <f t="shared" si="49"/>
        <v>#REF!</v>
      </c>
      <c r="Q168" s="167" t="e">
        <f t="shared" si="50"/>
        <v>#REF!</v>
      </c>
      <c r="T168" s="6"/>
      <c r="U168" s="6"/>
      <c r="V168" s="6"/>
      <c r="W168" s="29" t="e">
        <f t="shared" si="43"/>
        <v>#REF!</v>
      </c>
      <c r="Y168" s="201" t="e">
        <f t="shared" si="44"/>
        <v>#REF!</v>
      </c>
      <c r="Z168" s="201" t="e">
        <f t="shared" si="51"/>
        <v>#REF!</v>
      </c>
      <c r="AA168" s="202" t="e">
        <f t="shared" si="52"/>
        <v>#REF!</v>
      </c>
      <c r="AB168" s="201" t="e">
        <f t="shared" si="53"/>
        <v>#REF!</v>
      </c>
      <c r="AC168" s="201" t="e">
        <f t="shared" si="54"/>
        <v>#REF!</v>
      </c>
      <c r="AD168" s="201" t="e">
        <f t="shared" si="60"/>
        <v>#REF!</v>
      </c>
      <c r="AE168" s="201" t="e">
        <f t="shared" si="55"/>
        <v>#REF!</v>
      </c>
      <c r="AF168" s="201" t="e">
        <f t="shared" si="56"/>
        <v>#REF!</v>
      </c>
      <c r="AG168" s="201" t="e">
        <f t="shared" si="61"/>
        <v>#REF!</v>
      </c>
    </row>
    <row r="169" spans="2:33" x14ac:dyDescent="0.3">
      <c r="B169" s="179">
        <f t="shared" si="45"/>
        <v>152</v>
      </c>
      <c r="C169" s="180">
        <f t="shared" si="57"/>
        <v>30.4</v>
      </c>
      <c r="D169" s="165">
        <f>IF(B169="","",Simulador!$F$62)</f>
        <v>0.11</v>
      </c>
      <c r="E169" s="167"/>
      <c r="F169" s="167" t="e">
        <f t="shared" si="58"/>
        <v>#REF!</v>
      </c>
      <c r="G169" s="166"/>
      <c r="H169" s="167" t="e">
        <f t="shared" si="46"/>
        <v>#REF!</v>
      </c>
      <c r="I169" s="167" t="e">
        <f t="shared" si="47"/>
        <v>#REF!</v>
      </c>
      <c r="J169" s="167" t="e">
        <f t="shared" si="48"/>
        <v>#REF!</v>
      </c>
      <c r="K169" s="167" t="e">
        <f t="shared" si="59"/>
        <v>#REF!</v>
      </c>
      <c r="L169" s="167" t="e">
        <f>IF(B169="","",IF(F169=0,0,Simulador!$N$13*$J$2))</f>
        <v>#REF!</v>
      </c>
      <c r="M169" s="167" t="e">
        <f>IF(B169="","",IF(F169=0,0,IF(Simulador!$F$11='Tabla Parámetros'!$W$1,'Tabla Parámetros'!$W$28,IF(Simulador!$F$11='Tabla Parámetros'!$Y$1,'Tabla Parámetros'!$Y$12))))</f>
        <v>#REF!</v>
      </c>
      <c r="N169" s="167" t="e">
        <f>IF(B169="","",IF(F169=0,0,IF(Simulador!$N$7='Tabla Parámetros'!$C$31,AportPat!L155,0)))</f>
        <v>#REF!</v>
      </c>
      <c r="O169" s="167" t="e">
        <f>Simulador!#REF!</f>
        <v>#REF!</v>
      </c>
      <c r="P169" s="167" t="e">
        <f t="shared" si="49"/>
        <v>#REF!</v>
      </c>
      <c r="Q169" s="167" t="e">
        <f t="shared" si="50"/>
        <v>#REF!</v>
      </c>
      <c r="T169" s="6"/>
      <c r="U169" s="6"/>
      <c r="V169" s="6"/>
      <c r="W169" s="29" t="e">
        <f t="shared" si="43"/>
        <v>#REF!</v>
      </c>
      <c r="Y169" s="201" t="e">
        <f t="shared" si="44"/>
        <v>#REF!</v>
      </c>
      <c r="Z169" s="201" t="e">
        <f t="shared" si="51"/>
        <v>#REF!</v>
      </c>
      <c r="AA169" s="202" t="e">
        <f t="shared" si="52"/>
        <v>#REF!</v>
      </c>
      <c r="AB169" s="201" t="e">
        <f t="shared" si="53"/>
        <v>#REF!</v>
      </c>
      <c r="AC169" s="201" t="e">
        <f t="shared" si="54"/>
        <v>#REF!</v>
      </c>
      <c r="AD169" s="201" t="e">
        <f t="shared" si="60"/>
        <v>#REF!</v>
      </c>
      <c r="AE169" s="201" t="e">
        <f t="shared" si="55"/>
        <v>#REF!</v>
      </c>
      <c r="AF169" s="201" t="e">
        <f t="shared" si="56"/>
        <v>#REF!</v>
      </c>
      <c r="AG169" s="201" t="e">
        <f t="shared" si="61"/>
        <v>#REF!</v>
      </c>
    </row>
    <row r="170" spans="2:33" x14ac:dyDescent="0.3">
      <c r="B170" s="181">
        <f t="shared" si="45"/>
        <v>153</v>
      </c>
      <c r="C170" s="180">
        <f t="shared" si="57"/>
        <v>30.4</v>
      </c>
      <c r="D170" s="165">
        <f>IF(B170="","",Simulador!$F$62)</f>
        <v>0.11</v>
      </c>
      <c r="E170" s="167"/>
      <c r="F170" s="167" t="e">
        <f t="shared" si="58"/>
        <v>#REF!</v>
      </c>
      <c r="G170" s="166"/>
      <c r="H170" s="167" t="e">
        <f t="shared" si="46"/>
        <v>#REF!</v>
      </c>
      <c r="I170" s="167" t="e">
        <f t="shared" si="47"/>
        <v>#REF!</v>
      </c>
      <c r="J170" s="167" t="e">
        <f t="shared" si="48"/>
        <v>#REF!</v>
      </c>
      <c r="K170" s="167" t="e">
        <f t="shared" si="59"/>
        <v>#REF!</v>
      </c>
      <c r="L170" s="167" t="e">
        <f>IF(B170="","",IF(F170=0,0,Simulador!$N$13*$J$2))</f>
        <v>#REF!</v>
      </c>
      <c r="M170" s="167" t="e">
        <f>IF(B170="","",IF(F170=0,0,IF(Simulador!$F$11='Tabla Parámetros'!$W$1,'Tabla Parámetros'!$W$28,IF(Simulador!$F$11='Tabla Parámetros'!$Y$1,'Tabla Parámetros'!$Y$12))))</f>
        <v>#REF!</v>
      </c>
      <c r="N170" s="167" t="e">
        <f>IF(B170="","",IF(F170=0,0,IF(Simulador!$N$7='Tabla Parámetros'!$C$31,AportPat!L156,0)))</f>
        <v>#REF!</v>
      </c>
      <c r="O170" s="167" t="e">
        <f>Simulador!#REF!</f>
        <v>#REF!</v>
      </c>
      <c r="P170" s="167" t="e">
        <f t="shared" si="49"/>
        <v>#REF!</v>
      </c>
      <c r="Q170" s="167" t="e">
        <f t="shared" si="50"/>
        <v>#REF!</v>
      </c>
      <c r="T170" s="6"/>
      <c r="U170" s="6"/>
      <c r="V170" s="6"/>
      <c r="W170" s="29" t="e">
        <f t="shared" si="43"/>
        <v>#REF!</v>
      </c>
      <c r="Y170" s="201" t="e">
        <f t="shared" si="44"/>
        <v>#REF!</v>
      </c>
      <c r="Z170" s="201" t="e">
        <f t="shared" si="51"/>
        <v>#REF!</v>
      </c>
      <c r="AA170" s="202" t="e">
        <f t="shared" si="52"/>
        <v>#REF!</v>
      </c>
      <c r="AB170" s="201" t="e">
        <f t="shared" si="53"/>
        <v>#REF!</v>
      </c>
      <c r="AC170" s="201" t="e">
        <f t="shared" si="54"/>
        <v>#REF!</v>
      </c>
      <c r="AD170" s="201" t="e">
        <f t="shared" si="60"/>
        <v>#REF!</v>
      </c>
      <c r="AE170" s="201" t="e">
        <f t="shared" si="55"/>
        <v>#REF!</v>
      </c>
      <c r="AF170" s="201" t="e">
        <f t="shared" si="56"/>
        <v>#REF!</v>
      </c>
      <c r="AG170" s="201" t="e">
        <f t="shared" si="61"/>
        <v>#REF!</v>
      </c>
    </row>
    <row r="171" spans="2:33" x14ac:dyDescent="0.3">
      <c r="B171" s="179">
        <f t="shared" si="45"/>
        <v>154</v>
      </c>
      <c r="C171" s="180">
        <f t="shared" si="57"/>
        <v>30.4</v>
      </c>
      <c r="D171" s="165">
        <f>IF(B171="","",Simulador!$F$62)</f>
        <v>0.11</v>
      </c>
      <c r="E171" s="167"/>
      <c r="F171" s="167" t="e">
        <f t="shared" si="58"/>
        <v>#REF!</v>
      </c>
      <c r="G171" s="166"/>
      <c r="H171" s="167" t="e">
        <f t="shared" si="46"/>
        <v>#REF!</v>
      </c>
      <c r="I171" s="167" t="e">
        <f t="shared" si="47"/>
        <v>#REF!</v>
      </c>
      <c r="J171" s="167" t="e">
        <f t="shared" si="48"/>
        <v>#REF!</v>
      </c>
      <c r="K171" s="167" t="e">
        <f t="shared" si="59"/>
        <v>#REF!</v>
      </c>
      <c r="L171" s="167" t="e">
        <f>IF(B171="","",IF(F171=0,0,Simulador!$N$13*$J$2))</f>
        <v>#REF!</v>
      </c>
      <c r="M171" s="167" t="e">
        <f>IF(B171="","",IF(F171=0,0,IF(Simulador!$F$11='Tabla Parámetros'!$W$1,'Tabla Parámetros'!$W$28,IF(Simulador!$F$11='Tabla Parámetros'!$Y$1,'Tabla Parámetros'!$Y$12))))</f>
        <v>#REF!</v>
      </c>
      <c r="N171" s="167" t="e">
        <f>IF(B171="","",IF(F171=0,0,IF(Simulador!$N$7='Tabla Parámetros'!$C$31,AportPat!L157,0)))</f>
        <v>#REF!</v>
      </c>
      <c r="O171" s="167" t="e">
        <f>Simulador!#REF!</f>
        <v>#REF!</v>
      </c>
      <c r="P171" s="167" t="e">
        <f t="shared" si="49"/>
        <v>#REF!</v>
      </c>
      <c r="Q171" s="167" t="e">
        <f t="shared" si="50"/>
        <v>#REF!</v>
      </c>
      <c r="T171" s="6"/>
      <c r="U171" s="6"/>
      <c r="V171" s="6"/>
      <c r="W171" s="29" t="e">
        <f t="shared" si="43"/>
        <v>#REF!</v>
      </c>
      <c r="Y171" s="201" t="e">
        <f t="shared" si="44"/>
        <v>#REF!</v>
      </c>
      <c r="Z171" s="201" t="e">
        <f t="shared" si="51"/>
        <v>#REF!</v>
      </c>
      <c r="AA171" s="202" t="e">
        <f t="shared" si="52"/>
        <v>#REF!</v>
      </c>
      <c r="AB171" s="201" t="e">
        <f t="shared" si="53"/>
        <v>#REF!</v>
      </c>
      <c r="AC171" s="201" t="e">
        <f t="shared" si="54"/>
        <v>#REF!</v>
      </c>
      <c r="AD171" s="201" t="e">
        <f t="shared" si="60"/>
        <v>#REF!</v>
      </c>
      <c r="AE171" s="201" t="e">
        <f t="shared" si="55"/>
        <v>#REF!</v>
      </c>
      <c r="AF171" s="201" t="e">
        <f t="shared" si="56"/>
        <v>#REF!</v>
      </c>
      <c r="AG171" s="201" t="e">
        <f t="shared" si="61"/>
        <v>#REF!</v>
      </c>
    </row>
    <row r="172" spans="2:33" x14ac:dyDescent="0.3">
      <c r="B172" s="179">
        <f t="shared" si="45"/>
        <v>155</v>
      </c>
      <c r="C172" s="180">
        <f t="shared" si="57"/>
        <v>30.4</v>
      </c>
      <c r="D172" s="165">
        <f>IF(B172="","",Simulador!$F$62)</f>
        <v>0.11</v>
      </c>
      <c r="E172" s="167"/>
      <c r="F172" s="167" t="e">
        <f t="shared" si="58"/>
        <v>#REF!</v>
      </c>
      <c r="G172" s="166"/>
      <c r="H172" s="167" t="e">
        <f t="shared" si="46"/>
        <v>#REF!</v>
      </c>
      <c r="I172" s="167" t="e">
        <f t="shared" si="47"/>
        <v>#REF!</v>
      </c>
      <c r="J172" s="167" t="e">
        <f t="shared" si="48"/>
        <v>#REF!</v>
      </c>
      <c r="K172" s="167" t="e">
        <f t="shared" si="59"/>
        <v>#REF!</v>
      </c>
      <c r="L172" s="167" t="e">
        <f>IF(B172="","",IF(F172=0,0,Simulador!$N$13*$J$2))</f>
        <v>#REF!</v>
      </c>
      <c r="M172" s="167" t="e">
        <f>IF(B172="","",IF(F172=0,0,IF(Simulador!$F$11='Tabla Parámetros'!$W$1,'Tabla Parámetros'!$W$28,IF(Simulador!$F$11='Tabla Parámetros'!$Y$1,'Tabla Parámetros'!$Y$12))))</f>
        <v>#REF!</v>
      </c>
      <c r="N172" s="167" t="e">
        <f>IF(B172="","",IF(F172=0,0,IF(Simulador!$N$7='Tabla Parámetros'!$C$31,AportPat!L158,0)))</f>
        <v>#REF!</v>
      </c>
      <c r="O172" s="167" t="e">
        <f>Simulador!#REF!</f>
        <v>#REF!</v>
      </c>
      <c r="P172" s="167" t="e">
        <f t="shared" si="49"/>
        <v>#REF!</v>
      </c>
      <c r="Q172" s="167" t="e">
        <f t="shared" si="50"/>
        <v>#REF!</v>
      </c>
      <c r="T172" s="6"/>
      <c r="U172" s="6"/>
      <c r="V172" s="6"/>
      <c r="W172" s="29" t="e">
        <f t="shared" si="43"/>
        <v>#REF!</v>
      </c>
      <c r="Y172" s="201" t="e">
        <f t="shared" si="44"/>
        <v>#REF!</v>
      </c>
      <c r="Z172" s="201" t="e">
        <f t="shared" si="51"/>
        <v>#REF!</v>
      </c>
      <c r="AA172" s="202" t="e">
        <f t="shared" si="52"/>
        <v>#REF!</v>
      </c>
      <c r="AB172" s="201" t="e">
        <f t="shared" si="53"/>
        <v>#REF!</v>
      </c>
      <c r="AC172" s="201" t="e">
        <f t="shared" si="54"/>
        <v>#REF!</v>
      </c>
      <c r="AD172" s="201" t="e">
        <f t="shared" si="60"/>
        <v>#REF!</v>
      </c>
      <c r="AE172" s="201" t="e">
        <f t="shared" si="55"/>
        <v>#REF!</v>
      </c>
      <c r="AF172" s="201" t="e">
        <f t="shared" si="56"/>
        <v>#REF!</v>
      </c>
      <c r="AG172" s="201" t="e">
        <f t="shared" si="61"/>
        <v>#REF!</v>
      </c>
    </row>
    <row r="173" spans="2:33" x14ac:dyDescent="0.3">
      <c r="B173" s="179">
        <f t="shared" si="45"/>
        <v>156</v>
      </c>
      <c r="C173" s="180">
        <f t="shared" si="57"/>
        <v>30.4</v>
      </c>
      <c r="D173" s="165">
        <f>IF(B173="","",Simulador!$F$62)</f>
        <v>0.11</v>
      </c>
      <c r="E173" s="167"/>
      <c r="F173" s="167" t="e">
        <f t="shared" si="58"/>
        <v>#REF!</v>
      </c>
      <c r="G173" s="166"/>
      <c r="H173" s="167" t="e">
        <f t="shared" si="46"/>
        <v>#REF!</v>
      </c>
      <c r="I173" s="167" t="e">
        <f t="shared" si="47"/>
        <v>#REF!</v>
      </c>
      <c r="J173" s="167" t="e">
        <f t="shared" si="48"/>
        <v>#REF!</v>
      </c>
      <c r="K173" s="167" t="e">
        <f t="shared" si="59"/>
        <v>#REF!</v>
      </c>
      <c r="L173" s="167" t="e">
        <f>IF(B173="","",IF(F173=0,0,Simulador!$N$13*$J$2))</f>
        <v>#REF!</v>
      </c>
      <c r="M173" s="167" t="e">
        <f>IF(B173="","",IF(F173=0,0,IF(Simulador!$F$11='Tabla Parámetros'!$W$1,'Tabla Parámetros'!$W$28,IF(Simulador!$F$11='Tabla Parámetros'!$Y$1,'Tabla Parámetros'!$Y$12))))</f>
        <v>#REF!</v>
      </c>
      <c r="N173" s="167" t="e">
        <f>IF(B173="","",IF(F173=0,0,IF(Simulador!$N$7='Tabla Parámetros'!$C$31,AportPat!L159,0)))</f>
        <v>#REF!</v>
      </c>
      <c r="O173" s="167" t="e">
        <f>Simulador!#REF!</f>
        <v>#REF!</v>
      </c>
      <c r="P173" s="167" t="e">
        <f t="shared" si="49"/>
        <v>#REF!</v>
      </c>
      <c r="Q173" s="167" t="e">
        <f t="shared" si="50"/>
        <v>#REF!</v>
      </c>
      <c r="T173" s="6"/>
      <c r="U173" s="6"/>
      <c r="V173" s="6"/>
      <c r="W173" s="29" t="e">
        <f t="shared" si="43"/>
        <v>#REF!</v>
      </c>
      <c r="Y173" s="201" t="e">
        <f t="shared" si="44"/>
        <v>#REF!</v>
      </c>
      <c r="Z173" s="201" t="e">
        <f t="shared" si="51"/>
        <v>#REF!</v>
      </c>
      <c r="AA173" s="202" t="e">
        <f t="shared" si="52"/>
        <v>#REF!</v>
      </c>
      <c r="AB173" s="201" t="e">
        <f t="shared" si="53"/>
        <v>#REF!</v>
      </c>
      <c r="AC173" s="201" t="e">
        <f t="shared" si="54"/>
        <v>#REF!</v>
      </c>
      <c r="AD173" s="201" t="e">
        <f t="shared" si="60"/>
        <v>#REF!</v>
      </c>
      <c r="AE173" s="201" t="e">
        <f t="shared" si="55"/>
        <v>#REF!</v>
      </c>
      <c r="AF173" s="201" t="e">
        <f t="shared" si="56"/>
        <v>#REF!</v>
      </c>
      <c r="AG173" s="201" t="e">
        <f t="shared" si="61"/>
        <v>#REF!</v>
      </c>
    </row>
    <row r="174" spans="2:33" x14ac:dyDescent="0.3">
      <c r="B174" s="181">
        <f t="shared" si="45"/>
        <v>157</v>
      </c>
      <c r="C174" s="180">
        <f t="shared" si="57"/>
        <v>30.4</v>
      </c>
      <c r="D174" s="165">
        <f>IF(B174="","",Simulador!$F$62)</f>
        <v>0.11</v>
      </c>
      <c r="E174" s="167"/>
      <c r="F174" s="167" t="e">
        <f t="shared" si="58"/>
        <v>#REF!</v>
      </c>
      <c r="G174" s="166"/>
      <c r="H174" s="167" t="e">
        <f t="shared" si="46"/>
        <v>#REF!</v>
      </c>
      <c r="I174" s="167" t="e">
        <f t="shared" si="47"/>
        <v>#REF!</v>
      </c>
      <c r="J174" s="167" t="e">
        <f t="shared" si="48"/>
        <v>#REF!</v>
      </c>
      <c r="K174" s="167" t="e">
        <f t="shared" si="59"/>
        <v>#REF!</v>
      </c>
      <c r="L174" s="167" t="e">
        <f>IF(B174="","",IF(F174=0,0,Simulador!$N$13*$J$2))</f>
        <v>#REF!</v>
      </c>
      <c r="M174" s="167" t="e">
        <f>IF(B174="","",IF(F174=0,0,IF(Simulador!$F$11='Tabla Parámetros'!$W$1,'Tabla Parámetros'!$W$28,IF(Simulador!$F$11='Tabla Parámetros'!$Y$1,'Tabla Parámetros'!$Y$12))))</f>
        <v>#REF!</v>
      </c>
      <c r="N174" s="167" t="e">
        <f>IF(B174="","",IF(F174=0,0,IF(Simulador!$N$7='Tabla Parámetros'!$C$31,AportPat!L160,0)))</f>
        <v>#REF!</v>
      </c>
      <c r="O174" s="167" t="e">
        <f>Simulador!#REF!</f>
        <v>#REF!</v>
      </c>
      <c r="P174" s="167" t="e">
        <f t="shared" si="49"/>
        <v>#REF!</v>
      </c>
      <c r="Q174" s="167" t="e">
        <f t="shared" si="50"/>
        <v>#REF!</v>
      </c>
      <c r="T174" s="6"/>
      <c r="U174" s="6"/>
      <c r="V174" s="6"/>
      <c r="W174" s="29" t="e">
        <f t="shared" si="43"/>
        <v>#REF!</v>
      </c>
      <c r="Y174" s="201" t="e">
        <f t="shared" si="44"/>
        <v>#REF!</v>
      </c>
      <c r="Z174" s="201" t="e">
        <f t="shared" si="51"/>
        <v>#REF!</v>
      </c>
      <c r="AA174" s="202" t="e">
        <f t="shared" si="52"/>
        <v>#REF!</v>
      </c>
      <c r="AB174" s="201" t="e">
        <f t="shared" si="53"/>
        <v>#REF!</v>
      </c>
      <c r="AC174" s="201" t="e">
        <f t="shared" si="54"/>
        <v>#REF!</v>
      </c>
      <c r="AD174" s="201" t="e">
        <f t="shared" si="60"/>
        <v>#REF!</v>
      </c>
      <c r="AE174" s="201" t="e">
        <f t="shared" si="55"/>
        <v>#REF!</v>
      </c>
      <c r="AF174" s="201" t="e">
        <f t="shared" si="56"/>
        <v>#REF!</v>
      </c>
      <c r="AG174" s="201" t="e">
        <f t="shared" si="61"/>
        <v>#REF!</v>
      </c>
    </row>
    <row r="175" spans="2:33" x14ac:dyDescent="0.3">
      <c r="B175" s="179">
        <f t="shared" si="45"/>
        <v>158</v>
      </c>
      <c r="C175" s="180">
        <f t="shared" si="57"/>
        <v>30.4</v>
      </c>
      <c r="D175" s="165">
        <f>IF(B175="","",Simulador!$F$62)</f>
        <v>0.11</v>
      </c>
      <c r="E175" s="167"/>
      <c r="F175" s="167" t="e">
        <f t="shared" si="58"/>
        <v>#REF!</v>
      </c>
      <c r="G175" s="166"/>
      <c r="H175" s="167" t="e">
        <f t="shared" si="46"/>
        <v>#REF!</v>
      </c>
      <c r="I175" s="167" t="e">
        <f t="shared" si="47"/>
        <v>#REF!</v>
      </c>
      <c r="J175" s="167" t="e">
        <f t="shared" si="48"/>
        <v>#REF!</v>
      </c>
      <c r="K175" s="167" t="e">
        <f t="shared" si="59"/>
        <v>#REF!</v>
      </c>
      <c r="L175" s="167" t="e">
        <f>IF(B175="","",IF(F175=0,0,Simulador!$N$13*$J$2))</f>
        <v>#REF!</v>
      </c>
      <c r="M175" s="167" t="e">
        <f>IF(B175="","",IF(F175=0,0,IF(Simulador!$F$11='Tabla Parámetros'!$W$1,'Tabla Parámetros'!$W$28,IF(Simulador!$F$11='Tabla Parámetros'!$Y$1,'Tabla Parámetros'!$Y$12))))</f>
        <v>#REF!</v>
      </c>
      <c r="N175" s="167" t="e">
        <f>IF(B175="","",IF(F175=0,0,IF(Simulador!$N$7='Tabla Parámetros'!$C$31,AportPat!L161,0)))</f>
        <v>#REF!</v>
      </c>
      <c r="O175" s="167" t="e">
        <f>Simulador!#REF!</f>
        <v>#REF!</v>
      </c>
      <c r="P175" s="167" t="e">
        <f t="shared" si="49"/>
        <v>#REF!</v>
      </c>
      <c r="Q175" s="167" t="e">
        <f t="shared" si="50"/>
        <v>#REF!</v>
      </c>
      <c r="T175" s="6"/>
      <c r="U175" s="6"/>
      <c r="V175" s="6"/>
      <c r="W175" s="29" t="e">
        <f t="shared" si="43"/>
        <v>#REF!</v>
      </c>
      <c r="Y175" s="201" t="e">
        <f t="shared" si="44"/>
        <v>#REF!</v>
      </c>
      <c r="Z175" s="201" t="e">
        <f t="shared" si="51"/>
        <v>#REF!</v>
      </c>
      <c r="AA175" s="202" t="e">
        <f t="shared" si="52"/>
        <v>#REF!</v>
      </c>
      <c r="AB175" s="201" t="e">
        <f t="shared" si="53"/>
        <v>#REF!</v>
      </c>
      <c r="AC175" s="201" t="e">
        <f t="shared" si="54"/>
        <v>#REF!</v>
      </c>
      <c r="AD175" s="201" t="e">
        <f t="shared" si="60"/>
        <v>#REF!</v>
      </c>
      <c r="AE175" s="201" t="e">
        <f t="shared" si="55"/>
        <v>#REF!</v>
      </c>
      <c r="AF175" s="201" t="e">
        <f t="shared" si="56"/>
        <v>#REF!</v>
      </c>
      <c r="AG175" s="201" t="e">
        <f t="shared" si="61"/>
        <v>#REF!</v>
      </c>
    </row>
    <row r="176" spans="2:33" x14ac:dyDescent="0.3">
      <c r="B176" s="179">
        <f t="shared" si="45"/>
        <v>159</v>
      </c>
      <c r="C176" s="180">
        <f t="shared" si="57"/>
        <v>30.4</v>
      </c>
      <c r="D176" s="165">
        <f>IF(B176="","",Simulador!$F$62)</f>
        <v>0.11</v>
      </c>
      <c r="E176" s="167"/>
      <c r="F176" s="167" t="e">
        <f t="shared" si="58"/>
        <v>#REF!</v>
      </c>
      <c r="G176" s="166"/>
      <c r="H176" s="167" t="e">
        <f t="shared" si="46"/>
        <v>#REF!</v>
      </c>
      <c r="I176" s="167" t="e">
        <f t="shared" si="47"/>
        <v>#REF!</v>
      </c>
      <c r="J176" s="167" t="e">
        <f t="shared" si="48"/>
        <v>#REF!</v>
      </c>
      <c r="K176" s="167" t="e">
        <f t="shared" si="59"/>
        <v>#REF!</v>
      </c>
      <c r="L176" s="167" t="e">
        <f>IF(B176="","",IF(F176=0,0,Simulador!$N$13*$J$2))</f>
        <v>#REF!</v>
      </c>
      <c r="M176" s="167" t="e">
        <f>IF(B176="","",IF(F176=0,0,IF(Simulador!$F$11='Tabla Parámetros'!$W$1,'Tabla Parámetros'!$W$28,IF(Simulador!$F$11='Tabla Parámetros'!$Y$1,'Tabla Parámetros'!$Y$12))))</f>
        <v>#REF!</v>
      </c>
      <c r="N176" s="167" t="e">
        <f>IF(B176="","",IF(F176=0,0,IF(Simulador!$N$7='Tabla Parámetros'!$C$31,AportPat!L162,0)))</f>
        <v>#REF!</v>
      </c>
      <c r="O176" s="167" t="e">
        <f>Simulador!#REF!</f>
        <v>#REF!</v>
      </c>
      <c r="P176" s="167" t="e">
        <f t="shared" si="49"/>
        <v>#REF!</v>
      </c>
      <c r="Q176" s="167" t="e">
        <f t="shared" si="50"/>
        <v>#REF!</v>
      </c>
      <c r="T176" s="6"/>
      <c r="U176" s="6"/>
      <c r="V176" s="6"/>
      <c r="W176" s="29" t="e">
        <f t="shared" si="43"/>
        <v>#REF!</v>
      </c>
      <c r="Y176" s="201" t="e">
        <f t="shared" si="44"/>
        <v>#REF!</v>
      </c>
      <c r="Z176" s="201" t="e">
        <f t="shared" si="51"/>
        <v>#REF!</v>
      </c>
      <c r="AA176" s="202" t="e">
        <f t="shared" si="52"/>
        <v>#REF!</v>
      </c>
      <c r="AB176" s="201" t="e">
        <f t="shared" si="53"/>
        <v>#REF!</v>
      </c>
      <c r="AC176" s="201" t="e">
        <f t="shared" si="54"/>
        <v>#REF!</v>
      </c>
      <c r="AD176" s="201" t="e">
        <f t="shared" si="60"/>
        <v>#REF!</v>
      </c>
      <c r="AE176" s="201" t="e">
        <f t="shared" si="55"/>
        <v>#REF!</v>
      </c>
      <c r="AF176" s="201" t="e">
        <f t="shared" si="56"/>
        <v>#REF!</v>
      </c>
      <c r="AG176" s="201" t="e">
        <f t="shared" si="61"/>
        <v>#REF!</v>
      </c>
    </row>
    <row r="177" spans="2:33" x14ac:dyDescent="0.3">
      <c r="B177" s="179">
        <f t="shared" si="45"/>
        <v>160</v>
      </c>
      <c r="C177" s="180">
        <f t="shared" si="57"/>
        <v>30.4</v>
      </c>
      <c r="D177" s="165">
        <f>IF(B177="","",Simulador!$F$62)</f>
        <v>0.11</v>
      </c>
      <c r="E177" s="167"/>
      <c r="F177" s="167" t="e">
        <f t="shared" si="58"/>
        <v>#REF!</v>
      </c>
      <c r="G177" s="166"/>
      <c r="H177" s="167" t="e">
        <f t="shared" si="46"/>
        <v>#REF!</v>
      </c>
      <c r="I177" s="167" t="e">
        <f t="shared" si="47"/>
        <v>#REF!</v>
      </c>
      <c r="J177" s="167" t="e">
        <f t="shared" si="48"/>
        <v>#REF!</v>
      </c>
      <c r="K177" s="167" t="e">
        <f t="shared" si="59"/>
        <v>#REF!</v>
      </c>
      <c r="L177" s="167" t="e">
        <f>IF(B177="","",IF(F177=0,0,Simulador!$N$13*$J$2))</f>
        <v>#REF!</v>
      </c>
      <c r="M177" s="167" t="e">
        <f>IF(B177="","",IF(F177=0,0,IF(Simulador!$F$11='Tabla Parámetros'!$W$1,'Tabla Parámetros'!$W$28,IF(Simulador!$F$11='Tabla Parámetros'!$Y$1,'Tabla Parámetros'!$Y$12))))</f>
        <v>#REF!</v>
      </c>
      <c r="N177" s="167" t="e">
        <f>IF(B177="","",IF(F177=0,0,IF(Simulador!$N$7='Tabla Parámetros'!$C$31,AportPat!L163,0)))</f>
        <v>#REF!</v>
      </c>
      <c r="O177" s="167" t="e">
        <f>Simulador!#REF!</f>
        <v>#REF!</v>
      </c>
      <c r="P177" s="167" t="e">
        <f t="shared" si="49"/>
        <v>#REF!</v>
      </c>
      <c r="Q177" s="167" t="e">
        <f t="shared" si="50"/>
        <v>#REF!</v>
      </c>
      <c r="T177" s="6"/>
      <c r="U177" s="6"/>
      <c r="V177" s="6"/>
      <c r="W177" s="29" t="e">
        <f t="shared" si="43"/>
        <v>#REF!</v>
      </c>
      <c r="Y177" s="201" t="e">
        <f t="shared" si="44"/>
        <v>#REF!</v>
      </c>
      <c r="Z177" s="201" t="e">
        <f t="shared" si="51"/>
        <v>#REF!</v>
      </c>
      <c r="AA177" s="202" t="e">
        <f t="shared" si="52"/>
        <v>#REF!</v>
      </c>
      <c r="AB177" s="201" t="e">
        <f t="shared" si="53"/>
        <v>#REF!</v>
      </c>
      <c r="AC177" s="201" t="e">
        <f t="shared" si="54"/>
        <v>#REF!</v>
      </c>
      <c r="AD177" s="201" t="e">
        <f t="shared" si="60"/>
        <v>#REF!</v>
      </c>
      <c r="AE177" s="201" t="e">
        <f t="shared" si="55"/>
        <v>#REF!</v>
      </c>
      <c r="AF177" s="201" t="e">
        <f t="shared" si="56"/>
        <v>#REF!</v>
      </c>
      <c r="AG177" s="201" t="e">
        <f t="shared" si="61"/>
        <v>#REF!</v>
      </c>
    </row>
    <row r="178" spans="2:33" x14ac:dyDescent="0.3">
      <c r="B178" s="181">
        <f t="shared" si="45"/>
        <v>161</v>
      </c>
      <c r="C178" s="180">
        <f t="shared" si="57"/>
        <v>30.4</v>
      </c>
      <c r="D178" s="165">
        <f>IF(B178="","",Simulador!$F$62)</f>
        <v>0.11</v>
      </c>
      <c r="E178" s="167"/>
      <c r="F178" s="167" t="e">
        <f t="shared" si="58"/>
        <v>#REF!</v>
      </c>
      <c r="G178" s="166"/>
      <c r="H178" s="167" t="e">
        <f t="shared" si="46"/>
        <v>#REF!</v>
      </c>
      <c r="I178" s="167" t="e">
        <f t="shared" si="47"/>
        <v>#REF!</v>
      </c>
      <c r="J178" s="167" t="e">
        <f t="shared" si="48"/>
        <v>#REF!</v>
      </c>
      <c r="K178" s="167" t="e">
        <f t="shared" si="59"/>
        <v>#REF!</v>
      </c>
      <c r="L178" s="167" t="e">
        <f>IF(B178="","",IF(F178=0,0,Simulador!$N$13*$J$2))</f>
        <v>#REF!</v>
      </c>
      <c r="M178" s="167" t="e">
        <f>IF(B178="","",IF(F178=0,0,IF(Simulador!$F$11='Tabla Parámetros'!$W$1,'Tabla Parámetros'!$W$28,IF(Simulador!$F$11='Tabla Parámetros'!$Y$1,'Tabla Parámetros'!$Y$12))))</f>
        <v>#REF!</v>
      </c>
      <c r="N178" s="167" t="e">
        <f>IF(B178="","",IF(F178=0,0,IF(Simulador!$N$7='Tabla Parámetros'!$C$31,AportPat!L164,0)))</f>
        <v>#REF!</v>
      </c>
      <c r="O178" s="167" t="e">
        <f>Simulador!#REF!</f>
        <v>#REF!</v>
      </c>
      <c r="P178" s="167" t="e">
        <f t="shared" si="49"/>
        <v>#REF!</v>
      </c>
      <c r="Q178" s="167" t="e">
        <f t="shared" si="50"/>
        <v>#REF!</v>
      </c>
      <c r="T178" s="6"/>
      <c r="U178" s="6"/>
      <c r="V178" s="6"/>
      <c r="W178" s="29" t="e">
        <f t="shared" si="43"/>
        <v>#REF!</v>
      </c>
      <c r="Y178" s="201" t="e">
        <f t="shared" si="44"/>
        <v>#REF!</v>
      </c>
      <c r="Z178" s="201" t="e">
        <f t="shared" si="51"/>
        <v>#REF!</v>
      </c>
      <c r="AA178" s="202" t="e">
        <f t="shared" si="52"/>
        <v>#REF!</v>
      </c>
      <c r="AB178" s="201" t="e">
        <f t="shared" si="53"/>
        <v>#REF!</v>
      </c>
      <c r="AC178" s="201" t="e">
        <f t="shared" si="54"/>
        <v>#REF!</v>
      </c>
      <c r="AD178" s="201" t="e">
        <f t="shared" si="60"/>
        <v>#REF!</v>
      </c>
      <c r="AE178" s="201" t="e">
        <f t="shared" si="55"/>
        <v>#REF!</v>
      </c>
      <c r="AF178" s="201" t="e">
        <f t="shared" si="56"/>
        <v>#REF!</v>
      </c>
      <c r="AG178" s="201" t="e">
        <f t="shared" si="61"/>
        <v>#REF!</v>
      </c>
    </row>
    <row r="179" spans="2:33" x14ac:dyDescent="0.3">
      <c r="B179" s="179">
        <f t="shared" si="45"/>
        <v>162</v>
      </c>
      <c r="C179" s="180">
        <f t="shared" si="57"/>
        <v>30.4</v>
      </c>
      <c r="D179" s="165">
        <f>IF(B179="","",Simulador!$F$62)</f>
        <v>0.11</v>
      </c>
      <c r="E179" s="167"/>
      <c r="F179" s="167" t="e">
        <f t="shared" si="58"/>
        <v>#REF!</v>
      </c>
      <c r="G179" s="166"/>
      <c r="H179" s="167" t="e">
        <f t="shared" si="46"/>
        <v>#REF!</v>
      </c>
      <c r="I179" s="167" t="e">
        <f t="shared" si="47"/>
        <v>#REF!</v>
      </c>
      <c r="J179" s="167" t="e">
        <f t="shared" si="48"/>
        <v>#REF!</v>
      </c>
      <c r="K179" s="167" t="e">
        <f t="shared" si="59"/>
        <v>#REF!</v>
      </c>
      <c r="L179" s="167" t="e">
        <f>IF(B179="","",IF(F179=0,0,Simulador!$N$13*$J$2))</f>
        <v>#REF!</v>
      </c>
      <c r="M179" s="167" t="e">
        <f>IF(B179="","",IF(F179=0,0,IF(Simulador!$F$11='Tabla Parámetros'!$W$1,'Tabla Parámetros'!$W$28,IF(Simulador!$F$11='Tabla Parámetros'!$Y$1,'Tabla Parámetros'!$Y$12))))</f>
        <v>#REF!</v>
      </c>
      <c r="N179" s="167" t="e">
        <f>IF(B179="","",IF(F179=0,0,IF(Simulador!$N$7='Tabla Parámetros'!$C$31,AportPat!L165,0)))</f>
        <v>#REF!</v>
      </c>
      <c r="O179" s="167" t="e">
        <f>Simulador!#REF!</f>
        <v>#REF!</v>
      </c>
      <c r="P179" s="167" t="e">
        <f t="shared" si="49"/>
        <v>#REF!</v>
      </c>
      <c r="Q179" s="167" t="e">
        <f t="shared" si="50"/>
        <v>#REF!</v>
      </c>
      <c r="T179" s="6"/>
      <c r="U179" s="6"/>
      <c r="V179" s="6"/>
      <c r="W179" s="29" t="e">
        <f t="shared" si="43"/>
        <v>#REF!</v>
      </c>
      <c r="Y179" s="201" t="e">
        <f t="shared" si="44"/>
        <v>#REF!</v>
      </c>
      <c r="Z179" s="201" t="e">
        <f t="shared" si="51"/>
        <v>#REF!</v>
      </c>
      <c r="AA179" s="202" t="e">
        <f t="shared" si="52"/>
        <v>#REF!</v>
      </c>
      <c r="AB179" s="201" t="e">
        <f t="shared" si="53"/>
        <v>#REF!</v>
      </c>
      <c r="AC179" s="201" t="e">
        <f t="shared" si="54"/>
        <v>#REF!</v>
      </c>
      <c r="AD179" s="201" t="e">
        <f t="shared" si="60"/>
        <v>#REF!</v>
      </c>
      <c r="AE179" s="201" t="e">
        <f t="shared" si="55"/>
        <v>#REF!</v>
      </c>
      <c r="AF179" s="201" t="e">
        <f t="shared" si="56"/>
        <v>#REF!</v>
      </c>
      <c r="AG179" s="201" t="e">
        <f t="shared" si="61"/>
        <v>#REF!</v>
      </c>
    </row>
    <row r="180" spans="2:33" x14ac:dyDescent="0.3">
      <c r="B180" s="179">
        <f t="shared" si="45"/>
        <v>163</v>
      </c>
      <c r="C180" s="180">
        <f t="shared" si="57"/>
        <v>30.4</v>
      </c>
      <c r="D180" s="165">
        <f>IF(B180="","",Simulador!$F$62)</f>
        <v>0.11</v>
      </c>
      <c r="E180" s="167"/>
      <c r="F180" s="167" t="e">
        <f t="shared" si="58"/>
        <v>#REF!</v>
      </c>
      <c r="G180" s="166"/>
      <c r="H180" s="167" t="e">
        <f t="shared" si="46"/>
        <v>#REF!</v>
      </c>
      <c r="I180" s="167" t="e">
        <f t="shared" si="47"/>
        <v>#REF!</v>
      </c>
      <c r="J180" s="167" t="e">
        <f t="shared" si="48"/>
        <v>#REF!</v>
      </c>
      <c r="K180" s="167" t="e">
        <f t="shared" si="59"/>
        <v>#REF!</v>
      </c>
      <c r="L180" s="167" t="e">
        <f>IF(B180="","",IF(F180=0,0,Simulador!$N$13*$J$2))</f>
        <v>#REF!</v>
      </c>
      <c r="M180" s="167" t="e">
        <f>IF(B180="","",IF(F180=0,0,IF(Simulador!$F$11='Tabla Parámetros'!$W$1,'Tabla Parámetros'!$W$28,IF(Simulador!$F$11='Tabla Parámetros'!$Y$1,'Tabla Parámetros'!$Y$12))))</f>
        <v>#REF!</v>
      </c>
      <c r="N180" s="167" t="e">
        <f>IF(B180="","",IF(F180=0,0,IF(Simulador!$N$7='Tabla Parámetros'!$C$31,AportPat!L166,0)))</f>
        <v>#REF!</v>
      </c>
      <c r="O180" s="167" t="e">
        <f>Simulador!#REF!</f>
        <v>#REF!</v>
      </c>
      <c r="P180" s="167" t="e">
        <f t="shared" si="49"/>
        <v>#REF!</v>
      </c>
      <c r="Q180" s="167" t="e">
        <f t="shared" si="50"/>
        <v>#REF!</v>
      </c>
      <c r="T180" s="6"/>
      <c r="U180" s="6"/>
      <c r="V180" s="6"/>
      <c r="W180" s="29" t="e">
        <f t="shared" si="43"/>
        <v>#REF!</v>
      </c>
      <c r="Y180" s="201" t="e">
        <f t="shared" si="44"/>
        <v>#REF!</v>
      </c>
      <c r="Z180" s="201" t="e">
        <f t="shared" si="51"/>
        <v>#REF!</v>
      </c>
      <c r="AA180" s="202" t="e">
        <f t="shared" si="52"/>
        <v>#REF!</v>
      </c>
      <c r="AB180" s="201" t="e">
        <f t="shared" si="53"/>
        <v>#REF!</v>
      </c>
      <c r="AC180" s="201" t="e">
        <f t="shared" si="54"/>
        <v>#REF!</v>
      </c>
      <c r="AD180" s="201" t="e">
        <f t="shared" si="60"/>
        <v>#REF!</v>
      </c>
      <c r="AE180" s="201" t="e">
        <f t="shared" si="55"/>
        <v>#REF!</v>
      </c>
      <c r="AF180" s="201" t="e">
        <f t="shared" si="56"/>
        <v>#REF!</v>
      </c>
      <c r="AG180" s="201" t="e">
        <f t="shared" si="61"/>
        <v>#REF!</v>
      </c>
    </row>
    <row r="181" spans="2:33" x14ac:dyDescent="0.3">
      <c r="B181" s="179">
        <f t="shared" si="45"/>
        <v>164</v>
      </c>
      <c r="C181" s="180">
        <f t="shared" si="57"/>
        <v>30.4</v>
      </c>
      <c r="D181" s="165">
        <f>IF(B181="","",Simulador!$F$62)</f>
        <v>0.11</v>
      </c>
      <c r="E181" s="167"/>
      <c r="F181" s="167" t="e">
        <f t="shared" si="58"/>
        <v>#REF!</v>
      </c>
      <c r="G181" s="166"/>
      <c r="H181" s="167" t="e">
        <f t="shared" si="46"/>
        <v>#REF!</v>
      </c>
      <c r="I181" s="167" t="e">
        <f t="shared" si="47"/>
        <v>#REF!</v>
      </c>
      <c r="J181" s="167" t="e">
        <f t="shared" si="48"/>
        <v>#REF!</v>
      </c>
      <c r="K181" s="167" t="e">
        <f t="shared" si="59"/>
        <v>#REF!</v>
      </c>
      <c r="L181" s="167" t="e">
        <f>IF(B181="","",IF(F181=0,0,Simulador!$N$13*$J$2))</f>
        <v>#REF!</v>
      </c>
      <c r="M181" s="167" t="e">
        <f>IF(B181="","",IF(F181=0,0,IF(Simulador!$F$11='Tabla Parámetros'!$W$1,'Tabla Parámetros'!$W$28,IF(Simulador!$F$11='Tabla Parámetros'!$Y$1,'Tabla Parámetros'!$Y$12))))</f>
        <v>#REF!</v>
      </c>
      <c r="N181" s="167" t="e">
        <f>IF(B181="","",IF(F181=0,0,IF(Simulador!$N$7='Tabla Parámetros'!$C$31,AportPat!L167,0)))</f>
        <v>#REF!</v>
      </c>
      <c r="O181" s="167" t="e">
        <f>Simulador!#REF!</f>
        <v>#REF!</v>
      </c>
      <c r="P181" s="167" t="e">
        <f t="shared" si="49"/>
        <v>#REF!</v>
      </c>
      <c r="Q181" s="167" t="e">
        <f t="shared" si="50"/>
        <v>#REF!</v>
      </c>
      <c r="T181" s="6"/>
      <c r="U181" s="6"/>
      <c r="V181" s="6"/>
      <c r="W181" s="29" t="e">
        <f t="shared" si="43"/>
        <v>#REF!</v>
      </c>
      <c r="Y181" s="201" t="e">
        <f t="shared" si="44"/>
        <v>#REF!</v>
      </c>
      <c r="Z181" s="201" t="e">
        <f t="shared" si="51"/>
        <v>#REF!</v>
      </c>
      <c r="AA181" s="202" t="e">
        <f t="shared" si="52"/>
        <v>#REF!</v>
      </c>
      <c r="AB181" s="201" t="e">
        <f t="shared" si="53"/>
        <v>#REF!</v>
      </c>
      <c r="AC181" s="201" t="e">
        <f t="shared" si="54"/>
        <v>#REF!</v>
      </c>
      <c r="AD181" s="201" t="e">
        <f t="shared" si="60"/>
        <v>#REF!</v>
      </c>
      <c r="AE181" s="201" t="e">
        <f t="shared" si="55"/>
        <v>#REF!</v>
      </c>
      <c r="AF181" s="201" t="e">
        <f t="shared" si="56"/>
        <v>#REF!</v>
      </c>
      <c r="AG181" s="201" t="e">
        <f t="shared" si="61"/>
        <v>#REF!</v>
      </c>
    </row>
    <row r="182" spans="2:33" x14ac:dyDescent="0.3">
      <c r="B182" s="181">
        <f t="shared" si="45"/>
        <v>165</v>
      </c>
      <c r="C182" s="180">
        <f t="shared" si="57"/>
        <v>30.4</v>
      </c>
      <c r="D182" s="165">
        <f>IF(B182="","",Simulador!$F$62)</f>
        <v>0.11</v>
      </c>
      <c r="E182" s="167"/>
      <c r="F182" s="167" t="e">
        <f t="shared" si="58"/>
        <v>#REF!</v>
      </c>
      <c r="G182" s="166"/>
      <c r="H182" s="167" t="e">
        <f t="shared" si="46"/>
        <v>#REF!</v>
      </c>
      <c r="I182" s="167" t="e">
        <f t="shared" si="47"/>
        <v>#REF!</v>
      </c>
      <c r="J182" s="167" t="e">
        <f t="shared" si="48"/>
        <v>#REF!</v>
      </c>
      <c r="K182" s="167" t="e">
        <f t="shared" si="59"/>
        <v>#REF!</v>
      </c>
      <c r="L182" s="167" t="e">
        <f>IF(B182="","",IF(F182=0,0,Simulador!$N$13*$J$2))</f>
        <v>#REF!</v>
      </c>
      <c r="M182" s="167" t="e">
        <f>IF(B182="","",IF(F182=0,0,IF(Simulador!$F$11='Tabla Parámetros'!$W$1,'Tabla Parámetros'!$W$28,IF(Simulador!$F$11='Tabla Parámetros'!$Y$1,'Tabla Parámetros'!$Y$12))))</f>
        <v>#REF!</v>
      </c>
      <c r="N182" s="167" t="e">
        <f>IF(B182="","",IF(F182=0,0,IF(Simulador!$N$7='Tabla Parámetros'!$C$31,AportPat!L168,0)))</f>
        <v>#REF!</v>
      </c>
      <c r="O182" s="167" t="e">
        <f>Simulador!#REF!</f>
        <v>#REF!</v>
      </c>
      <c r="P182" s="167" t="e">
        <f t="shared" si="49"/>
        <v>#REF!</v>
      </c>
      <c r="Q182" s="167" t="e">
        <f t="shared" si="50"/>
        <v>#REF!</v>
      </c>
      <c r="T182" s="6"/>
      <c r="U182" s="6"/>
      <c r="V182" s="6"/>
      <c r="W182" s="29" t="e">
        <f t="shared" si="43"/>
        <v>#REF!</v>
      </c>
      <c r="Y182" s="201" t="e">
        <f t="shared" si="44"/>
        <v>#REF!</v>
      </c>
      <c r="Z182" s="201" t="e">
        <f t="shared" si="51"/>
        <v>#REF!</v>
      </c>
      <c r="AA182" s="202" t="e">
        <f t="shared" si="52"/>
        <v>#REF!</v>
      </c>
      <c r="AB182" s="201" t="e">
        <f t="shared" si="53"/>
        <v>#REF!</v>
      </c>
      <c r="AC182" s="201" t="e">
        <f t="shared" si="54"/>
        <v>#REF!</v>
      </c>
      <c r="AD182" s="201" t="e">
        <f t="shared" si="60"/>
        <v>#REF!</v>
      </c>
      <c r="AE182" s="201" t="e">
        <f t="shared" si="55"/>
        <v>#REF!</v>
      </c>
      <c r="AF182" s="201" t="e">
        <f t="shared" si="56"/>
        <v>#REF!</v>
      </c>
      <c r="AG182" s="201" t="e">
        <f t="shared" si="61"/>
        <v>#REF!</v>
      </c>
    </row>
    <row r="183" spans="2:33" x14ac:dyDescent="0.3">
      <c r="B183" s="179">
        <f t="shared" si="45"/>
        <v>166</v>
      </c>
      <c r="C183" s="180">
        <f t="shared" si="57"/>
        <v>30.4</v>
      </c>
      <c r="D183" s="165">
        <f>IF(B183="","",Simulador!$F$62)</f>
        <v>0.11</v>
      </c>
      <c r="E183" s="167"/>
      <c r="F183" s="167" t="e">
        <f t="shared" si="58"/>
        <v>#REF!</v>
      </c>
      <c r="G183" s="166"/>
      <c r="H183" s="167" t="e">
        <f t="shared" si="46"/>
        <v>#REF!</v>
      </c>
      <c r="I183" s="167" t="e">
        <f t="shared" si="47"/>
        <v>#REF!</v>
      </c>
      <c r="J183" s="167" t="e">
        <f t="shared" si="48"/>
        <v>#REF!</v>
      </c>
      <c r="K183" s="167" t="e">
        <f t="shared" si="59"/>
        <v>#REF!</v>
      </c>
      <c r="L183" s="167" t="e">
        <f>IF(B183="","",IF(F183=0,0,Simulador!$N$13*$J$2))</f>
        <v>#REF!</v>
      </c>
      <c r="M183" s="167" t="e">
        <f>IF(B183="","",IF(F183=0,0,IF(Simulador!$F$11='Tabla Parámetros'!$W$1,'Tabla Parámetros'!$W$28,IF(Simulador!$F$11='Tabla Parámetros'!$Y$1,'Tabla Parámetros'!$Y$12))))</f>
        <v>#REF!</v>
      </c>
      <c r="N183" s="167" t="e">
        <f>IF(B183="","",IF(F183=0,0,IF(Simulador!$N$7='Tabla Parámetros'!$C$31,AportPat!L169,0)))</f>
        <v>#REF!</v>
      </c>
      <c r="O183" s="167" t="e">
        <f>Simulador!#REF!</f>
        <v>#REF!</v>
      </c>
      <c r="P183" s="167" t="e">
        <f t="shared" si="49"/>
        <v>#REF!</v>
      </c>
      <c r="Q183" s="167" t="e">
        <f t="shared" si="50"/>
        <v>#REF!</v>
      </c>
      <c r="T183" s="6"/>
      <c r="U183" s="6"/>
      <c r="V183" s="6"/>
      <c r="W183" s="29" t="e">
        <f t="shared" si="43"/>
        <v>#REF!</v>
      </c>
      <c r="Y183" s="201" t="e">
        <f t="shared" si="44"/>
        <v>#REF!</v>
      </c>
      <c r="Z183" s="201" t="e">
        <f t="shared" si="51"/>
        <v>#REF!</v>
      </c>
      <c r="AA183" s="202" t="e">
        <f t="shared" si="52"/>
        <v>#REF!</v>
      </c>
      <c r="AB183" s="201" t="e">
        <f t="shared" si="53"/>
        <v>#REF!</v>
      </c>
      <c r="AC183" s="201" t="e">
        <f t="shared" si="54"/>
        <v>#REF!</v>
      </c>
      <c r="AD183" s="201" t="e">
        <f t="shared" si="60"/>
        <v>#REF!</v>
      </c>
      <c r="AE183" s="201" t="e">
        <f t="shared" si="55"/>
        <v>#REF!</v>
      </c>
      <c r="AF183" s="201" t="e">
        <f t="shared" si="56"/>
        <v>#REF!</v>
      </c>
      <c r="AG183" s="201" t="e">
        <f t="shared" si="61"/>
        <v>#REF!</v>
      </c>
    </row>
    <row r="184" spans="2:33" x14ac:dyDescent="0.3">
      <c r="B184" s="179">
        <f t="shared" si="45"/>
        <v>167</v>
      </c>
      <c r="C184" s="180">
        <f t="shared" si="57"/>
        <v>30.4</v>
      </c>
      <c r="D184" s="165">
        <f>IF(B184="","",Simulador!$F$62)</f>
        <v>0.11</v>
      </c>
      <c r="E184" s="167"/>
      <c r="F184" s="167" t="e">
        <f t="shared" si="58"/>
        <v>#REF!</v>
      </c>
      <c r="G184" s="166"/>
      <c r="H184" s="167" t="e">
        <f t="shared" si="46"/>
        <v>#REF!</v>
      </c>
      <c r="I184" s="167" t="e">
        <f t="shared" si="47"/>
        <v>#REF!</v>
      </c>
      <c r="J184" s="167" t="e">
        <f t="shared" si="48"/>
        <v>#REF!</v>
      </c>
      <c r="K184" s="167" t="e">
        <f t="shared" si="59"/>
        <v>#REF!</v>
      </c>
      <c r="L184" s="167" t="e">
        <f>IF(B184="","",IF(F184=0,0,Simulador!$N$13*$J$2))</f>
        <v>#REF!</v>
      </c>
      <c r="M184" s="167" t="e">
        <f>IF(B184="","",IF(F184=0,0,IF(Simulador!$F$11='Tabla Parámetros'!$W$1,'Tabla Parámetros'!$W$28,IF(Simulador!$F$11='Tabla Parámetros'!$Y$1,'Tabla Parámetros'!$Y$12))))</f>
        <v>#REF!</v>
      </c>
      <c r="N184" s="167" t="e">
        <f>IF(B184="","",IF(F184=0,0,IF(Simulador!$N$7='Tabla Parámetros'!$C$31,AportPat!L170,0)))</f>
        <v>#REF!</v>
      </c>
      <c r="O184" s="167" t="e">
        <f>Simulador!#REF!</f>
        <v>#REF!</v>
      </c>
      <c r="P184" s="167" t="e">
        <f t="shared" si="49"/>
        <v>#REF!</v>
      </c>
      <c r="Q184" s="167" t="e">
        <f t="shared" si="50"/>
        <v>#REF!</v>
      </c>
      <c r="T184" s="6"/>
      <c r="U184" s="6"/>
      <c r="V184" s="6"/>
      <c r="W184" s="29" t="e">
        <f t="shared" si="43"/>
        <v>#REF!</v>
      </c>
      <c r="Y184" s="201" t="e">
        <f t="shared" si="44"/>
        <v>#REF!</v>
      </c>
      <c r="Z184" s="201" t="e">
        <f t="shared" si="51"/>
        <v>#REF!</v>
      </c>
      <c r="AA184" s="202" t="e">
        <f t="shared" si="52"/>
        <v>#REF!</v>
      </c>
      <c r="AB184" s="201" t="e">
        <f t="shared" si="53"/>
        <v>#REF!</v>
      </c>
      <c r="AC184" s="201" t="e">
        <f t="shared" si="54"/>
        <v>#REF!</v>
      </c>
      <c r="AD184" s="201" t="e">
        <f t="shared" si="60"/>
        <v>#REF!</v>
      </c>
      <c r="AE184" s="201" t="e">
        <f t="shared" si="55"/>
        <v>#REF!</v>
      </c>
      <c r="AF184" s="201" t="e">
        <f t="shared" si="56"/>
        <v>#REF!</v>
      </c>
      <c r="AG184" s="201" t="e">
        <f t="shared" si="61"/>
        <v>#REF!</v>
      </c>
    </row>
    <row r="185" spans="2:33" x14ac:dyDescent="0.3">
      <c r="B185" s="179">
        <f t="shared" si="45"/>
        <v>168</v>
      </c>
      <c r="C185" s="180">
        <f t="shared" si="57"/>
        <v>30.4</v>
      </c>
      <c r="D185" s="165">
        <f>IF(B185="","",Simulador!$F$62)</f>
        <v>0.11</v>
      </c>
      <c r="E185" s="167"/>
      <c r="F185" s="167" t="e">
        <f t="shared" si="58"/>
        <v>#REF!</v>
      </c>
      <c r="G185" s="166"/>
      <c r="H185" s="167" t="e">
        <f t="shared" si="46"/>
        <v>#REF!</v>
      </c>
      <c r="I185" s="167" t="e">
        <f t="shared" si="47"/>
        <v>#REF!</v>
      </c>
      <c r="J185" s="167" t="e">
        <f t="shared" si="48"/>
        <v>#REF!</v>
      </c>
      <c r="K185" s="167" t="e">
        <f t="shared" si="59"/>
        <v>#REF!</v>
      </c>
      <c r="L185" s="167" t="e">
        <f>IF(B185="","",IF(F185=0,0,Simulador!$N$13*$J$2))</f>
        <v>#REF!</v>
      </c>
      <c r="M185" s="167" t="e">
        <f>IF(B185="","",IF(F185=0,0,IF(Simulador!$F$11='Tabla Parámetros'!$W$1,'Tabla Parámetros'!$W$28,IF(Simulador!$F$11='Tabla Parámetros'!$Y$1,'Tabla Parámetros'!$Y$12))))</f>
        <v>#REF!</v>
      </c>
      <c r="N185" s="167" t="e">
        <f>IF(B185="","",IF(F185=0,0,IF(Simulador!$N$7='Tabla Parámetros'!$C$31,AportPat!L171,0)))</f>
        <v>#REF!</v>
      </c>
      <c r="O185" s="167" t="e">
        <f>Simulador!#REF!</f>
        <v>#REF!</v>
      </c>
      <c r="P185" s="167" t="e">
        <f t="shared" si="49"/>
        <v>#REF!</v>
      </c>
      <c r="Q185" s="167" t="e">
        <f t="shared" si="50"/>
        <v>#REF!</v>
      </c>
      <c r="T185" s="6"/>
      <c r="U185" s="6"/>
      <c r="V185" s="6"/>
      <c r="W185" s="29" t="e">
        <f t="shared" si="43"/>
        <v>#REF!</v>
      </c>
      <c r="Y185" s="201" t="e">
        <f t="shared" si="44"/>
        <v>#REF!</v>
      </c>
      <c r="Z185" s="201" t="e">
        <f t="shared" si="51"/>
        <v>#REF!</v>
      </c>
      <c r="AA185" s="202" t="e">
        <f t="shared" si="52"/>
        <v>#REF!</v>
      </c>
      <c r="AB185" s="201" t="e">
        <f t="shared" si="53"/>
        <v>#REF!</v>
      </c>
      <c r="AC185" s="201" t="e">
        <f t="shared" si="54"/>
        <v>#REF!</v>
      </c>
      <c r="AD185" s="201" t="e">
        <f t="shared" si="60"/>
        <v>#REF!</v>
      </c>
      <c r="AE185" s="201" t="e">
        <f t="shared" si="55"/>
        <v>#REF!</v>
      </c>
      <c r="AF185" s="201" t="e">
        <f t="shared" si="56"/>
        <v>#REF!</v>
      </c>
      <c r="AG185" s="201" t="e">
        <f t="shared" si="61"/>
        <v>#REF!</v>
      </c>
    </row>
    <row r="186" spans="2:33" x14ac:dyDescent="0.3">
      <c r="B186" s="181">
        <f t="shared" si="45"/>
        <v>169</v>
      </c>
      <c r="C186" s="180">
        <f t="shared" si="57"/>
        <v>30.4</v>
      </c>
      <c r="D186" s="165">
        <f>IF(B186="","",Simulador!$F$62)</f>
        <v>0.11</v>
      </c>
      <c r="E186" s="167"/>
      <c r="F186" s="167" t="e">
        <f t="shared" si="58"/>
        <v>#REF!</v>
      </c>
      <c r="G186" s="166"/>
      <c r="H186" s="167" t="e">
        <f t="shared" si="46"/>
        <v>#REF!</v>
      </c>
      <c r="I186" s="167" t="e">
        <f t="shared" si="47"/>
        <v>#REF!</v>
      </c>
      <c r="J186" s="167" t="e">
        <f t="shared" si="48"/>
        <v>#REF!</v>
      </c>
      <c r="K186" s="167" t="e">
        <f t="shared" si="59"/>
        <v>#REF!</v>
      </c>
      <c r="L186" s="167" t="e">
        <f>IF(B186="","",IF(F186=0,0,Simulador!$N$13*$J$2))</f>
        <v>#REF!</v>
      </c>
      <c r="M186" s="167" t="e">
        <f>IF(B186="","",IF(F186=0,0,IF(Simulador!$F$11='Tabla Parámetros'!$W$1,'Tabla Parámetros'!$W$28,IF(Simulador!$F$11='Tabla Parámetros'!$Y$1,'Tabla Parámetros'!$Y$12))))</f>
        <v>#REF!</v>
      </c>
      <c r="N186" s="167" t="e">
        <f>IF(B186="","",IF(F186=0,0,IF(Simulador!$N$7='Tabla Parámetros'!$C$31,AportPat!L172,0)))</f>
        <v>#REF!</v>
      </c>
      <c r="O186" s="167" t="e">
        <f>Simulador!#REF!</f>
        <v>#REF!</v>
      </c>
      <c r="P186" s="167" t="e">
        <f t="shared" si="49"/>
        <v>#REF!</v>
      </c>
      <c r="Q186" s="167" t="e">
        <f t="shared" si="50"/>
        <v>#REF!</v>
      </c>
      <c r="T186" s="6"/>
      <c r="U186" s="6"/>
      <c r="V186" s="6"/>
      <c r="W186" s="29" t="e">
        <f t="shared" si="43"/>
        <v>#REF!</v>
      </c>
      <c r="Y186" s="201" t="e">
        <f t="shared" si="44"/>
        <v>#REF!</v>
      </c>
      <c r="Z186" s="201" t="e">
        <f t="shared" si="51"/>
        <v>#REF!</v>
      </c>
      <c r="AA186" s="202" t="e">
        <f t="shared" si="52"/>
        <v>#REF!</v>
      </c>
      <c r="AB186" s="201" t="e">
        <f t="shared" si="53"/>
        <v>#REF!</v>
      </c>
      <c r="AC186" s="201" t="e">
        <f t="shared" si="54"/>
        <v>#REF!</v>
      </c>
      <c r="AD186" s="201" t="e">
        <f t="shared" si="60"/>
        <v>#REF!</v>
      </c>
      <c r="AE186" s="201" t="e">
        <f t="shared" si="55"/>
        <v>#REF!</v>
      </c>
      <c r="AF186" s="201" t="e">
        <f t="shared" si="56"/>
        <v>#REF!</v>
      </c>
      <c r="AG186" s="201" t="e">
        <f t="shared" si="61"/>
        <v>#REF!</v>
      </c>
    </row>
    <row r="187" spans="2:33" x14ac:dyDescent="0.3">
      <c r="B187" s="179">
        <f t="shared" si="45"/>
        <v>170</v>
      </c>
      <c r="C187" s="180">
        <f t="shared" si="57"/>
        <v>30.4</v>
      </c>
      <c r="D187" s="165">
        <f>IF(B187="","",Simulador!$F$62)</f>
        <v>0.11</v>
      </c>
      <c r="E187" s="167"/>
      <c r="F187" s="167" t="e">
        <f t="shared" si="58"/>
        <v>#REF!</v>
      </c>
      <c r="G187" s="166"/>
      <c r="H187" s="167" t="e">
        <f t="shared" si="46"/>
        <v>#REF!</v>
      </c>
      <c r="I187" s="167" t="e">
        <f t="shared" si="47"/>
        <v>#REF!</v>
      </c>
      <c r="J187" s="167" t="e">
        <f t="shared" si="48"/>
        <v>#REF!</v>
      </c>
      <c r="K187" s="167" t="e">
        <f t="shared" si="59"/>
        <v>#REF!</v>
      </c>
      <c r="L187" s="167" t="e">
        <f>IF(B187="","",IF(F187=0,0,Simulador!$N$13*$J$2))</f>
        <v>#REF!</v>
      </c>
      <c r="M187" s="167" t="e">
        <f>IF(B187="","",IF(F187=0,0,IF(Simulador!$F$11='Tabla Parámetros'!$W$1,'Tabla Parámetros'!$W$28,IF(Simulador!$F$11='Tabla Parámetros'!$Y$1,'Tabla Parámetros'!$Y$12))))</f>
        <v>#REF!</v>
      </c>
      <c r="N187" s="167" t="e">
        <f>IF(B187="","",IF(F187=0,0,IF(Simulador!$N$7='Tabla Parámetros'!$C$31,AportPat!L173,0)))</f>
        <v>#REF!</v>
      </c>
      <c r="O187" s="167" t="e">
        <f>Simulador!#REF!</f>
        <v>#REF!</v>
      </c>
      <c r="P187" s="167" t="e">
        <f t="shared" si="49"/>
        <v>#REF!</v>
      </c>
      <c r="Q187" s="167" t="e">
        <f t="shared" si="50"/>
        <v>#REF!</v>
      </c>
      <c r="T187" s="6"/>
      <c r="U187" s="6"/>
      <c r="V187" s="6"/>
      <c r="W187" s="29" t="e">
        <f t="shared" si="43"/>
        <v>#REF!</v>
      </c>
      <c r="Y187" s="201" t="e">
        <f t="shared" si="44"/>
        <v>#REF!</v>
      </c>
      <c r="Z187" s="201" t="e">
        <f t="shared" si="51"/>
        <v>#REF!</v>
      </c>
      <c r="AA187" s="202" t="e">
        <f t="shared" si="52"/>
        <v>#REF!</v>
      </c>
      <c r="AB187" s="201" t="e">
        <f t="shared" si="53"/>
        <v>#REF!</v>
      </c>
      <c r="AC187" s="201" t="e">
        <f t="shared" si="54"/>
        <v>#REF!</v>
      </c>
      <c r="AD187" s="201" t="e">
        <f t="shared" si="60"/>
        <v>#REF!</v>
      </c>
      <c r="AE187" s="201" t="e">
        <f t="shared" si="55"/>
        <v>#REF!</v>
      </c>
      <c r="AF187" s="201" t="e">
        <f t="shared" si="56"/>
        <v>#REF!</v>
      </c>
      <c r="AG187" s="201" t="e">
        <f t="shared" si="61"/>
        <v>#REF!</v>
      </c>
    </row>
    <row r="188" spans="2:33" x14ac:dyDescent="0.3">
      <c r="B188" s="179">
        <f t="shared" si="45"/>
        <v>171</v>
      </c>
      <c r="C188" s="180">
        <f t="shared" si="57"/>
        <v>30.4</v>
      </c>
      <c r="D188" s="165">
        <f>IF(B188="","",Simulador!$F$62)</f>
        <v>0.11</v>
      </c>
      <c r="E188" s="167"/>
      <c r="F188" s="167" t="e">
        <f t="shared" si="58"/>
        <v>#REF!</v>
      </c>
      <c r="G188" s="166"/>
      <c r="H188" s="167" t="e">
        <f t="shared" si="46"/>
        <v>#REF!</v>
      </c>
      <c r="I188" s="167" t="e">
        <f t="shared" si="47"/>
        <v>#REF!</v>
      </c>
      <c r="J188" s="167" t="e">
        <f t="shared" si="48"/>
        <v>#REF!</v>
      </c>
      <c r="K188" s="167" t="e">
        <f t="shared" si="59"/>
        <v>#REF!</v>
      </c>
      <c r="L188" s="167" t="e">
        <f>IF(B188="","",IF(F188=0,0,Simulador!$N$13*$J$2))</f>
        <v>#REF!</v>
      </c>
      <c r="M188" s="167" t="e">
        <f>IF(B188="","",IF(F188=0,0,IF(Simulador!$F$11='Tabla Parámetros'!$W$1,'Tabla Parámetros'!$W$28,IF(Simulador!$F$11='Tabla Parámetros'!$Y$1,'Tabla Parámetros'!$Y$12))))</f>
        <v>#REF!</v>
      </c>
      <c r="N188" s="167" t="e">
        <f>IF(B188="","",IF(F188=0,0,IF(Simulador!$N$7='Tabla Parámetros'!$C$31,AportPat!L174,0)))</f>
        <v>#REF!</v>
      </c>
      <c r="O188" s="167" t="e">
        <f>Simulador!#REF!</f>
        <v>#REF!</v>
      </c>
      <c r="P188" s="167" t="e">
        <f t="shared" si="49"/>
        <v>#REF!</v>
      </c>
      <c r="Q188" s="167" t="e">
        <f t="shared" si="50"/>
        <v>#REF!</v>
      </c>
      <c r="T188" s="6"/>
      <c r="U188" s="6"/>
      <c r="V188" s="6"/>
      <c r="W188" s="29" t="e">
        <f t="shared" si="43"/>
        <v>#REF!</v>
      </c>
      <c r="Y188" s="201" t="e">
        <f t="shared" si="44"/>
        <v>#REF!</v>
      </c>
      <c r="Z188" s="201" t="e">
        <f t="shared" si="51"/>
        <v>#REF!</v>
      </c>
      <c r="AA188" s="202" t="e">
        <f t="shared" si="52"/>
        <v>#REF!</v>
      </c>
      <c r="AB188" s="201" t="e">
        <f t="shared" si="53"/>
        <v>#REF!</v>
      </c>
      <c r="AC188" s="201" t="e">
        <f t="shared" si="54"/>
        <v>#REF!</v>
      </c>
      <c r="AD188" s="201" t="e">
        <f t="shared" si="60"/>
        <v>#REF!</v>
      </c>
      <c r="AE188" s="201" t="e">
        <f t="shared" si="55"/>
        <v>#REF!</v>
      </c>
      <c r="AF188" s="201" t="e">
        <f t="shared" si="56"/>
        <v>#REF!</v>
      </c>
      <c r="AG188" s="201" t="e">
        <f t="shared" si="61"/>
        <v>#REF!</v>
      </c>
    </row>
    <row r="189" spans="2:33" x14ac:dyDescent="0.3">
      <c r="B189" s="179">
        <f t="shared" si="45"/>
        <v>172</v>
      </c>
      <c r="C189" s="180">
        <f t="shared" si="57"/>
        <v>30.4</v>
      </c>
      <c r="D189" s="165">
        <f>IF(B189="","",Simulador!$F$62)</f>
        <v>0.11</v>
      </c>
      <c r="E189" s="167"/>
      <c r="F189" s="167" t="e">
        <f t="shared" si="58"/>
        <v>#REF!</v>
      </c>
      <c r="G189" s="166"/>
      <c r="H189" s="167" t="e">
        <f t="shared" si="46"/>
        <v>#REF!</v>
      </c>
      <c r="I189" s="167" t="e">
        <f t="shared" si="47"/>
        <v>#REF!</v>
      </c>
      <c r="J189" s="167" t="e">
        <f t="shared" si="48"/>
        <v>#REF!</v>
      </c>
      <c r="K189" s="167" t="e">
        <f t="shared" si="59"/>
        <v>#REF!</v>
      </c>
      <c r="L189" s="167" t="e">
        <f>IF(B189="","",IF(F189=0,0,Simulador!$N$13*$J$2))</f>
        <v>#REF!</v>
      </c>
      <c r="M189" s="167" t="e">
        <f>IF(B189="","",IF(F189=0,0,IF(Simulador!$F$11='Tabla Parámetros'!$W$1,'Tabla Parámetros'!$W$28,IF(Simulador!$F$11='Tabla Parámetros'!$Y$1,'Tabla Parámetros'!$Y$12))))</f>
        <v>#REF!</v>
      </c>
      <c r="N189" s="167" t="e">
        <f>IF(B189="","",IF(F189=0,0,IF(Simulador!$N$7='Tabla Parámetros'!$C$31,AportPat!L175,0)))</f>
        <v>#REF!</v>
      </c>
      <c r="O189" s="167" t="e">
        <f>Simulador!#REF!</f>
        <v>#REF!</v>
      </c>
      <c r="P189" s="167" t="e">
        <f t="shared" si="49"/>
        <v>#REF!</v>
      </c>
      <c r="Q189" s="167" t="e">
        <f t="shared" si="50"/>
        <v>#REF!</v>
      </c>
      <c r="T189" s="6"/>
      <c r="U189" s="6"/>
      <c r="V189" s="6"/>
      <c r="W189" s="29" t="e">
        <f t="shared" si="43"/>
        <v>#REF!</v>
      </c>
      <c r="Y189" s="201" t="e">
        <f t="shared" si="44"/>
        <v>#REF!</v>
      </c>
      <c r="Z189" s="201" t="e">
        <f t="shared" si="51"/>
        <v>#REF!</v>
      </c>
      <c r="AA189" s="202" t="e">
        <f t="shared" si="52"/>
        <v>#REF!</v>
      </c>
      <c r="AB189" s="201" t="e">
        <f t="shared" si="53"/>
        <v>#REF!</v>
      </c>
      <c r="AC189" s="201" t="e">
        <f t="shared" si="54"/>
        <v>#REF!</v>
      </c>
      <c r="AD189" s="201" t="e">
        <f t="shared" si="60"/>
        <v>#REF!</v>
      </c>
      <c r="AE189" s="201" t="e">
        <f t="shared" si="55"/>
        <v>#REF!</v>
      </c>
      <c r="AF189" s="201" t="e">
        <f t="shared" si="56"/>
        <v>#REF!</v>
      </c>
      <c r="AG189" s="201" t="e">
        <f t="shared" si="61"/>
        <v>#REF!</v>
      </c>
    </row>
    <row r="190" spans="2:33" x14ac:dyDescent="0.3">
      <c r="B190" s="181">
        <f t="shared" si="45"/>
        <v>173</v>
      </c>
      <c r="C190" s="180">
        <f t="shared" si="57"/>
        <v>30.4</v>
      </c>
      <c r="D190" s="165">
        <f>IF(B190="","",Simulador!$F$62)</f>
        <v>0.11</v>
      </c>
      <c r="E190" s="167"/>
      <c r="F190" s="167" t="e">
        <f t="shared" si="58"/>
        <v>#REF!</v>
      </c>
      <c r="G190" s="166"/>
      <c r="H190" s="167" t="e">
        <f t="shared" si="46"/>
        <v>#REF!</v>
      </c>
      <c r="I190" s="167" t="e">
        <f t="shared" si="47"/>
        <v>#REF!</v>
      </c>
      <c r="J190" s="167" t="e">
        <f t="shared" si="48"/>
        <v>#REF!</v>
      </c>
      <c r="K190" s="167" t="e">
        <f t="shared" si="59"/>
        <v>#REF!</v>
      </c>
      <c r="L190" s="167" t="e">
        <f>IF(B190="","",IF(F190=0,0,Simulador!$N$13*$J$2))</f>
        <v>#REF!</v>
      </c>
      <c r="M190" s="167" t="e">
        <f>IF(B190="","",IF(F190=0,0,IF(Simulador!$F$11='Tabla Parámetros'!$W$1,'Tabla Parámetros'!$W$28,IF(Simulador!$F$11='Tabla Parámetros'!$Y$1,'Tabla Parámetros'!$Y$12))))</f>
        <v>#REF!</v>
      </c>
      <c r="N190" s="167" t="e">
        <f>IF(B190="","",IF(F190=0,0,IF(Simulador!$N$7='Tabla Parámetros'!$C$31,AportPat!L176,0)))</f>
        <v>#REF!</v>
      </c>
      <c r="O190" s="167" t="e">
        <f>Simulador!#REF!</f>
        <v>#REF!</v>
      </c>
      <c r="P190" s="167" t="e">
        <f t="shared" si="49"/>
        <v>#REF!</v>
      </c>
      <c r="Q190" s="167" t="e">
        <f t="shared" si="50"/>
        <v>#REF!</v>
      </c>
      <c r="T190" s="6"/>
      <c r="U190" s="6"/>
      <c r="V190" s="6"/>
      <c r="W190" s="29" t="e">
        <f t="shared" si="43"/>
        <v>#REF!</v>
      </c>
      <c r="Y190" s="201" t="e">
        <f t="shared" si="44"/>
        <v>#REF!</v>
      </c>
      <c r="Z190" s="201" t="e">
        <f t="shared" si="51"/>
        <v>#REF!</v>
      </c>
      <c r="AA190" s="202" t="e">
        <f t="shared" si="52"/>
        <v>#REF!</v>
      </c>
      <c r="AB190" s="201" t="e">
        <f t="shared" si="53"/>
        <v>#REF!</v>
      </c>
      <c r="AC190" s="201" t="e">
        <f t="shared" si="54"/>
        <v>#REF!</v>
      </c>
      <c r="AD190" s="201" t="e">
        <f t="shared" si="60"/>
        <v>#REF!</v>
      </c>
      <c r="AE190" s="201" t="e">
        <f t="shared" si="55"/>
        <v>#REF!</v>
      </c>
      <c r="AF190" s="201" t="e">
        <f t="shared" si="56"/>
        <v>#REF!</v>
      </c>
      <c r="AG190" s="201" t="e">
        <f t="shared" si="61"/>
        <v>#REF!</v>
      </c>
    </row>
    <row r="191" spans="2:33" x14ac:dyDescent="0.3">
      <c r="B191" s="179">
        <f t="shared" si="45"/>
        <v>174</v>
      </c>
      <c r="C191" s="180">
        <f t="shared" si="57"/>
        <v>30.4</v>
      </c>
      <c r="D191" s="165">
        <f>IF(B191="","",Simulador!$F$62)</f>
        <v>0.11</v>
      </c>
      <c r="E191" s="167"/>
      <c r="F191" s="167" t="e">
        <f t="shared" si="58"/>
        <v>#REF!</v>
      </c>
      <c r="G191" s="166"/>
      <c r="H191" s="167" t="e">
        <f t="shared" si="46"/>
        <v>#REF!</v>
      </c>
      <c r="I191" s="167" t="e">
        <f t="shared" si="47"/>
        <v>#REF!</v>
      </c>
      <c r="J191" s="167" t="e">
        <f t="shared" si="48"/>
        <v>#REF!</v>
      </c>
      <c r="K191" s="167" t="e">
        <f t="shared" si="59"/>
        <v>#REF!</v>
      </c>
      <c r="L191" s="167" t="e">
        <f>IF(B191="","",IF(F191=0,0,Simulador!$N$13*$J$2))</f>
        <v>#REF!</v>
      </c>
      <c r="M191" s="167" t="e">
        <f>IF(B191="","",IF(F191=0,0,IF(Simulador!$F$11='Tabla Parámetros'!$W$1,'Tabla Parámetros'!$W$28,IF(Simulador!$F$11='Tabla Parámetros'!$Y$1,'Tabla Parámetros'!$Y$12))))</f>
        <v>#REF!</v>
      </c>
      <c r="N191" s="167" t="e">
        <f>IF(B191="","",IF(F191=0,0,IF(Simulador!$N$7='Tabla Parámetros'!$C$31,AportPat!L177,0)))</f>
        <v>#REF!</v>
      </c>
      <c r="O191" s="167" t="e">
        <f>Simulador!#REF!</f>
        <v>#REF!</v>
      </c>
      <c r="P191" s="167" t="e">
        <f t="shared" si="49"/>
        <v>#REF!</v>
      </c>
      <c r="Q191" s="167" t="e">
        <f t="shared" si="50"/>
        <v>#REF!</v>
      </c>
      <c r="T191" s="6"/>
      <c r="U191" s="6"/>
      <c r="V191" s="6"/>
      <c r="W191" s="29" t="e">
        <f t="shared" si="43"/>
        <v>#REF!</v>
      </c>
      <c r="Y191" s="201" t="e">
        <f t="shared" si="44"/>
        <v>#REF!</v>
      </c>
      <c r="Z191" s="201" t="e">
        <f t="shared" si="51"/>
        <v>#REF!</v>
      </c>
      <c r="AA191" s="202" t="e">
        <f t="shared" si="52"/>
        <v>#REF!</v>
      </c>
      <c r="AB191" s="201" t="e">
        <f t="shared" si="53"/>
        <v>#REF!</v>
      </c>
      <c r="AC191" s="201" t="e">
        <f t="shared" si="54"/>
        <v>#REF!</v>
      </c>
      <c r="AD191" s="201" t="e">
        <f t="shared" si="60"/>
        <v>#REF!</v>
      </c>
      <c r="AE191" s="201" t="e">
        <f t="shared" si="55"/>
        <v>#REF!</v>
      </c>
      <c r="AF191" s="201" t="e">
        <f t="shared" si="56"/>
        <v>#REF!</v>
      </c>
      <c r="AG191" s="201" t="e">
        <f t="shared" si="61"/>
        <v>#REF!</v>
      </c>
    </row>
    <row r="192" spans="2:33" x14ac:dyDescent="0.3">
      <c r="B192" s="179">
        <f t="shared" si="45"/>
        <v>175</v>
      </c>
      <c r="C192" s="180">
        <f t="shared" si="57"/>
        <v>30.4</v>
      </c>
      <c r="D192" s="165">
        <f>IF(B192="","",Simulador!$F$62)</f>
        <v>0.11</v>
      </c>
      <c r="E192" s="167"/>
      <c r="F192" s="167" t="e">
        <f t="shared" si="58"/>
        <v>#REF!</v>
      </c>
      <c r="G192" s="166"/>
      <c r="H192" s="167" t="e">
        <f t="shared" si="46"/>
        <v>#REF!</v>
      </c>
      <c r="I192" s="167" t="e">
        <f t="shared" si="47"/>
        <v>#REF!</v>
      </c>
      <c r="J192" s="167" t="e">
        <f t="shared" si="48"/>
        <v>#REF!</v>
      </c>
      <c r="K192" s="167" t="e">
        <f t="shared" si="59"/>
        <v>#REF!</v>
      </c>
      <c r="L192" s="167" t="e">
        <f>IF(B192="","",IF(F192=0,0,Simulador!$N$13*$J$2))</f>
        <v>#REF!</v>
      </c>
      <c r="M192" s="167" t="e">
        <f>IF(B192="","",IF(F192=0,0,IF(Simulador!$F$11='Tabla Parámetros'!$W$1,'Tabla Parámetros'!$W$28,IF(Simulador!$F$11='Tabla Parámetros'!$Y$1,'Tabla Parámetros'!$Y$12))))</f>
        <v>#REF!</v>
      </c>
      <c r="N192" s="167" t="e">
        <f>IF(B192="","",IF(F192=0,0,IF(Simulador!$N$7='Tabla Parámetros'!$C$31,AportPat!L178,0)))</f>
        <v>#REF!</v>
      </c>
      <c r="O192" s="167" t="e">
        <f>Simulador!#REF!</f>
        <v>#REF!</v>
      </c>
      <c r="P192" s="167" t="e">
        <f t="shared" si="49"/>
        <v>#REF!</v>
      </c>
      <c r="Q192" s="167" t="e">
        <f t="shared" si="50"/>
        <v>#REF!</v>
      </c>
      <c r="T192" s="6"/>
      <c r="U192" s="6"/>
      <c r="V192" s="6"/>
      <c r="W192" s="29" t="e">
        <f t="shared" si="43"/>
        <v>#REF!</v>
      </c>
      <c r="Y192" s="201" t="e">
        <f t="shared" si="44"/>
        <v>#REF!</v>
      </c>
      <c r="Z192" s="201" t="e">
        <f t="shared" si="51"/>
        <v>#REF!</v>
      </c>
      <c r="AA192" s="202" t="e">
        <f t="shared" si="52"/>
        <v>#REF!</v>
      </c>
      <c r="AB192" s="201" t="e">
        <f t="shared" si="53"/>
        <v>#REF!</v>
      </c>
      <c r="AC192" s="201" t="e">
        <f t="shared" si="54"/>
        <v>#REF!</v>
      </c>
      <c r="AD192" s="201" t="e">
        <f t="shared" si="60"/>
        <v>#REF!</v>
      </c>
      <c r="AE192" s="201" t="e">
        <f t="shared" si="55"/>
        <v>#REF!</v>
      </c>
      <c r="AF192" s="201" t="e">
        <f t="shared" si="56"/>
        <v>#REF!</v>
      </c>
      <c r="AG192" s="201" t="e">
        <f t="shared" si="61"/>
        <v>#REF!</v>
      </c>
    </row>
    <row r="193" spans="2:33" x14ac:dyDescent="0.3">
      <c r="B193" s="179">
        <f t="shared" si="45"/>
        <v>176</v>
      </c>
      <c r="C193" s="180">
        <f t="shared" si="57"/>
        <v>30.4</v>
      </c>
      <c r="D193" s="165">
        <f>IF(B193="","",Simulador!$F$62)</f>
        <v>0.11</v>
      </c>
      <c r="E193" s="167"/>
      <c r="F193" s="167" t="e">
        <f t="shared" si="58"/>
        <v>#REF!</v>
      </c>
      <c r="G193" s="166"/>
      <c r="H193" s="167" t="e">
        <f t="shared" si="46"/>
        <v>#REF!</v>
      </c>
      <c r="I193" s="167" t="e">
        <f t="shared" si="47"/>
        <v>#REF!</v>
      </c>
      <c r="J193" s="167" t="e">
        <f t="shared" si="48"/>
        <v>#REF!</v>
      </c>
      <c r="K193" s="167" t="e">
        <f t="shared" si="59"/>
        <v>#REF!</v>
      </c>
      <c r="L193" s="167" t="e">
        <f>IF(B193="","",IF(F193=0,0,Simulador!$N$13*$J$2))</f>
        <v>#REF!</v>
      </c>
      <c r="M193" s="167" t="e">
        <f>IF(B193="","",IF(F193=0,0,IF(Simulador!$F$11='Tabla Parámetros'!$W$1,'Tabla Parámetros'!$W$28,IF(Simulador!$F$11='Tabla Parámetros'!$Y$1,'Tabla Parámetros'!$Y$12))))</f>
        <v>#REF!</v>
      </c>
      <c r="N193" s="167" t="e">
        <f>IF(B193="","",IF(F193=0,0,IF(Simulador!$N$7='Tabla Parámetros'!$C$31,AportPat!L179,0)))</f>
        <v>#REF!</v>
      </c>
      <c r="O193" s="167" t="e">
        <f>Simulador!#REF!</f>
        <v>#REF!</v>
      </c>
      <c r="P193" s="167" t="e">
        <f t="shared" si="49"/>
        <v>#REF!</v>
      </c>
      <c r="Q193" s="167" t="e">
        <f t="shared" si="50"/>
        <v>#REF!</v>
      </c>
      <c r="T193" s="6"/>
      <c r="U193" s="6"/>
      <c r="V193" s="6"/>
      <c r="W193" s="29" t="e">
        <f t="shared" si="43"/>
        <v>#REF!</v>
      </c>
      <c r="Y193" s="201" t="e">
        <f t="shared" si="44"/>
        <v>#REF!</v>
      </c>
      <c r="Z193" s="201" t="e">
        <f t="shared" si="51"/>
        <v>#REF!</v>
      </c>
      <c r="AA193" s="202" t="e">
        <f t="shared" si="52"/>
        <v>#REF!</v>
      </c>
      <c r="AB193" s="201" t="e">
        <f t="shared" si="53"/>
        <v>#REF!</v>
      </c>
      <c r="AC193" s="201" t="e">
        <f t="shared" si="54"/>
        <v>#REF!</v>
      </c>
      <c r="AD193" s="201" t="e">
        <f t="shared" si="60"/>
        <v>#REF!</v>
      </c>
      <c r="AE193" s="201" t="e">
        <f t="shared" si="55"/>
        <v>#REF!</v>
      </c>
      <c r="AF193" s="201" t="e">
        <f t="shared" si="56"/>
        <v>#REF!</v>
      </c>
      <c r="AG193" s="201" t="e">
        <f t="shared" si="61"/>
        <v>#REF!</v>
      </c>
    </row>
    <row r="194" spans="2:33" x14ac:dyDescent="0.3">
      <c r="B194" s="181">
        <f t="shared" si="45"/>
        <v>177</v>
      </c>
      <c r="C194" s="180">
        <f t="shared" si="57"/>
        <v>30.4</v>
      </c>
      <c r="D194" s="165">
        <f>IF(B194="","",Simulador!$F$62)</f>
        <v>0.11</v>
      </c>
      <c r="E194" s="167"/>
      <c r="F194" s="167" t="e">
        <f t="shared" si="58"/>
        <v>#REF!</v>
      </c>
      <c r="G194" s="166"/>
      <c r="H194" s="167" t="e">
        <f t="shared" si="46"/>
        <v>#REF!</v>
      </c>
      <c r="I194" s="167" t="e">
        <f t="shared" si="47"/>
        <v>#REF!</v>
      </c>
      <c r="J194" s="167" t="e">
        <f t="shared" si="48"/>
        <v>#REF!</v>
      </c>
      <c r="K194" s="167" t="e">
        <f t="shared" si="59"/>
        <v>#REF!</v>
      </c>
      <c r="L194" s="167" t="e">
        <f>IF(B194="","",IF(F194=0,0,Simulador!$N$13*$J$2))</f>
        <v>#REF!</v>
      </c>
      <c r="M194" s="167" t="e">
        <f>IF(B194="","",IF(F194=0,0,IF(Simulador!$F$11='Tabla Parámetros'!$W$1,'Tabla Parámetros'!$W$28,IF(Simulador!$F$11='Tabla Parámetros'!$Y$1,'Tabla Parámetros'!$Y$12))))</f>
        <v>#REF!</v>
      </c>
      <c r="N194" s="167" t="e">
        <f>IF(B194="","",IF(F194=0,0,IF(Simulador!$N$7='Tabla Parámetros'!$C$31,AportPat!L180,0)))</f>
        <v>#REF!</v>
      </c>
      <c r="O194" s="167" t="e">
        <f>Simulador!#REF!</f>
        <v>#REF!</v>
      </c>
      <c r="P194" s="167" t="e">
        <f t="shared" si="49"/>
        <v>#REF!</v>
      </c>
      <c r="Q194" s="167" t="e">
        <f t="shared" si="50"/>
        <v>#REF!</v>
      </c>
      <c r="T194" s="6"/>
      <c r="U194" s="6"/>
      <c r="V194" s="6"/>
      <c r="W194" s="29" t="e">
        <f t="shared" si="43"/>
        <v>#REF!</v>
      </c>
      <c r="Y194" s="201" t="e">
        <f t="shared" si="44"/>
        <v>#REF!</v>
      </c>
      <c r="Z194" s="201" t="e">
        <f t="shared" si="51"/>
        <v>#REF!</v>
      </c>
      <c r="AA194" s="202" t="e">
        <f t="shared" si="52"/>
        <v>#REF!</v>
      </c>
      <c r="AB194" s="201" t="e">
        <f t="shared" si="53"/>
        <v>#REF!</v>
      </c>
      <c r="AC194" s="201" t="e">
        <f t="shared" si="54"/>
        <v>#REF!</v>
      </c>
      <c r="AD194" s="201" t="e">
        <f t="shared" si="60"/>
        <v>#REF!</v>
      </c>
      <c r="AE194" s="201" t="e">
        <f t="shared" si="55"/>
        <v>#REF!</v>
      </c>
      <c r="AF194" s="201" t="e">
        <f t="shared" si="56"/>
        <v>#REF!</v>
      </c>
      <c r="AG194" s="201" t="e">
        <f t="shared" si="61"/>
        <v>#REF!</v>
      </c>
    </row>
    <row r="195" spans="2:33" x14ac:dyDescent="0.3">
      <c r="B195" s="179">
        <f t="shared" si="45"/>
        <v>178</v>
      </c>
      <c r="C195" s="180">
        <f t="shared" si="57"/>
        <v>30.4</v>
      </c>
      <c r="D195" s="165">
        <f>IF(B195="","",Simulador!$F$62)</f>
        <v>0.11</v>
      </c>
      <c r="E195" s="167"/>
      <c r="F195" s="167" t="e">
        <f t="shared" si="58"/>
        <v>#REF!</v>
      </c>
      <c r="G195" s="166"/>
      <c r="H195" s="167" t="e">
        <f t="shared" si="46"/>
        <v>#REF!</v>
      </c>
      <c r="I195" s="167" t="e">
        <f t="shared" si="47"/>
        <v>#REF!</v>
      </c>
      <c r="J195" s="167" t="e">
        <f t="shared" si="48"/>
        <v>#REF!</v>
      </c>
      <c r="K195" s="167" t="e">
        <f t="shared" si="59"/>
        <v>#REF!</v>
      </c>
      <c r="L195" s="167" t="e">
        <f>IF(B195="","",IF(F195=0,0,Simulador!$N$13*$J$2))</f>
        <v>#REF!</v>
      </c>
      <c r="M195" s="167" t="e">
        <f>IF(B195="","",IF(F195=0,0,IF(Simulador!$F$11='Tabla Parámetros'!$W$1,'Tabla Parámetros'!$W$28,IF(Simulador!$F$11='Tabla Parámetros'!$Y$1,'Tabla Parámetros'!$Y$12))))</f>
        <v>#REF!</v>
      </c>
      <c r="N195" s="167" t="e">
        <f>IF(B195="","",IF(F195=0,0,IF(Simulador!$N$7='Tabla Parámetros'!$C$31,AportPat!L181,0)))</f>
        <v>#REF!</v>
      </c>
      <c r="O195" s="167" t="e">
        <f>Simulador!#REF!</f>
        <v>#REF!</v>
      </c>
      <c r="P195" s="167" t="e">
        <f t="shared" si="49"/>
        <v>#REF!</v>
      </c>
      <c r="Q195" s="167" t="e">
        <f t="shared" si="50"/>
        <v>#REF!</v>
      </c>
      <c r="T195" s="6"/>
      <c r="U195" s="6"/>
      <c r="V195" s="6"/>
      <c r="W195" s="29" t="e">
        <f t="shared" si="43"/>
        <v>#REF!</v>
      </c>
      <c r="Y195" s="201" t="e">
        <f t="shared" si="44"/>
        <v>#REF!</v>
      </c>
      <c r="Z195" s="201" t="e">
        <f t="shared" si="51"/>
        <v>#REF!</v>
      </c>
      <c r="AA195" s="202" t="e">
        <f t="shared" si="52"/>
        <v>#REF!</v>
      </c>
      <c r="AB195" s="201" t="e">
        <f t="shared" si="53"/>
        <v>#REF!</v>
      </c>
      <c r="AC195" s="201" t="e">
        <f t="shared" si="54"/>
        <v>#REF!</v>
      </c>
      <c r="AD195" s="201" t="e">
        <f t="shared" si="60"/>
        <v>#REF!</v>
      </c>
      <c r="AE195" s="201" t="e">
        <f t="shared" si="55"/>
        <v>#REF!</v>
      </c>
      <c r="AF195" s="201" t="e">
        <f t="shared" si="56"/>
        <v>#REF!</v>
      </c>
      <c r="AG195" s="201" t="e">
        <f t="shared" si="61"/>
        <v>#REF!</v>
      </c>
    </row>
    <row r="196" spans="2:33" x14ac:dyDescent="0.3">
      <c r="B196" s="179">
        <f t="shared" si="45"/>
        <v>179</v>
      </c>
      <c r="C196" s="180">
        <f t="shared" si="57"/>
        <v>30.4</v>
      </c>
      <c r="D196" s="165">
        <f>IF(B196="","",Simulador!$F$62)</f>
        <v>0.11</v>
      </c>
      <c r="E196" s="167"/>
      <c r="F196" s="167" t="e">
        <f t="shared" si="58"/>
        <v>#REF!</v>
      </c>
      <c r="G196" s="166"/>
      <c r="H196" s="167" t="e">
        <f t="shared" si="46"/>
        <v>#REF!</v>
      </c>
      <c r="I196" s="167" t="e">
        <f t="shared" si="47"/>
        <v>#REF!</v>
      </c>
      <c r="J196" s="167" t="e">
        <f t="shared" si="48"/>
        <v>#REF!</v>
      </c>
      <c r="K196" s="167" t="e">
        <f t="shared" si="59"/>
        <v>#REF!</v>
      </c>
      <c r="L196" s="167" t="e">
        <f>IF(B196="","",IF(F196=0,0,Simulador!$N$13*$J$2))</f>
        <v>#REF!</v>
      </c>
      <c r="M196" s="167" t="e">
        <f>IF(B196="","",IF(F196=0,0,IF(Simulador!$F$11='Tabla Parámetros'!$W$1,'Tabla Parámetros'!$W$28,IF(Simulador!$F$11='Tabla Parámetros'!$Y$1,'Tabla Parámetros'!$Y$12))))</f>
        <v>#REF!</v>
      </c>
      <c r="N196" s="167" t="e">
        <f>IF(B196="","",IF(F196=0,0,IF(Simulador!$N$7='Tabla Parámetros'!$C$31,AportPat!L182,0)))</f>
        <v>#REF!</v>
      </c>
      <c r="O196" s="167" t="e">
        <f>Simulador!#REF!</f>
        <v>#REF!</v>
      </c>
      <c r="P196" s="167" t="e">
        <f t="shared" si="49"/>
        <v>#REF!</v>
      </c>
      <c r="Q196" s="167" t="e">
        <f t="shared" si="50"/>
        <v>#REF!</v>
      </c>
      <c r="T196" s="6"/>
      <c r="U196" s="6"/>
      <c r="V196" s="6"/>
      <c r="W196" s="29" t="e">
        <f t="shared" ref="W196:W255" si="62">P198</f>
        <v>#REF!</v>
      </c>
      <c r="Y196" s="201" t="e">
        <f t="shared" si="44"/>
        <v>#REF!</v>
      </c>
      <c r="Z196" s="201" t="e">
        <f t="shared" si="51"/>
        <v>#REF!</v>
      </c>
      <c r="AA196" s="202" t="e">
        <f t="shared" si="52"/>
        <v>#REF!</v>
      </c>
      <c r="AB196" s="201" t="e">
        <f t="shared" si="53"/>
        <v>#REF!</v>
      </c>
      <c r="AC196" s="201" t="e">
        <f t="shared" si="54"/>
        <v>#REF!</v>
      </c>
      <c r="AD196" s="201" t="e">
        <f t="shared" si="60"/>
        <v>#REF!</v>
      </c>
      <c r="AE196" s="201" t="e">
        <f t="shared" si="55"/>
        <v>#REF!</v>
      </c>
      <c r="AF196" s="201" t="e">
        <f t="shared" si="56"/>
        <v>#REF!</v>
      </c>
      <c r="AG196" s="201" t="e">
        <f t="shared" si="61"/>
        <v>#REF!</v>
      </c>
    </row>
    <row r="197" spans="2:33" x14ac:dyDescent="0.3">
      <c r="B197" s="179">
        <f t="shared" si="45"/>
        <v>180</v>
      </c>
      <c r="C197" s="180">
        <f t="shared" si="57"/>
        <v>30.4</v>
      </c>
      <c r="D197" s="165">
        <f>IF(B197="","",Simulador!$F$62)</f>
        <v>0.11</v>
      </c>
      <c r="E197" s="167"/>
      <c r="F197" s="167" t="e">
        <f t="shared" si="58"/>
        <v>#REF!</v>
      </c>
      <c r="G197" s="166"/>
      <c r="H197" s="167" t="e">
        <f t="shared" si="46"/>
        <v>#REF!</v>
      </c>
      <c r="I197" s="167" t="e">
        <f t="shared" si="47"/>
        <v>#REF!</v>
      </c>
      <c r="J197" s="167" t="e">
        <f t="shared" si="48"/>
        <v>#REF!</v>
      </c>
      <c r="K197" s="167" t="e">
        <f t="shared" si="59"/>
        <v>#REF!</v>
      </c>
      <c r="L197" s="167" t="e">
        <f>IF(B197="","",IF(F197=0,0,Simulador!$N$13*$J$2))</f>
        <v>#REF!</v>
      </c>
      <c r="M197" s="167" t="e">
        <f>IF(B197="","",IF(F197=0,0,IF(Simulador!$F$11='Tabla Parámetros'!$W$1,'Tabla Parámetros'!$W$28,IF(Simulador!$F$11='Tabla Parámetros'!$Y$1,'Tabla Parámetros'!$Y$12))))</f>
        <v>#REF!</v>
      </c>
      <c r="N197" s="167" t="e">
        <f>IF(B197="","",IF(F197=0,0,IF(Simulador!$N$7='Tabla Parámetros'!$C$31,AportPat!L183,0)))</f>
        <v>#REF!</v>
      </c>
      <c r="O197" s="167" t="e">
        <f>Simulador!#REF!</f>
        <v>#REF!</v>
      </c>
      <c r="P197" s="167" t="e">
        <f t="shared" si="49"/>
        <v>#REF!</v>
      </c>
      <c r="Q197" s="167" t="e">
        <f t="shared" si="50"/>
        <v>#REF!</v>
      </c>
      <c r="T197" s="6"/>
      <c r="U197" s="6"/>
      <c r="V197" s="6"/>
      <c r="W197" s="29" t="e">
        <f t="shared" si="62"/>
        <v>#REF!</v>
      </c>
      <c r="Y197" s="201" t="e">
        <f t="shared" si="44"/>
        <v>#REF!</v>
      </c>
      <c r="Z197" s="201" t="e">
        <f t="shared" si="51"/>
        <v>#REF!</v>
      </c>
      <c r="AA197" s="202" t="e">
        <f t="shared" si="52"/>
        <v>#REF!</v>
      </c>
      <c r="AB197" s="201" t="e">
        <f t="shared" si="53"/>
        <v>#REF!</v>
      </c>
      <c r="AC197" s="201" t="e">
        <f t="shared" si="54"/>
        <v>#REF!</v>
      </c>
      <c r="AD197" s="201" t="e">
        <f t="shared" si="60"/>
        <v>#REF!</v>
      </c>
      <c r="AE197" s="201" t="e">
        <f t="shared" si="55"/>
        <v>#REF!</v>
      </c>
      <c r="AF197" s="201" t="e">
        <f t="shared" si="56"/>
        <v>#REF!</v>
      </c>
      <c r="AG197" s="201" t="e">
        <f t="shared" si="61"/>
        <v>#REF!</v>
      </c>
    </row>
    <row r="198" spans="2:33" x14ac:dyDescent="0.3">
      <c r="B198" s="181">
        <f t="shared" si="45"/>
        <v>181</v>
      </c>
      <c r="C198" s="180">
        <f t="shared" si="57"/>
        <v>30.4</v>
      </c>
      <c r="D198" s="165">
        <f>IF(B198="","",Simulador!$F$62)</f>
        <v>0.11</v>
      </c>
      <c r="E198" s="167"/>
      <c r="F198" s="167" t="e">
        <f t="shared" si="58"/>
        <v>#REF!</v>
      </c>
      <c r="G198" s="166"/>
      <c r="H198" s="167" t="e">
        <f t="shared" si="46"/>
        <v>#REF!</v>
      </c>
      <c r="I198" s="167" t="e">
        <f t="shared" si="47"/>
        <v>#REF!</v>
      </c>
      <c r="J198" s="167" t="e">
        <f t="shared" si="48"/>
        <v>#REF!</v>
      </c>
      <c r="K198" s="167" t="e">
        <f t="shared" si="59"/>
        <v>#REF!</v>
      </c>
      <c r="L198" s="167" t="e">
        <f>IF(B198="","",IF(F198=0,0,Simulador!$N$13*$J$2))</f>
        <v>#REF!</v>
      </c>
      <c r="M198" s="167" t="e">
        <f>IF(B198="","",IF(F198=0,0,IF(Simulador!$F$11='Tabla Parámetros'!$W$1,'Tabla Parámetros'!$W$28,IF(Simulador!$F$11='Tabla Parámetros'!$Y$1,'Tabla Parámetros'!$Y$12))))</f>
        <v>#REF!</v>
      </c>
      <c r="N198" s="167" t="e">
        <f>IF(B198="","",IF(F198=0,0,IF(Simulador!$N$7='Tabla Parámetros'!$C$31,AportPat!L184,0)))</f>
        <v>#REF!</v>
      </c>
      <c r="O198" s="167" t="e">
        <f>Simulador!#REF!</f>
        <v>#REF!</v>
      </c>
      <c r="P198" s="167" t="e">
        <f t="shared" si="49"/>
        <v>#REF!</v>
      </c>
      <c r="Q198" s="167" t="e">
        <f t="shared" si="50"/>
        <v>#REF!</v>
      </c>
      <c r="T198" s="6"/>
      <c r="U198" s="6"/>
      <c r="V198" s="6"/>
      <c r="W198" s="29" t="e">
        <f t="shared" si="62"/>
        <v>#REF!</v>
      </c>
      <c r="Y198" s="201" t="e">
        <f t="shared" si="44"/>
        <v>#REF!</v>
      </c>
      <c r="Z198" s="201" t="e">
        <f t="shared" si="51"/>
        <v>#REF!</v>
      </c>
      <c r="AA198" s="202" t="e">
        <f t="shared" si="52"/>
        <v>#REF!</v>
      </c>
      <c r="AB198" s="201" t="e">
        <f t="shared" si="53"/>
        <v>#REF!</v>
      </c>
      <c r="AC198" s="201" t="e">
        <f t="shared" si="54"/>
        <v>#REF!</v>
      </c>
      <c r="AD198" s="201" t="e">
        <f t="shared" si="60"/>
        <v>#REF!</v>
      </c>
      <c r="AE198" s="201" t="e">
        <f t="shared" si="55"/>
        <v>#REF!</v>
      </c>
      <c r="AF198" s="201" t="e">
        <f t="shared" si="56"/>
        <v>#REF!</v>
      </c>
      <c r="AG198" s="201" t="e">
        <f t="shared" si="61"/>
        <v>#REF!</v>
      </c>
    </row>
    <row r="199" spans="2:33" x14ac:dyDescent="0.3">
      <c r="B199" s="179">
        <f t="shared" si="45"/>
        <v>182</v>
      </c>
      <c r="C199" s="180">
        <f t="shared" si="57"/>
        <v>30.4</v>
      </c>
      <c r="D199" s="165">
        <f>IF(B199="","",Simulador!$F$62)</f>
        <v>0.11</v>
      </c>
      <c r="E199" s="167"/>
      <c r="F199" s="167" t="e">
        <f t="shared" si="58"/>
        <v>#REF!</v>
      </c>
      <c r="G199" s="166"/>
      <c r="H199" s="167" t="e">
        <f t="shared" si="46"/>
        <v>#REF!</v>
      </c>
      <c r="I199" s="167" t="e">
        <f t="shared" si="47"/>
        <v>#REF!</v>
      </c>
      <c r="J199" s="167" t="e">
        <f t="shared" si="48"/>
        <v>#REF!</v>
      </c>
      <c r="K199" s="167" t="e">
        <f t="shared" si="59"/>
        <v>#REF!</v>
      </c>
      <c r="L199" s="167" t="e">
        <f>IF(B199="","",IF(F199=0,0,Simulador!$N$13*$J$2))</f>
        <v>#REF!</v>
      </c>
      <c r="M199" s="167" t="e">
        <f>IF(B199="","",IF(F199=0,0,IF(Simulador!$F$11='Tabla Parámetros'!$W$1,'Tabla Parámetros'!$W$28,IF(Simulador!$F$11='Tabla Parámetros'!$Y$1,'Tabla Parámetros'!$Y$12))))</f>
        <v>#REF!</v>
      </c>
      <c r="N199" s="167" t="e">
        <f>IF(B199="","",IF(F199=0,0,IF(Simulador!$N$7='Tabla Parámetros'!$C$31,AportPat!L185,0)))</f>
        <v>#REF!</v>
      </c>
      <c r="O199" s="167" t="e">
        <f>Simulador!#REF!</f>
        <v>#REF!</v>
      </c>
      <c r="P199" s="167" t="e">
        <f t="shared" si="49"/>
        <v>#REF!</v>
      </c>
      <c r="Q199" s="167" t="e">
        <f t="shared" si="50"/>
        <v>#REF!</v>
      </c>
      <c r="T199" s="6"/>
      <c r="U199" s="6"/>
      <c r="V199" s="6"/>
      <c r="W199" s="29" t="e">
        <f t="shared" si="62"/>
        <v>#REF!</v>
      </c>
      <c r="Y199" s="201" t="e">
        <f t="shared" si="44"/>
        <v>#REF!</v>
      </c>
      <c r="Z199" s="201" t="e">
        <f t="shared" si="51"/>
        <v>#REF!</v>
      </c>
      <c r="AA199" s="202" t="e">
        <f t="shared" si="52"/>
        <v>#REF!</v>
      </c>
      <c r="AB199" s="201" t="e">
        <f t="shared" si="53"/>
        <v>#REF!</v>
      </c>
      <c r="AC199" s="201" t="e">
        <f t="shared" si="54"/>
        <v>#REF!</v>
      </c>
      <c r="AD199" s="201" t="e">
        <f t="shared" si="60"/>
        <v>#REF!</v>
      </c>
      <c r="AE199" s="201" t="e">
        <f t="shared" si="55"/>
        <v>#REF!</v>
      </c>
      <c r="AF199" s="201" t="e">
        <f t="shared" si="56"/>
        <v>#REF!</v>
      </c>
      <c r="AG199" s="201" t="e">
        <f t="shared" si="61"/>
        <v>#REF!</v>
      </c>
    </row>
    <row r="200" spans="2:33" x14ac:dyDescent="0.3">
      <c r="B200" s="179">
        <f t="shared" si="45"/>
        <v>183</v>
      </c>
      <c r="C200" s="180">
        <f t="shared" si="57"/>
        <v>30.4</v>
      </c>
      <c r="D200" s="165">
        <f>IF(B200="","",Simulador!$F$62)</f>
        <v>0.11</v>
      </c>
      <c r="E200" s="167"/>
      <c r="F200" s="167" t="e">
        <f t="shared" si="58"/>
        <v>#REF!</v>
      </c>
      <c r="G200" s="166"/>
      <c r="H200" s="167" t="e">
        <f t="shared" si="46"/>
        <v>#REF!</v>
      </c>
      <c r="I200" s="167" t="e">
        <f t="shared" si="47"/>
        <v>#REF!</v>
      </c>
      <c r="J200" s="167" t="e">
        <f t="shared" si="48"/>
        <v>#REF!</v>
      </c>
      <c r="K200" s="167" t="e">
        <f t="shared" si="59"/>
        <v>#REF!</v>
      </c>
      <c r="L200" s="167" t="e">
        <f>IF(B200="","",IF(F200=0,0,Simulador!$N$13*$J$2))</f>
        <v>#REF!</v>
      </c>
      <c r="M200" s="167" t="e">
        <f>IF(B200="","",IF(F200=0,0,IF(Simulador!$F$11='Tabla Parámetros'!$W$1,'Tabla Parámetros'!$W$28,IF(Simulador!$F$11='Tabla Parámetros'!$Y$1,'Tabla Parámetros'!$Y$12))))</f>
        <v>#REF!</v>
      </c>
      <c r="N200" s="167" t="e">
        <f>IF(B200="","",IF(F200=0,0,IF(Simulador!$N$7='Tabla Parámetros'!$C$31,AportPat!L186,0)))</f>
        <v>#REF!</v>
      </c>
      <c r="O200" s="167" t="e">
        <f>Simulador!#REF!</f>
        <v>#REF!</v>
      </c>
      <c r="P200" s="167" t="e">
        <f t="shared" si="49"/>
        <v>#REF!</v>
      </c>
      <c r="Q200" s="167" t="e">
        <f t="shared" si="50"/>
        <v>#REF!</v>
      </c>
      <c r="T200" s="6"/>
      <c r="U200" s="6"/>
      <c r="V200" s="6"/>
      <c r="W200" s="29" t="e">
        <f t="shared" si="62"/>
        <v>#REF!</v>
      </c>
      <c r="Y200" s="201" t="e">
        <f t="shared" si="44"/>
        <v>#REF!</v>
      </c>
      <c r="Z200" s="201" t="e">
        <f t="shared" si="51"/>
        <v>#REF!</v>
      </c>
      <c r="AA200" s="202" t="e">
        <f t="shared" si="52"/>
        <v>#REF!</v>
      </c>
      <c r="AB200" s="201" t="e">
        <f t="shared" si="53"/>
        <v>#REF!</v>
      </c>
      <c r="AC200" s="201" t="e">
        <f t="shared" si="54"/>
        <v>#REF!</v>
      </c>
      <c r="AD200" s="201" t="e">
        <f t="shared" si="60"/>
        <v>#REF!</v>
      </c>
      <c r="AE200" s="201" t="e">
        <f t="shared" si="55"/>
        <v>#REF!</v>
      </c>
      <c r="AF200" s="201" t="e">
        <f t="shared" si="56"/>
        <v>#REF!</v>
      </c>
      <c r="AG200" s="201" t="e">
        <f t="shared" si="61"/>
        <v>#REF!</v>
      </c>
    </row>
    <row r="201" spans="2:33" x14ac:dyDescent="0.3">
      <c r="B201" s="179">
        <f t="shared" si="45"/>
        <v>184</v>
      </c>
      <c r="C201" s="180">
        <f t="shared" si="57"/>
        <v>30.4</v>
      </c>
      <c r="D201" s="165">
        <f>IF(B201="","",Simulador!$F$62)</f>
        <v>0.11</v>
      </c>
      <c r="E201" s="167"/>
      <c r="F201" s="167" t="e">
        <f t="shared" si="58"/>
        <v>#REF!</v>
      </c>
      <c r="G201" s="166"/>
      <c r="H201" s="167" t="e">
        <f t="shared" si="46"/>
        <v>#REF!</v>
      </c>
      <c r="I201" s="167" t="e">
        <f t="shared" si="47"/>
        <v>#REF!</v>
      </c>
      <c r="J201" s="167" t="e">
        <f t="shared" si="48"/>
        <v>#REF!</v>
      </c>
      <c r="K201" s="167" t="e">
        <f t="shared" si="59"/>
        <v>#REF!</v>
      </c>
      <c r="L201" s="167" t="e">
        <f>IF(B201="","",IF(F201=0,0,Simulador!$N$13*$J$2))</f>
        <v>#REF!</v>
      </c>
      <c r="M201" s="167" t="e">
        <f>IF(B201="","",IF(F201=0,0,IF(Simulador!$F$11='Tabla Parámetros'!$W$1,'Tabla Parámetros'!$W$28,IF(Simulador!$F$11='Tabla Parámetros'!$Y$1,'Tabla Parámetros'!$Y$12))))</f>
        <v>#REF!</v>
      </c>
      <c r="N201" s="167" t="e">
        <f>IF(B201="","",IF(F201=0,0,IF(Simulador!$N$7='Tabla Parámetros'!$C$31,AportPat!L187,0)))</f>
        <v>#REF!</v>
      </c>
      <c r="O201" s="167" t="e">
        <f>Simulador!#REF!</f>
        <v>#REF!</v>
      </c>
      <c r="P201" s="167" t="e">
        <f t="shared" si="49"/>
        <v>#REF!</v>
      </c>
      <c r="Q201" s="167" t="e">
        <f t="shared" si="50"/>
        <v>#REF!</v>
      </c>
      <c r="T201" s="6"/>
      <c r="U201" s="6"/>
      <c r="V201" s="6"/>
      <c r="W201" s="29" t="e">
        <f t="shared" si="62"/>
        <v>#REF!</v>
      </c>
      <c r="Y201" s="201" t="e">
        <f t="shared" si="44"/>
        <v>#REF!</v>
      </c>
      <c r="Z201" s="201" t="e">
        <f t="shared" si="51"/>
        <v>#REF!</v>
      </c>
      <c r="AA201" s="202" t="e">
        <f t="shared" si="52"/>
        <v>#REF!</v>
      </c>
      <c r="AB201" s="201" t="e">
        <f t="shared" si="53"/>
        <v>#REF!</v>
      </c>
      <c r="AC201" s="201" t="e">
        <f t="shared" si="54"/>
        <v>#REF!</v>
      </c>
      <c r="AD201" s="201" t="e">
        <f t="shared" si="60"/>
        <v>#REF!</v>
      </c>
      <c r="AE201" s="201" t="e">
        <f t="shared" si="55"/>
        <v>#REF!</v>
      </c>
      <c r="AF201" s="201" t="e">
        <f t="shared" si="56"/>
        <v>#REF!</v>
      </c>
      <c r="AG201" s="201" t="e">
        <f t="shared" si="61"/>
        <v>#REF!</v>
      </c>
    </row>
    <row r="202" spans="2:33" x14ac:dyDescent="0.3">
      <c r="B202" s="181">
        <f t="shared" si="45"/>
        <v>185</v>
      </c>
      <c r="C202" s="180">
        <f t="shared" si="57"/>
        <v>30.4</v>
      </c>
      <c r="D202" s="165">
        <f>IF(B202="","",Simulador!$F$62)</f>
        <v>0.11</v>
      </c>
      <c r="E202" s="167"/>
      <c r="F202" s="167" t="e">
        <f t="shared" si="58"/>
        <v>#REF!</v>
      </c>
      <c r="G202" s="166"/>
      <c r="H202" s="167" t="e">
        <f t="shared" si="46"/>
        <v>#REF!</v>
      </c>
      <c r="I202" s="167" t="e">
        <f t="shared" si="47"/>
        <v>#REF!</v>
      </c>
      <c r="J202" s="167" t="e">
        <f t="shared" si="48"/>
        <v>#REF!</v>
      </c>
      <c r="K202" s="167" t="e">
        <f t="shared" si="59"/>
        <v>#REF!</v>
      </c>
      <c r="L202" s="167" t="e">
        <f>IF(B202="","",IF(F202=0,0,Simulador!$N$13*$J$2))</f>
        <v>#REF!</v>
      </c>
      <c r="M202" s="167" t="e">
        <f>IF(B202="","",IF(F202=0,0,IF(Simulador!$F$11='Tabla Parámetros'!$W$1,'Tabla Parámetros'!$W$28,IF(Simulador!$F$11='Tabla Parámetros'!$Y$1,'Tabla Parámetros'!$Y$12))))</f>
        <v>#REF!</v>
      </c>
      <c r="N202" s="167" t="e">
        <f>IF(B202="","",IF(F202=0,0,IF(Simulador!$N$7='Tabla Parámetros'!$C$31,AportPat!L188,0)))</f>
        <v>#REF!</v>
      </c>
      <c r="O202" s="167" t="e">
        <f>Simulador!#REF!</f>
        <v>#REF!</v>
      </c>
      <c r="P202" s="167" t="e">
        <f t="shared" si="49"/>
        <v>#REF!</v>
      </c>
      <c r="Q202" s="167" t="e">
        <f t="shared" si="50"/>
        <v>#REF!</v>
      </c>
      <c r="T202" s="6"/>
      <c r="U202" s="6"/>
      <c r="V202" s="6"/>
      <c r="W202" s="29" t="e">
        <f t="shared" si="62"/>
        <v>#REF!</v>
      </c>
      <c r="Y202" s="201" t="e">
        <f t="shared" si="44"/>
        <v>#REF!</v>
      </c>
      <c r="Z202" s="201" t="e">
        <f t="shared" si="51"/>
        <v>#REF!</v>
      </c>
      <c r="AA202" s="202" t="e">
        <f t="shared" si="52"/>
        <v>#REF!</v>
      </c>
      <c r="AB202" s="201" t="e">
        <f t="shared" si="53"/>
        <v>#REF!</v>
      </c>
      <c r="AC202" s="201" t="e">
        <f t="shared" si="54"/>
        <v>#REF!</v>
      </c>
      <c r="AD202" s="201" t="e">
        <f t="shared" si="60"/>
        <v>#REF!</v>
      </c>
      <c r="AE202" s="201" t="e">
        <f t="shared" si="55"/>
        <v>#REF!</v>
      </c>
      <c r="AF202" s="201" t="e">
        <f t="shared" si="56"/>
        <v>#REF!</v>
      </c>
      <c r="AG202" s="201" t="e">
        <f t="shared" si="61"/>
        <v>#REF!</v>
      </c>
    </row>
    <row r="203" spans="2:33" x14ac:dyDescent="0.3">
      <c r="B203" s="179">
        <f t="shared" si="45"/>
        <v>186</v>
      </c>
      <c r="C203" s="180">
        <f t="shared" si="57"/>
        <v>30.4</v>
      </c>
      <c r="D203" s="165">
        <f>IF(B203="","",Simulador!$F$62)</f>
        <v>0.11</v>
      </c>
      <c r="E203" s="167"/>
      <c r="F203" s="167" t="e">
        <f t="shared" si="58"/>
        <v>#REF!</v>
      </c>
      <c r="G203" s="166"/>
      <c r="H203" s="167" t="e">
        <f t="shared" si="46"/>
        <v>#REF!</v>
      </c>
      <c r="I203" s="167" t="e">
        <f t="shared" si="47"/>
        <v>#REF!</v>
      </c>
      <c r="J203" s="167" t="e">
        <f t="shared" si="48"/>
        <v>#REF!</v>
      </c>
      <c r="K203" s="167" t="e">
        <f t="shared" si="59"/>
        <v>#REF!</v>
      </c>
      <c r="L203" s="167" t="e">
        <f>IF(B203="","",IF(F203=0,0,Simulador!$N$13*$J$2))</f>
        <v>#REF!</v>
      </c>
      <c r="M203" s="167" t="e">
        <f>IF(B203="","",IF(F203=0,0,IF(Simulador!$F$11='Tabla Parámetros'!$W$1,'Tabla Parámetros'!$W$28,IF(Simulador!$F$11='Tabla Parámetros'!$Y$1,'Tabla Parámetros'!$Y$12))))</f>
        <v>#REF!</v>
      </c>
      <c r="N203" s="167" t="e">
        <f>IF(B203="","",IF(F203=0,0,IF(Simulador!$N$7='Tabla Parámetros'!$C$31,AportPat!L189,0)))</f>
        <v>#REF!</v>
      </c>
      <c r="O203" s="167" t="e">
        <f>Simulador!#REF!</f>
        <v>#REF!</v>
      </c>
      <c r="P203" s="167" t="e">
        <f t="shared" si="49"/>
        <v>#REF!</v>
      </c>
      <c r="Q203" s="167" t="e">
        <f t="shared" si="50"/>
        <v>#REF!</v>
      </c>
      <c r="T203" s="6"/>
      <c r="U203" s="6"/>
      <c r="V203" s="6"/>
      <c r="W203" s="29" t="e">
        <f t="shared" si="62"/>
        <v>#REF!</v>
      </c>
      <c r="Y203" s="201" t="e">
        <f t="shared" si="44"/>
        <v>#REF!</v>
      </c>
      <c r="Z203" s="201" t="e">
        <f t="shared" si="51"/>
        <v>#REF!</v>
      </c>
      <c r="AA203" s="202" t="e">
        <f t="shared" si="52"/>
        <v>#REF!</v>
      </c>
      <c r="AB203" s="201" t="e">
        <f t="shared" si="53"/>
        <v>#REF!</v>
      </c>
      <c r="AC203" s="201" t="e">
        <f t="shared" si="54"/>
        <v>#REF!</v>
      </c>
      <c r="AD203" s="201" t="e">
        <f t="shared" si="60"/>
        <v>#REF!</v>
      </c>
      <c r="AE203" s="201" t="e">
        <f t="shared" si="55"/>
        <v>#REF!</v>
      </c>
      <c r="AF203" s="201" t="e">
        <f t="shared" si="56"/>
        <v>#REF!</v>
      </c>
      <c r="AG203" s="201" t="e">
        <f t="shared" si="61"/>
        <v>#REF!</v>
      </c>
    </row>
    <row r="204" spans="2:33" x14ac:dyDescent="0.3">
      <c r="B204" s="179">
        <f t="shared" si="45"/>
        <v>187</v>
      </c>
      <c r="C204" s="180">
        <f t="shared" si="57"/>
        <v>30.4</v>
      </c>
      <c r="D204" s="165">
        <f>IF(B204="","",Simulador!$F$62)</f>
        <v>0.11</v>
      </c>
      <c r="E204" s="167"/>
      <c r="F204" s="167" t="e">
        <f t="shared" si="58"/>
        <v>#REF!</v>
      </c>
      <c r="G204" s="166"/>
      <c r="H204" s="167" t="e">
        <f t="shared" si="46"/>
        <v>#REF!</v>
      </c>
      <c r="I204" s="167" t="e">
        <f t="shared" si="47"/>
        <v>#REF!</v>
      </c>
      <c r="J204" s="167" t="e">
        <f t="shared" si="48"/>
        <v>#REF!</v>
      </c>
      <c r="K204" s="167" t="e">
        <f t="shared" si="59"/>
        <v>#REF!</v>
      </c>
      <c r="L204" s="167" t="e">
        <f>IF(B204="","",IF(F204=0,0,Simulador!$N$13*$J$2))</f>
        <v>#REF!</v>
      </c>
      <c r="M204" s="167" t="e">
        <f>IF(B204="","",IF(F204=0,0,IF(Simulador!$F$11='Tabla Parámetros'!$W$1,'Tabla Parámetros'!$W$28,IF(Simulador!$F$11='Tabla Parámetros'!$Y$1,'Tabla Parámetros'!$Y$12))))</f>
        <v>#REF!</v>
      </c>
      <c r="N204" s="167" t="e">
        <f>IF(B204="","",IF(F204=0,0,IF(Simulador!$N$7='Tabla Parámetros'!$C$31,AportPat!L190,0)))</f>
        <v>#REF!</v>
      </c>
      <c r="O204" s="167" t="e">
        <f>Simulador!#REF!</f>
        <v>#REF!</v>
      </c>
      <c r="P204" s="167" t="e">
        <f t="shared" si="49"/>
        <v>#REF!</v>
      </c>
      <c r="Q204" s="167" t="e">
        <f t="shared" si="50"/>
        <v>#REF!</v>
      </c>
      <c r="T204" s="6"/>
      <c r="U204" s="6"/>
      <c r="V204" s="6"/>
      <c r="W204" s="29" t="e">
        <f t="shared" si="62"/>
        <v>#REF!</v>
      </c>
      <c r="Y204" s="201" t="e">
        <f t="shared" si="44"/>
        <v>#REF!</v>
      </c>
      <c r="Z204" s="201" t="e">
        <f t="shared" si="51"/>
        <v>#REF!</v>
      </c>
      <c r="AA204" s="202" t="e">
        <f t="shared" si="52"/>
        <v>#REF!</v>
      </c>
      <c r="AB204" s="201" t="e">
        <f t="shared" si="53"/>
        <v>#REF!</v>
      </c>
      <c r="AC204" s="201" t="e">
        <f t="shared" si="54"/>
        <v>#REF!</v>
      </c>
      <c r="AD204" s="201" t="e">
        <f t="shared" si="60"/>
        <v>#REF!</v>
      </c>
      <c r="AE204" s="201" t="e">
        <f t="shared" si="55"/>
        <v>#REF!</v>
      </c>
      <c r="AF204" s="201" t="e">
        <f t="shared" si="56"/>
        <v>#REF!</v>
      </c>
      <c r="AG204" s="201" t="e">
        <f t="shared" si="61"/>
        <v>#REF!</v>
      </c>
    </row>
    <row r="205" spans="2:33" x14ac:dyDescent="0.3">
      <c r="B205" s="179">
        <f t="shared" si="45"/>
        <v>188</v>
      </c>
      <c r="C205" s="180">
        <f t="shared" si="57"/>
        <v>30.4</v>
      </c>
      <c r="D205" s="165">
        <f>IF(B205="","",Simulador!$F$62)</f>
        <v>0.11</v>
      </c>
      <c r="E205" s="167"/>
      <c r="F205" s="167" t="e">
        <f t="shared" si="58"/>
        <v>#REF!</v>
      </c>
      <c r="G205" s="166"/>
      <c r="H205" s="167" t="e">
        <f t="shared" si="46"/>
        <v>#REF!</v>
      </c>
      <c r="I205" s="167" t="e">
        <f t="shared" si="47"/>
        <v>#REF!</v>
      </c>
      <c r="J205" s="167" t="e">
        <f t="shared" si="48"/>
        <v>#REF!</v>
      </c>
      <c r="K205" s="167" t="e">
        <f t="shared" si="59"/>
        <v>#REF!</v>
      </c>
      <c r="L205" s="167" t="e">
        <f>IF(B205="","",IF(F205=0,0,Simulador!$N$13*$J$2))</f>
        <v>#REF!</v>
      </c>
      <c r="M205" s="167" t="e">
        <f>IF(B205="","",IF(F205=0,0,IF(Simulador!$F$11='Tabla Parámetros'!$W$1,'Tabla Parámetros'!$W$28,IF(Simulador!$F$11='Tabla Parámetros'!$Y$1,'Tabla Parámetros'!$Y$12))))</f>
        <v>#REF!</v>
      </c>
      <c r="N205" s="167" t="e">
        <f>IF(B205="","",IF(F205=0,0,IF(Simulador!$N$7='Tabla Parámetros'!$C$31,AportPat!L191,0)))</f>
        <v>#REF!</v>
      </c>
      <c r="O205" s="167" t="e">
        <f>Simulador!#REF!</f>
        <v>#REF!</v>
      </c>
      <c r="P205" s="167" t="e">
        <f t="shared" si="49"/>
        <v>#REF!</v>
      </c>
      <c r="Q205" s="167" t="e">
        <f t="shared" si="50"/>
        <v>#REF!</v>
      </c>
      <c r="T205" s="6"/>
      <c r="U205" s="6"/>
      <c r="V205" s="6"/>
      <c r="W205" s="29" t="e">
        <f t="shared" si="62"/>
        <v>#REF!</v>
      </c>
      <c r="Y205" s="201" t="e">
        <f t="shared" si="44"/>
        <v>#REF!</v>
      </c>
      <c r="Z205" s="201" t="e">
        <f t="shared" si="51"/>
        <v>#REF!</v>
      </c>
      <c r="AA205" s="202" t="e">
        <f t="shared" si="52"/>
        <v>#REF!</v>
      </c>
      <c r="AB205" s="201" t="e">
        <f t="shared" si="53"/>
        <v>#REF!</v>
      </c>
      <c r="AC205" s="201" t="e">
        <f t="shared" si="54"/>
        <v>#REF!</v>
      </c>
      <c r="AD205" s="201" t="e">
        <f t="shared" si="60"/>
        <v>#REF!</v>
      </c>
      <c r="AE205" s="201" t="e">
        <f t="shared" si="55"/>
        <v>#REF!</v>
      </c>
      <c r="AF205" s="201" t="e">
        <f t="shared" si="56"/>
        <v>#REF!</v>
      </c>
      <c r="AG205" s="201" t="e">
        <f t="shared" si="61"/>
        <v>#REF!</v>
      </c>
    </row>
    <row r="206" spans="2:33" x14ac:dyDescent="0.3">
      <c r="B206" s="181">
        <f t="shared" si="45"/>
        <v>189</v>
      </c>
      <c r="C206" s="180">
        <f t="shared" si="57"/>
        <v>30.4</v>
      </c>
      <c r="D206" s="165">
        <f>IF(B206="","",Simulador!$F$62)</f>
        <v>0.11</v>
      </c>
      <c r="E206" s="167"/>
      <c r="F206" s="167" t="e">
        <f t="shared" si="58"/>
        <v>#REF!</v>
      </c>
      <c r="G206" s="166"/>
      <c r="H206" s="167" t="e">
        <f t="shared" si="46"/>
        <v>#REF!</v>
      </c>
      <c r="I206" s="167" t="e">
        <f t="shared" si="47"/>
        <v>#REF!</v>
      </c>
      <c r="J206" s="167" t="e">
        <f t="shared" si="48"/>
        <v>#REF!</v>
      </c>
      <c r="K206" s="167" t="e">
        <f t="shared" si="59"/>
        <v>#REF!</v>
      </c>
      <c r="L206" s="167" t="e">
        <f>IF(B206="","",IF(F206=0,0,Simulador!$N$13*$J$2))</f>
        <v>#REF!</v>
      </c>
      <c r="M206" s="167" t="e">
        <f>IF(B206="","",IF(F206=0,0,IF(Simulador!$F$11='Tabla Parámetros'!$W$1,'Tabla Parámetros'!$W$28,IF(Simulador!$F$11='Tabla Parámetros'!$Y$1,'Tabla Parámetros'!$Y$12))))</f>
        <v>#REF!</v>
      </c>
      <c r="N206" s="167" t="e">
        <f>IF(B206="","",IF(F206=0,0,IF(Simulador!$N$7='Tabla Parámetros'!$C$31,AportPat!L192,0)))</f>
        <v>#REF!</v>
      </c>
      <c r="O206" s="167" t="e">
        <f>Simulador!#REF!</f>
        <v>#REF!</v>
      </c>
      <c r="P206" s="167" t="e">
        <f t="shared" si="49"/>
        <v>#REF!</v>
      </c>
      <c r="Q206" s="167" t="e">
        <f t="shared" si="50"/>
        <v>#REF!</v>
      </c>
      <c r="T206" s="6"/>
      <c r="U206" s="6"/>
      <c r="V206" s="6"/>
      <c r="W206" s="29" t="e">
        <f t="shared" si="62"/>
        <v>#REF!</v>
      </c>
      <c r="Y206" s="201" t="e">
        <f t="shared" si="44"/>
        <v>#REF!</v>
      </c>
      <c r="Z206" s="201" t="e">
        <f t="shared" si="51"/>
        <v>#REF!</v>
      </c>
      <c r="AA206" s="202" t="e">
        <f t="shared" si="52"/>
        <v>#REF!</v>
      </c>
      <c r="AB206" s="201" t="e">
        <f t="shared" si="53"/>
        <v>#REF!</v>
      </c>
      <c r="AC206" s="201" t="e">
        <f t="shared" si="54"/>
        <v>#REF!</v>
      </c>
      <c r="AD206" s="201" t="e">
        <f t="shared" si="60"/>
        <v>#REF!</v>
      </c>
      <c r="AE206" s="201" t="e">
        <f t="shared" si="55"/>
        <v>#REF!</v>
      </c>
      <c r="AF206" s="201" t="e">
        <f t="shared" si="56"/>
        <v>#REF!</v>
      </c>
      <c r="AG206" s="201" t="e">
        <f t="shared" si="61"/>
        <v>#REF!</v>
      </c>
    </row>
    <row r="207" spans="2:33" x14ac:dyDescent="0.3">
      <c r="B207" s="179">
        <f t="shared" si="45"/>
        <v>190</v>
      </c>
      <c r="C207" s="180">
        <f t="shared" si="57"/>
        <v>30.4</v>
      </c>
      <c r="D207" s="165">
        <f>IF(B207="","",Simulador!$F$62)</f>
        <v>0.11</v>
      </c>
      <c r="E207" s="167"/>
      <c r="F207" s="167" t="e">
        <f t="shared" si="58"/>
        <v>#REF!</v>
      </c>
      <c r="G207" s="166"/>
      <c r="H207" s="167" t="e">
        <f t="shared" si="46"/>
        <v>#REF!</v>
      </c>
      <c r="I207" s="167" t="e">
        <f t="shared" si="47"/>
        <v>#REF!</v>
      </c>
      <c r="J207" s="167" t="e">
        <f t="shared" si="48"/>
        <v>#REF!</v>
      </c>
      <c r="K207" s="167" t="e">
        <f t="shared" si="59"/>
        <v>#REF!</v>
      </c>
      <c r="L207" s="167" t="e">
        <f>IF(B207="","",IF(F207=0,0,Simulador!$N$13*$J$2))</f>
        <v>#REF!</v>
      </c>
      <c r="M207" s="167" t="e">
        <f>IF(B207="","",IF(F207=0,0,IF(Simulador!$F$11='Tabla Parámetros'!$W$1,'Tabla Parámetros'!$W$28,IF(Simulador!$F$11='Tabla Parámetros'!$Y$1,'Tabla Parámetros'!$Y$12))))</f>
        <v>#REF!</v>
      </c>
      <c r="N207" s="167" t="e">
        <f>IF(B207="","",IF(F207=0,0,IF(Simulador!$N$7='Tabla Parámetros'!$C$31,AportPat!L193,0)))</f>
        <v>#REF!</v>
      </c>
      <c r="O207" s="167" t="e">
        <f>Simulador!#REF!</f>
        <v>#REF!</v>
      </c>
      <c r="P207" s="167" t="e">
        <f t="shared" si="49"/>
        <v>#REF!</v>
      </c>
      <c r="Q207" s="167" t="e">
        <f t="shared" si="50"/>
        <v>#REF!</v>
      </c>
      <c r="T207" s="6"/>
      <c r="U207" s="6"/>
      <c r="V207" s="6"/>
      <c r="W207" s="29" t="e">
        <f t="shared" si="62"/>
        <v>#REF!</v>
      </c>
      <c r="Y207" s="201" t="e">
        <f t="shared" si="44"/>
        <v>#REF!</v>
      </c>
      <c r="Z207" s="201" t="e">
        <f t="shared" si="51"/>
        <v>#REF!</v>
      </c>
      <c r="AA207" s="202" t="e">
        <f t="shared" si="52"/>
        <v>#REF!</v>
      </c>
      <c r="AB207" s="201" t="e">
        <f t="shared" si="53"/>
        <v>#REF!</v>
      </c>
      <c r="AC207" s="201" t="e">
        <f t="shared" si="54"/>
        <v>#REF!</v>
      </c>
      <c r="AD207" s="201" t="e">
        <f t="shared" si="60"/>
        <v>#REF!</v>
      </c>
      <c r="AE207" s="201" t="e">
        <f t="shared" si="55"/>
        <v>#REF!</v>
      </c>
      <c r="AF207" s="201" t="e">
        <f t="shared" si="56"/>
        <v>#REF!</v>
      </c>
      <c r="AG207" s="201" t="e">
        <f t="shared" si="61"/>
        <v>#REF!</v>
      </c>
    </row>
    <row r="208" spans="2:33" x14ac:dyDescent="0.3">
      <c r="B208" s="179">
        <f t="shared" si="45"/>
        <v>191</v>
      </c>
      <c r="C208" s="180">
        <f t="shared" si="57"/>
        <v>30.4</v>
      </c>
      <c r="D208" s="165">
        <f>IF(B208="","",Simulador!$F$62)</f>
        <v>0.11</v>
      </c>
      <c r="E208" s="167"/>
      <c r="F208" s="167" t="e">
        <f t="shared" si="58"/>
        <v>#REF!</v>
      </c>
      <c r="G208" s="166"/>
      <c r="H208" s="167" t="e">
        <f t="shared" si="46"/>
        <v>#REF!</v>
      </c>
      <c r="I208" s="167" t="e">
        <f t="shared" si="47"/>
        <v>#REF!</v>
      </c>
      <c r="J208" s="167" t="e">
        <f t="shared" si="48"/>
        <v>#REF!</v>
      </c>
      <c r="K208" s="167" t="e">
        <f t="shared" si="59"/>
        <v>#REF!</v>
      </c>
      <c r="L208" s="167" t="e">
        <f>IF(B208="","",IF(F208=0,0,Simulador!$N$13*$J$2))</f>
        <v>#REF!</v>
      </c>
      <c r="M208" s="167" t="e">
        <f>IF(B208="","",IF(F208=0,0,IF(Simulador!$F$11='Tabla Parámetros'!$W$1,'Tabla Parámetros'!$W$28,IF(Simulador!$F$11='Tabla Parámetros'!$Y$1,'Tabla Parámetros'!$Y$12))))</f>
        <v>#REF!</v>
      </c>
      <c r="N208" s="167" t="e">
        <f>IF(B208="","",IF(F208=0,0,IF(Simulador!$N$7='Tabla Parámetros'!$C$31,AportPat!L194,0)))</f>
        <v>#REF!</v>
      </c>
      <c r="O208" s="167" t="e">
        <f>Simulador!#REF!</f>
        <v>#REF!</v>
      </c>
      <c r="P208" s="167" t="e">
        <f t="shared" si="49"/>
        <v>#REF!</v>
      </c>
      <c r="Q208" s="167" t="e">
        <f t="shared" si="50"/>
        <v>#REF!</v>
      </c>
      <c r="T208" s="6"/>
      <c r="U208" s="6"/>
      <c r="V208" s="6"/>
      <c r="W208" s="29" t="e">
        <f t="shared" si="62"/>
        <v>#REF!</v>
      </c>
      <c r="Y208" s="201" t="e">
        <f t="shared" si="44"/>
        <v>#REF!</v>
      </c>
      <c r="Z208" s="201" t="e">
        <f t="shared" si="51"/>
        <v>#REF!</v>
      </c>
      <c r="AA208" s="202" t="e">
        <f t="shared" si="52"/>
        <v>#REF!</v>
      </c>
      <c r="AB208" s="201" t="e">
        <f t="shared" si="53"/>
        <v>#REF!</v>
      </c>
      <c r="AC208" s="201" t="e">
        <f t="shared" si="54"/>
        <v>#REF!</v>
      </c>
      <c r="AD208" s="201" t="e">
        <f t="shared" si="60"/>
        <v>#REF!</v>
      </c>
      <c r="AE208" s="201" t="e">
        <f t="shared" si="55"/>
        <v>#REF!</v>
      </c>
      <c r="AF208" s="201" t="e">
        <f t="shared" si="56"/>
        <v>#REF!</v>
      </c>
      <c r="AG208" s="201" t="e">
        <f t="shared" si="61"/>
        <v>#REF!</v>
      </c>
    </row>
    <row r="209" spans="2:33" x14ac:dyDescent="0.3">
      <c r="B209" s="179">
        <f t="shared" si="45"/>
        <v>192</v>
      </c>
      <c r="C209" s="180">
        <f t="shared" si="57"/>
        <v>30.4</v>
      </c>
      <c r="D209" s="165">
        <f>IF(B209="","",Simulador!$F$62)</f>
        <v>0.11</v>
      </c>
      <c r="E209" s="167"/>
      <c r="F209" s="167" t="e">
        <f t="shared" si="58"/>
        <v>#REF!</v>
      </c>
      <c r="G209" s="166"/>
      <c r="H209" s="167" t="e">
        <f t="shared" si="46"/>
        <v>#REF!</v>
      </c>
      <c r="I209" s="167" t="e">
        <f t="shared" si="47"/>
        <v>#REF!</v>
      </c>
      <c r="J209" s="167" t="e">
        <f t="shared" si="48"/>
        <v>#REF!</v>
      </c>
      <c r="K209" s="167" t="e">
        <f t="shared" si="59"/>
        <v>#REF!</v>
      </c>
      <c r="L209" s="167" t="e">
        <f>IF(B209="","",IF(F209=0,0,Simulador!$N$13*$J$2))</f>
        <v>#REF!</v>
      </c>
      <c r="M209" s="167" t="e">
        <f>IF(B209="","",IF(F209=0,0,IF(Simulador!$F$11='Tabla Parámetros'!$W$1,'Tabla Parámetros'!$W$28,IF(Simulador!$F$11='Tabla Parámetros'!$Y$1,'Tabla Parámetros'!$Y$12))))</f>
        <v>#REF!</v>
      </c>
      <c r="N209" s="167" t="e">
        <f>IF(B209="","",IF(F209=0,0,IF(Simulador!$N$7='Tabla Parámetros'!$C$31,AportPat!L195,0)))</f>
        <v>#REF!</v>
      </c>
      <c r="O209" s="167" t="e">
        <f>Simulador!#REF!</f>
        <v>#REF!</v>
      </c>
      <c r="P209" s="167" t="e">
        <f t="shared" si="49"/>
        <v>#REF!</v>
      </c>
      <c r="Q209" s="167" t="e">
        <f t="shared" si="50"/>
        <v>#REF!</v>
      </c>
      <c r="T209" s="6"/>
      <c r="U209" s="6"/>
      <c r="V209" s="6"/>
      <c r="W209" s="29" t="e">
        <f t="shared" si="62"/>
        <v>#REF!</v>
      </c>
      <c r="Y209" s="201" t="e">
        <f t="shared" si="44"/>
        <v>#REF!</v>
      </c>
      <c r="Z209" s="201" t="e">
        <f t="shared" si="51"/>
        <v>#REF!</v>
      </c>
      <c r="AA209" s="202" t="e">
        <f t="shared" si="52"/>
        <v>#REF!</v>
      </c>
      <c r="AB209" s="201" t="e">
        <f t="shared" si="53"/>
        <v>#REF!</v>
      </c>
      <c r="AC209" s="201" t="e">
        <f t="shared" si="54"/>
        <v>#REF!</v>
      </c>
      <c r="AD209" s="201" t="e">
        <f t="shared" si="60"/>
        <v>#REF!</v>
      </c>
      <c r="AE209" s="201" t="e">
        <f t="shared" si="55"/>
        <v>#REF!</v>
      </c>
      <c r="AF209" s="201" t="e">
        <f t="shared" si="56"/>
        <v>#REF!</v>
      </c>
      <c r="AG209" s="201" t="e">
        <f t="shared" si="61"/>
        <v>#REF!</v>
      </c>
    </row>
    <row r="210" spans="2:33" x14ac:dyDescent="0.3">
      <c r="B210" s="181">
        <f t="shared" si="45"/>
        <v>193</v>
      </c>
      <c r="C210" s="180">
        <f t="shared" si="57"/>
        <v>30.4</v>
      </c>
      <c r="D210" s="165">
        <f>IF(B210="","",Simulador!$F$62)</f>
        <v>0.11</v>
      </c>
      <c r="E210" s="167"/>
      <c r="F210" s="167" t="e">
        <f t="shared" si="58"/>
        <v>#REF!</v>
      </c>
      <c r="G210" s="166"/>
      <c r="H210" s="167" t="e">
        <f t="shared" si="46"/>
        <v>#REF!</v>
      </c>
      <c r="I210" s="167" t="e">
        <f t="shared" si="47"/>
        <v>#REF!</v>
      </c>
      <c r="J210" s="167" t="e">
        <f t="shared" si="48"/>
        <v>#REF!</v>
      </c>
      <c r="K210" s="167" t="e">
        <f t="shared" si="59"/>
        <v>#REF!</v>
      </c>
      <c r="L210" s="167" t="e">
        <f>IF(B210="","",IF(F210=0,0,Simulador!$N$13*$J$2))</f>
        <v>#REF!</v>
      </c>
      <c r="M210" s="167" t="e">
        <f>IF(B210="","",IF(F210=0,0,IF(Simulador!$F$11='Tabla Parámetros'!$W$1,'Tabla Parámetros'!$W$28,IF(Simulador!$F$11='Tabla Parámetros'!$Y$1,'Tabla Parámetros'!$Y$12))))</f>
        <v>#REF!</v>
      </c>
      <c r="N210" s="167" t="e">
        <f>IF(B210="","",IF(F210=0,0,IF(Simulador!$N$7='Tabla Parámetros'!$C$31,AportPat!L196,0)))</f>
        <v>#REF!</v>
      </c>
      <c r="O210" s="167" t="e">
        <f>Simulador!#REF!</f>
        <v>#REF!</v>
      </c>
      <c r="P210" s="167" t="e">
        <f t="shared" si="49"/>
        <v>#REF!</v>
      </c>
      <c r="Q210" s="167" t="e">
        <f t="shared" si="50"/>
        <v>#REF!</v>
      </c>
      <c r="T210" s="6"/>
      <c r="U210" s="6"/>
      <c r="V210" s="6"/>
      <c r="W210" s="29" t="e">
        <f t="shared" si="62"/>
        <v>#REF!</v>
      </c>
      <c r="Y210" s="201" t="e">
        <f t="shared" ref="Y210:Y257" si="63">PPMT(D210/360*30.4,B210,$E$2,-$F$18)+N210+O210</f>
        <v>#REF!</v>
      </c>
      <c r="Z210" s="201" t="e">
        <f t="shared" si="51"/>
        <v>#REF!</v>
      </c>
      <c r="AA210" s="202" t="e">
        <f t="shared" si="52"/>
        <v>#REF!</v>
      </c>
      <c r="AB210" s="201" t="e">
        <f t="shared" si="53"/>
        <v>#REF!</v>
      </c>
      <c r="AC210" s="201" t="e">
        <f t="shared" si="54"/>
        <v>#REF!</v>
      </c>
      <c r="AD210" s="201" t="e">
        <f t="shared" si="60"/>
        <v>#REF!</v>
      </c>
      <c r="AE210" s="201" t="e">
        <f t="shared" si="55"/>
        <v>#REF!</v>
      </c>
      <c r="AF210" s="201" t="e">
        <f t="shared" si="56"/>
        <v>#REF!</v>
      </c>
      <c r="AG210" s="201" t="e">
        <f t="shared" si="61"/>
        <v>#REF!</v>
      </c>
    </row>
    <row r="211" spans="2:33" x14ac:dyDescent="0.3">
      <c r="B211" s="179">
        <f t="shared" ref="B211:B257" si="64">IF(B210="","",IF(B210=$E$2,"",B210+1))</f>
        <v>194</v>
      </c>
      <c r="C211" s="180">
        <f t="shared" si="57"/>
        <v>30.4</v>
      </c>
      <c r="D211" s="165">
        <f>IF(B211="","",Simulador!$F$62)</f>
        <v>0.11</v>
      </c>
      <c r="E211" s="167"/>
      <c r="F211" s="167" t="e">
        <f t="shared" si="58"/>
        <v>#REF!</v>
      </c>
      <c r="G211" s="166"/>
      <c r="H211" s="167" t="e">
        <f t="shared" ref="H211:H257" si="65">IF(B211="","",IF(F211&lt;=H210,F211,IF($Q$2=$Y$16,Y211,IF($Q$2=$AB$16,AB211,IF($Q$2=$AE$16,AE211,)))))</f>
        <v>#REF!</v>
      </c>
      <c r="I211" s="167" t="e">
        <f t="shared" ref="I211:I257" si="66">IF(C211="","",IF($Q$2=$Y$16,Z211,IF($Q$2=$AB$16,AC211,IF($Q$2=$AE$16,AF211,))))</f>
        <v>#REF!</v>
      </c>
      <c r="J211" s="167" t="e">
        <f t="shared" ref="J211:J245" si="67">IF(D211="","",IF(F211=0,0,IF($Q$2=$Y$16,AA211,IF($Q$2=$AB$16,AD211,IF($Q$2=$AE$16,AG211,)))))</f>
        <v>#REF!</v>
      </c>
      <c r="K211" s="167" t="e">
        <f t="shared" si="59"/>
        <v>#REF!</v>
      </c>
      <c r="L211" s="167" t="e">
        <f>IF(B211="","",IF(F211=0,0,Simulador!$N$13*$J$2))</f>
        <v>#REF!</v>
      </c>
      <c r="M211" s="167" t="e">
        <f>IF(B211="","",IF(F211=0,0,IF(Simulador!$F$11='Tabla Parámetros'!$W$1,'Tabla Parámetros'!$W$28,IF(Simulador!$F$11='Tabla Parámetros'!$Y$1,'Tabla Parámetros'!$Y$12))))</f>
        <v>#REF!</v>
      </c>
      <c r="N211" s="167" t="e">
        <f>IF(B211="","",IF(F211=0,0,IF(Simulador!$N$7='Tabla Parámetros'!$C$31,AportPat!L197,0)))</f>
        <v>#REF!</v>
      </c>
      <c r="O211" s="167" t="e">
        <f>Simulador!#REF!</f>
        <v>#REF!</v>
      </c>
      <c r="P211" s="167" t="e">
        <f t="shared" ref="P211:P257" si="68">IF(B211="","",SUM(J211:O211))</f>
        <v>#REF!</v>
      </c>
      <c r="Q211" s="167" t="e">
        <f t="shared" ref="Q211:Q257" si="69">IF(B211="","",F211-H211)</f>
        <v>#REF!</v>
      </c>
      <c r="T211" s="6"/>
      <c r="U211" s="6"/>
      <c r="V211" s="6"/>
      <c r="W211" s="29" t="e">
        <f t="shared" si="62"/>
        <v>#REF!</v>
      </c>
      <c r="Y211" s="201" t="e">
        <f t="shared" si="63"/>
        <v>#REF!</v>
      </c>
      <c r="Z211" s="201" t="e">
        <f t="shared" ref="Z211:Z257" si="70">(D211/360*C211)*F211</f>
        <v>#REF!</v>
      </c>
      <c r="AA211" s="202" t="e">
        <f t="shared" ref="AA211:AA257" si="71">Y211+Z211</f>
        <v>#REF!</v>
      </c>
      <c r="AB211" s="201" t="e">
        <f t="shared" ref="AB211:AB257" si="72">AD211-AC211</f>
        <v>#REF!</v>
      </c>
      <c r="AC211" s="201" t="e">
        <f t="shared" ref="AC211:AC257" si="73">(D211/360*C211)*F211</f>
        <v>#REF!</v>
      </c>
      <c r="AD211" s="201" t="e">
        <f t="shared" si="60"/>
        <v>#REF!</v>
      </c>
      <c r="AE211" s="201" t="e">
        <f t="shared" ref="AE211:AE257" si="74">AG211-AF211</f>
        <v>#REF!</v>
      </c>
      <c r="AF211" s="201" t="e">
        <f t="shared" ref="AF211:AF257" si="75">(D211/360*C211)*F211</f>
        <v>#REF!</v>
      </c>
      <c r="AG211" s="201" t="e">
        <f t="shared" si="61"/>
        <v>#REF!</v>
      </c>
    </row>
    <row r="212" spans="2:33" x14ac:dyDescent="0.3">
      <c r="B212" s="179">
        <f t="shared" si="64"/>
        <v>195</v>
      </c>
      <c r="C212" s="180">
        <f t="shared" ref="C212:C257" si="76">IF(B212="","",30.4)</f>
        <v>30.4</v>
      </c>
      <c r="D212" s="165">
        <f>IF(B212="","",Simulador!$F$62)</f>
        <v>0.11</v>
      </c>
      <c r="E212" s="167"/>
      <c r="F212" s="167" t="e">
        <f t="shared" ref="F212:F257" si="77">IF(B212="","",F211-H211)</f>
        <v>#REF!</v>
      </c>
      <c r="G212" s="166"/>
      <c r="H212" s="167" t="e">
        <f t="shared" si="65"/>
        <v>#REF!</v>
      </c>
      <c r="I212" s="167" t="e">
        <f t="shared" si="66"/>
        <v>#REF!</v>
      </c>
      <c r="J212" s="167" t="e">
        <f t="shared" si="67"/>
        <v>#REF!</v>
      </c>
      <c r="K212" s="167" t="e">
        <f t="shared" ref="K212:K257" si="78">IF(B212="","",IF(F212=0,0,$H$2*$I$2))</f>
        <v>#REF!</v>
      </c>
      <c r="L212" s="167" t="e">
        <f>IF(B212="","",IF(F212=0,0,Simulador!$N$13*$J$2))</f>
        <v>#REF!</v>
      </c>
      <c r="M212" s="167" t="e">
        <f>IF(B212="","",IF(F212=0,0,IF(Simulador!$F$11='Tabla Parámetros'!$W$1,'Tabla Parámetros'!$W$28,IF(Simulador!$F$11='Tabla Parámetros'!$Y$1,'Tabla Parámetros'!$Y$12))))</f>
        <v>#REF!</v>
      </c>
      <c r="N212" s="167" t="e">
        <f>IF(B212="","",IF(F212=0,0,IF(Simulador!$N$7='Tabla Parámetros'!$C$31,AportPat!L198,0)))</f>
        <v>#REF!</v>
      </c>
      <c r="O212" s="167" t="e">
        <f>Simulador!#REF!</f>
        <v>#REF!</v>
      </c>
      <c r="P212" s="167" t="e">
        <f t="shared" si="68"/>
        <v>#REF!</v>
      </c>
      <c r="Q212" s="167" t="e">
        <f t="shared" si="69"/>
        <v>#REF!</v>
      </c>
      <c r="T212" s="6"/>
      <c r="U212" s="6"/>
      <c r="V212" s="6"/>
      <c r="W212" s="29" t="e">
        <f t="shared" si="62"/>
        <v>#REF!</v>
      </c>
      <c r="Y212" s="201" t="e">
        <f t="shared" si="63"/>
        <v>#REF!</v>
      </c>
      <c r="Z212" s="201" t="e">
        <f t="shared" si="70"/>
        <v>#REF!</v>
      </c>
      <c r="AA212" s="202" t="e">
        <f t="shared" si="71"/>
        <v>#REF!</v>
      </c>
      <c r="AB212" s="201" t="e">
        <f t="shared" si="72"/>
        <v>#REF!</v>
      </c>
      <c r="AC212" s="201" t="e">
        <f t="shared" si="73"/>
        <v>#REF!</v>
      </c>
      <c r="AD212" s="201" t="e">
        <f t="shared" ref="AD212:AD257" si="79">PMT($E$1/360*30.4,$E$2,-$H$2)+N212+O212</f>
        <v>#REF!</v>
      </c>
      <c r="AE212" s="201" t="e">
        <f t="shared" si="74"/>
        <v>#REF!</v>
      </c>
      <c r="AF212" s="201" t="e">
        <f t="shared" si="75"/>
        <v>#REF!</v>
      </c>
      <c r="AG212" s="201" t="e">
        <f t="shared" ref="AG212:AG257" si="80">PMT($E$1/360*30.4,$E$2-B211,-F212)+N212+O212</f>
        <v>#REF!</v>
      </c>
    </row>
    <row r="213" spans="2:33" x14ac:dyDescent="0.3">
      <c r="B213" s="179">
        <f t="shared" si="64"/>
        <v>196</v>
      </c>
      <c r="C213" s="180">
        <f t="shared" si="76"/>
        <v>30.4</v>
      </c>
      <c r="D213" s="165">
        <f>IF(B213="","",Simulador!$F$62)</f>
        <v>0.11</v>
      </c>
      <c r="E213" s="167"/>
      <c r="F213" s="167" t="e">
        <f t="shared" si="77"/>
        <v>#REF!</v>
      </c>
      <c r="G213" s="166"/>
      <c r="H213" s="167" t="e">
        <f t="shared" si="65"/>
        <v>#REF!</v>
      </c>
      <c r="I213" s="167" t="e">
        <f t="shared" si="66"/>
        <v>#REF!</v>
      </c>
      <c r="J213" s="167" t="e">
        <f t="shared" si="67"/>
        <v>#REF!</v>
      </c>
      <c r="K213" s="167" t="e">
        <f t="shared" si="78"/>
        <v>#REF!</v>
      </c>
      <c r="L213" s="167" t="e">
        <f>IF(B213="","",IF(F213=0,0,Simulador!$N$13*$J$2))</f>
        <v>#REF!</v>
      </c>
      <c r="M213" s="167" t="e">
        <f>IF(B213="","",IF(F213=0,0,IF(Simulador!$F$11='Tabla Parámetros'!$W$1,'Tabla Parámetros'!$W$28,IF(Simulador!$F$11='Tabla Parámetros'!$Y$1,'Tabla Parámetros'!$Y$12))))</f>
        <v>#REF!</v>
      </c>
      <c r="N213" s="167" t="e">
        <f>IF(B213="","",IF(F213=0,0,IF(Simulador!$N$7='Tabla Parámetros'!$C$31,AportPat!L199,0)))</f>
        <v>#REF!</v>
      </c>
      <c r="O213" s="167" t="e">
        <f>Simulador!#REF!</f>
        <v>#REF!</v>
      </c>
      <c r="P213" s="167" t="e">
        <f t="shared" si="68"/>
        <v>#REF!</v>
      </c>
      <c r="Q213" s="167" t="e">
        <f t="shared" si="69"/>
        <v>#REF!</v>
      </c>
      <c r="T213" s="6"/>
      <c r="U213" s="6"/>
      <c r="V213" s="6"/>
      <c r="W213" s="29" t="e">
        <f t="shared" si="62"/>
        <v>#REF!</v>
      </c>
      <c r="Y213" s="201" t="e">
        <f t="shared" si="63"/>
        <v>#REF!</v>
      </c>
      <c r="Z213" s="201" t="e">
        <f t="shared" si="70"/>
        <v>#REF!</v>
      </c>
      <c r="AA213" s="202" t="e">
        <f t="shared" si="71"/>
        <v>#REF!</v>
      </c>
      <c r="AB213" s="201" t="e">
        <f t="shared" si="72"/>
        <v>#REF!</v>
      </c>
      <c r="AC213" s="201" t="e">
        <f t="shared" si="73"/>
        <v>#REF!</v>
      </c>
      <c r="AD213" s="201" t="e">
        <f t="shared" si="79"/>
        <v>#REF!</v>
      </c>
      <c r="AE213" s="201" t="e">
        <f t="shared" si="74"/>
        <v>#REF!</v>
      </c>
      <c r="AF213" s="201" t="e">
        <f t="shared" si="75"/>
        <v>#REF!</v>
      </c>
      <c r="AG213" s="201" t="e">
        <f t="shared" si="80"/>
        <v>#REF!</v>
      </c>
    </row>
    <row r="214" spans="2:33" x14ac:dyDescent="0.3">
      <c r="B214" s="181">
        <f t="shared" si="64"/>
        <v>197</v>
      </c>
      <c r="C214" s="180">
        <f t="shared" si="76"/>
        <v>30.4</v>
      </c>
      <c r="D214" s="165">
        <f>IF(B214="","",Simulador!$F$62)</f>
        <v>0.11</v>
      </c>
      <c r="E214" s="167"/>
      <c r="F214" s="167" t="e">
        <f t="shared" si="77"/>
        <v>#REF!</v>
      </c>
      <c r="G214" s="166"/>
      <c r="H214" s="167" t="e">
        <f t="shared" si="65"/>
        <v>#REF!</v>
      </c>
      <c r="I214" s="167" t="e">
        <f t="shared" si="66"/>
        <v>#REF!</v>
      </c>
      <c r="J214" s="167" t="e">
        <f t="shared" si="67"/>
        <v>#REF!</v>
      </c>
      <c r="K214" s="167" t="e">
        <f t="shared" si="78"/>
        <v>#REF!</v>
      </c>
      <c r="L214" s="167" t="e">
        <f>IF(B214="","",IF(F214=0,0,Simulador!$N$13*$J$2))</f>
        <v>#REF!</v>
      </c>
      <c r="M214" s="167" t="e">
        <f>IF(B214="","",IF(F214=0,0,IF(Simulador!$F$11='Tabla Parámetros'!$W$1,'Tabla Parámetros'!$W$28,IF(Simulador!$F$11='Tabla Parámetros'!$Y$1,'Tabla Parámetros'!$Y$12))))</f>
        <v>#REF!</v>
      </c>
      <c r="N214" s="167" t="e">
        <f>IF(B214="","",IF(F214=0,0,IF(Simulador!$N$7='Tabla Parámetros'!$C$31,AportPat!L200,0)))</f>
        <v>#REF!</v>
      </c>
      <c r="O214" s="167" t="e">
        <f>Simulador!#REF!</f>
        <v>#REF!</v>
      </c>
      <c r="P214" s="167" t="e">
        <f t="shared" si="68"/>
        <v>#REF!</v>
      </c>
      <c r="Q214" s="167" t="e">
        <f t="shared" si="69"/>
        <v>#REF!</v>
      </c>
      <c r="T214" s="6"/>
      <c r="U214" s="6"/>
      <c r="V214" s="6"/>
      <c r="W214" s="29" t="e">
        <f t="shared" si="62"/>
        <v>#REF!</v>
      </c>
      <c r="Y214" s="201" t="e">
        <f t="shared" si="63"/>
        <v>#REF!</v>
      </c>
      <c r="Z214" s="201" t="e">
        <f t="shared" si="70"/>
        <v>#REF!</v>
      </c>
      <c r="AA214" s="202" t="e">
        <f t="shared" si="71"/>
        <v>#REF!</v>
      </c>
      <c r="AB214" s="201" t="e">
        <f t="shared" si="72"/>
        <v>#REF!</v>
      </c>
      <c r="AC214" s="201" t="e">
        <f t="shared" si="73"/>
        <v>#REF!</v>
      </c>
      <c r="AD214" s="201" t="e">
        <f t="shared" si="79"/>
        <v>#REF!</v>
      </c>
      <c r="AE214" s="201" t="e">
        <f t="shared" si="74"/>
        <v>#REF!</v>
      </c>
      <c r="AF214" s="201" t="e">
        <f t="shared" si="75"/>
        <v>#REF!</v>
      </c>
      <c r="AG214" s="201" t="e">
        <f t="shared" si="80"/>
        <v>#REF!</v>
      </c>
    </row>
    <row r="215" spans="2:33" x14ac:dyDescent="0.3">
      <c r="B215" s="179">
        <f t="shared" si="64"/>
        <v>198</v>
      </c>
      <c r="C215" s="180">
        <f t="shared" si="76"/>
        <v>30.4</v>
      </c>
      <c r="D215" s="165">
        <f>IF(B215="","",Simulador!$F$62)</f>
        <v>0.11</v>
      </c>
      <c r="E215" s="167"/>
      <c r="F215" s="167" t="e">
        <f t="shared" si="77"/>
        <v>#REF!</v>
      </c>
      <c r="G215" s="166"/>
      <c r="H215" s="167" t="e">
        <f t="shared" si="65"/>
        <v>#REF!</v>
      </c>
      <c r="I215" s="167" t="e">
        <f t="shared" si="66"/>
        <v>#REF!</v>
      </c>
      <c r="J215" s="167" t="e">
        <f t="shared" si="67"/>
        <v>#REF!</v>
      </c>
      <c r="K215" s="167" t="e">
        <f t="shared" si="78"/>
        <v>#REF!</v>
      </c>
      <c r="L215" s="167" t="e">
        <f>IF(B215="","",IF(F215=0,0,Simulador!$N$13*$J$2))</f>
        <v>#REF!</v>
      </c>
      <c r="M215" s="167" t="e">
        <f>IF(B215="","",IF(F215=0,0,IF(Simulador!$F$11='Tabla Parámetros'!$W$1,'Tabla Parámetros'!$W$28,IF(Simulador!$F$11='Tabla Parámetros'!$Y$1,'Tabla Parámetros'!$Y$12))))</f>
        <v>#REF!</v>
      </c>
      <c r="N215" s="167" t="e">
        <f>IF(B215="","",IF(F215=0,0,IF(Simulador!$N$7='Tabla Parámetros'!$C$31,AportPat!L201,0)))</f>
        <v>#REF!</v>
      </c>
      <c r="O215" s="167" t="e">
        <f>Simulador!#REF!</f>
        <v>#REF!</v>
      </c>
      <c r="P215" s="167" t="e">
        <f t="shared" si="68"/>
        <v>#REF!</v>
      </c>
      <c r="Q215" s="167" t="e">
        <f t="shared" si="69"/>
        <v>#REF!</v>
      </c>
      <c r="T215" s="6"/>
      <c r="U215" s="6"/>
      <c r="V215" s="6"/>
      <c r="W215" s="29" t="e">
        <f t="shared" si="62"/>
        <v>#REF!</v>
      </c>
      <c r="Y215" s="201" t="e">
        <f t="shared" si="63"/>
        <v>#REF!</v>
      </c>
      <c r="Z215" s="201" t="e">
        <f t="shared" si="70"/>
        <v>#REF!</v>
      </c>
      <c r="AA215" s="202" t="e">
        <f t="shared" si="71"/>
        <v>#REF!</v>
      </c>
      <c r="AB215" s="201" t="e">
        <f t="shared" si="72"/>
        <v>#REF!</v>
      </c>
      <c r="AC215" s="201" t="e">
        <f t="shared" si="73"/>
        <v>#REF!</v>
      </c>
      <c r="AD215" s="201" t="e">
        <f t="shared" si="79"/>
        <v>#REF!</v>
      </c>
      <c r="AE215" s="201" t="e">
        <f t="shared" si="74"/>
        <v>#REF!</v>
      </c>
      <c r="AF215" s="201" t="e">
        <f t="shared" si="75"/>
        <v>#REF!</v>
      </c>
      <c r="AG215" s="201" t="e">
        <f t="shared" si="80"/>
        <v>#REF!</v>
      </c>
    </row>
    <row r="216" spans="2:33" x14ac:dyDescent="0.3">
      <c r="B216" s="179">
        <f t="shared" si="64"/>
        <v>199</v>
      </c>
      <c r="C216" s="180">
        <f t="shared" si="76"/>
        <v>30.4</v>
      </c>
      <c r="D216" s="165">
        <f>IF(B216="","",Simulador!$F$62)</f>
        <v>0.11</v>
      </c>
      <c r="E216" s="167"/>
      <c r="F216" s="167" t="e">
        <f t="shared" si="77"/>
        <v>#REF!</v>
      </c>
      <c r="G216" s="166"/>
      <c r="H216" s="167" t="e">
        <f t="shared" si="65"/>
        <v>#REF!</v>
      </c>
      <c r="I216" s="167" t="e">
        <f t="shared" si="66"/>
        <v>#REF!</v>
      </c>
      <c r="J216" s="167" t="e">
        <f t="shared" si="67"/>
        <v>#REF!</v>
      </c>
      <c r="K216" s="167" t="e">
        <f t="shared" si="78"/>
        <v>#REF!</v>
      </c>
      <c r="L216" s="167" t="e">
        <f>IF(B216="","",IF(F216=0,0,Simulador!$N$13*$J$2))</f>
        <v>#REF!</v>
      </c>
      <c r="M216" s="167" t="e">
        <f>IF(B216="","",IF(F216=0,0,IF(Simulador!$F$11='Tabla Parámetros'!$W$1,'Tabla Parámetros'!$W$28,IF(Simulador!$F$11='Tabla Parámetros'!$Y$1,'Tabla Parámetros'!$Y$12))))</f>
        <v>#REF!</v>
      </c>
      <c r="N216" s="167" t="e">
        <f>IF(B216="","",IF(F216=0,0,IF(Simulador!$N$7='Tabla Parámetros'!$C$31,AportPat!L202,0)))</f>
        <v>#REF!</v>
      </c>
      <c r="O216" s="167" t="e">
        <f>Simulador!#REF!</f>
        <v>#REF!</v>
      </c>
      <c r="P216" s="167" t="e">
        <f t="shared" si="68"/>
        <v>#REF!</v>
      </c>
      <c r="Q216" s="167" t="e">
        <f t="shared" si="69"/>
        <v>#REF!</v>
      </c>
      <c r="T216" s="6"/>
      <c r="U216" s="6"/>
      <c r="V216" s="6"/>
      <c r="W216" s="29" t="e">
        <f t="shared" si="62"/>
        <v>#REF!</v>
      </c>
      <c r="Y216" s="201" t="e">
        <f t="shared" si="63"/>
        <v>#REF!</v>
      </c>
      <c r="Z216" s="201" t="e">
        <f t="shared" si="70"/>
        <v>#REF!</v>
      </c>
      <c r="AA216" s="202" t="e">
        <f t="shared" si="71"/>
        <v>#REF!</v>
      </c>
      <c r="AB216" s="201" t="e">
        <f t="shared" si="72"/>
        <v>#REF!</v>
      </c>
      <c r="AC216" s="201" t="e">
        <f t="shared" si="73"/>
        <v>#REF!</v>
      </c>
      <c r="AD216" s="201" t="e">
        <f t="shared" si="79"/>
        <v>#REF!</v>
      </c>
      <c r="AE216" s="201" t="e">
        <f t="shared" si="74"/>
        <v>#REF!</v>
      </c>
      <c r="AF216" s="201" t="e">
        <f t="shared" si="75"/>
        <v>#REF!</v>
      </c>
      <c r="AG216" s="201" t="e">
        <f t="shared" si="80"/>
        <v>#REF!</v>
      </c>
    </row>
    <row r="217" spans="2:33" x14ac:dyDescent="0.3">
      <c r="B217" s="179">
        <f t="shared" si="64"/>
        <v>200</v>
      </c>
      <c r="C217" s="180">
        <f t="shared" si="76"/>
        <v>30.4</v>
      </c>
      <c r="D217" s="165">
        <f>IF(B217="","",Simulador!$F$62)</f>
        <v>0.11</v>
      </c>
      <c r="E217" s="167"/>
      <c r="F217" s="167" t="e">
        <f t="shared" si="77"/>
        <v>#REF!</v>
      </c>
      <c r="G217" s="166"/>
      <c r="H217" s="167" t="e">
        <f t="shared" si="65"/>
        <v>#REF!</v>
      </c>
      <c r="I217" s="167" t="e">
        <f t="shared" si="66"/>
        <v>#REF!</v>
      </c>
      <c r="J217" s="167" t="e">
        <f t="shared" si="67"/>
        <v>#REF!</v>
      </c>
      <c r="K217" s="167" t="e">
        <f t="shared" si="78"/>
        <v>#REF!</v>
      </c>
      <c r="L217" s="167" t="e">
        <f>IF(B217="","",IF(F217=0,0,Simulador!$N$13*$J$2))</f>
        <v>#REF!</v>
      </c>
      <c r="M217" s="167" t="e">
        <f>IF(B217="","",IF(F217=0,0,IF(Simulador!$F$11='Tabla Parámetros'!$W$1,'Tabla Parámetros'!$W$28,IF(Simulador!$F$11='Tabla Parámetros'!$Y$1,'Tabla Parámetros'!$Y$12))))</f>
        <v>#REF!</v>
      </c>
      <c r="N217" s="167" t="e">
        <f>IF(B217="","",IF(F217=0,0,IF(Simulador!$N$7='Tabla Parámetros'!$C$31,AportPat!L203,0)))</f>
        <v>#REF!</v>
      </c>
      <c r="O217" s="167" t="e">
        <f>Simulador!#REF!</f>
        <v>#REF!</v>
      </c>
      <c r="P217" s="167" t="e">
        <f t="shared" si="68"/>
        <v>#REF!</v>
      </c>
      <c r="Q217" s="167" t="e">
        <f t="shared" si="69"/>
        <v>#REF!</v>
      </c>
      <c r="T217" s="6"/>
      <c r="U217" s="6"/>
      <c r="V217" s="6"/>
      <c r="W217" s="29" t="e">
        <f t="shared" si="62"/>
        <v>#REF!</v>
      </c>
      <c r="Y217" s="201" t="e">
        <f t="shared" si="63"/>
        <v>#REF!</v>
      </c>
      <c r="Z217" s="201" t="e">
        <f t="shared" si="70"/>
        <v>#REF!</v>
      </c>
      <c r="AA217" s="202" t="e">
        <f t="shared" si="71"/>
        <v>#REF!</v>
      </c>
      <c r="AB217" s="201" t="e">
        <f t="shared" si="72"/>
        <v>#REF!</v>
      </c>
      <c r="AC217" s="201" t="e">
        <f t="shared" si="73"/>
        <v>#REF!</v>
      </c>
      <c r="AD217" s="201" t="e">
        <f t="shared" si="79"/>
        <v>#REF!</v>
      </c>
      <c r="AE217" s="201" t="e">
        <f t="shared" si="74"/>
        <v>#REF!</v>
      </c>
      <c r="AF217" s="201" t="e">
        <f t="shared" si="75"/>
        <v>#REF!</v>
      </c>
      <c r="AG217" s="201" t="e">
        <f t="shared" si="80"/>
        <v>#REF!</v>
      </c>
    </row>
    <row r="218" spans="2:33" x14ac:dyDescent="0.3">
      <c r="B218" s="181">
        <f t="shared" si="64"/>
        <v>201</v>
      </c>
      <c r="C218" s="180">
        <f t="shared" si="76"/>
        <v>30.4</v>
      </c>
      <c r="D218" s="165">
        <f>IF(B218="","",Simulador!$F$62)</f>
        <v>0.11</v>
      </c>
      <c r="E218" s="167"/>
      <c r="F218" s="167" t="e">
        <f t="shared" si="77"/>
        <v>#REF!</v>
      </c>
      <c r="G218" s="166"/>
      <c r="H218" s="167" t="e">
        <f t="shared" si="65"/>
        <v>#REF!</v>
      </c>
      <c r="I218" s="167" t="e">
        <f t="shared" si="66"/>
        <v>#REF!</v>
      </c>
      <c r="J218" s="167" t="e">
        <f t="shared" si="67"/>
        <v>#REF!</v>
      </c>
      <c r="K218" s="167" t="e">
        <f t="shared" si="78"/>
        <v>#REF!</v>
      </c>
      <c r="L218" s="167" t="e">
        <f>IF(B218="","",IF(F218=0,0,Simulador!$N$13*$J$2))</f>
        <v>#REF!</v>
      </c>
      <c r="M218" s="167" t="e">
        <f>IF(B218="","",IF(F218=0,0,IF(Simulador!$F$11='Tabla Parámetros'!$W$1,'Tabla Parámetros'!$W$28,IF(Simulador!$F$11='Tabla Parámetros'!$Y$1,'Tabla Parámetros'!$Y$12))))</f>
        <v>#REF!</v>
      </c>
      <c r="N218" s="167" t="e">
        <f>IF(B218="","",IF(F218=0,0,IF(Simulador!$N$7='Tabla Parámetros'!$C$31,AportPat!L204,0)))</f>
        <v>#REF!</v>
      </c>
      <c r="O218" s="167" t="e">
        <f>Simulador!#REF!</f>
        <v>#REF!</v>
      </c>
      <c r="P218" s="167" t="e">
        <f t="shared" si="68"/>
        <v>#REF!</v>
      </c>
      <c r="Q218" s="167" t="e">
        <f t="shared" si="69"/>
        <v>#REF!</v>
      </c>
      <c r="T218" s="6"/>
      <c r="U218" s="6"/>
      <c r="V218" s="6"/>
      <c r="W218" s="29" t="e">
        <f t="shared" si="62"/>
        <v>#REF!</v>
      </c>
      <c r="Y218" s="201" t="e">
        <f t="shared" si="63"/>
        <v>#REF!</v>
      </c>
      <c r="Z218" s="201" t="e">
        <f t="shared" si="70"/>
        <v>#REF!</v>
      </c>
      <c r="AA218" s="202" t="e">
        <f t="shared" si="71"/>
        <v>#REF!</v>
      </c>
      <c r="AB218" s="201" t="e">
        <f t="shared" si="72"/>
        <v>#REF!</v>
      </c>
      <c r="AC218" s="201" t="e">
        <f t="shared" si="73"/>
        <v>#REF!</v>
      </c>
      <c r="AD218" s="201" t="e">
        <f t="shared" si="79"/>
        <v>#REF!</v>
      </c>
      <c r="AE218" s="201" t="e">
        <f t="shared" si="74"/>
        <v>#REF!</v>
      </c>
      <c r="AF218" s="201" t="e">
        <f t="shared" si="75"/>
        <v>#REF!</v>
      </c>
      <c r="AG218" s="201" t="e">
        <f t="shared" si="80"/>
        <v>#REF!</v>
      </c>
    </row>
    <row r="219" spans="2:33" x14ac:dyDescent="0.3">
      <c r="B219" s="179">
        <f t="shared" si="64"/>
        <v>202</v>
      </c>
      <c r="C219" s="180">
        <f t="shared" si="76"/>
        <v>30.4</v>
      </c>
      <c r="D219" s="165">
        <f>IF(B219="","",Simulador!$F$62)</f>
        <v>0.11</v>
      </c>
      <c r="E219" s="167"/>
      <c r="F219" s="167" t="e">
        <f t="shared" si="77"/>
        <v>#REF!</v>
      </c>
      <c r="G219" s="166"/>
      <c r="H219" s="167" t="e">
        <f t="shared" si="65"/>
        <v>#REF!</v>
      </c>
      <c r="I219" s="167" t="e">
        <f t="shared" si="66"/>
        <v>#REF!</v>
      </c>
      <c r="J219" s="167" t="e">
        <f t="shared" si="67"/>
        <v>#REF!</v>
      </c>
      <c r="K219" s="167" t="e">
        <f t="shared" si="78"/>
        <v>#REF!</v>
      </c>
      <c r="L219" s="167" t="e">
        <f>IF(B219="","",IF(F219=0,0,Simulador!$N$13*$J$2))</f>
        <v>#REF!</v>
      </c>
      <c r="M219" s="167" t="e">
        <f>IF(B219="","",IF(F219=0,0,IF(Simulador!$F$11='Tabla Parámetros'!$W$1,'Tabla Parámetros'!$W$28,IF(Simulador!$F$11='Tabla Parámetros'!$Y$1,'Tabla Parámetros'!$Y$12))))</f>
        <v>#REF!</v>
      </c>
      <c r="N219" s="167" t="e">
        <f>IF(B219="","",IF(F219=0,0,IF(Simulador!$N$7='Tabla Parámetros'!$C$31,AportPat!L205,0)))</f>
        <v>#REF!</v>
      </c>
      <c r="O219" s="167" t="e">
        <f>Simulador!#REF!</f>
        <v>#REF!</v>
      </c>
      <c r="P219" s="167" t="e">
        <f t="shared" si="68"/>
        <v>#REF!</v>
      </c>
      <c r="Q219" s="167" t="e">
        <f t="shared" si="69"/>
        <v>#REF!</v>
      </c>
      <c r="T219" s="6"/>
      <c r="U219" s="6"/>
      <c r="V219" s="6"/>
      <c r="W219" s="29" t="e">
        <f t="shared" si="62"/>
        <v>#REF!</v>
      </c>
      <c r="Y219" s="201" t="e">
        <f t="shared" si="63"/>
        <v>#REF!</v>
      </c>
      <c r="Z219" s="201" t="e">
        <f t="shared" si="70"/>
        <v>#REF!</v>
      </c>
      <c r="AA219" s="202" t="e">
        <f t="shared" si="71"/>
        <v>#REF!</v>
      </c>
      <c r="AB219" s="201" t="e">
        <f t="shared" si="72"/>
        <v>#REF!</v>
      </c>
      <c r="AC219" s="201" t="e">
        <f t="shared" si="73"/>
        <v>#REF!</v>
      </c>
      <c r="AD219" s="201" t="e">
        <f t="shared" si="79"/>
        <v>#REF!</v>
      </c>
      <c r="AE219" s="201" t="e">
        <f t="shared" si="74"/>
        <v>#REF!</v>
      </c>
      <c r="AF219" s="201" t="e">
        <f t="shared" si="75"/>
        <v>#REF!</v>
      </c>
      <c r="AG219" s="201" t="e">
        <f t="shared" si="80"/>
        <v>#REF!</v>
      </c>
    </row>
    <row r="220" spans="2:33" x14ac:dyDescent="0.3">
      <c r="B220" s="179">
        <f t="shared" si="64"/>
        <v>203</v>
      </c>
      <c r="C220" s="180">
        <f t="shared" si="76"/>
        <v>30.4</v>
      </c>
      <c r="D220" s="165">
        <f>IF(B220="","",Simulador!$F$62)</f>
        <v>0.11</v>
      </c>
      <c r="E220" s="167"/>
      <c r="F220" s="167" t="e">
        <f t="shared" si="77"/>
        <v>#REF!</v>
      </c>
      <c r="G220" s="166"/>
      <c r="H220" s="167" t="e">
        <f t="shared" si="65"/>
        <v>#REF!</v>
      </c>
      <c r="I220" s="167" t="e">
        <f t="shared" si="66"/>
        <v>#REF!</v>
      </c>
      <c r="J220" s="167" t="e">
        <f t="shared" si="67"/>
        <v>#REF!</v>
      </c>
      <c r="K220" s="167" t="e">
        <f t="shared" si="78"/>
        <v>#REF!</v>
      </c>
      <c r="L220" s="167" t="e">
        <f>IF(B220="","",IF(F220=0,0,Simulador!$N$13*$J$2))</f>
        <v>#REF!</v>
      </c>
      <c r="M220" s="167" t="e">
        <f>IF(B220="","",IF(F220=0,0,IF(Simulador!$F$11='Tabla Parámetros'!$W$1,'Tabla Parámetros'!$W$28,IF(Simulador!$F$11='Tabla Parámetros'!$Y$1,'Tabla Parámetros'!$Y$12))))</f>
        <v>#REF!</v>
      </c>
      <c r="N220" s="167" t="e">
        <f>IF(B220="","",IF(F220=0,0,IF(Simulador!$N$7='Tabla Parámetros'!$C$31,AportPat!L206,0)))</f>
        <v>#REF!</v>
      </c>
      <c r="O220" s="167" t="e">
        <f>Simulador!#REF!</f>
        <v>#REF!</v>
      </c>
      <c r="P220" s="167" t="e">
        <f t="shared" si="68"/>
        <v>#REF!</v>
      </c>
      <c r="Q220" s="167" t="e">
        <f t="shared" si="69"/>
        <v>#REF!</v>
      </c>
      <c r="T220" s="6"/>
      <c r="U220" s="6"/>
      <c r="V220" s="6"/>
      <c r="W220" s="29" t="e">
        <f t="shared" si="62"/>
        <v>#REF!</v>
      </c>
      <c r="Y220" s="201" t="e">
        <f t="shared" si="63"/>
        <v>#REF!</v>
      </c>
      <c r="Z220" s="201" t="e">
        <f t="shared" si="70"/>
        <v>#REF!</v>
      </c>
      <c r="AA220" s="202" t="e">
        <f t="shared" si="71"/>
        <v>#REF!</v>
      </c>
      <c r="AB220" s="201" t="e">
        <f t="shared" si="72"/>
        <v>#REF!</v>
      </c>
      <c r="AC220" s="201" t="e">
        <f t="shared" si="73"/>
        <v>#REF!</v>
      </c>
      <c r="AD220" s="201" t="e">
        <f t="shared" si="79"/>
        <v>#REF!</v>
      </c>
      <c r="AE220" s="201" t="e">
        <f t="shared" si="74"/>
        <v>#REF!</v>
      </c>
      <c r="AF220" s="201" t="e">
        <f t="shared" si="75"/>
        <v>#REF!</v>
      </c>
      <c r="AG220" s="201" t="e">
        <f t="shared" si="80"/>
        <v>#REF!</v>
      </c>
    </row>
    <row r="221" spans="2:33" x14ac:dyDescent="0.3">
      <c r="B221" s="179">
        <f t="shared" si="64"/>
        <v>204</v>
      </c>
      <c r="C221" s="180">
        <f t="shared" si="76"/>
        <v>30.4</v>
      </c>
      <c r="D221" s="165">
        <f>IF(B221="","",Simulador!$F$62)</f>
        <v>0.11</v>
      </c>
      <c r="E221" s="167"/>
      <c r="F221" s="167" t="e">
        <f t="shared" si="77"/>
        <v>#REF!</v>
      </c>
      <c r="G221" s="166"/>
      <c r="H221" s="167" t="e">
        <f t="shared" si="65"/>
        <v>#REF!</v>
      </c>
      <c r="I221" s="167" t="e">
        <f t="shared" si="66"/>
        <v>#REF!</v>
      </c>
      <c r="J221" s="167" t="e">
        <f t="shared" si="67"/>
        <v>#REF!</v>
      </c>
      <c r="K221" s="167" t="e">
        <f t="shared" si="78"/>
        <v>#REF!</v>
      </c>
      <c r="L221" s="167" t="e">
        <f>IF(B221="","",IF(F221=0,0,Simulador!$N$13*$J$2))</f>
        <v>#REF!</v>
      </c>
      <c r="M221" s="167" t="e">
        <f>IF(B221="","",IF(F221=0,0,IF(Simulador!$F$11='Tabla Parámetros'!$W$1,'Tabla Parámetros'!$W$28,IF(Simulador!$F$11='Tabla Parámetros'!$Y$1,'Tabla Parámetros'!$Y$12))))</f>
        <v>#REF!</v>
      </c>
      <c r="N221" s="167" t="e">
        <f>IF(B221="","",IF(F221=0,0,IF(Simulador!$N$7='Tabla Parámetros'!$C$31,AportPat!L207,0)))</f>
        <v>#REF!</v>
      </c>
      <c r="O221" s="167" t="e">
        <f>Simulador!#REF!</f>
        <v>#REF!</v>
      </c>
      <c r="P221" s="167" t="e">
        <f t="shared" si="68"/>
        <v>#REF!</v>
      </c>
      <c r="Q221" s="167" t="e">
        <f t="shared" si="69"/>
        <v>#REF!</v>
      </c>
      <c r="T221" s="6"/>
      <c r="U221" s="6"/>
      <c r="V221" s="6"/>
      <c r="W221" s="29" t="e">
        <f t="shared" si="62"/>
        <v>#REF!</v>
      </c>
      <c r="Y221" s="201" t="e">
        <f t="shared" si="63"/>
        <v>#REF!</v>
      </c>
      <c r="Z221" s="201" t="e">
        <f t="shared" si="70"/>
        <v>#REF!</v>
      </c>
      <c r="AA221" s="202" t="e">
        <f t="shared" si="71"/>
        <v>#REF!</v>
      </c>
      <c r="AB221" s="201" t="e">
        <f t="shared" si="72"/>
        <v>#REF!</v>
      </c>
      <c r="AC221" s="201" t="e">
        <f t="shared" si="73"/>
        <v>#REF!</v>
      </c>
      <c r="AD221" s="201" t="e">
        <f t="shared" si="79"/>
        <v>#REF!</v>
      </c>
      <c r="AE221" s="201" t="e">
        <f t="shared" si="74"/>
        <v>#REF!</v>
      </c>
      <c r="AF221" s="201" t="e">
        <f t="shared" si="75"/>
        <v>#REF!</v>
      </c>
      <c r="AG221" s="201" t="e">
        <f t="shared" si="80"/>
        <v>#REF!</v>
      </c>
    </row>
    <row r="222" spans="2:33" x14ac:dyDescent="0.3">
      <c r="B222" s="181">
        <f t="shared" si="64"/>
        <v>205</v>
      </c>
      <c r="C222" s="180">
        <f t="shared" si="76"/>
        <v>30.4</v>
      </c>
      <c r="D222" s="165">
        <f>IF(B222="","",Simulador!$F$62)</f>
        <v>0.11</v>
      </c>
      <c r="E222" s="167"/>
      <c r="F222" s="167" t="e">
        <f t="shared" si="77"/>
        <v>#REF!</v>
      </c>
      <c r="G222" s="166"/>
      <c r="H222" s="167" t="e">
        <f t="shared" si="65"/>
        <v>#REF!</v>
      </c>
      <c r="I222" s="167" t="e">
        <f t="shared" si="66"/>
        <v>#REF!</v>
      </c>
      <c r="J222" s="167" t="e">
        <f t="shared" si="67"/>
        <v>#REF!</v>
      </c>
      <c r="K222" s="167" t="e">
        <f t="shared" si="78"/>
        <v>#REF!</v>
      </c>
      <c r="L222" s="167" t="e">
        <f>IF(B222="","",IF(F222=0,0,Simulador!$N$13*$J$2))</f>
        <v>#REF!</v>
      </c>
      <c r="M222" s="167" t="e">
        <f>IF(B222="","",IF(F222=0,0,IF(Simulador!$F$11='Tabla Parámetros'!$W$1,'Tabla Parámetros'!$W$28,IF(Simulador!$F$11='Tabla Parámetros'!$Y$1,'Tabla Parámetros'!$Y$12))))</f>
        <v>#REF!</v>
      </c>
      <c r="N222" s="167" t="e">
        <f>IF(B222="","",IF(F222=0,0,IF(Simulador!$N$7='Tabla Parámetros'!$C$31,AportPat!L208,0)))</f>
        <v>#REF!</v>
      </c>
      <c r="O222" s="167" t="e">
        <f>Simulador!#REF!</f>
        <v>#REF!</v>
      </c>
      <c r="P222" s="167" t="e">
        <f t="shared" si="68"/>
        <v>#REF!</v>
      </c>
      <c r="Q222" s="167" t="e">
        <f t="shared" si="69"/>
        <v>#REF!</v>
      </c>
      <c r="T222" s="6"/>
      <c r="U222" s="6"/>
      <c r="V222" s="6"/>
      <c r="W222" s="29" t="e">
        <f t="shared" si="62"/>
        <v>#REF!</v>
      </c>
      <c r="Y222" s="201" t="e">
        <f t="shared" si="63"/>
        <v>#REF!</v>
      </c>
      <c r="Z222" s="201" t="e">
        <f t="shared" si="70"/>
        <v>#REF!</v>
      </c>
      <c r="AA222" s="202" t="e">
        <f t="shared" si="71"/>
        <v>#REF!</v>
      </c>
      <c r="AB222" s="201" t="e">
        <f t="shared" si="72"/>
        <v>#REF!</v>
      </c>
      <c r="AC222" s="201" t="e">
        <f t="shared" si="73"/>
        <v>#REF!</v>
      </c>
      <c r="AD222" s="201" t="e">
        <f t="shared" si="79"/>
        <v>#REF!</v>
      </c>
      <c r="AE222" s="201" t="e">
        <f t="shared" si="74"/>
        <v>#REF!</v>
      </c>
      <c r="AF222" s="201" t="e">
        <f t="shared" si="75"/>
        <v>#REF!</v>
      </c>
      <c r="AG222" s="201" t="e">
        <f t="shared" si="80"/>
        <v>#REF!</v>
      </c>
    </row>
    <row r="223" spans="2:33" x14ac:dyDescent="0.3">
      <c r="B223" s="179">
        <f t="shared" si="64"/>
        <v>206</v>
      </c>
      <c r="C223" s="180">
        <f t="shared" si="76"/>
        <v>30.4</v>
      </c>
      <c r="D223" s="165">
        <f>IF(B223="","",Simulador!$F$62)</f>
        <v>0.11</v>
      </c>
      <c r="E223" s="167"/>
      <c r="F223" s="167" t="e">
        <f t="shared" si="77"/>
        <v>#REF!</v>
      </c>
      <c r="G223" s="166"/>
      <c r="H223" s="167" t="e">
        <f t="shared" si="65"/>
        <v>#REF!</v>
      </c>
      <c r="I223" s="167" t="e">
        <f t="shared" si="66"/>
        <v>#REF!</v>
      </c>
      <c r="J223" s="167" t="e">
        <f t="shared" si="67"/>
        <v>#REF!</v>
      </c>
      <c r="K223" s="167" t="e">
        <f t="shared" si="78"/>
        <v>#REF!</v>
      </c>
      <c r="L223" s="167" t="e">
        <f>IF(B223="","",IF(F223=0,0,Simulador!$N$13*$J$2))</f>
        <v>#REF!</v>
      </c>
      <c r="M223" s="167" t="e">
        <f>IF(B223="","",IF(F223=0,0,IF(Simulador!$F$11='Tabla Parámetros'!$W$1,'Tabla Parámetros'!$W$28,IF(Simulador!$F$11='Tabla Parámetros'!$Y$1,'Tabla Parámetros'!$Y$12))))</f>
        <v>#REF!</v>
      </c>
      <c r="N223" s="167" t="e">
        <f>IF(B223="","",IF(F223=0,0,IF(Simulador!$N$7='Tabla Parámetros'!$C$31,AportPat!L209,0)))</f>
        <v>#REF!</v>
      </c>
      <c r="O223" s="167" t="e">
        <f>Simulador!#REF!</f>
        <v>#REF!</v>
      </c>
      <c r="P223" s="167" t="e">
        <f t="shared" si="68"/>
        <v>#REF!</v>
      </c>
      <c r="Q223" s="167" t="e">
        <f t="shared" si="69"/>
        <v>#REF!</v>
      </c>
      <c r="T223" s="6"/>
      <c r="U223" s="6"/>
      <c r="V223" s="6"/>
      <c r="W223" s="29" t="e">
        <f t="shared" si="62"/>
        <v>#REF!</v>
      </c>
      <c r="Y223" s="201" t="e">
        <f t="shared" si="63"/>
        <v>#REF!</v>
      </c>
      <c r="Z223" s="201" t="e">
        <f t="shared" si="70"/>
        <v>#REF!</v>
      </c>
      <c r="AA223" s="202" t="e">
        <f t="shared" si="71"/>
        <v>#REF!</v>
      </c>
      <c r="AB223" s="201" t="e">
        <f t="shared" si="72"/>
        <v>#REF!</v>
      </c>
      <c r="AC223" s="201" t="e">
        <f t="shared" si="73"/>
        <v>#REF!</v>
      </c>
      <c r="AD223" s="201" t="e">
        <f t="shared" si="79"/>
        <v>#REF!</v>
      </c>
      <c r="AE223" s="201" t="e">
        <f t="shared" si="74"/>
        <v>#REF!</v>
      </c>
      <c r="AF223" s="201" t="e">
        <f t="shared" si="75"/>
        <v>#REF!</v>
      </c>
      <c r="AG223" s="201" t="e">
        <f t="shared" si="80"/>
        <v>#REF!</v>
      </c>
    </row>
    <row r="224" spans="2:33" x14ac:dyDescent="0.3">
      <c r="B224" s="179">
        <f t="shared" si="64"/>
        <v>207</v>
      </c>
      <c r="C224" s="180">
        <f t="shared" si="76"/>
        <v>30.4</v>
      </c>
      <c r="D224" s="165">
        <f>IF(B224="","",Simulador!$F$62)</f>
        <v>0.11</v>
      </c>
      <c r="E224" s="167"/>
      <c r="F224" s="167" t="e">
        <f t="shared" si="77"/>
        <v>#REF!</v>
      </c>
      <c r="G224" s="166"/>
      <c r="H224" s="167" t="e">
        <f t="shared" si="65"/>
        <v>#REF!</v>
      </c>
      <c r="I224" s="167" t="e">
        <f t="shared" si="66"/>
        <v>#REF!</v>
      </c>
      <c r="J224" s="167" t="e">
        <f t="shared" si="67"/>
        <v>#REF!</v>
      </c>
      <c r="K224" s="167" t="e">
        <f t="shared" si="78"/>
        <v>#REF!</v>
      </c>
      <c r="L224" s="167" t="e">
        <f>IF(B224="","",IF(F224=0,0,Simulador!$N$13*$J$2))</f>
        <v>#REF!</v>
      </c>
      <c r="M224" s="167" t="e">
        <f>IF(B224="","",IF(F224=0,0,IF(Simulador!$F$11='Tabla Parámetros'!$W$1,'Tabla Parámetros'!$W$28,IF(Simulador!$F$11='Tabla Parámetros'!$Y$1,'Tabla Parámetros'!$Y$12))))</f>
        <v>#REF!</v>
      </c>
      <c r="N224" s="167" t="e">
        <f>IF(B224="","",IF(F224=0,0,IF(Simulador!$N$7='Tabla Parámetros'!$C$31,AportPat!L210,0)))</f>
        <v>#REF!</v>
      </c>
      <c r="O224" s="167" t="e">
        <f>Simulador!#REF!</f>
        <v>#REF!</v>
      </c>
      <c r="P224" s="167" t="e">
        <f t="shared" si="68"/>
        <v>#REF!</v>
      </c>
      <c r="Q224" s="167" t="e">
        <f t="shared" si="69"/>
        <v>#REF!</v>
      </c>
      <c r="T224" s="6"/>
      <c r="U224" s="6"/>
      <c r="V224" s="6"/>
      <c r="W224" s="29" t="e">
        <f t="shared" si="62"/>
        <v>#REF!</v>
      </c>
      <c r="Y224" s="201" t="e">
        <f t="shared" si="63"/>
        <v>#REF!</v>
      </c>
      <c r="Z224" s="201" t="e">
        <f t="shared" si="70"/>
        <v>#REF!</v>
      </c>
      <c r="AA224" s="202" t="e">
        <f t="shared" si="71"/>
        <v>#REF!</v>
      </c>
      <c r="AB224" s="201" t="e">
        <f t="shared" si="72"/>
        <v>#REF!</v>
      </c>
      <c r="AC224" s="201" t="e">
        <f t="shared" si="73"/>
        <v>#REF!</v>
      </c>
      <c r="AD224" s="201" t="e">
        <f t="shared" si="79"/>
        <v>#REF!</v>
      </c>
      <c r="AE224" s="201" t="e">
        <f t="shared" si="74"/>
        <v>#REF!</v>
      </c>
      <c r="AF224" s="201" t="e">
        <f t="shared" si="75"/>
        <v>#REF!</v>
      </c>
      <c r="AG224" s="201" t="e">
        <f t="shared" si="80"/>
        <v>#REF!</v>
      </c>
    </row>
    <row r="225" spans="2:33" x14ac:dyDescent="0.3">
      <c r="B225" s="179">
        <f t="shared" si="64"/>
        <v>208</v>
      </c>
      <c r="C225" s="180">
        <f t="shared" si="76"/>
        <v>30.4</v>
      </c>
      <c r="D225" s="165">
        <f>IF(B225="","",Simulador!$F$62)</f>
        <v>0.11</v>
      </c>
      <c r="E225" s="167"/>
      <c r="F225" s="167" t="e">
        <f t="shared" si="77"/>
        <v>#REF!</v>
      </c>
      <c r="G225" s="166"/>
      <c r="H225" s="167" t="e">
        <f t="shared" si="65"/>
        <v>#REF!</v>
      </c>
      <c r="I225" s="167" t="e">
        <f t="shared" si="66"/>
        <v>#REF!</v>
      </c>
      <c r="J225" s="167" t="e">
        <f t="shared" si="67"/>
        <v>#REF!</v>
      </c>
      <c r="K225" s="167" t="e">
        <f t="shared" si="78"/>
        <v>#REF!</v>
      </c>
      <c r="L225" s="167" t="e">
        <f>IF(B225="","",IF(F225=0,0,Simulador!$N$13*$J$2))</f>
        <v>#REF!</v>
      </c>
      <c r="M225" s="167" t="e">
        <f>IF(B225="","",IF(F225=0,0,IF(Simulador!$F$11='Tabla Parámetros'!$W$1,'Tabla Parámetros'!$W$28,IF(Simulador!$F$11='Tabla Parámetros'!$Y$1,'Tabla Parámetros'!$Y$12))))</f>
        <v>#REF!</v>
      </c>
      <c r="N225" s="167" t="e">
        <f>IF(B225="","",IF(F225=0,0,IF(Simulador!$N$7='Tabla Parámetros'!$C$31,AportPat!L211,0)))</f>
        <v>#REF!</v>
      </c>
      <c r="O225" s="167" t="e">
        <f>Simulador!#REF!</f>
        <v>#REF!</v>
      </c>
      <c r="P225" s="167" t="e">
        <f t="shared" si="68"/>
        <v>#REF!</v>
      </c>
      <c r="Q225" s="167" t="e">
        <f t="shared" si="69"/>
        <v>#REF!</v>
      </c>
      <c r="T225" s="6"/>
      <c r="U225" s="6"/>
      <c r="V225" s="6"/>
      <c r="W225" s="29" t="e">
        <f t="shared" si="62"/>
        <v>#REF!</v>
      </c>
      <c r="Y225" s="201" t="e">
        <f t="shared" si="63"/>
        <v>#REF!</v>
      </c>
      <c r="Z225" s="201" t="e">
        <f t="shared" si="70"/>
        <v>#REF!</v>
      </c>
      <c r="AA225" s="202" t="e">
        <f t="shared" si="71"/>
        <v>#REF!</v>
      </c>
      <c r="AB225" s="201" t="e">
        <f t="shared" si="72"/>
        <v>#REF!</v>
      </c>
      <c r="AC225" s="201" t="e">
        <f t="shared" si="73"/>
        <v>#REF!</v>
      </c>
      <c r="AD225" s="201" t="e">
        <f t="shared" si="79"/>
        <v>#REF!</v>
      </c>
      <c r="AE225" s="201" t="e">
        <f t="shared" si="74"/>
        <v>#REF!</v>
      </c>
      <c r="AF225" s="201" t="e">
        <f t="shared" si="75"/>
        <v>#REF!</v>
      </c>
      <c r="AG225" s="201" t="e">
        <f t="shared" si="80"/>
        <v>#REF!</v>
      </c>
    </row>
    <row r="226" spans="2:33" x14ac:dyDescent="0.3">
      <c r="B226" s="181">
        <f t="shared" si="64"/>
        <v>209</v>
      </c>
      <c r="C226" s="180">
        <f t="shared" si="76"/>
        <v>30.4</v>
      </c>
      <c r="D226" s="165">
        <f>IF(B226="","",Simulador!$F$62)</f>
        <v>0.11</v>
      </c>
      <c r="E226" s="167"/>
      <c r="F226" s="167" t="e">
        <f t="shared" si="77"/>
        <v>#REF!</v>
      </c>
      <c r="G226" s="166"/>
      <c r="H226" s="167" t="e">
        <f t="shared" si="65"/>
        <v>#REF!</v>
      </c>
      <c r="I226" s="167" t="e">
        <f t="shared" si="66"/>
        <v>#REF!</v>
      </c>
      <c r="J226" s="167" t="e">
        <f t="shared" si="67"/>
        <v>#REF!</v>
      </c>
      <c r="K226" s="167" t="e">
        <f t="shared" si="78"/>
        <v>#REF!</v>
      </c>
      <c r="L226" s="167" t="e">
        <f>IF(B226="","",IF(F226=0,0,Simulador!$N$13*$J$2))</f>
        <v>#REF!</v>
      </c>
      <c r="M226" s="167" t="e">
        <f>IF(B226="","",IF(F226=0,0,IF(Simulador!$F$11='Tabla Parámetros'!$W$1,'Tabla Parámetros'!$W$28,IF(Simulador!$F$11='Tabla Parámetros'!$Y$1,'Tabla Parámetros'!$Y$12))))</f>
        <v>#REF!</v>
      </c>
      <c r="N226" s="167" t="e">
        <f>IF(B226="","",IF(F226=0,0,IF(Simulador!$N$7='Tabla Parámetros'!$C$31,AportPat!L212,0)))</f>
        <v>#REF!</v>
      </c>
      <c r="O226" s="167" t="e">
        <f>Simulador!#REF!</f>
        <v>#REF!</v>
      </c>
      <c r="P226" s="167" t="e">
        <f t="shared" si="68"/>
        <v>#REF!</v>
      </c>
      <c r="Q226" s="167" t="e">
        <f t="shared" si="69"/>
        <v>#REF!</v>
      </c>
      <c r="T226" s="6"/>
      <c r="U226" s="6"/>
      <c r="V226" s="6"/>
      <c r="W226" s="29" t="e">
        <f t="shared" si="62"/>
        <v>#REF!</v>
      </c>
      <c r="Y226" s="201" t="e">
        <f t="shared" si="63"/>
        <v>#REF!</v>
      </c>
      <c r="Z226" s="201" t="e">
        <f t="shared" si="70"/>
        <v>#REF!</v>
      </c>
      <c r="AA226" s="202" t="e">
        <f t="shared" si="71"/>
        <v>#REF!</v>
      </c>
      <c r="AB226" s="201" t="e">
        <f t="shared" si="72"/>
        <v>#REF!</v>
      </c>
      <c r="AC226" s="201" t="e">
        <f t="shared" si="73"/>
        <v>#REF!</v>
      </c>
      <c r="AD226" s="201" t="e">
        <f t="shared" si="79"/>
        <v>#REF!</v>
      </c>
      <c r="AE226" s="201" t="e">
        <f t="shared" si="74"/>
        <v>#REF!</v>
      </c>
      <c r="AF226" s="201" t="e">
        <f t="shared" si="75"/>
        <v>#REF!</v>
      </c>
      <c r="AG226" s="201" t="e">
        <f t="shared" si="80"/>
        <v>#REF!</v>
      </c>
    </row>
    <row r="227" spans="2:33" x14ac:dyDescent="0.3">
      <c r="B227" s="179">
        <f t="shared" si="64"/>
        <v>210</v>
      </c>
      <c r="C227" s="180">
        <f t="shared" si="76"/>
        <v>30.4</v>
      </c>
      <c r="D227" s="165">
        <f>IF(B227="","",Simulador!$F$62)</f>
        <v>0.11</v>
      </c>
      <c r="E227" s="167"/>
      <c r="F227" s="167" t="e">
        <f t="shared" si="77"/>
        <v>#REF!</v>
      </c>
      <c r="G227" s="166"/>
      <c r="H227" s="167" t="e">
        <f t="shared" si="65"/>
        <v>#REF!</v>
      </c>
      <c r="I227" s="167" t="e">
        <f t="shared" si="66"/>
        <v>#REF!</v>
      </c>
      <c r="J227" s="167" t="e">
        <f t="shared" si="67"/>
        <v>#REF!</v>
      </c>
      <c r="K227" s="167" t="e">
        <f t="shared" si="78"/>
        <v>#REF!</v>
      </c>
      <c r="L227" s="167" t="e">
        <f>IF(B227="","",IF(F227=0,0,Simulador!$N$13*$J$2))</f>
        <v>#REF!</v>
      </c>
      <c r="M227" s="167" t="e">
        <f>IF(B227="","",IF(F227=0,0,IF(Simulador!$F$11='Tabla Parámetros'!$W$1,'Tabla Parámetros'!$W$28,IF(Simulador!$F$11='Tabla Parámetros'!$Y$1,'Tabla Parámetros'!$Y$12))))</f>
        <v>#REF!</v>
      </c>
      <c r="N227" s="167" t="e">
        <f>IF(B227="","",IF(F227=0,0,IF(Simulador!$N$7='Tabla Parámetros'!$C$31,AportPat!L213,0)))</f>
        <v>#REF!</v>
      </c>
      <c r="O227" s="167" t="e">
        <f>Simulador!#REF!</f>
        <v>#REF!</v>
      </c>
      <c r="P227" s="167" t="e">
        <f t="shared" si="68"/>
        <v>#REF!</v>
      </c>
      <c r="Q227" s="167" t="e">
        <f t="shared" si="69"/>
        <v>#REF!</v>
      </c>
      <c r="T227" s="6"/>
      <c r="U227" s="6"/>
      <c r="V227" s="6"/>
      <c r="W227" s="29" t="e">
        <f t="shared" si="62"/>
        <v>#REF!</v>
      </c>
      <c r="Y227" s="201" t="e">
        <f t="shared" si="63"/>
        <v>#REF!</v>
      </c>
      <c r="Z227" s="201" t="e">
        <f t="shared" si="70"/>
        <v>#REF!</v>
      </c>
      <c r="AA227" s="202" t="e">
        <f t="shared" si="71"/>
        <v>#REF!</v>
      </c>
      <c r="AB227" s="201" t="e">
        <f t="shared" si="72"/>
        <v>#REF!</v>
      </c>
      <c r="AC227" s="201" t="e">
        <f t="shared" si="73"/>
        <v>#REF!</v>
      </c>
      <c r="AD227" s="201" t="e">
        <f t="shared" si="79"/>
        <v>#REF!</v>
      </c>
      <c r="AE227" s="201" t="e">
        <f t="shared" si="74"/>
        <v>#REF!</v>
      </c>
      <c r="AF227" s="201" t="e">
        <f t="shared" si="75"/>
        <v>#REF!</v>
      </c>
      <c r="AG227" s="201" t="e">
        <f t="shared" si="80"/>
        <v>#REF!</v>
      </c>
    </row>
    <row r="228" spans="2:33" x14ac:dyDescent="0.3">
      <c r="B228" s="179">
        <f t="shared" si="64"/>
        <v>211</v>
      </c>
      <c r="C228" s="180">
        <f t="shared" si="76"/>
        <v>30.4</v>
      </c>
      <c r="D228" s="165">
        <f>IF(B228="","",Simulador!$F$62)</f>
        <v>0.11</v>
      </c>
      <c r="E228" s="167"/>
      <c r="F228" s="167" t="e">
        <f t="shared" si="77"/>
        <v>#REF!</v>
      </c>
      <c r="G228" s="166"/>
      <c r="H228" s="167" t="e">
        <f t="shared" si="65"/>
        <v>#REF!</v>
      </c>
      <c r="I228" s="167" t="e">
        <f t="shared" si="66"/>
        <v>#REF!</v>
      </c>
      <c r="J228" s="167" t="e">
        <f t="shared" si="67"/>
        <v>#REF!</v>
      </c>
      <c r="K228" s="167" t="e">
        <f t="shared" si="78"/>
        <v>#REF!</v>
      </c>
      <c r="L228" s="167" t="e">
        <f>IF(B228="","",IF(F228=0,0,Simulador!$N$13*$J$2))</f>
        <v>#REF!</v>
      </c>
      <c r="M228" s="167" t="e">
        <f>IF(B228="","",IF(F228=0,0,IF(Simulador!$F$11='Tabla Parámetros'!$W$1,'Tabla Parámetros'!$W$28,IF(Simulador!$F$11='Tabla Parámetros'!$Y$1,'Tabla Parámetros'!$Y$12))))</f>
        <v>#REF!</v>
      </c>
      <c r="N228" s="167" t="e">
        <f>IF(B228="","",IF(F228=0,0,IF(Simulador!$N$7='Tabla Parámetros'!$C$31,AportPat!L214,0)))</f>
        <v>#REF!</v>
      </c>
      <c r="O228" s="167" t="e">
        <f>Simulador!#REF!</f>
        <v>#REF!</v>
      </c>
      <c r="P228" s="167" t="e">
        <f t="shared" si="68"/>
        <v>#REF!</v>
      </c>
      <c r="Q228" s="167" t="e">
        <f t="shared" si="69"/>
        <v>#REF!</v>
      </c>
      <c r="T228" s="6"/>
      <c r="U228" s="6"/>
      <c r="V228" s="6"/>
      <c r="W228" s="29" t="e">
        <f t="shared" si="62"/>
        <v>#REF!</v>
      </c>
      <c r="Y228" s="201" t="e">
        <f t="shared" si="63"/>
        <v>#REF!</v>
      </c>
      <c r="Z228" s="201" t="e">
        <f t="shared" si="70"/>
        <v>#REF!</v>
      </c>
      <c r="AA228" s="202" t="e">
        <f t="shared" si="71"/>
        <v>#REF!</v>
      </c>
      <c r="AB228" s="201" t="e">
        <f t="shared" si="72"/>
        <v>#REF!</v>
      </c>
      <c r="AC228" s="201" t="e">
        <f t="shared" si="73"/>
        <v>#REF!</v>
      </c>
      <c r="AD228" s="201" t="e">
        <f t="shared" si="79"/>
        <v>#REF!</v>
      </c>
      <c r="AE228" s="201" t="e">
        <f t="shared" si="74"/>
        <v>#REF!</v>
      </c>
      <c r="AF228" s="201" t="e">
        <f t="shared" si="75"/>
        <v>#REF!</v>
      </c>
      <c r="AG228" s="201" t="e">
        <f t="shared" si="80"/>
        <v>#REF!</v>
      </c>
    </row>
    <row r="229" spans="2:33" x14ac:dyDescent="0.3">
      <c r="B229" s="179">
        <f t="shared" si="64"/>
        <v>212</v>
      </c>
      <c r="C229" s="180">
        <f t="shared" si="76"/>
        <v>30.4</v>
      </c>
      <c r="D229" s="165">
        <f>IF(B229="","",Simulador!$F$62)</f>
        <v>0.11</v>
      </c>
      <c r="E229" s="167"/>
      <c r="F229" s="167" t="e">
        <f t="shared" si="77"/>
        <v>#REF!</v>
      </c>
      <c r="G229" s="166"/>
      <c r="H229" s="167" t="e">
        <f t="shared" si="65"/>
        <v>#REF!</v>
      </c>
      <c r="I229" s="167" t="e">
        <f t="shared" si="66"/>
        <v>#REF!</v>
      </c>
      <c r="J229" s="167" t="e">
        <f t="shared" si="67"/>
        <v>#REF!</v>
      </c>
      <c r="K229" s="167" t="e">
        <f t="shared" si="78"/>
        <v>#REF!</v>
      </c>
      <c r="L229" s="167" t="e">
        <f>IF(B229="","",IF(F229=0,0,Simulador!$N$13*$J$2))</f>
        <v>#REF!</v>
      </c>
      <c r="M229" s="167" t="e">
        <f>IF(B229="","",IF(F229=0,0,IF(Simulador!$F$11='Tabla Parámetros'!$W$1,'Tabla Parámetros'!$W$28,IF(Simulador!$F$11='Tabla Parámetros'!$Y$1,'Tabla Parámetros'!$Y$12))))</f>
        <v>#REF!</v>
      </c>
      <c r="N229" s="167" t="e">
        <f>IF(B229="","",IF(F229=0,0,IF(Simulador!$N$7='Tabla Parámetros'!$C$31,AportPat!L215,0)))</f>
        <v>#REF!</v>
      </c>
      <c r="O229" s="167" t="e">
        <f>Simulador!#REF!</f>
        <v>#REF!</v>
      </c>
      <c r="P229" s="167" t="e">
        <f t="shared" si="68"/>
        <v>#REF!</v>
      </c>
      <c r="Q229" s="167" t="e">
        <f t="shared" si="69"/>
        <v>#REF!</v>
      </c>
      <c r="T229" s="6"/>
      <c r="U229" s="6"/>
      <c r="V229" s="6"/>
      <c r="W229" s="29" t="e">
        <f t="shared" si="62"/>
        <v>#REF!</v>
      </c>
      <c r="Y229" s="201" t="e">
        <f t="shared" si="63"/>
        <v>#REF!</v>
      </c>
      <c r="Z229" s="201" t="e">
        <f t="shared" si="70"/>
        <v>#REF!</v>
      </c>
      <c r="AA229" s="202" t="e">
        <f t="shared" si="71"/>
        <v>#REF!</v>
      </c>
      <c r="AB229" s="201" t="e">
        <f t="shared" si="72"/>
        <v>#REF!</v>
      </c>
      <c r="AC229" s="201" t="e">
        <f t="shared" si="73"/>
        <v>#REF!</v>
      </c>
      <c r="AD229" s="201" t="e">
        <f t="shared" si="79"/>
        <v>#REF!</v>
      </c>
      <c r="AE229" s="201" t="e">
        <f t="shared" si="74"/>
        <v>#REF!</v>
      </c>
      <c r="AF229" s="201" t="e">
        <f t="shared" si="75"/>
        <v>#REF!</v>
      </c>
      <c r="AG229" s="201" t="e">
        <f t="shared" si="80"/>
        <v>#REF!</v>
      </c>
    </row>
    <row r="230" spans="2:33" x14ac:dyDescent="0.3">
      <c r="B230" s="181">
        <f t="shared" si="64"/>
        <v>213</v>
      </c>
      <c r="C230" s="180">
        <f t="shared" si="76"/>
        <v>30.4</v>
      </c>
      <c r="D230" s="165">
        <f>IF(B230="","",Simulador!$F$62)</f>
        <v>0.11</v>
      </c>
      <c r="E230" s="167"/>
      <c r="F230" s="167" t="e">
        <f t="shared" si="77"/>
        <v>#REF!</v>
      </c>
      <c r="G230" s="166"/>
      <c r="H230" s="167" t="e">
        <f t="shared" si="65"/>
        <v>#REF!</v>
      </c>
      <c r="I230" s="167" t="e">
        <f t="shared" si="66"/>
        <v>#REF!</v>
      </c>
      <c r="J230" s="167" t="e">
        <f t="shared" si="67"/>
        <v>#REF!</v>
      </c>
      <c r="K230" s="167" t="e">
        <f t="shared" si="78"/>
        <v>#REF!</v>
      </c>
      <c r="L230" s="167" t="e">
        <f>IF(B230="","",IF(F230=0,0,Simulador!$N$13*$J$2))</f>
        <v>#REF!</v>
      </c>
      <c r="M230" s="167" t="e">
        <f>IF(B230="","",IF(F230=0,0,IF(Simulador!$F$11='Tabla Parámetros'!$W$1,'Tabla Parámetros'!$W$28,IF(Simulador!$F$11='Tabla Parámetros'!$Y$1,'Tabla Parámetros'!$Y$12))))</f>
        <v>#REF!</v>
      </c>
      <c r="N230" s="167" t="e">
        <f>IF(B230="","",IF(F230=0,0,IF(Simulador!$N$7='Tabla Parámetros'!$C$31,AportPat!L216,0)))</f>
        <v>#REF!</v>
      </c>
      <c r="O230" s="167" t="e">
        <f>Simulador!#REF!</f>
        <v>#REF!</v>
      </c>
      <c r="P230" s="167" t="e">
        <f t="shared" si="68"/>
        <v>#REF!</v>
      </c>
      <c r="Q230" s="167" t="e">
        <f t="shared" si="69"/>
        <v>#REF!</v>
      </c>
      <c r="T230" s="6"/>
      <c r="U230" s="6"/>
      <c r="V230" s="6"/>
      <c r="W230" s="29" t="e">
        <f t="shared" si="62"/>
        <v>#REF!</v>
      </c>
      <c r="Y230" s="201" t="e">
        <f t="shared" si="63"/>
        <v>#REF!</v>
      </c>
      <c r="Z230" s="201" t="e">
        <f t="shared" si="70"/>
        <v>#REF!</v>
      </c>
      <c r="AA230" s="202" t="e">
        <f t="shared" si="71"/>
        <v>#REF!</v>
      </c>
      <c r="AB230" s="201" t="e">
        <f t="shared" si="72"/>
        <v>#REF!</v>
      </c>
      <c r="AC230" s="201" t="e">
        <f t="shared" si="73"/>
        <v>#REF!</v>
      </c>
      <c r="AD230" s="201" t="e">
        <f t="shared" si="79"/>
        <v>#REF!</v>
      </c>
      <c r="AE230" s="201" t="e">
        <f t="shared" si="74"/>
        <v>#REF!</v>
      </c>
      <c r="AF230" s="201" t="e">
        <f t="shared" si="75"/>
        <v>#REF!</v>
      </c>
      <c r="AG230" s="201" t="e">
        <f t="shared" si="80"/>
        <v>#REF!</v>
      </c>
    </row>
    <row r="231" spans="2:33" x14ac:dyDescent="0.3">
      <c r="B231" s="179">
        <f t="shared" si="64"/>
        <v>214</v>
      </c>
      <c r="C231" s="180">
        <f t="shared" si="76"/>
        <v>30.4</v>
      </c>
      <c r="D231" s="165">
        <f>IF(B231="","",Simulador!$F$62)</f>
        <v>0.11</v>
      </c>
      <c r="E231" s="167"/>
      <c r="F231" s="167" t="e">
        <f t="shared" si="77"/>
        <v>#REF!</v>
      </c>
      <c r="G231" s="166"/>
      <c r="H231" s="167" t="e">
        <f t="shared" si="65"/>
        <v>#REF!</v>
      </c>
      <c r="I231" s="167" t="e">
        <f t="shared" si="66"/>
        <v>#REF!</v>
      </c>
      <c r="J231" s="167" t="e">
        <f t="shared" si="67"/>
        <v>#REF!</v>
      </c>
      <c r="K231" s="167" t="e">
        <f t="shared" si="78"/>
        <v>#REF!</v>
      </c>
      <c r="L231" s="167" t="e">
        <f>IF(B231="","",IF(F231=0,0,Simulador!$N$13*$J$2))</f>
        <v>#REF!</v>
      </c>
      <c r="M231" s="167" t="e">
        <f>IF(B231="","",IF(F231=0,0,IF(Simulador!$F$11='Tabla Parámetros'!$W$1,'Tabla Parámetros'!$W$28,IF(Simulador!$F$11='Tabla Parámetros'!$Y$1,'Tabla Parámetros'!$Y$12))))</f>
        <v>#REF!</v>
      </c>
      <c r="N231" s="167" t="e">
        <f>IF(B231="","",IF(F231=0,0,IF(Simulador!$N$7='Tabla Parámetros'!$C$31,AportPat!L217,0)))</f>
        <v>#REF!</v>
      </c>
      <c r="O231" s="167" t="e">
        <f>Simulador!#REF!</f>
        <v>#REF!</v>
      </c>
      <c r="P231" s="167" t="e">
        <f t="shared" si="68"/>
        <v>#REF!</v>
      </c>
      <c r="Q231" s="167" t="e">
        <f t="shared" si="69"/>
        <v>#REF!</v>
      </c>
      <c r="T231" s="6"/>
      <c r="U231" s="6"/>
      <c r="V231" s="6"/>
      <c r="W231" s="29" t="e">
        <f t="shared" si="62"/>
        <v>#REF!</v>
      </c>
      <c r="Y231" s="201" t="e">
        <f t="shared" si="63"/>
        <v>#REF!</v>
      </c>
      <c r="Z231" s="201" t="e">
        <f t="shared" si="70"/>
        <v>#REF!</v>
      </c>
      <c r="AA231" s="202" t="e">
        <f t="shared" si="71"/>
        <v>#REF!</v>
      </c>
      <c r="AB231" s="201" t="e">
        <f t="shared" si="72"/>
        <v>#REF!</v>
      </c>
      <c r="AC231" s="201" t="e">
        <f t="shared" si="73"/>
        <v>#REF!</v>
      </c>
      <c r="AD231" s="201" t="e">
        <f t="shared" si="79"/>
        <v>#REF!</v>
      </c>
      <c r="AE231" s="201" t="e">
        <f t="shared" si="74"/>
        <v>#REF!</v>
      </c>
      <c r="AF231" s="201" t="e">
        <f t="shared" si="75"/>
        <v>#REF!</v>
      </c>
      <c r="AG231" s="201" t="e">
        <f t="shared" si="80"/>
        <v>#REF!</v>
      </c>
    </row>
    <row r="232" spans="2:33" x14ac:dyDescent="0.3">
      <c r="B232" s="179">
        <f t="shared" si="64"/>
        <v>215</v>
      </c>
      <c r="C232" s="180">
        <f t="shared" si="76"/>
        <v>30.4</v>
      </c>
      <c r="D232" s="165">
        <f>IF(B232="","",Simulador!$F$62)</f>
        <v>0.11</v>
      </c>
      <c r="E232" s="167"/>
      <c r="F232" s="167" t="e">
        <f t="shared" si="77"/>
        <v>#REF!</v>
      </c>
      <c r="G232" s="166"/>
      <c r="H232" s="167" t="e">
        <f t="shared" si="65"/>
        <v>#REF!</v>
      </c>
      <c r="I232" s="167" t="e">
        <f t="shared" si="66"/>
        <v>#REF!</v>
      </c>
      <c r="J232" s="167" t="e">
        <f t="shared" si="67"/>
        <v>#REF!</v>
      </c>
      <c r="K232" s="167" t="e">
        <f t="shared" si="78"/>
        <v>#REF!</v>
      </c>
      <c r="L232" s="167" t="e">
        <f>IF(B232="","",IF(F232=0,0,Simulador!$N$13*$J$2))</f>
        <v>#REF!</v>
      </c>
      <c r="M232" s="167" t="e">
        <f>IF(B232="","",IF(F232=0,0,IF(Simulador!$F$11='Tabla Parámetros'!$W$1,'Tabla Parámetros'!$W$28,IF(Simulador!$F$11='Tabla Parámetros'!$Y$1,'Tabla Parámetros'!$Y$12))))</f>
        <v>#REF!</v>
      </c>
      <c r="N232" s="167" t="e">
        <f>IF(B232="","",IF(F232=0,0,IF(Simulador!$N$7='Tabla Parámetros'!$C$31,AportPat!L218,0)))</f>
        <v>#REF!</v>
      </c>
      <c r="O232" s="167" t="e">
        <f>Simulador!#REF!</f>
        <v>#REF!</v>
      </c>
      <c r="P232" s="167" t="e">
        <f t="shared" si="68"/>
        <v>#REF!</v>
      </c>
      <c r="Q232" s="167" t="e">
        <f t="shared" si="69"/>
        <v>#REF!</v>
      </c>
      <c r="T232" s="6"/>
      <c r="U232" s="6"/>
      <c r="V232" s="6"/>
      <c r="W232" s="29" t="e">
        <f t="shared" si="62"/>
        <v>#REF!</v>
      </c>
      <c r="Y232" s="201" t="e">
        <f t="shared" si="63"/>
        <v>#REF!</v>
      </c>
      <c r="Z232" s="201" t="e">
        <f t="shared" si="70"/>
        <v>#REF!</v>
      </c>
      <c r="AA232" s="202" t="e">
        <f t="shared" si="71"/>
        <v>#REF!</v>
      </c>
      <c r="AB232" s="201" t="e">
        <f t="shared" si="72"/>
        <v>#REF!</v>
      </c>
      <c r="AC232" s="201" t="e">
        <f t="shared" si="73"/>
        <v>#REF!</v>
      </c>
      <c r="AD232" s="201" t="e">
        <f t="shared" si="79"/>
        <v>#REF!</v>
      </c>
      <c r="AE232" s="201" t="e">
        <f t="shared" si="74"/>
        <v>#REF!</v>
      </c>
      <c r="AF232" s="201" t="e">
        <f t="shared" si="75"/>
        <v>#REF!</v>
      </c>
      <c r="AG232" s="201" t="e">
        <f t="shared" si="80"/>
        <v>#REF!</v>
      </c>
    </row>
    <row r="233" spans="2:33" x14ac:dyDescent="0.3">
      <c r="B233" s="179">
        <f t="shared" si="64"/>
        <v>216</v>
      </c>
      <c r="C233" s="180">
        <f t="shared" si="76"/>
        <v>30.4</v>
      </c>
      <c r="D233" s="165">
        <f>IF(B233="","",Simulador!$F$62)</f>
        <v>0.11</v>
      </c>
      <c r="E233" s="167"/>
      <c r="F233" s="167" t="e">
        <f t="shared" si="77"/>
        <v>#REF!</v>
      </c>
      <c r="G233" s="166"/>
      <c r="H233" s="167" t="e">
        <f t="shared" si="65"/>
        <v>#REF!</v>
      </c>
      <c r="I233" s="167" t="e">
        <f t="shared" si="66"/>
        <v>#REF!</v>
      </c>
      <c r="J233" s="167" t="e">
        <f t="shared" si="67"/>
        <v>#REF!</v>
      </c>
      <c r="K233" s="167" t="e">
        <f t="shared" si="78"/>
        <v>#REF!</v>
      </c>
      <c r="L233" s="167" t="e">
        <f>IF(B233="","",IF(F233=0,0,Simulador!$N$13*$J$2))</f>
        <v>#REF!</v>
      </c>
      <c r="M233" s="167" t="e">
        <f>IF(B233="","",IF(F233=0,0,IF(Simulador!$F$11='Tabla Parámetros'!$W$1,'Tabla Parámetros'!$W$28,IF(Simulador!$F$11='Tabla Parámetros'!$Y$1,'Tabla Parámetros'!$Y$12))))</f>
        <v>#REF!</v>
      </c>
      <c r="N233" s="167" t="e">
        <f>IF(B233="","",IF(F233=0,0,IF(Simulador!$N$7='Tabla Parámetros'!$C$31,AportPat!L219,0)))</f>
        <v>#REF!</v>
      </c>
      <c r="O233" s="167" t="e">
        <f>Simulador!#REF!</f>
        <v>#REF!</v>
      </c>
      <c r="P233" s="167" t="e">
        <f t="shared" si="68"/>
        <v>#REF!</v>
      </c>
      <c r="Q233" s="167" t="e">
        <f t="shared" si="69"/>
        <v>#REF!</v>
      </c>
      <c r="T233" s="6"/>
      <c r="U233" s="6"/>
      <c r="V233" s="6"/>
      <c r="W233" s="29" t="e">
        <f t="shared" si="62"/>
        <v>#REF!</v>
      </c>
      <c r="Y233" s="201" t="e">
        <f t="shared" si="63"/>
        <v>#REF!</v>
      </c>
      <c r="Z233" s="201" t="e">
        <f t="shared" si="70"/>
        <v>#REF!</v>
      </c>
      <c r="AA233" s="202" t="e">
        <f t="shared" si="71"/>
        <v>#REF!</v>
      </c>
      <c r="AB233" s="201" t="e">
        <f t="shared" si="72"/>
        <v>#REF!</v>
      </c>
      <c r="AC233" s="201" t="e">
        <f t="shared" si="73"/>
        <v>#REF!</v>
      </c>
      <c r="AD233" s="201" t="e">
        <f t="shared" si="79"/>
        <v>#REF!</v>
      </c>
      <c r="AE233" s="201" t="e">
        <f t="shared" si="74"/>
        <v>#REF!</v>
      </c>
      <c r="AF233" s="201" t="e">
        <f t="shared" si="75"/>
        <v>#REF!</v>
      </c>
      <c r="AG233" s="201" t="e">
        <f t="shared" si="80"/>
        <v>#REF!</v>
      </c>
    </row>
    <row r="234" spans="2:33" x14ac:dyDescent="0.3">
      <c r="B234" s="181">
        <f t="shared" si="64"/>
        <v>217</v>
      </c>
      <c r="C234" s="180">
        <f t="shared" si="76"/>
        <v>30.4</v>
      </c>
      <c r="D234" s="165">
        <f>IF(B234="","",Simulador!$F$62)</f>
        <v>0.11</v>
      </c>
      <c r="E234" s="167"/>
      <c r="F234" s="167" t="e">
        <f t="shared" si="77"/>
        <v>#REF!</v>
      </c>
      <c r="G234" s="166"/>
      <c r="H234" s="167" t="e">
        <f t="shared" si="65"/>
        <v>#REF!</v>
      </c>
      <c r="I234" s="167" t="e">
        <f t="shared" si="66"/>
        <v>#REF!</v>
      </c>
      <c r="J234" s="167" t="e">
        <f t="shared" si="67"/>
        <v>#REF!</v>
      </c>
      <c r="K234" s="167" t="e">
        <f t="shared" si="78"/>
        <v>#REF!</v>
      </c>
      <c r="L234" s="167" t="e">
        <f>IF(B234="","",IF(F234=0,0,Simulador!$N$13*$J$2))</f>
        <v>#REF!</v>
      </c>
      <c r="M234" s="167" t="e">
        <f>IF(B234="","",IF(F234=0,0,IF(Simulador!$F$11='Tabla Parámetros'!$W$1,'Tabla Parámetros'!$W$28,IF(Simulador!$F$11='Tabla Parámetros'!$Y$1,'Tabla Parámetros'!$Y$12))))</f>
        <v>#REF!</v>
      </c>
      <c r="N234" s="167" t="e">
        <f>IF(B234="","",IF(F234=0,0,IF(Simulador!$N$7='Tabla Parámetros'!$C$31,AportPat!L220,0)))</f>
        <v>#REF!</v>
      </c>
      <c r="O234" s="167" t="e">
        <f>Simulador!#REF!</f>
        <v>#REF!</v>
      </c>
      <c r="P234" s="167" t="e">
        <f t="shared" si="68"/>
        <v>#REF!</v>
      </c>
      <c r="Q234" s="167" t="e">
        <f t="shared" si="69"/>
        <v>#REF!</v>
      </c>
      <c r="T234" s="6"/>
      <c r="U234" s="6"/>
      <c r="V234" s="6"/>
      <c r="W234" s="29" t="e">
        <f t="shared" si="62"/>
        <v>#REF!</v>
      </c>
      <c r="Y234" s="201" t="e">
        <f t="shared" si="63"/>
        <v>#REF!</v>
      </c>
      <c r="Z234" s="201" t="e">
        <f t="shared" si="70"/>
        <v>#REF!</v>
      </c>
      <c r="AA234" s="202" t="e">
        <f t="shared" si="71"/>
        <v>#REF!</v>
      </c>
      <c r="AB234" s="201" t="e">
        <f t="shared" si="72"/>
        <v>#REF!</v>
      </c>
      <c r="AC234" s="201" t="e">
        <f t="shared" si="73"/>
        <v>#REF!</v>
      </c>
      <c r="AD234" s="201" t="e">
        <f t="shared" si="79"/>
        <v>#REF!</v>
      </c>
      <c r="AE234" s="201" t="e">
        <f t="shared" si="74"/>
        <v>#REF!</v>
      </c>
      <c r="AF234" s="201" t="e">
        <f t="shared" si="75"/>
        <v>#REF!</v>
      </c>
      <c r="AG234" s="201" t="e">
        <f t="shared" si="80"/>
        <v>#REF!</v>
      </c>
    </row>
    <row r="235" spans="2:33" x14ac:dyDescent="0.3">
      <c r="B235" s="179">
        <f t="shared" si="64"/>
        <v>218</v>
      </c>
      <c r="C235" s="180">
        <f t="shared" si="76"/>
        <v>30.4</v>
      </c>
      <c r="D235" s="165">
        <f>IF(B235="","",Simulador!$F$62)</f>
        <v>0.11</v>
      </c>
      <c r="E235" s="167"/>
      <c r="F235" s="167" t="e">
        <f t="shared" si="77"/>
        <v>#REF!</v>
      </c>
      <c r="G235" s="166"/>
      <c r="H235" s="167" t="e">
        <f t="shared" si="65"/>
        <v>#REF!</v>
      </c>
      <c r="I235" s="167" t="e">
        <f t="shared" si="66"/>
        <v>#REF!</v>
      </c>
      <c r="J235" s="167" t="e">
        <f t="shared" si="67"/>
        <v>#REF!</v>
      </c>
      <c r="K235" s="167" t="e">
        <f t="shared" si="78"/>
        <v>#REF!</v>
      </c>
      <c r="L235" s="167" t="e">
        <f>IF(B235="","",IF(F235=0,0,Simulador!$N$13*$J$2))</f>
        <v>#REF!</v>
      </c>
      <c r="M235" s="167" t="e">
        <f>IF(B235="","",IF(F235=0,0,IF(Simulador!$F$11='Tabla Parámetros'!$W$1,'Tabla Parámetros'!$W$28,IF(Simulador!$F$11='Tabla Parámetros'!$Y$1,'Tabla Parámetros'!$Y$12))))</f>
        <v>#REF!</v>
      </c>
      <c r="N235" s="167" t="e">
        <f>IF(B235="","",IF(F235=0,0,IF(Simulador!$N$7='Tabla Parámetros'!$C$31,AportPat!L221,0)))</f>
        <v>#REF!</v>
      </c>
      <c r="O235" s="167" t="e">
        <f>Simulador!#REF!</f>
        <v>#REF!</v>
      </c>
      <c r="P235" s="167" t="e">
        <f t="shared" si="68"/>
        <v>#REF!</v>
      </c>
      <c r="Q235" s="167" t="e">
        <f t="shared" si="69"/>
        <v>#REF!</v>
      </c>
      <c r="T235" s="6"/>
      <c r="U235" s="6"/>
      <c r="V235" s="6"/>
      <c r="W235" s="29" t="e">
        <f t="shared" si="62"/>
        <v>#REF!</v>
      </c>
      <c r="Y235" s="201" t="e">
        <f t="shared" si="63"/>
        <v>#REF!</v>
      </c>
      <c r="Z235" s="201" t="e">
        <f t="shared" si="70"/>
        <v>#REF!</v>
      </c>
      <c r="AA235" s="202" t="e">
        <f t="shared" si="71"/>
        <v>#REF!</v>
      </c>
      <c r="AB235" s="201" t="e">
        <f t="shared" si="72"/>
        <v>#REF!</v>
      </c>
      <c r="AC235" s="201" t="e">
        <f t="shared" si="73"/>
        <v>#REF!</v>
      </c>
      <c r="AD235" s="201" t="e">
        <f t="shared" si="79"/>
        <v>#REF!</v>
      </c>
      <c r="AE235" s="201" t="e">
        <f t="shared" si="74"/>
        <v>#REF!</v>
      </c>
      <c r="AF235" s="201" t="e">
        <f t="shared" si="75"/>
        <v>#REF!</v>
      </c>
      <c r="AG235" s="201" t="e">
        <f t="shared" si="80"/>
        <v>#REF!</v>
      </c>
    </row>
    <row r="236" spans="2:33" x14ac:dyDescent="0.3">
      <c r="B236" s="179">
        <f t="shared" si="64"/>
        <v>219</v>
      </c>
      <c r="C236" s="180">
        <f t="shared" si="76"/>
        <v>30.4</v>
      </c>
      <c r="D236" s="165">
        <f>IF(B236="","",Simulador!$F$62)</f>
        <v>0.11</v>
      </c>
      <c r="E236" s="167"/>
      <c r="F236" s="167" t="e">
        <f t="shared" si="77"/>
        <v>#REF!</v>
      </c>
      <c r="G236" s="166"/>
      <c r="H236" s="167" t="e">
        <f t="shared" si="65"/>
        <v>#REF!</v>
      </c>
      <c r="I236" s="167" t="e">
        <f t="shared" si="66"/>
        <v>#REF!</v>
      </c>
      <c r="J236" s="167" t="e">
        <f t="shared" si="67"/>
        <v>#REF!</v>
      </c>
      <c r="K236" s="167" t="e">
        <f t="shared" si="78"/>
        <v>#REF!</v>
      </c>
      <c r="L236" s="167" t="e">
        <f>IF(B236="","",IF(F236=0,0,Simulador!$N$13*$J$2))</f>
        <v>#REF!</v>
      </c>
      <c r="M236" s="167" t="e">
        <f>IF(B236="","",IF(F236=0,0,IF(Simulador!$F$11='Tabla Parámetros'!$W$1,'Tabla Parámetros'!$W$28,IF(Simulador!$F$11='Tabla Parámetros'!$Y$1,'Tabla Parámetros'!$Y$12))))</f>
        <v>#REF!</v>
      </c>
      <c r="N236" s="167" t="e">
        <f>IF(B236="","",IF(F236=0,0,IF(Simulador!$N$7='Tabla Parámetros'!$C$31,AportPat!L222,0)))</f>
        <v>#REF!</v>
      </c>
      <c r="O236" s="167" t="e">
        <f>Simulador!#REF!</f>
        <v>#REF!</v>
      </c>
      <c r="P236" s="167" t="e">
        <f t="shared" si="68"/>
        <v>#REF!</v>
      </c>
      <c r="Q236" s="167" t="e">
        <f t="shared" si="69"/>
        <v>#REF!</v>
      </c>
      <c r="T236" s="6"/>
      <c r="U236" s="6"/>
      <c r="V236" s="6"/>
      <c r="W236" s="29" t="e">
        <f t="shared" si="62"/>
        <v>#REF!</v>
      </c>
      <c r="Y236" s="201" t="e">
        <f t="shared" si="63"/>
        <v>#REF!</v>
      </c>
      <c r="Z236" s="201" t="e">
        <f t="shared" si="70"/>
        <v>#REF!</v>
      </c>
      <c r="AA236" s="202" t="e">
        <f t="shared" si="71"/>
        <v>#REF!</v>
      </c>
      <c r="AB236" s="201" t="e">
        <f t="shared" si="72"/>
        <v>#REF!</v>
      </c>
      <c r="AC236" s="201" t="e">
        <f t="shared" si="73"/>
        <v>#REF!</v>
      </c>
      <c r="AD236" s="201" t="e">
        <f t="shared" si="79"/>
        <v>#REF!</v>
      </c>
      <c r="AE236" s="201" t="e">
        <f t="shared" si="74"/>
        <v>#REF!</v>
      </c>
      <c r="AF236" s="201" t="e">
        <f t="shared" si="75"/>
        <v>#REF!</v>
      </c>
      <c r="AG236" s="201" t="e">
        <f t="shared" si="80"/>
        <v>#REF!</v>
      </c>
    </row>
    <row r="237" spans="2:33" x14ac:dyDescent="0.3">
      <c r="B237" s="179">
        <f t="shared" si="64"/>
        <v>220</v>
      </c>
      <c r="C237" s="180">
        <f t="shared" si="76"/>
        <v>30.4</v>
      </c>
      <c r="D237" s="165">
        <f>IF(B237="","",Simulador!$F$62)</f>
        <v>0.11</v>
      </c>
      <c r="E237" s="167"/>
      <c r="F237" s="167" t="e">
        <f t="shared" si="77"/>
        <v>#REF!</v>
      </c>
      <c r="G237" s="166"/>
      <c r="H237" s="167" t="e">
        <f t="shared" si="65"/>
        <v>#REF!</v>
      </c>
      <c r="I237" s="167" t="e">
        <f t="shared" si="66"/>
        <v>#REF!</v>
      </c>
      <c r="J237" s="167" t="e">
        <f t="shared" si="67"/>
        <v>#REF!</v>
      </c>
      <c r="K237" s="167" t="e">
        <f t="shared" si="78"/>
        <v>#REF!</v>
      </c>
      <c r="L237" s="167" t="e">
        <f>IF(B237="","",IF(F237=0,0,Simulador!$N$13*$J$2))</f>
        <v>#REF!</v>
      </c>
      <c r="M237" s="167" t="e">
        <f>IF(B237="","",IF(F237=0,0,IF(Simulador!$F$11='Tabla Parámetros'!$W$1,'Tabla Parámetros'!$W$28,IF(Simulador!$F$11='Tabla Parámetros'!$Y$1,'Tabla Parámetros'!$Y$12))))</f>
        <v>#REF!</v>
      </c>
      <c r="N237" s="167" t="e">
        <f>IF(B237="","",IF(F237=0,0,IF(Simulador!$N$7='Tabla Parámetros'!$C$31,AportPat!L223,0)))</f>
        <v>#REF!</v>
      </c>
      <c r="O237" s="167" t="e">
        <f>Simulador!#REF!</f>
        <v>#REF!</v>
      </c>
      <c r="P237" s="167" t="e">
        <f t="shared" si="68"/>
        <v>#REF!</v>
      </c>
      <c r="Q237" s="167" t="e">
        <f t="shared" si="69"/>
        <v>#REF!</v>
      </c>
      <c r="T237" s="6"/>
      <c r="U237" s="6"/>
      <c r="V237" s="6"/>
      <c r="W237" s="29" t="e">
        <f t="shared" si="62"/>
        <v>#REF!</v>
      </c>
      <c r="Y237" s="201" t="e">
        <f t="shared" si="63"/>
        <v>#REF!</v>
      </c>
      <c r="Z237" s="201" t="e">
        <f t="shared" si="70"/>
        <v>#REF!</v>
      </c>
      <c r="AA237" s="202" t="e">
        <f t="shared" si="71"/>
        <v>#REF!</v>
      </c>
      <c r="AB237" s="201" t="e">
        <f t="shared" si="72"/>
        <v>#REF!</v>
      </c>
      <c r="AC237" s="201" t="e">
        <f t="shared" si="73"/>
        <v>#REF!</v>
      </c>
      <c r="AD237" s="201" t="e">
        <f t="shared" si="79"/>
        <v>#REF!</v>
      </c>
      <c r="AE237" s="201" t="e">
        <f t="shared" si="74"/>
        <v>#REF!</v>
      </c>
      <c r="AF237" s="201" t="e">
        <f t="shared" si="75"/>
        <v>#REF!</v>
      </c>
      <c r="AG237" s="201" t="e">
        <f t="shared" si="80"/>
        <v>#REF!</v>
      </c>
    </row>
    <row r="238" spans="2:33" x14ac:dyDescent="0.3">
      <c r="B238" s="181">
        <f t="shared" si="64"/>
        <v>221</v>
      </c>
      <c r="C238" s="180">
        <f t="shared" si="76"/>
        <v>30.4</v>
      </c>
      <c r="D238" s="165">
        <f>IF(B238="","",Simulador!$F$62)</f>
        <v>0.11</v>
      </c>
      <c r="E238" s="167"/>
      <c r="F238" s="167" t="e">
        <f t="shared" si="77"/>
        <v>#REF!</v>
      </c>
      <c r="G238" s="166"/>
      <c r="H238" s="167" t="e">
        <f t="shared" si="65"/>
        <v>#REF!</v>
      </c>
      <c r="I238" s="167" t="e">
        <f t="shared" si="66"/>
        <v>#REF!</v>
      </c>
      <c r="J238" s="167" t="e">
        <f t="shared" si="67"/>
        <v>#REF!</v>
      </c>
      <c r="K238" s="167" t="e">
        <f t="shared" si="78"/>
        <v>#REF!</v>
      </c>
      <c r="L238" s="167" t="e">
        <f>IF(B238="","",IF(F238=0,0,Simulador!$N$13*$J$2))</f>
        <v>#REF!</v>
      </c>
      <c r="M238" s="167" t="e">
        <f>IF(B238="","",IF(F238=0,0,IF(Simulador!$F$11='Tabla Parámetros'!$W$1,'Tabla Parámetros'!$W$28,IF(Simulador!$F$11='Tabla Parámetros'!$Y$1,'Tabla Parámetros'!$Y$12))))</f>
        <v>#REF!</v>
      </c>
      <c r="N238" s="167" t="e">
        <f>IF(B238="","",IF(F238=0,0,IF(Simulador!$N$7='Tabla Parámetros'!$C$31,AportPat!L224,0)))</f>
        <v>#REF!</v>
      </c>
      <c r="O238" s="167" t="e">
        <f>Simulador!#REF!</f>
        <v>#REF!</v>
      </c>
      <c r="P238" s="167" t="e">
        <f t="shared" si="68"/>
        <v>#REF!</v>
      </c>
      <c r="Q238" s="167" t="e">
        <f t="shared" si="69"/>
        <v>#REF!</v>
      </c>
      <c r="T238" s="6"/>
      <c r="U238" s="6"/>
      <c r="V238" s="6"/>
      <c r="W238" s="29" t="e">
        <f t="shared" si="62"/>
        <v>#REF!</v>
      </c>
      <c r="Y238" s="201" t="e">
        <f t="shared" si="63"/>
        <v>#REF!</v>
      </c>
      <c r="Z238" s="201" t="e">
        <f t="shared" si="70"/>
        <v>#REF!</v>
      </c>
      <c r="AA238" s="202" t="e">
        <f t="shared" si="71"/>
        <v>#REF!</v>
      </c>
      <c r="AB238" s="201" t="e">
        <f t="shared" si="72"/>
        <v>#REF!</v>
      </c>
      <c r="AC238" s="201" t="e">
        <f t="shared" si="73"/>
        <v>#REF!</v>
      </c>
      <c r="AD238" s="201" t="e">
        <f t="shared" si="79"/>
        <v>#REF!</v>
      </c>
      <c r="AE238" s="201" t="e">
        <f t="shared" si="74"/>
        <v>#REF!</v>
      </c>
      <c r="AF238" s="201" t="e">
        <f t="shared" si="75"/>
        <v>#REF!</v>
      </c>
      <c r="AG238" s="201" t="e">
        <f t="shared" si="80"/>
        <v>#REF!</v>
      </c>
    </row>
    <row r="239" spans="2:33" x14ac:dyDescent="0.3">
      <c r="B239" s="179">
        <f t="shared" si="64"/>
        <v>222</v>
      </c>
      <c r="C239" s="180">
        <f t="shared" si="76"/>
        <v>30.4</v>
      </c>
      <c r="D239" s="165">
        <f>IF(B239="","",Simulador!$F$62)</f>
        <v>0.11</v>
      </c>
      <c r="E239" s="167"/>
      <c r="F239" s="167" t="e">
        <f t="shared" si="77"/>
        <v>#REF!</v>
      </c>
      <c r="G239" s="166"/>
      <c r="H239" s="167" t="e">
        <f t="shared" si="65"/>
        <v>#REF!</v>
      </c>
      <c r="I239" s="167" t="e">
        <f t="shared" si="66"/>
        <v>#REF!</v>
      </c>
      <c r="J239" s="167" t="e">
        <f t="shared" si="67"/>
        <v>#REF!</v>
      </c>
      <c r="K239" s="167" t="e">
        <f t="shared" si="78"/>
        <v>#REF!</v>
      </c>
      <c r="L239" s="167" t="e">
        <f>IF(B239="","",IF(F239=0,0,Simulador!$N$13*$J$2))</f>
        <v>#REF!</v>
      </c>
      <c r="M239" s="167" t="e">
        <f>IF(B239="","",IF(F239=0,0,IF(Simulador!$F$11='Tabla Parámetros'!$W$1,'Tabla Parámetros'!$W$28,IF(Simulador!$F$11='Tabla Parámetros'!$Y$1,'Tabla Parámetros'!$Y$12))))</f>
        <v>#REF!</v>
      </c>
      <c r="N239" s="167" t="e">
        <f>IF(B239="","",IF(F239=0,0,IF(Simulador!$N$7='Tabla Parámetros'!$C$31,AportPat!L225,0)))</f>
        <v>#REF!</v>
      </c>
      <c r="O239" s="167" t="e">
        <f>Simulador!#REF!</f>
        <v>#REF!</v>
      </c>
      <c r="P239" s="167" t="e">
        <f t="shared" si="68"/>
        <v>#REF!</v>
      </c>
      <c r="Q239" s="167" t="e">
        <f t="shared" si="69"/>
        <v>#REF!</v>
      </c>
      <c r="T239" s="6"/>
      <c r="U239" s="6"/>
      <c r="V239" s="6"/>
      <c r="W239" s="29" t="e">
        <f t="shared" si="62"/>
        <v>#REF!</v>
      </c>
      <c r="Y239" s="201" t="e">
        <f t="shared" si="63"/>
        <v>#REF!</v>
      </c>
      <c r="Z239" s="201" t="e">
        <f t="shared" si="70"/>
        <v>#REF!</v>
      </c>
      <c r="AA239" s="202" t="e">
        <f t="shared" si="71"/>
        <v>#REF!</v>
      </c>
      <c r="AB239" s="201" t="e">
        <f t="shared" si="72"/>
        <v>#REF!</v>
      </c>
      <c r="AC239" s="201" t="e">
        <f t="shared" si="73"/>
        <v>#REF!</v>
      </c>
      <c r="AD239" s="201" t="e">
        <f t="shared" si="79"/>
        <v>#REF!</v>
      </c>
      <c r="AE239" s="201" t="e">
        <f t="shared" si="74"/>
        <v>#REF!</v>
      </c>
      <c r="AF239" s="201" t="e">
        <f t="shared" si="75"/>
        <v>#REF!</v>
      </c>
      <c r="AG239" s="201" t="e">
        <f t="shared" si="80"/>
        <v>#REF!</v>
      </c>
    </row>
    <row r="240" spans="2:33" x14ac:dyDescent="0.3">
      <c r="B240" s="179">
        <f t="shared" si="64"/>
        <v>223</v>
      </c>
      <c r="C240" s="180">
        <f t="shared" si="76"/>
        <v>30.4</v>
      </c>
      <c r="D240" s="165">
        <f>IF(B240="","",Simulador!$F$62)</f>
        <v>0.11</v>
      </c>
      <c r="E240" s="167"/>
      <c r="F240" s="167" t="e">
        <f t="shared" si="77"/>
        <v>#REF!</v>
      </c>
      <c r="G240" s="166"/>
      <c r="H240" s="167" t="e">
        <f t="shared" si="65"/>
        <v>#REF!</v>
      </c>
      <c r="I240" s="167" t="e">
        <f t="shared" si="66"/>
        <v>#REF!</v>
      </c>
      <c r="J240" s="167" t="e">
        <f t="shared" si="67"/>
        <v>#REF!</v>
      </c>
      <c r="K240" s="167" t="e">
        <f t="shared" si="78"/>
        <v>#REF!</v>
      </c>
      <c r="L240" s="167" t="e">
        <f>IF(B240="","",IF(F240=0,0,Simulador!$N$13*$J$2))</f>
        <v>#REF!</v>
      </c>
      <c r="M240" s="167" t="e">
        <f>IF(B240="","",IF(F240=0,0,IF(Simulador!$F$11='Tabla Parámetros'!$W$1,'Tabla Parámetros'!$W$28,IF(Simulador!$F$11='Tabla Parámetros'!$Y$1,'Tabla Parámetros'!$Y$12))))</f>
        <v>#REF!</v>
      </c>
      <c r="N240" s="167" t="e">
        <f>IF(B240="","",IF(F240=0,0,IF(Simulador!$N$7='Tabla Parámetros'!$C$31,AportPat!L226,0)))</f>
        <v>#REF!</v>
      </c>
      <c r="O240" s="167" t="e">
        <f>Simulador!#REF!</f>
        <v>#REF!</v>
      </c>
      <c r="P240" s="167" t="e">
        <f t="shared" si="68"/>
        <v>#REF!</v>
      </c>
      <c r="Q240" s="167" t="e">
        <f t="shared" si="69"/>
        <v>#REF!</v>
      </c>
      <c r="T240" s="6"/>
      <c r="U240" s="6"/>
      <c r="V240" s="6"/>
      <c r="W240" s="29" t="e">
        <f t="shared" si="62"/>
        <v>#REF!</v>
      </c>
      <c r="Y240" s="201" t="e">
        <f t="shared" si="63"/>
        <v>#REF!</v>
      </c>
      <c r="Z240" s="201" t="e">
        <f t="shared" si="70"/>
        <v>#REF!</v>
      </c>
      <c r="AA240" s="202" t="e">
        <f t="shared" si="71"/>
        <v>#REF!</v>
      </c>
      <c r="AB240" s="201" t="e">
        <f t="shared" si="72"/>
        <v>#REF!</v>
      </c>
      <c r="AC240" s="201" t="e">
        <f t="shared" si="73"/>
        <v>#REF!</v>
      </c>
      <c r="AD240" s="201" t="e">
        <f t="shared" si="79"/>
        <v>#REF!</v>
      </c>
      <c r="AE240" s="201" t="e">
        <f t="shared" si="74"/>
        <v>#REF!</v>
      </c>
      <c r="AF240" s="201" t="e">
        <f t="shared" si="75"/>
        <v>#REF!</v>
      </c>
      <c r="AG240" s="201" t="e">
        <f t="shared" si="80"/>
        <v>#REF!</v>
      </c>
    </row>
    <row r="241" spans="2:33" x14ac:dyDescent="0.3">
      <c r="B241" s="179">
        <f t="shared" si="64"/>
        <v>224</v>
      </c>
      <c r="C241" s="180">
        <f t="shared" si="76"/>
        <v>30.4</v>
      </c>
      <c r="D241" s="165">
        <f>IF(B241="","",Simulador!$F$62)</f>
        <v>0.11</v>
      </c>
      <c r="E241" s="167"/>
      <c r="F241" s="167" t="e">
        <f t="shared" si="77"/>
        <v>#REF!</v>
      </c>
      <c r="G241" s="166"/>
      <c r="H241" s="167" t="e">
        <f t="shared" si="65"/>
        <v>#REF!</v>
      </c>
      <c r="I241" s="167" t="e">
        <f t="shared" si="66"/>
        <v>#REF!</v>
      </c>
      <c r="J241" s="167" t="e">
        <f t="shared" si="67"/>
        <v>#REF!</v>
      </c>
      <c r="K241" s="167" t="e">
        <f t="shared" si="78"/>
        <v>#REF!</v>
      </c>
      <c r="L241" s="167" t="e">
        <f>IF(B241="","",IF(F241=0,0,Simulador!$N$13*$J$2))</f>
        <v>#REF!</v>
      </c>
      <c r="M241" s="167" t="e">
        <f>IF(B241="","",IF(F241=0,0,IF(Simulador!$F$11='Tabla Parámetros'!$W$1,'Tabla Parámetros'!$W$28,IF(Simulador!$F$11='Tabla Parámetros'!$Y$1,'Tabla Parámetros'!$Y$12))))</f>
        <v>#REF!</v>
      </c>
      <c r="N241" s="167" t="e">
        <f>IF(B241="","",IF(F241=0,0,IF(Simulador!$N$7='Tabla Parámetros'!$C$31,AportPat!L227,0)))</f>
        <v>#REF!</v>
      </c>
      <c r="O241" s="167" t="e">
        <f>Simulador!#REF!</f>
        <v>#REF!</v>
      </c>
      <c r="P241" s="167" t="e">
        <f t="shared" si="68"/>
        <v>#REF!</v>
      </c>
      <c r="Q241" s="167" t="e">
        <f t="shared" si="69"/>
        <v>#REF!</v>
      </c>
      <c r="T241" s="6"/>
      <c r="U241" s="6"/>
      <c r="V241" s="6"/>
      <c r="W241" s="29" t="e">
        <f t="shared" si="62"/>
        <v>#REF!</v>
      </c>
      <c r="Y241" s="201" t="e">
        <f t="shared" si="63"/>
        <v>#REF!</v>
      </c>
      <c r="Z241" s="201" t="e">
        <f t="shared" si="70"/>
        <v>#REF!</v>
      </c>
      <c r="AA241" s="202" t="e">
        <f t="shared" si="71"/>
        <v>#REF!</v>
      </c>
      <c r="AB241" s="201" t="e">
        <f t="shared" si="72"/>
        <v>#REF!</v>
      </c>
      <c r="AC241" s="201" t="e">
        <f t="shared" si="73"/>
        <v>#REF!</v>
      </c>
      <c r="AD241" s="201" t="e">
        <f t="shared" si="79"/>
        <v>#REF!</v>
      </c>
      <c r="AE241" s="201" t="e">
        <f t="shared" si="74"/>
        <v>#REF!</v>
      </c>
      <c r="AF241" s="201" t="e">
        <f t="shared" si="75"/>
        <v>#REF!</v>
      </c>
      <c r="AG241" s="201" t="e">
        <f t="shared" si="80"/>
        <v>#REF!</v>
      </c>
    </row>
    <row r="242" spans="2:33" x14ac:dyDescent="0.3">
      <c r="B242" s="181">
        <f t="shared" si="64"/>
        <v>225</v>
      </c>
      <c r="C242" s="180">
        <f t="shared" si="76"/>
        <v>30.4</v>
      </c>
      <c r="D242" s="165">
        <f>IF(B242="","",Simulador!$F$62)</f>
        <v>0.11</v>
      </c>
      <c r="E242" s="167"/>
      <c r="F242" s="167" t="e">
        <f t="shared" si="77"/>
        <v>#REF!</v>
      </c>
      <c r="G242" s="166"/>
      <c r="H242" s="167" t="e">
        <f t="shared" si="65"/>
        <v>#REF!</v>
      </c>
      <c r="I242" s="167" t="e">
        <f t="shared" si="66"/>
        <v>#REF!</v>
      </c>
      <c r="J242" s="167" t="e">
        <f t="shared" si="67"/>
        <v>#REF!</v>
      </c>
      <c r="K242" s="167" t="e">
        <f t="shared" si="78"/>
        <v>#REF!</v>
      </c>
      <c r="L242" s="167" t="e">
        <f>IF(B242="","",IF(F242=0,0,Simulador!$N$13*$J$2))</f>
        <v>#REF!</v>
      </c>
      <c r="M242" s="167" t="e">
        <f>IF(B242="","",IF(F242=0,0,IF(Simulador!$F$11='Tabla Parámetros'!$W$1,'Tabla Parámetros'!$W$28,IF(Simulador!$F$11='Tabla Parámetros'!$Y$1,'Tabla Parámetros'!$Y$12))))</f>
        <v>#REF!</v>
      </c>
      <c r="N242" s="167" t="e">
        <f>IF(B242="","",IF(F242=0,0,IF(Simulador!$N$7='Tabla Parámetros'!$C$31,AportPat!L228,0)))</f>
        <v>#REF!</v>
      </c>
      <c r="O242" s="167" t="e">
        <f>Simulador!#REF!</f>
        <v>#REF!</v>
      </c>
      <c r="P242" s="167" t="e">
        <f t="shared" si="68"/>
        <v>#REF!</v>
      </c>
      <c r="Q242" s="167" t="e">
        <f t="shared" si="69"/>
        <v>#REF!</v>
      </c>
      <c r="T242" s="6"/>
      <c r="U242" s="6"/>
      <c r="V242" s="6"/>
      <c r="W242" s="29" t="e">
        <f t="shared" si="62"/>
        <v>#REF!</v>
      </c>
      <c r="Y242" s="201" t="e">
        <f t="shared" si="63"/>
        <v>#REF!</v>
      </c>
      <c r="Z242" s="201" t="e">
        <f t="shared" si="70"/>
        <v>#REF!</v>
      </c>
      <c r="AA242" s="202" t="e">
        <f t="shared" si="71"/>
        <v>#REF!</v>
      </c>
      <c r="AB242" s="201" t="e">
        <f t="shared" si="72"/>
        <v>#REF!</v>
      </c>
      <c r="AC242" s="201" t="e">
        <f t="shared" si="73"/>
        <v>#REF!</v>
      </c>
      <c r="AD242" s="201" t="e">
        <f t="shared" si="79"/>
        <v>#REF!</v>
      </c>
      <c r="AE242" s="201" t="e">
        <f t="shared" si="74"/>
        <v>#REF!</v>
      </c>
      <c r="AF242" s="201" t="e">
        <f t="shared" si="75"/>
        <v>#REF!</v>
      </c>
      <c r="AG242" s="201" t="e">
        <f t="shared" si="80"/>
        <v>#REF!</v>
      </c>
    </row>
    <row r="243" spans="2:33" x14ac:dyDescent="0.3">
      <c r="B243" s="179">
        <f t="shared" si="64"/>
        <v>226</v>
      </c>
      <c r="C243" s="180">
        <f t="shared" si="76"/>
        <v>30.4</v>
      </c>
      <c r="D243" s="165">
        <f>IF(B243="","",Simulador!$F$62)</f>
        <v>0.11</v>
      </c>
      <c r="E243" s="167"/>
      <c r="F243" s="167" t="e">
        <f t="shared" si="77"/>
        <v>#REF!</v>
      </c>
      <c r="G243" s="166"/>
      <c r="H243" s="167" t="e">
        <f t="shared" si="65"/>
        <v>#REF!</v>
      </c>
      <c r="I243" s="167" t="e">
        <f t="shared" si="66"/>
        <v>#REF!</v>
      </c>
      <c r="J243" s="167" t="e">
        <f t="shared" si="67"/>
        <v>#REF!</v>
      </c>
      <c r="K243" s="167" t="e">
        <f t="shared" si="78"/>
        <v>#REF!</v>
      </c>
      <c r="L243" s="167" t="e">
        <f>IF(B243="","",IF(F243=0,0,Simulador!$N$13*$J$2))</f>
        <v>#REF!</v>
      </c>
      <c r="M243" s="167" t="e">
        <f>IF(B243="","",IF(F243=0,0,IF(Simulador!$F$11='Tabla Parámetros'!$W$1,'Tabla Parámetros'!$W$28,IF(Simulador!$F$11='Tabla Parámetros'!$Y$1,'Tabla Parámetros'!$Y$12))))</f>
        <v>#REF!</v>
      </c>
      <c r="N243" s="167" t="e">
        <f>IF(B243="","",IF(F243=0,0,IF(Simulador!$N$7='Tabla Parámetros'!$C$31,AportPat!L229,0)))</f>
        <v>#REF!</v>
      </c>
      <c r="O243" s="167" t="e">
        <f>Simulador!#REF!</f>
        <v>#REF!</v>
      </c>
      <c r="P243" s="167" t="e">
        <f t="shared" si="68"/>
        <v>#REF!</v>
      </c>
      <c r="Q243" s="167" t="e">
        <f t="shared" si="69"/>
        <v>#REF!</v>
      </c>
      <c r="W243" s="29" t="e">
        <f t="shared" si="62"/>
        <v>#REF!</v>
      </c>
      <c r="Y243" s="201" t="e">
        <f t="shared" si="63"/>
        <v>#REF!</v>
      </c>
      <c r="Z243" s="201" t="e">
        <f t="shared" si="70"/>
        <v>#REF!</v>
      </c>
      <c r="AA243" s="202" t="e">
        <f t="shared" si="71"/>
        <v>#REF!</v>
      </c>
      <c r="AB243" s="201" t="e">
        <f t="shared" si="72"/>
        <v>#REF!</v>
      </c>
      <c r="AC243" s="201" t="e">
        <f t="shared" si="73"/>
        <v>#REF!</v>
      </c>
      <c r="AD243" s="201" t="e">
        <f t="shared" si="79"/>
        <v>#REF!</v>
      </c>
      <c r="AE243" s="201" t="e">
        <f t="shared" si="74"/>
        <v>#REF!</v>
      </c>
      <c r="AF243" s="201" t="e">
        <f t="shared" si="75"/>
        <v>#REF!</v>
      </c>
      <c r="AG243" s="201" t="e">
        <f t="shared" si="80"/>
        <v>#REF!</v>
      </c>
    </row>
    <row r="244" spans="2:33" x14ac:dyDescent="0.3">
      <c r="B244" s="179">
        <f t="shared" si="64"/>
        <v>227</v>
      </c>
      <c r="C244" s="180">
        <f t="shared" si="76"/>
        <v>30.4</v>
      </c>
      <c r="D244" s="165">
        <f>IF(B244="","",Simulador!$F$62)</f>
        <v>0.11</v>
      </c>
      <c r="E244" s="167"/>
      <c r="F244" s="167" t="e">
        <f t="shared" si="77"/>
        <v>#REF!</v>
      </c>
      <c r="G244" s="166"/>
      <c r="H244" s="167" t="e">
        <f t="shared" si="65"/>
        <v>#REF!</v>
      </c>
      <c r="I244" s="167" t="e">
        <f t="shared" si="66"/>
        <v>#REF!</v>
      </c>
      <c r="J244" s="167" t="e">
        <f t="shared" si="67"/>
        <v>#REF!</v>
      </c>
      <c r="K244" s="167" t="e">
        <f t="shared" si="78"/>
        <v>#REF!</v>
      </c>
      <c r="L244" s="167" t="e">
        <f>IF(B244="","",IF(F244=0,0,Simulador!$N$13*$J$2))</f>
        <v>#REF!</v>
      </c>
      <c r="M244" s="167" t="e">
        <f>IF(B244="","",IF(F244=0,0,IF(Simulador!$F$11='Tabla Parámetros'!$W$1,'Tabla Parámetros'!$W$28,IF(Simulador!$F$11='Tabla Parámetros'!$Y$1,'Tabla Parámetros'!$Y$12))))</f>
        <v>#REF!</v>
      </c>
      <c r="N244" s="167" t="e">
        <f>IF(B244="","",IF(F244=0,0,IF(Simulador!$N$7='Tabla Parámetros'!$C$31,AportPat!L230,0)))</f>
        <v>#REF!</v>
      </c>
      <c r="O244" s="167" t="e">
        <f>Simulador!#REF!</f>
        <v>#REF!</v>
      </c>
      <c r="P244" s="167" t="e">
        <f t="shared" si="68"/>
        <v>#REF!</v>
      </c>
      <c r="Q244" s="167" t="e">
        <f t="shared" si="69"/>
        <v>#REF!</v>
      </c>
      <c r="W244" s="29" t="e">
        <f t="shared" si="62"/>
        <v>#REF!</v>
      </c>
      <c r="Y244" s="201" t="e">
        <f t="shared" si="63"/>
        <v>#REF!</v>
      </c>
      <c r="Z244" s="201" t="e">
        <f t="shared" si="70"/>
        <v>#REF!</v>
      </c>
      <c r="AA244" s="202" t="e">
        <f t="shared" si="71"/>
        <v>#REF!</v>
      </c>
      <c r="AB244" s="201" t="e">
        <f t="shared" si="72"/>
        <v>#REF!</v>
      </c>
      <c r="AC244" s="201" t="e">
        <f t="shared" si="73"/>
        <v>#REF!</v>
      </c>
      <c r="AD244" s="201" t="e">
        <f t="shared" si="79"/>
        <v>#REF!</v>
      </c>
      <c r="AE244" s="201" t="e">
        <f t="shared" si="74"/>
        <v>#REF!</v>
      </c>
      <c r="AF244" s="201" t="e">
        <f t="shared" si="75"/>
        <v>#REF!</v>
      </c>
      <c r="AG244" s="201" t="e">
        <f t="shared" si="80"/>
        <v>#REF!</v>
      </c>
    </row>
    <row r="245" spans="2:33" x14ac:dyDescent="0.3">
      <c r="B245" s="179">
        <f t="shared" si="64"/>
        <v>228</v>
      </c>
      <c r="C245" s="180">
        <f t="shared" si="76"/>
        <v>30.4</v>
      </c>
      <c r="D245" s="165">
        <f>IF(B245="","",Simulador!$F$62)</f>
        <v>0.11</v>
      </c>
      <c r="E245" s="167"/>
      <c r="F245" s="167" t="e">
        <f t="shared" si="77"/>
        <v>#REF!</v>
      </c>
      <c r="G245" s="166"/>
      <c r="H245" s="167" t="e">
        <f t="shared" si="65"/>
        <v>#REF!</v>
      </c>
      <c r="I245" s="167" t="e">
        <f t="shared" si="66"/>
        <v>#REF!</v>
      </c>
      <c r="J245" s="167" t="e">
        <f t="shared" si="67"/>
        <v>#REF!</v>
      </c>
      <c r="K245" s="167" t="e">
        <f t="shared" si="78"/>
        <v>#REF!</v>
      </c>
      <c r="L245" s="167" t="e">
        <f>IF(B245="","",IF(F245=0,0,Simulador!$N$13*$J$2))</f>
        <v>#REF!</v>
      </c>
      <c r="M245" s="167" t="e">
        <f>IF(B245="","",IF(F245=0,0,IF(Simulador!$F$11='Tabla Parámetros'!$W$1,'Tabla Parámetros'!$W$28,IF(Simulador!$F$11='Tabla Parámetros'!$Y$1,'Tabla Parámetros'!$Y$12))))</f>
        <v>#REF!</v>
      </c>
      <c r="N245" s="167" t="e">
        <f>IF(B245="","",IF(F245=0,0,IF(Simulador!$N$7='Tabla Parámetros'!$C$31,AportPat!L231,0)))</f>
        <v>#REF!</v>
      </c>
      <c r="O245" s="167" t="e">
        <f>Simulador!#REF!</f>
        <v>#REF!</v>
      </c>
      <c r="P245" s="167" t="e">
        <f t="shared" si="68"/>
        <v>#REF!</v>
      </c>
      <c r="Q245" s="167" t="e">
        <f t="shared" si="69"/>
        <v>#REF!</v>
      </c>
      <c r="W245" s="29" t="e">
        <f t="shared" si="62"/>
        <v>#REF!</v>
      </c>
      <c r="Y245" s="201" t="e">
        <f t="shared" si="63"/>
        <v>#REF!</v>
      </c>
      <c r="Z245" s="201" t="e">
        <f t="shared" si="70"/>
        <v>#REF!</v>
      </c>
      <c r="AA245" s="202" t="e">
        <f t="shared" si="71"/>
        <v>#REF!</v>
      </c>
      <c r="AB245" s="201" t="e">
        <f t="shared" si="72"/>
        <v>#REF!</v>
      </c>
      <c r="AC245" s="201" t="e">
        <f t="shared" si="73"/>
        <v>#REF!</v>
      </c>
      <c r="AD245" s="201" t="e">
        <f t="shared" si="79"/>
        <v>#REF!</v>
      </c>
      <c r="AE245" s="201" t="e">
        <f t="shared" si="74"/>
        <v>#REF!</v>
      </c>
      <c r="AF245" s="201" t="e">
        <f t="shared" si="75"/>
        <v>#REF!</v>
      </c>
      <c r="AG245" s="201" t="e">
        <f t="shared" si="80"/>
        <v>#REF!</v>
      </c>
    </row>
    <row r="246" spans="2:33" x14ac:dyDescent="0.3">
      <c r="B246" s="181">
        <f t="shared" si="64"/>
        <v>229</v>
      </c>
      <c r="C246" s="180">
        <f t="shared" si="76"/>
        <v>30.4</v>
      </c>
      <c r="D246" s="165">
        <f>IF(B246="","",Simulador!$F$62)</f>
        <v>0.11</v>
      </c>
      <c r="E246" s="167"/>
      <c r="F246" s="167" t="e">
        <f t="shared" si="77"/>
        <v>#REF!</v>
      </c>
      <c r="G246" s="166"/>
      <c r="H246" s="167" t="e">
        <f t="shared" si="65"/>
        <v>#REF!</v>
      </c>
      <c r="I246" s="167" t="e">
        <f t="shared" si="66"/>
        <v>#REF!</v>
      </c>
      <c r="J246" s="167" t="e">
        <f>IF(D246="","",IF(F246=0,0,IF($Q$2=$Y$16,AA246,IF($Q$2=$AB$16,AD246,IF($Q$2=$AE$16,AG246,)))))</f>
        <v>#REF!</v>
      </c>
      <c r="K246" s="167" t="e">
        <f t="shared" si="78"/>
        <v>#REF!</v>
      </c>
      <c r="L246" s="167" t="e">
        <f>IF(B246="","",IF(F246=0,0,Simulador!$N$13*$J$2))</f>
        <v>#REF!</v>
      </c>
      <c r="M246" s="167" t="e">
        <f>IF(B246="","",IF(F246=0,0,IF(Simulador!$F$11='Tabla Parámetros'!$W$1,'Tabla Parámetros'!$W$28,IF(Simulador!$F$11='Tabla Parámetros'!$Y$1,'Tabla Parámetros'!$Y$12))))</f>
        <v>#REF!</v>
      </c>
      <c r="N246" s="167" t="e">
        <f>IF(B246="","",IF(F246=0,0,IF(Simulador!$N$7='Tabla Parámetros'!$C$31,AportPat!L232,0)))</f>
        <v>#REF!</v>
      </c>
      <c r="O246" s="167" t="e">
        <f>Simulador!#REF!</f>
        <v>#REF!</v>
      </c>
      <c r="P246" s="167" t="e">
        <f t="shared" si="68"/>
        <v>#REF!</v>
      </c>
      <c r="Q246" s="167" t="e">
        <f t="shared" si="69"/>
        <v>#REF!</v>
      </c>
      <c r="W246" s="29" t="e">
        <f t="shared" si="62"/>
        <v>#REF!</v>
      </c>
      <c r="Y246" s="201" t="e">
        <f t="shared" si="63"/>
        <v>#REF!</v>
      </c>
      <c r="Z246" s="201" t="e">
        <f t="shared" si="70"/>
        <v>#REF!</v>
      </c>
      <c r="AA246" s="202" t="e">
        <f t="shared" si="71"/>
        <v>#REF!</v>
      </c>
      <c r="AB246" s="201" t="e">
        <f t="shared" si="72"/>
        <v>#REF!</v>
      </c>
      <c r="AC246" s="201" t="e">
        <f t="shared" si="73"/>
        <v>#REF!</v>
      </c>
      <c r="AD246" s="201" t="e">
        <f t="shared" si="79"/>
        <v>#REF!</v>
      </c>
      <c r="AE246" s="201" t="e">
        <f t="shared" si="74"/>
        <v>#REF!</v>
      </c>
      <c r="AF246" s="201" t="e">
        <f t="shared" si="75"/>
        <v>#REF!</v>
      </c>
      <c r="AG246" s="201" t="e">
        <f t="shared" si="80"/>
        <v>#REF!</v>
      </c>
    </row>
    <row r="247" spans="2:33" x14ac:dyDescent="0.3">
      <c r="B247" s="179">
        <f t="shared" si="64"/>
        <v>230</v>
      </c>
      <c r="C247" s="180">
        <f t="shared" si="76"/>
        <v>30.4</v>
      </c>
      <c r="D247" s="165">
        <f>IF(B247="","",Simulador!$F$62)</f>
        <v>0.11</v>
      </c>
      <c r="E247" s="167"/>
      <c r="F247" s="167" t="e">
        <f t="shared" si="77"/>
        <v>#REF!</v>
      </c>
      <c r="G247" s="166"/>
      <c r="H247" s="167" t="e">
        <f t="shared" si="65"/>
        <v>#REF!</v>
      </c>
      <c r="I247" s="167" t="e">
        <f t="shared" si="66"/>
        <v>#REF!</v>
      </c>
      <c r="J247" s="167" t="e">
        <f t="shared" ref="J247:J257" si="81">IF(D247="","",IF(F247=0,0,IF($Q$2=$Y$16,AA247,IF($Q$2=$AB$16,AD247,IF($Q$2=$AE$16,AG247,)))))</f>
        <v>#REF!</v>
      </c>
      <c r="K247" s="167" t="e">
        <f t="shared" si="78"/>
        <v>#REF!</v>
      </c>
      <c r="L247" s="167" t="e">
        <f>IF(B247="","",IF(F247=0,0,Simulador!$N$13*$J$2))</f>
        <v>#REF!</v>
      </c>
      <c r="M247" s="167" t="e">
        <f>IF(B247="","",IF(F247=0,0,IF(Simulador!$F$11='Tabla Parámetros'!$W$1,'Tabla Parámetros'!$W$28,IF(Simulador!$F$11='Tabla Parámetros'!$Y$1,'Tabla Parámetros'!$Y$12))))</f>
        <v>#REF!</v>
      </c>
      <c r="N247" s="167" t="e">
        <f>IF(B247="","",IF(F247=0,0,IF(Simulador!$N$7='Tabla Parámetros'!$C$31,AportPat!L233,0)))</f>
        <v>#REF!</v>
      </c>
      <c r="O247" s="167" t="e">
        <f>Simulador!#REF!</f>
        <v>#REF!</v>
      </c>
      <c r="P247" s="167" t="e">
        <f t="shared" si="68"/>
        <v>#REF!</v>
      </c>
      <c r="Q247" s="167" t="e">
        <f t="shared" si="69"/>
        <v>#REF!</v>
      </c>
      <c r="W247" s="29" t="e">
        <f t="shared" si="62"/>
        <v>#REF!</v>
      </c>
      <c r="Y247" s="201" t="e">
        <f t="shared" si="63"/>
        <v>#REF!</v>
      </c>
      <c r="Z247" s="201" t="e">
        <f t="shared" si="70"/>
        <v>#REF!</v>
      </c>
      <c r="AA247" s="202" t="e">
        <f t="shared" si="71"/>
        <v>#REF!</v>
      </c>
      <c r="AB247" s="201" t="e">
        <f t="shared" si="72"/>
        <v>#REF!</v>
      </c>
      <c r="AC247" s="201" t="e">
        <f t="shared" si="73"/>
        <v>#REF!</v>
      </c>
      <c r="AD247" s="201" t="e">
        <f t="shared" si="79"/>
        <v>#REF!</v>
      </c>
      <c r="AE247" s="201" t="e">
        <f t="shared" si="74"/>
        <v>#REF!</v>
      </c>
      <c r="AF247" s="201" t="e">
        <f t="shared" si="75"/>
        <v>#REF!</v>
      </c>
      <c r="AG247" s="201" t="e">
        <f t="shared" si="80"/>
        <v>#REF!</v>
      </c>
    </row>
    <row r="248" spans="2:33" x14ac:dyDescent="0.3">
      <c r="B248" s="179">
        <f t="shared" si="64"/>
        <v>231</v>
      </c>
      <c r="C248" s="180">
        <f t="shared" si="76"/>
        <v>30.4</v>
      </c>
      <c r="D248" s="165">
        <f>IF(B248="","",Simulador!$F$62)</f>
        <v>0.11</v>
      </c>
      <c r="E248" s="167"/>
      <c r="F248" s="167" t="e">
        <f t="shared" si="77"/>
        <v>#REF!</v>
      </c>
      <c r="G248" s="166"/>
      <c r="H248" s="167" t="e">
        <f t="shared" si="65"/>
        <v>#REF!</v>
      </c>
      <c r="I248" s="167" t="e">
        <f t="shared" si="66"/>
        <v>#REF!</v>
      </c>
      <c r="J248" s="167" t="e">
        <f t="shared" si="81"/>
        <v>#REF!</v>
      </c>
      <c r="K248" s="167" t="e">
        <f t="shared" si="78"/>
        <v>#REF!</v>
      </c>
      <c r="L248" s="167" t="e">
        <f>IF(B248="","",IF(F248=0,0,Simulador!$N$13*$J$2))</f>
        <v>#REF!</v>
      </c>
      <c r="M248" s="167" t="e">
        <f>IF(B248="","",IF(F248=0,0,IF(Simulador!$F$11='Tabla Parámetros'!$W$1,'Tabla Parámetros'!$W$28,IF(Simulador!$F$11='Tabla Parámetros'!$Y$1,'Tabla Parámetros'!$Y$12))))</f>
        <v>#REF!</v>
      </c>
      <c r="N248" s="167" t="e">
        <f>IF(B248="","",IF(F248=0,0,IF(Simulador!$N$7='Tabla Parámetros'!$C$31,AportPat!L234,0)))</f>
        <v>#REF!</v>
      </c>
      <c r="O248" s="167" t="e">
        <f>Simulador!#REF!</f>
        <v>#REF!</v>
      </c>
      <c r="P248" s="167" t="e">
        <f t="shared" si="68"/>
        <v>#REF!</v>
      </c>
      <c r="Q248" s="167" t="e">
        <f t="shared" si="69"/>
        <v>#REF!</v>
      </c>
      <c r="W248" s="29" t="e">
        <f t="shared" si="62"/>
        <v>#REF!</v>
      </c>
      <c r="Y248" s="201" t="e">
        <f t="shared" si="63"/>
        <v>#REF!</v>
      </c>
      <c r="Z248" s="201" t="e">
        <f t="shared" si="70"/>
        <v>#REF!</v>
      </c>
      <c r="AA248" s="202" t="e">
        <f t="shared" si="71"/>
        <v>#REF!</v>
      </c>
      <c r="AB248" s="201" t="e">
        <f t="shared" si="72"/>
        <v>#REF!</v>
      </c>
      <c r="AC248" s="201" t="e">
        <f t="shared" si="73"/>
        <v>#REF!</v>
      </c>
      <c r="AD248" s="201" t="e">
        <f t="shared" si="79"/>
        <v>#REF!</v>
      </c>
      <c r="AE248" s="201" t="e">
        <f t="shared" si="74"/>
        <v>#REF!</v>
      </c>
      <c r="AF248" s="201" t="e">
        <f t="shared" si="75"/>
        <v>#REF!</v>
      </c>
      <c r="AG248" s="201" t="e">
        <f t="shared" si="80"/>
        <v>#REF!</v>
      </c>
    </row>
    <row r="249" spans="2:33" x14ac:dyDescent="0.3">
      <c r="B249" s="179">
        <f t="shared" si="64"/>
        <v>232</v>
      </c>
      <c r="C249" s="180">
        <f t="shared" si="76"/>
        <v>30.4</v>
      </c>
      <c r="D249" s="165">
        <f>IF(B249="","",Simulador!$F$62)</f>
        <v>0.11</v>
      </c>
      <c r="E249" s="167"/>
      <c r="F249" s="167" t="e">
        <f t="shared" si="77"/>
        <v>#REF!</v>
      </c>
      <c r="G249" s="166"/>
      <c r="H249" s="167" t="e">
        <f t="shared" si="65"/>
        <v>#REF!</v>
      </c>
      <c r="I249" s="167" t="e">
        <f t="shared" si="66"/>
        <v>#REF!</v>
      </c>
      <c r="J249" s="167" t="e">
        <f t="shared" si="81"/>
        <v>#REF!</v>
      </c>
      <c r="K249" s="167" t="e">
        <f t="shared" si="78"/>
        <v>#REF!</v>
      </c>
      <c r="L249" s="167" t="e">
        <f>IF(B249="","",IF(F249=0,0,Simulador!$N$13*$J$2))</f>
        <v>#REF!</v>
      </c>
      <c r="M249" s="167" t="e">
        <f>IF(B249="","",IF(F249=0,0,IF(Simulador!$F$11='Tabla Parámetros'!$W$1,'Tabla Parámetros'!$W$28,IF(Simulador!$F$11='Tabla Parámetros'!$Y$1,'Tabla Parámetros'!$Y$12))))</f>
        <v>#REF!</v>
      </c>
      <c r="N249" s="167" t="e">
        <f>IF(B249="","",IF(F249=0,0,IF(Simulador!$N$7='Tabla Parámetros'!$C$31,AportPat!L235,0)))</f>
        <v>#REF!</v>
      </c>
      <c r="O249" s="167" t="e">
        <f>Simulador!#REF!</f>
        <v>#REF!</v>
      </c>
      <c r="P249" s="167" t="e">
        <f t="shared" si="68"/>
        <v>#REF!</v>
      </c>
      <c r="Q249" s="167" t="e">
        <f t="shared" si="69"/>
        <v>#REF!</v>
      </c>
      <c r="W249" s="29" t="e">
        <f t="shared" si="62"/>
        <v>#REF!</v>
      </c>
      <c r="Y249" s="201" t="e">
        <f t="shared" si="63"/>
        <v>#REF!</v>
      </c>
      <c r="Z249" s="201" t="e">
        <f t="shared" si="70"/>
        <v>#REF!</v>
      </c>
      <c r="AA249" s="202" t="e">
        <f t="shared" si="71"/>
        <v>#REF!</v>
      </c>
      <c r="AB249" s="201" t="e">
        <f t="shared" si="72"/>
        <v>#REF!</v>
      </c>
      <c r="AC249" s="201" t="e">
        <f t="shared" si="73"/>
        <v>#REF!</v>
      </c>
      <c r="AD249" s="201" t="e">
        <f t="shared" si="79"/>
        <v>#REF!</v>
      </c>
      <c r="AE249" s="201" t="e">
        <f t="shared" si="74"/>
        <v>#REF!</v>
      </c>
      <c r="AF249" s="201" t="e">
        <f t="shared" si="75"/>
        <v>#REF!</v>
      </c>
      <c r="AG249" s="201" t="e">
        <f t="shared" si="80"/>
        <v>#REF!</v>
      </c>
    </row>
    <row r="250" spans="2:33" x14ac:dyDescent="0.3">
      <c r="B250" s="181">
        <f t="shared" si="64"/>
        <v>233</v>
      </c>
      <c r="C250" s="180">
        <f t="shared" si="76"/>
        <v>30.4</v>
      </c>
      <c r="D250" s="165">
        <f>IF(B250="","",Simulador!$F$62)</f>
        <v>0.11</v>
      </c>
      <c r="E250" s="167"/>
      <c r="F250" s="167" t="e">
        <f t="shared" si="77"/>
        <v>#REF!</v>
      </c>
      <c r="G250" s="166"/>
      <c r="H250" s="167" t="e">
        <f t="shared" si="65"/>
        <v>#REF!</v>
      </c>
      <c r="I250" s="167" t="e">
        <f t="shared" si="66"/>
        <v>#REF!</v>
      </c>
      <c r="J250" s="167" t="e">
        <f t="shared" si="81"/>
        <v>#REF!</v>
      </c>
      <c r="K250" s="167" t="e">
        <f t="shared" si="78"/>
        <v>#REF!</v>
      </c>
      <c r="L250" s="167" t="e">
        <f>IF(B250="","",IF(F250=0,0,Simulador!$N$13*$J$2))</f>
        <v>#REF!</v>
      </c>
      <c r="M250" s="167" t="e">
        <f>IF(B250="","",IF(F250=0,0,IF(Simulador!$F$11='Tabla Parámetros'!$W$1,'Tabla Parámetros'!$W$28,IF(Simulador!$F$11='Tabla Parámetros'!$Y$1,'Tabla Parámetros'!$Y$12))))</f>
        <v>#REF!</v>
      </c>
      <c r="N250" s="167" t="e">
        <f>IF(B250="","",IF(F250=0,0,IF(Simulador!$N$7='Tabla Parámetros'!$C$31,AportPat!L236,0)))</f>
        <v>#REF!</v>
      </c>
      <c r="O250" s="167" t="e">
        <f>Simulador!#REF!</f>
        <v>#REF!</v>
      </c>
      <c r="P250" s="167" t="e">
        <f t="shared" si="68"/>
        <v>#REF!</v>
      </c>
      <c r="Q250" s="167" t="e">
        <f t="shared" si="69"/>
        <v>#REF!</v>
      </c>
      <c r="W250" s="29" t="e">
        <f t="shared" si="62"/>
        <v>#REF!</v>
      </c>
      <c r="Y250" s="201" t="e">
        <f t="shared" si="63"/>
        <v>#REF!</v>
      </c>
      <c r="Z250" s="201" t="e">
        <f t="shared" si="70"/>
        <v>#REF!</v>
      </c>
      <c r="AA250" s="202" t="e">
        <f t="shared" si="71"/>
        <v>#REF!</v>
      </c>
      <c r="AB250" s="201" t="e">
        <f t="shared" si="72"/>
        <v>#REF!</v>
      </c>
      <c r="AC250" s="201" t="e">
        <f t="shared" si="73"/>
        <v>#REF!</v>
      </c>
      <c r="AD250" s="201" t="e">
        <f t="shared" si="79"/>
        <v>#REF!</v>
      </c>
      <c r="AE250" s="201" t="e">
        <f t="shared" si="74"/>
        <v>#REF!</v>
      </c>
      <c r="AF250" s="201" t="e">
        <f t="shared" si="75"/>
        <v>#REF!</v>
      </c>
      <c r="AG250" s="201" t="e">
        <f t="shared" si="80"/>
        <v>#REF!</v>
      </c>
    </row>
    <row r="251" spans="2:33" x14ac:dyDescent="0.3">
      <c r="B251" s="179">
        <f t="shared" si="64"/>
        <v>234</v>
      </c>
      <c r="C251" s="180">
        <f t="shared" si="76"/>
        <v>30.4</v>
      </c>
      <c r="D251" s="165">
        <f>IF(B251="","",Simulador!$F$62)</f>
        <v>0.11</v>
      </c>
      <c r="E251" s="167"/>
      <c r="F251" s="167" t="e">
        <f t="shared" si="77"/>
        <v>#REF!</v>
      </c>
      <c r="G251" s="166"/>
      <c r="H251" s="167" t="e">
        <f t="shared" si="65"/>
        <v>#REF!</v>
      </c>
      <c r="I251" s="167" t="e">
        <f t="shared" si="66"/>
        <v>#REF!</v>
      </c>
      <c r="J251" s="167" t="e">
        <f t="shared" si="81"/>
        <v>#REF!</v>
      </c>
      <c r="K251" s="167" t="e">
        <f t="shared" si="78"/>
        <v>#REF!</v>
      </c>
      <c r="L251" s="167" t="e">
        <f>IF(B251="","",IF(F251=0,0,Simulador!$N$13*$J$2))</f>
        <v>#REF!</v>
      </c>
      <c r="M251" s="167" t="e">
        <f>IF(B251="","",IF(F251=0,0,IF(Simulador!$F$11='Tabla Parámetros'!$W$1,'Tabla Parámetros'!$W$28,IF(Simulador!$F$11='Tabla Parámetros'!$Y$1,'Tabla Parámetros'!$Y$12))))</f>
        <v>#REF!</v>
      </c>
      <c r="N251" s="167" t="e">
        <f>IF(B251="","",IF(F251=0,0,IF(Simulador!$N$7='Tabla Parámetros'!$C$31,AportPat!L237,0)))</f>
        <v>#REF!</v>
      </c>
      <c r="O251" s="167" t="e">
        <f>Simulador!#REF!</f>
        <v>#REF!</v>
      </c>
      <c r="P251" s="167" t="e">
        <f t="shared" si="68"/>
        <v>#REF!</v>
      </c>
      <c r="Q251" s="167" t="e">
        <f t="shared" si="69"/>
        <v>#REF!</v>
      </c>
      <c r="W251" s="29" t="e">
        <f t="shared" si="62"/>
        <v>#REF!</v>
      </c>
      <c r="Y251" s="201" t="e">
        <f t="shared" si="63"/>
        <v>#REF!</v>
      </c>
      <c r="Z251" s="201" t="e">
        <f t="shared" si="70"/>
        <v>#REF!</v>
      </c>
      <c r="AA251" s="202" t="e">
        <f t="shared" si="71"/>
        <v>#REF!</v>
      </c>
      <c r="AB251" s="201" t="e">
        <f t="shared" si="72"/>
        <v>#REF!</v>
      </c>
      <c r="AC251" s="201" t="e">
        <f t="shared" si="73"/>
        <v>#REF!</v>
      </c>
      <c r="AD251" s="201" t="e">
        <f t="shared" si="79"/>
        <v>#REF!</v>
      </c>
      <c r="AE251" s="201" t="e">
        <f t="shared" si="74"/>
        <v>#REF!</v>
      </c>
      <c r="AF251" s="201" t="e">
        <f t="shared" si="75"/>
        <v>#REF!</v>
      </c>
      <c r="AG251" s="201" t="e">
        <f t="shared" si="80"/>
        <v>#REF!</v>
      </c>
    </row>
    <row r="252" spans="2:33" x14ac:dyDescent="0.3">
      <c r="B252" s="179">
        <f t="shared" si="64"/>
        <v>235</v>
      </c>
      <c r="C252" s="180">
        <f t="shared" si="76"/>
        <v>30.4</v>
      </c>
      <c r="D252" s="165">
        <f>IF(B252="","",Simulador!$F$62)</f>
        <v>0.11</v>
      </c>
      <c r="E252" s="167"/>
      <c r="F252" s="167" t="e">
        <f t="shared" si="77"/>
        <v>#REF!</v>
      </c>
      <c r="G252" s="166"/>
      <c r="H252" s="167" t="e">
        <f t="shared" si="65"/>
        <v>#REF!</v>
      </c>
      <c r="I252" s="167" t="e">
        <f t="shared" si="66"/>
        <v>#REF!</v>
      </c>
      <c r="J252" s="167" t="e">
        <f t="shared" si="81"/>
        <v>#REF!</v>
      </c>
      <c r="K252" s="167" t="e">
        <f t="shared" si="78"/>
        <v>#REF!</v>
      </c>
      <c r="L252" s="167" t="e">
        <f>IF(B252="","",IF(F252=0,0,Simulador!$N$13*$J$2))</f>
        <v>#REF!</v>
      </c>
      <c r="M252" s="167" t="e">
        <f>IF(B252="","",IF(F252=0,0,IF(Simulador!$F$11='Tabla Parámetros'!$W$1,'Tabla Parámetros'!$W$28,IF(Simulador!$F$11='Tabla Parámetros'!$Y$1,'Tabla Parámetros'!$Y$12))))</f>
        <v>#REF!</v>
      </c>
      <c r="N252" s="167" t="e">
        <f>IF(B252="","",IF(F252=0,0,IF(Simulador!$N$7='Tabla Parámetros'!$C$31,AportPat!L238,0)))</f>
        <v>#REF!</v>
      </c>
      <c r="O252" s="167" t="e">
        <f>Simulador!#REF!</f>
        <v>#REF!</v>
      </c>
      <c r="P252" s="167" t="e">
        <f t="shared" si="68"/>
        <v>#REF!</v>
      </c>
      <c r="Q252" s="167" t="e">
        <f t="shared" si="69"/>
        <v>#REF!</v>
      </c>
      <c r="W252" s="29" t="e">
        <f t="shared" si="62"/>
        <v>#REF!</v>
      </c>
      <c r="Y252" s="201" t="e">
        <f t="shared" si="63"/>
        <v>#REF!</v>
      </c>
      <c r="Z252" s="201" t="e">
        <f t="shared" si="70"/>
        <v>#REF!</v>
      </c>
      <c r="AA252" s="202" t="e">
        <f t="shared" si="71"/>
        <v>#REF!</v>
      </c>
      <c r="AB252" s="201" t="e">
        <f t="shared" si="72"/>
        <v>#REF!</v>
      </c>
      <c r="AC252" s="201" t="e">
        <f t="shared" si="73"/>
        <v>#REF!</v>
      </c>
      <c r="AD252" s="201" t="e">
        <f t="shared" si="79"/>
        <v>#REF!</v>
      </c>
      <c r="AE252" s="201" t="e">
        <f t="shared" si="74"/>
        <v>#REF!</v>
      </c>
      <c r="AF252" s="201" t="e">
        <f t="shared" si="75"/>
        <v>#REF!</v>
      </c>
      <c r="AG252" s="201" t="e">
        <f t="shared" si="80"/>
        <v>#REF!</v>
      </c>
    </row>
    <row r="253" spans="2:33" x14ac:dyDescent="0.3">
      <c r="B253" s="179">
        <f t="shared" si="64"/>
        <v>236</v>
      </c>
      <c r="C253" s="180">
        <f t="shared" si="76"/>
        <v>30.4</v>
      </c>
      <c r="D253" s="165">
        <f>IF(B253="","",Simulador!$F$62)</f>
        <v>0.11</v>
      </c>
      <c r="E253" s="167"/>
      <c r="F253" s="167" t="e">
        <f t="shared" si="77"/>
        <v>#REF!</v>
      </c>
      <c r="G253" s="166"/>
      <c r="H253" s="167" t="e">
        <f t="shared" si="65"/>
        <v>#REF!</v>
      </c>
      <c r="I253" s="167" t="e">
        <f t="shared" si="66"/>
        <v>#REF!</v>
      </c>
      <c r="J253" s="167" t="e">
        <f t="shared" si="81"/>
        <v>#REF!</v>
      </c>
      <c r="K253" s="167" t="e">
        <f t="shared" si="78"/>
        <v>#REF!</v>
      </c>
      <c r="L253" s="167" t="e">
        <f>IF(B253="","",IF(F253=0,0,Simulador!$N$13*$J$2))</f>
        <v>#REF!</v>
      </c>
      <c r="M253" s="167" t="e">
        <f>IF(B253="","",IF(F253=0,0,IF(Simulador!$F$11='Tabla Parámetros'!$W$1,'Tabla Parámetros'!$W$28,IF(Simulador!$F$11='Tabla Parámetros'!$Y$1,'Tabla Parámetros'!$Y$12))))</f>
        <v>#REF!</v>
      </c>
      <c r="N253" s="167" t="e">
        <f>IF(B253="","",IF(F253=0,0,IF(Simulador!$N$7='Tabla Parámetros'!$C$31,AportPat!L239,0)))</f>
        <v>#REF!</v>
      </c>
      <c r="O253" s="167" t="e">
        <f>Simulador!#REF!</f>
        <v>#REF!</v>
      </c>
      <c r="P253" s="167" t="e">
        <f t="shared" si="68"/>
        <v>#REF!</v>
      </c>
      <c r="Q253" s="167" t="e">
        <f t="shared" si="69"/>
        <v>#REF!</v>
      </c>
      <c r="W253" s="29" t="e">
        <f>P255</f>
        <v>#REF!</v>
      </c>
      <c r="Y253" s="201" t="e">
        <f t="shared" si="63"/>
        <v>#REF!</v>
      </c>
      <c r="Z253" s="201" t="e">
        <f t="shared" si="70"/>
        <v>#REF!</v>
      </c>
      <c r="AA253" s="202" t="e">
        <f t="shared" si="71"/>
        <v>#REF!</v>
      </c>
      <c r="AB253" s="201" t="e">
        <f t="shared" si="72"/>
        <v>#REF!</v>
      </c>
      <c r="AC253" s="201" t="e">
        <f t="shared" si="73"/>
        <v>#REF!</v>
      </c>
      <c r="AD253" s="201" t="e">
        <f t="shared" si="79"/>
        <v>#REF!</v>
      </c>
      <c r="AE253" s="201" t="e">
        <f t="shared" si="74"/>
        <v>#REF!</v>
      </c>
      <c r="AF253" s="201" t="e">
        <f t="shared" si="75"/>
        <v>#REF!</v>
      </c>
      <c r="AG253" s="201" t="e">
        <f t="shared" si="80"/>
        <v>#REF!</v>
      </c>
    </row>
    <row r="254" spans="2:33" x14ac:dyDescent="0.3">
      <c r="B254" s="181">
        <f t="shared" si="64"/>
        <v>237</v>
      </c>
      <c r="C254" s="180">
        <f t="shared" si="76"/>
        <v>30.4</v>
      </c>
      <c r="D254" s="165">
        <f>IF(B254="","",Simulador!$F$62)</f>
        <v>0.11</v>
      </c>
      <c r="E254" s="167"/>
      <c r="F254" s="167" t="e">
        <f t="shared" si="77"/>
        <v>#REF!</v>
      </c>
      <c r="G254" s="166"/>
      <c r="H254" s="167" t="e">
        <f t="shared" si="65"/>
        <v>#REF!</v>
      </c>
      <c r="I254" s="167" t="e">
        <f t="shared" si="66"/>
        <v>#REF!</v>
      </c>
      <c r="J254" s="167" t="e">
        <f t="shared" si="81"/>
        <v>#REF!</v>
      </c>
      <c r="K254" s="167" t="e">
        <f t="shared" si="78"/>
        <v>#REF!</v>
      </c>
      <c r="L254" s="167" t="e">
        <f>IF(B254="","",IF(F254=0,0,Simulador!$N$13*$J$2))</f>
        <v>#REF!</v>
      </c>
      <c r="M254" s="167" t="e">
        <f>IF(B254="","",IF(F254=0,0,IF(Simulador!$F$11='Tabla Parámetros'!$W$1,'Tabla Parámetros'!$W$28,IF(Simulador!$F$11='Tabla Parámetros'!$Y$1,'Tabla Parámetros'!$Y$12))))</f>
        <v>#REF!</v>
      </c>
      <c r="N254" s="167" t="e">
        <f>IF(B254="","",IF(F254=0,0,IF(Simulador!$N$7='Tabla Parámetros'!$C$31,AportPat!L240,0)))</f>
        <v>#REF!</v>
      </c>
      <c r="O254" s="167" t="e">
        <f>Simulador!#REF!</f>
        <v>#REF!</v>
      </c>
      <c r="P254" s="167" t="e">
        <f t="shared" si="68"/>
        <v>#REF!</v>
      </c>
      <c r="Q254" s="167" t="e">
        <f t="shared" si="69"/>
        <v>#REF!</v>
      </c>
      <c r="W254" s="29" t="e">
        <f t="shared" si="62"/>
        <v>#REF!</v>
      </c>
      <c r="Y254" s="201" t="e">
        <f t="shared" si="63"/>
        <v>#REF!</v>
      </c>
      <c r="Z254" s="201" t="e">
        <f t="shared" si="70"/>
        <v>#REF!</v>
      </c>
      <c r="AA254" s="202" t="e">
        <f t="shared" si="71"/>
        <v>#REF!</v>
      </c>
      <c r="AB254" s="201" t="e">
        <f t="shared" si="72"/>
        <v>#REF!</v>
      </c>
      <c r="AC254" s="201" t="e">
        <f t="shared" si="73"/>
        <v>#REF!</v>
      </c>
      <c r="AD254" s="201" t="e">
        <f t="shared" si="79"/>
        <v>#REF!</v>
      </c>
      <c r="AE254" s="201" t="e">
        <f t="shared" si="74"/>
        <v>#REF!</v>
      </c>
      <c r="AF254" s="201" t="e">
        <f t="shared" si="75"/>
        <v>#REF!</v>
      </c>
      <c r="AG254" s="201" t="e">
        <f t="shared" si="80"/>
        <v>#REF!</v>
      </c>
    </row>
    <row r="255" spans="2:33" x14ac:dyDescent="0.3">
      <c r="B255" s="179">
        <f t="shared" si="64"/>
        <v>238</v>
      </c>
      <c r="C255" s="180">
        <f t="shared" si="76"/>
        <v>30.4</v>
      </c>
      <c r="D255" s="165">
        <f>IF(B255="","",Simulador!$F$62)</f>
        <v>0.11</v>
      </c>
      <c r="E255" s="167"/>
      <c r="F255" s="167" t="e">
        <f t="shared" si="77"/>
        <v>#REF!</v>
      </c>
      <c r="G255" s="166"/>
      <c r="H255" s="167" t="e">
        <f t="shared" si="65"/>
        <v>#REF!</v>
      </c>
      <c r="I255" s="167" t="e">
        <f t="shared" si="66"/>
        <v>#REF!</v>
      </c>
      <c r="J255" s="167" t="e">
        <f t="shared" si="81"/>
        <v>#REF!</v>
      </c>
      <c r="K255" s="167" t="e">
        <f t="shared" si="78"/>
        <v>#REF!</v>
      </c>
      <c r="L255" s="167" t="e">
        <f>IF(B255="","",IF(F255=0,0,Simulador!$N$13*$J$2))</f>
        <v>#REF!</v>
      </c>
      <c r="M255" s="167" t="e">
        <f>IF(B255="","",IF(F255=0,0,IF(Simulador!$F$11='Tabla Parámetros'!$W$1,'Tabla Parámetros'!$W$28,IF(Simulador!$F$11='Tabla Parámetros'!$Y$1,'Tabla Parámetros'!$Y$12))))</f>
        <v>#REF!</v>
      </c>
      <c r="N255" s="167" t="e">
        <f>IF(B255="","",IF(F255=0,0,IF(Simulador!$N$7='Tabla Parámetros'!$C$31,AportPat!L241,0)))</f>
        <v>#REF!</v>
      </c>
      <c r="O255" s="167" t="e">
        <f>Simulador!#REF!</f>
        <v>#REF!</v>
      </c>
      <c r="P255" s="167" t="e">
        <f t="shared" si="68"/>
        <v>#REF!</v>
      </c>
      <c r="Q255" s="167" t="e">
        <f t="shared" si="69"/>
        <v>#REF!</v>
      </c>
      <c r="W255" s="29" t="e">
        <f t="shared" si="62"/>
        <v>#REF!</v>
      </c>
      <c r="Y255" s="201" t="e">
        <f t="shared" si="63"/>
        <v>#REF!</v>
      </c>
      <c r="Z255" s="201" t="e">
        <f t="shared" si="70"/>
        <v>#REF!</v>
      </c>
      <c r="AA255" s="202" t="e">
        <f t="shared" si="71"/>
        <v>#REF!</v>
      </c>
      <c r="AB255" s="201" t="e">
        <f t="shared" si="72"/>
        <v>#REF!</v>
      </c>
      <c r="AC255" s="201" t="e">
        <f t="shared" si="73"/>
        <v>#REF!</v>
      </c>
      <c r="AD255" s="201" t="e">
        <f t="shared" si="79"/>
        <v>#REF!</v>
      </c>
      <c r="AE255" s="201" t="e">
        <f t="shared" si="74"/>
        <v>#REF!</v>
      </c>
      <c r="AF255" s="201" t="e">
        <f t="shared" si="75"/>
        <v>#REF!</v>
      </c>
      <c r="AG255" s="201" t="e">
        <f t="shared" si="80"/>
        <v>#REF!</v>
      </c>
    </row>
    <row r="256" spans="2:33" x14ac:dyDescent="0.3">
      <c r="B256" s="179">
        <f t="shared" si="64"/>
        <v>239</v>
      </c>
      <c r="C256" s="180">
        <f t="shared" si="76"/>
        <v>30.4</v>
      </c>
      <c r="D256" s="165">
        <f>IF(B256="","",Simulador!$F$62)</f>
        <v>0.11</v>
      </c>
      <c r="E256" s="167"/>
      <c r="F256" s="167" t="e">
        <f t="shared" si="77"/>
        <v>#REF!</v>
      </c>
      <c r="G256" s="166"/>
      <c r="H256" s="167" t="e">
        <f t="shared" si="65"/>
        <v>#REF!</v>
      </c>
      <c r="I256" s="167" t="e">
        <f t="shared" si="66"/>
        <v>#REF!</v>
      </c>
      <c r="J256" s="167" t="e">
        <f t="shared" si="81"/>
        <v>#REF!</v>
      </c>
      <c r="K256" s="167" t="e">
        <f t="shared" si="78"/>
        <v>#REF!</v>
      </c>
      <c r="L256" s="167" t="e">
        <f>IF(B256="","",IF(F256=0,0,Simulador!$N$13*$J$2))</f>
        <v>#REF!</v>
      </c>
      <c r="M256" s="167" t="e">
        <f>IF(B256="","",IF(F256=0,0,IF(Simulador!$F$11='Tabla Parámetros'!$W$1,'Tabla Parámetros'!$W$28,IF(Simulador!$F$11='Tabla Parámetros'!$Y$1,'Tabla Parámetros'!$Y$12))))</f>
        <v>#REF!</v>
      </c>
      <c r="N256" s="167" t="e">
        <f>IF(B256="","",IF(F256=0,0,IF(Simulador!$N$7='Tabla Parámetros'!$C$31,AportPat!L242,0)))</f>
        <v>#REF!</v>
      </c>
      <c r="O256" s="167" t="e">
        <f>Simulador!#REF!</f>
        <v>#REF!</v>
      </c>
      <c r="P256" s="167" t="e">
        <f t="shared" si="68"/>
        <v>#REF!</v>
      </c>
      <c r="Q256" s="167" t="e">
        <f t="shared" si="69"/>
        <v>#REF!</v>
      </c>
      <c r="W256" s="29"/>
      <c r="Y256" s="201" t="e">
        <f t="shared" si="63"/>
        <v>#REF!</v>
      </c>
      <c r="Z256" s="201" t="e">
        <f t="shared" si="70"/>
        <v>#REF!</v>
      </c>
      <c r="AA256" s="202" t="e">
        <f t="shared" si="71"/>
        <v>#REF!</v>
      </c>
      <c r="AB256" s="201" t="e">
        <f t="shared" si="72"/>
        <v>#REF!</v>
      </c>
      <c r="AC256" s="201" t="e">
        <f t="shared" si="73"/>
        <v>#REF!</v>
      </c>
      <c r="AD256" s="201" t="e">
        <f t="shared" si="79"/>
        <v>#REF!</v>
      </c>
      <c r="AE256" s="201" t="e">
        <f t="shared" si="74"/>
        <v>#REF!</v>
      </c>
      <c r="AF256" s="201" t="e">
        <f t="shared" si="75"/>
        <v>#REF!</v>
      </c>
      <c r="AG256" s="201" t="e">
        <f t="shared" si="80"/>
        <v>#REF!</v>
      </c>
    </row>
    <row r="257" spans="2:33" x14ac:dyDescent="0.3">
      <c r="B257" s="179">
        <f t="shared" si="64"/>
        <v>240</v>
      </c>
      <c r="C257" s="180">
        <f t="shared" si="76"/>
        <v>30.4</v>
      </c>
      <c r="D257" s="165">
        <f>IF(B257="","",Simulador!$F$62)</f>
        <v>0.11</v>
      </c>
      <c r="E257" s="167"/>
      <c r="F257" s="167" t="e">
        <f t="shared" si="77"/>
        <v>#REF!</v>
      </c>
      <c r="G257" s="166"/>
      <c r="H257" s="167" t="e">
        <f t="shared" si="65"/>
        <v>#REF!</v>
      </c>
      <c r="I257" s="167" t="e">
        <f t="shared" si="66"/>
        <v>#REF!</v>
      </c>
      <c r="J257" s="167" t="e">
        <f t="shared" si="81"/>
        <v>#REF!</v>
      </c>
      <c r="K257" s="167" t="e">
        <f t="shared" si="78"/>
        <v>#REF!</v>
      </c>
      <c r="L257" s="167" t="e">
        <f>IF(B257="","",IF(F257=0,0,Simulador!$N$13*$J$2))</f>
        <v>#REF!</v>
      </c>
      <c r="M257" s="167" t="e">
        <f>IF(B257="","",IF(F257=0,0,IF(Simulador!$F$11='Tabla Parámetros'!$W$1,'Tabla Parámetros'!$W$28,IF(Simulador!$F$11='Tabla Parámetros'!$Y$1,'Tabla Parámetros'!$Y$12))))</f>
        <v>#REF!</v>
      </c>
      <c r="N257" s="167" t="e">
        <f>IF(B257="","",IF(F257=0,0,IF(Simulador!$N$7='Tabla Parámetros'!$C$31,AportPat!L243,0)))</f>
        <v>#REF!</v>
      </c>
      <c r="O257" s="167" t="e">
        <f>Simulador!#REF!</f>
        <v>#REF!</v>
      </c>
      <c r="P257" s="167" t="e">
        <f t="shared" si="68"/>
        <v>#REF!</v>
      </c>
      <c r="Q257" s="167" t="e">
        <f t="shared" si="69"/>
        <v>#REF!</v>
      </c>
      <c r="W257" s="29"/>
      <c r="Y257" s="201" t="e">
        <f t="shared" si="63"/>
        <v>#REF!</v>
      </c>
      <c r="Z257" s="201" t="e">
        <f t="shared" si="70"/>
        <v>#REF!</v>
      </c>
      <c r="AA257" s="202" t="e">
        <f t="shared" si="71"/>
        <v>#REF!</v>
      </c>
      <c r="AB257" s="201" t="e">
        <f t="shared" si="72"/>
        <v>#REF!</v>
      </c>
      <c r="AC257" s="201" t="e">
        <f t="shared" si="73"/>
        <v>#REF!</v>
      </c>
      <c r="AD257" s="201" t="e">
        <f t="shared" si="79"/>
        <v>#REF!</v>
      </c>
      <c r="AE257" s="201" t="e">
        <f t="shared" si="74"/>
        <v>#REF!</v>
      </c>
      <c r="AF257" s="201" t="e">
        <f t="shared" si="75"/>
        <v>#REF!</v>
      </c>
      <c r="AG257" s="201" t="e">
        <f t="shared" si="80"/>
        <v>#REF!</v>
      </c>
    </row>
    <row r="258" spans="2:33" ht="12.5" thickBot="1" x14ac:dyDescent="0.35">
      <c r="B258" s="186"/>
      <c r="C258" s="186"/>
      <c r="D258" s="186"/>
      <c r="E258" s="186"/>
      <c r="F258" s="186"/>
      <c r="G258" s="186"/>
      <c r="H258" s="186"/>
      <c r="I258" s="186"/>
      <c r="J258" s="186"/>
      <c r="K258" s="186"/>
      <c r="L258" s="186"/>
      <c r="M258" s="186"/>
      <c r="N258" s="186"/>
      <c r="O258" s="186"/>
      <c r="P258" s="186"/>
      <c r="Q258" s="186"/>
    </row>
    <row r="259" spans="2:33" ht="13" thickTop="1" thickBot="1" x14ac:dyDescent="0.35">
      <c r="B259" s="187"/>
      <c r="C259" s="187"/>
      <c r="D259" s="187"/>
      <c r="E259" s="187"/>
      <c r="F259" s="187"/>
      <c r="G259" s="187"/>
      <c r="H259" s="188" t="e">
        <f>SUM(H18:H257)</f>
        <v>#REF!</v>
      </c>
      <c r="I259" s="188" t="e">
        <f>SUM(I18:I257)</f>
        <v>#REF!</v>
      </c>
      <c r="J259" s="188" t="e">
        <f>SUM(J18:J257)</f>
        <v>#REF!</v>
      </c>
      <c r="K259" s="188" t="e">
        <f t="shared" ref="K259:P259" si="82">SUM(K18:K257)</f>
        <v>#REF!</v>
      </c>
      <c r="L259" s="188" t="e">
        <f t="shared" si="82"/>
        <v>#REF!</v>
      </c>
      <c r="M259" s="188" t="e">
        <f t="shared" si="82"/>
        <v>#REF!</v>
      </c>
      <c r="N259" s="188" t="e">
        <f t="shared" si="82"/>
        <v>#REF!</v>
      </c>
      <c r="O259" s="188" t="e">
        <f t="shared" si="82"/>
        <v>#REF!</v>
      </c>
      <c r="P259" s="188" t="e">
        <f t="shared" si="82"/>
        <v>#REF!</v>
      </c>
      <c r="Q259" s="188"/>
    </row>
    <row r="260" spans="2:33" ht="12.5" thickTop="1" x14ac:dyDescent="0.3"/>
  </sheetData>
  <mergeCells count="3">
    <mergeCell ref="Y16:AA16"/>
    <mergeCell ref="AB16:AD16"/>
    <mergeCell ref="AE16:AG16"/>
  </mergeCells>
  <conditionalFormatting sqref="B4:Q4">
    <cfRule type="containsBlanks" dxfId="1" priority="3">
      <formula>LEN(TRIM(B4))=0</formula>
    </cfRule>
  </conditionalFormatting>
  <conditionalFormatting sqref="P5:P17">
    <cfRule type="cellIs" dxfId="0" priority="2" operator="lessThan">
      <formula>0</formula>
    </cfRule>
  </conditionalFormatting>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dimension ref="B2:G17"/>
  <sheetViews>
    <sheetView showGridLines="0" workbookViewId="0">
      <selection activeCell="E4" sqref="E4"/>
    </sheetView>
  </sheetViews>
  <sheetFormatPr baseColWidth="10" defaultColWidth="11.453125" defaultRowHeight="14.5" x14ac:dyDescent="0.35"/>
  <cols>
    <col min="2" max="2" width="15.1796875" bestFit="1" customWidth="1"/>
    <col min="3" max="3" width="12.54296875" bestFit="1" customWidth="1"/>
    <col min="7" max="7" width="12.54296875" bestFit="1" customWidth="1"/>
  </cols>
  <sheetData>
    <row r="2" spans="2:7" x14ac:dyDescent="0.35">
      <c r="B2" t="s">
        <v>524</v>
      </c>
      <c r="C2" s="108">
        <f>Simulador!$H$24</f>
        <v>0</v>
      </c>
      <c r="E2" t="s">
        <v>611</v>
      </c>
    </row>
    <row r="3" spans="2:7" x14ac:dyDescent="0.35">
      <c r="B3" t="s">
        <v>591</v>
      </c>
      <c r="C3">
        <f>IF(C2&lt;=B7,0,IF(C2&lt;=B8,G7,IF(C2&lt;=B9,G8,IF(C2&lt;=B10,G9,IF(C2&lt;=B11,G10,IF(C2&lt;=B12,G11,IF(C2&lt;=B13,G12,IF(C2&gt;B13,G13,))))))))</f>
        <v>0</v>
      </c>
      <c r="E3" s="127">
        <v>113.14</v>
      </c>
    </row>
    <row r="6" spans="2:7" x14ac:dyDescent="0.35">
      <c r="B6" t="s">
        <v>592</v>
      </c>
      <c r="C6" s="127" t="s">
        <v>593</v>
      </c>
      <c r="E6" t="s">
        <v>594</v>
      </c>
      <c r="G6" t="s">
        <v>595</v>
      </c>
    </row>
    <row r="7" spans="2:7" x14ac:dyDescent="0.35">
      <c r="B7" s="108">
        <v>0</v>
      </c>
      <c r="C7" s="127">
        <v>0</v>
      </c>
      <c r="D7" t="s">
        <v>217</v>
      </c>
      <c r="E7" s="127">
        <v>0</v>
      </c>
      <c r="F7" s="127" t="s">
        <v>218</v>
      </c>
      <c r="G7" s="628">
        <f t="shared" ref="G7:G13" si="0">E7*$E$3</f>
        <v>0</v>
      </c>
    </row>
    <row r="8" spans="2:7" x14ac:dyDescent="0.35">
      <c r="B8" s="109">
        <v>3300.53</v>
      </c>
      <c r="C8" s="127">
        <v>1</v>
      </c>
      <c r="D8" t="s">
        <v>217</v>
      </c>
      <c r="E8" s="127">
        <v>0.9</v>
      </c>
      <c r="F8" s="127" t="s">
        <v>218</v>
      </c>
      <c r="G8" s="628">
        <f t="shared" si="0"/>
        <v>101.82600000000001</v>
      </c>
    </row>
    <row r="9" spans="2:7" x14ac:dyDescent="0.35">
      <c r="B9" s="109">
        <f>$B$8*C9</f>
        <v>5280.8480000000009</v>
      </c>
      <c r="C9" s="127">
        <v>1.6</v>
      </c>
      <c r="D9" t="s">
        <v>217</v>
      </c>
      <c r="E9" s="127">
        <v>1.5</v>
      </c>
      <c r="F9" s="127" t="s">
        <v>218</v>
      </c>
      <c r="G9" s="628">
        <f t="shared" si="0"/>
        <v>169.71</v>
      </c>
    </row>
    <row r="10" spans="2:7" x14ac:dyDescent="0.35">
      <c r="B10" s="109">
        <f t="shared" ref="B10:B13" si="1">$B$8*C10</f>
        <v>7921.2719999999999</v>
      </c>
      <c r="C10" s="127">
        <v>2.4</v>
      </c>
      <c r="D10" t="s">
        <v>217</v>
      </c>
      <c r="E10" s="127">
        <v>2.2999999999999998</v>
      </c>
      <c r="F10" s="127" t="s">
        <v>218</v>
      </c>
      <c r="G10" s="628">
        <f t="shared" si="0"/>
        <v>260.22199999999998</v>
      </c>
    </row>
    <row r="11" spans="2:7" x14ac:dyDescent="0.35">
      <c r="B11" s="109">
        <f t="shared" si="1"/>
        <v>10231.643</v>
      </c>
      <c r="C11" s="127">
        <v>3.1</v>
      </c>
      <c r="D11" t="s">
        <v>217</v>
      </c>
      <c r="E11" s="127">
        <v>3</v>
      </c>
      <c r="F11" s="127" t="s">
        <v>218</v>
      </c>
      <c r="G11" s="628">
        <f t="shared" si="0"/>
        <v>339.42</v>
      </c>
    </row>
    <row r="12" spans="2:7" x14ac:dyDescent="0.35">
      <c r="B12" s="109">
        <f t="shared" si="1"/>
        <v>23103.710000000003</v>
      </c>
      <c r="C12" s="127">
        <v>7</v>
      </c>
      <c r="D12" t="s">
        <v>217</v>
      </c>
      <c r="E12" s="127">
        <v>6.9</v>
      </c>
      <c r="F12" s="127" t="s">
        <v>218</v>
      </c>
      <c r="G12" s="628">
        <f t="shared" si="0"/>
        <v>780.66600000000005</v>
      </c>
    </row>
    <row r="13" spans="2:7" x14ac:dyDescent="0.35">
      <c r="B13" s="109">
        <f t="shared" si="1"/>
        <v>36305.83</v>
      </c>
      <c r="C13" s="127">
        <v>11</v>
      </c>
      <c r="D13" t="s">
        <v>217</v>
      </c>
      <c r="E13" s="127">
        <v>10.9</v>
      </c>
      <c r="F13" s="127" t="s">
        <v>218</v>
      </c>
      <c r="G13" s="628">
        <f t="shared" si="0"/>
        <v>1233.2260000000001</v>
      </c>
    </row>
    <row r="14" spans="2:7" x14ac:dyDescent="0.35">
      <c r="D14" t="s">
        <v>217</v>
      </c>
      <c r="E14" s="127" t="s">
        <v>420</v>
      </c>
    </row>
    <row r="15" spans="2:7" x14ac:dyDescent="0.35">
      <c r="B15" s="109"/>
    </row>
    <row r="16" spans="2:7" x14ac:dyDescent="0.35">
      <c r="B16" s="109"/>
    </row>
    <row r="17" spans="2:2" x14ac:dyDescent="0.35">
      <c r="B17" s="109"/>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5"/>
  <dimension ref="A1:P303"/>
  <sheetViews>
    <sheetView topLeftCell="B1" zoomScale="90" zoomScaleNormal="90" workbookViewId="0">
      <selection activeCell="P10" sqref="P10"/>
    </sheetView>
  </sheetViews>
  <sheetFormatPr baseColWidth="10" defaultColWidth="11.453125" defaultRowHeight="14.5" x14ac:dyDescent="0.35"/>
  <cols>
    <col min="1" max="1" width="16" customWidth="1"/>
    <col min="2" max="2" width="24.453125" customWidth="1"/>
    <col min="3" max="3" width="2.26953125" customWidth="1"/>
    <col min="4" max="5" width="14.26953125" customWidth="1"/>
    <col min="6" max="6" width="2.7265625" customWidth="1"/>
    <col min="7" max="7" width="23.1796875" customWidth="1"/>
    <col min="8" max="9" width="17.1796875" customWidth="1"/>
    <col min="10" max="10" width="2.7265625" customWidth="1"/>
    <col min="11" max="12" width="14.26953125" customWidth="1"/>
    <col min="13" max="13" width="2.7265625" customWidth="1"/>
    <col min="15" max="15" width="30.26953125" bestFit="1" customWidth="1"/>
    <col min="16" max="16" width="13.26953125" bestFit="1" customWidth="1"/>
  </cols>
  <sheetData>
    <row r="1" spans="1:16" x14ac:dyDescent="0.35">
      <c r="A1" s="129" t="s">
        <v>284</v>
      </c>
      <c r="B1" s="130" t="s">
        <v>304</v>
      </c>
      <c r="D1" s="131" t="s">
        <v>285</v>
      </c>
      <c r="E1" s="131"/>
      <c r="J1" t="s">
        <v>286</v>
      </c>
      <c r="K1" s="132" t="s">
        <v>99</v>
      </c>
      <c r="L1" s="132"/>
      <c r="M1" t="s">
        <v>286</v>
      </c>
    </row>
    <row r="2" spans="1:16" x14ac:dyDescent="0.35">
      <c r="A2" s="133"/>
      <c r="B2" s="133"/>
      <c r="D2" t="s">
        <v>287</v>
      </c>
      <c r="E2" t="b">
        <v>1</v>
      </c>
      <c r="O2" t="s">
        <v>280</v>
      </c>
      <c r="P2" s="109">
        <f>IF(Sheet1!I10=2,Simulador!H24,0)</f>
        <v>0</v>
      </c>
    </row>
    <row r="3" spans="1:16" x14ac:dyDescent="0.35">
      <c r="A3" s="133"/>
      <c r="B3" s="133"/>
      <c r="D3" t="s">
        <v>288</v>
      </c>
      <c r="E3" t="s">
        <v>289</v>
      </c>
      <c r="K3" s="134" t="s">
        <v>16</v>
      </c>
      <c r="L3" s="134" t="s">
        <v>290</v>
      </c>
      <c r="O3" t="s">
        <v>281</v>
      </c>
      <c r="P3">
        <v>0.05</v>
      </c>
    </row>
    <row r="4" spans="1:16" x14ac:dyDescent="0.35">
      <c r="A4" s="133"/>
      <c r="B4" s="133"/>
      <c r="K4" s="127">
        <v>1</v>
      </c>
      <c r="L4">
        <f>IFERROR(Monto * (   AND(MOD(Periodo, Frecuencia)=0,Periodo&gt;=PERIODO_INICIAL)   ),0)</f>
        <v>0</v>
      </c>
      <c r="O4" t="s">
        <v>282</v>
      </c>
      <c r="P4">
        <v>2</v>
      </c>
    </row>
    <row r="5" spans="1:16" x14ac:dyDescent="0.35">
      <c r="A5" s="135" t="s">
        <v>291</v>
      </c>
      <c r="B5" s="135"/>
      <c r="C5" s="136"/>
      <c r="D5" s="136"/>
      <c r="E5" s="136"/>
      <c r="F5" s="136"/>
      <c r="G5" s="137" t="s">
        <v>292</v>
      </c>
      <c r="H5" s="137"/>
      <c r="I5" s="137"/>
      <c r="K5" s="127">
        <f>K4+1</f>
        <v>2</v>
      </c>
      <c r="L5">
        <f t="shared" ref="L5:L67" si="0">IFERROR(Monto * (   AND(MOD(Periodo, Frecuencia)=0,Periodo&gt;=PERIODO_INICIAL)   ),0)</f>
        <v>0</v>
      </c>
      <c r="O5" t="s">
        <v>283</v>
      </c>
      <c r="P5" s="150">
        <f>P12</f>
        <v>8598.64</v>
      </c>
    </row>
    <row r="6" spans="1:16" x14ac:dyDescent="0.35">
      <c r="A6" s="133" t="s">
        <v>293</v>
      </c>
      <c r="B6" s="133" t="s">
        <v>305</v>
      </c>
      <c r="D6" s="138" t="s">
        <v>77</v>
      </c>
      <c r="G6" s="139" t="s">
        <v>294</v>
      </c>
      <c r="H6" s="139" t="s">
        <v>295</v>
      </c>
      <c r="I6" s="139" t="s">
        <v>296</v>
      </c>
      <c r="K6" s="127">
        <f t="shared" ref="K6:K69" si="1">K5+1</f>
        <v>3</v>
      </c>
      <c r="L6">
        <f t="shared" si="0"/>
        <v>0</v>
      </c>
      <c r="O6" t="s">
        <v>6</v>
      </c>
    </row>
    <row r="7" spans="1:16" x14ac:dyDescent="0.35">
      <c r="A7" s="133"/>
      <c r="B7" s="133"/>
      <c r="G7" t="s">
        <v>297</v>
      </c>
      <c r="H7" t="s">
        <v>298</v>
      </c>
      <c r="I7" s="140">
        <v>4</v>
      </c>
      <c r="K7" s="127">
        <f t="shared" si="1"/>
        <v>4</v>
      </c>
      <c r="L7">
        <f>IFERROR(Monto * (   AND(MOD(Periodo, Frecuencia)=0,Periodo&gt;=PERIODO_INICIAL)   ),0)</f>
        <v>0</v>
      </c>
    </row>
    <row r="8" spans="1:16" x14ac:dyDescent="0.35">
      <c r="A8" s="141" t="s">
        <v>299</v>
      </c>
      <c r="B8" s="142"/>
      <c r="C8" s="143"/>
      <c r="D8" s="144" t="s">
        <v>300</v>
      </c>
      <c r="E8" s="144"/>
      <c r="I8" s="140"/>
      <c r="K8" s="127">
        <f t="shared" si="1"/>
        <v>5</v>
      </c>
      <c r="L8">
        <f t="shared" si="0"/>
        <v>0</v>
      </c>
    </row>
    <row r="9" spans="1:16" x14ac:dyDescent="0.35">
      <c r="A9" s="133" t="str">
        <f>"i." &amp; D9</f>
        <v>i.Monto</v>
      </c>
      <c r="B9" s="133">
        <f>MIN(P2*P3*P4,P5)</f>
        <v>0</v>
      </c>
      <c r="C9" t="s">
        <v>71</v>
      </c>
      <c r="D9" s="138" t="s">
        <v>70</v>
      </c>
      <c r="E9">
        <f>IFERROR(B9,0)</f>
        <v>0</v>
      </c>
      <c r="K9" s="127">
        <f t="shared" si="1"/>
        <v>6</v>
      </c>
      <c r="L9">
        <f t="shared" si="0"/>
        <v>0</v>
      </c>
      <c r="O9" t="s">
        <v>514</v>
      </c>
      <c r="P9" s="119">
        <f>113.14*30.4</f>
        <v>3439.4559999999997</v>
      </c>
    </row>
    <row r="10" spans="1:16" x14ac:dyDescent="0.35">
      <c r="A10" s="133" t="str">
        <f>"i." &amp; D10</f>
        <v>i.Frecuencia</v>
      </c>
      <c r="B10" s="133">
        <v>2</v>
      </c>
      <c r="C10" t="s">
        <v>71</v>
      </c>
      <c r="D10" s="138" t="s">
        <v>301</v>
      </c>
      <c r="E10">
        <f>IFERROR(B10,0)</f>
        <v>2</v>
      </c>
      <c r="G10" s="145"/>
      <c r="K10" s="127">
        <f t="shared" si="1"/>
        <v>7</v>
      </c>
      <c r="L10">
        <f t="shared" si="0"/>
        <v>0</v>
      </c>
      <c r="O10" t="s">
        <v>515</v>
      </c>
      <c r="P10" s="150">
        <f>25*P9</f>
        <v>85986.4</v>
      </c>
    </row>
    <row r="11" spans="1:16" x14ac:dyDescent="0.35">
      <c r="A11" s="133"/>
      <c r="B11" s="133"/>
      <c r="F11" t="s">
        <v>71</v>
      </c>
      <c r="K11" s="127">
        <f t="shared" si="1"/>
        <v>8</v>
      </c>
      <c r="L11">
        <f t="shared" si="0"/>
        <v>0</v>
      </c>
      <c r="O11" t="s">
        <v>516</v>
      </c>
      <c r="P11" s="119">
        <f>+P10*0.05</f>
        <v>4299.32</v>
      </c>
    </row>
    <row r="12" spans="1:16" x14ac:dyDescent="0.35">
      <c r="A12" s="146" t="s">
        <v>302</v>
      </c>
      <c r="B12" s="147"/>
      <c r="C12" s="148"/>
      <c r="D12" s="148"/>
      <c r="E12" s="148"/>
      <c r="K12" s="127">
        <f t="shared" si="1"/>
        <v>9</v>
      </c>
      <c r="L12">
        <f t="shared" si="0"/>
        <v>0</v>
      </c>
      <c r="O12" t="s">
        <v>517</v>
      </c>
      <c r="P12" s="119">
        <f>+P11*2</f>
        <v>8598.64</v>
      </c>
    </row>
    <row r="13" spans="1:16" x14ac:dyDescent="0.35">
      <c r="A13" s="133" t="s">
        <v>306</v>
      </c>
      <c r="B13" s="133" t="s">
        <v>307</v>
      </c>
      <c r="C13" t="s">
        <v>71</v>
      </c>
      <c r="D13" s="138" t="s">
        <v>303</v>
      </c>
      <c r="E13" t="s">
        <v>307</v>
      </c>
      <c r="F13" t="s">
        <v>71</v>
      </c>
      <c r="K13" s="127">
        <f t="shared" si="1"/>
        <v>10</v>
      </c>
      <c r="L13">
        <f t="shared" si="0"/>
        <v>0</v>
      </c>
    </row>
    <row r="14" spans="1:16" x14ac:dyDescent="0.35">
      <c r="F14" t="s">
        <v>71</v>
      </c>
      <c r="K14" s="127">
        <f t="shared" si="1"/>
        <v>11</v>
      </c>
      <c r="L14">
        <f t="shared" si="0"/>
        <v>0</v>
      </c>
    </row>
    <row r="15" spans="1:16" x14ac:dyDescent="0.35">
      <c r="F15" t="s">
        <v>71</v>
      </c>
      <c r="K15" s="127">
        <f t="shared" si="1"/>
        <v>12</v>
      </c>
      <c r="L15">
        <f t="shared" si="0"/>
        <v>0</v>
      </c>
    </row>
    <row r="16" spans="1:16" x14ac:dyDescent="0.35">
      <c r="F16" t="s">
        <v>71</v>
      </c>
      <c r="K16" s="127">
        <f t="shared" si="1"/>
        <v>13</v>
      </c>
      <c r="L16">
        <f t="shared" si="0"/>
        <v>0</v>
      </c>
    </row>
    <row r="17" spans="9:12" x14ac:dyDescent="0.35">
      <c r="I17" s="121"/>
      <c r="K17" s="127">
        <f t="shared" si="1"/>
        <v>14</v>
      </c>
      <c r="L17">
        <f>IFERROR(Monto * (   AND(MOD(Periodo, Frecuencia)=0,Periodo&gt;=PERIODO_INICIAL)   ),0)</f>
        <v>0</v>
      </c>
    </row>
    <row r="18" spans="9:12" x14ac:dyDescent="0.35">
      <c r="K18" s="127">
        <f t="shared" si="1"/>
        <v>15</v>
      </c>
      <c r="L18">
        <f t="shared" si="0"/>
        <v>0</v>
      </c>
    </row>
    <row r="19" spans="9:12" x14ac:dyDescent="0.35">
      <c r="K19" s="127">
        <f t="shared" si="1"/>
        <v>16</v>
      </c>
      <c r="L19">
        <f t="shared" si="0"/>
        <v>0</v>
      </c>
    </row>
    <row r="20" spans="9:12" x14ac:dyDescent="0.35">
      <c r="K20" s="127">
        <f t="shared" si="1"/>
        <v>17</v>
      </c>
      <c r="L20">
        <f t="shared" si="0"/>
        <v>0</v>
      </c>
    </row>
    <row r="21" spans="9:12" x14ac:dyDescent="0.35">
      <c r="K21" s="127">
        <f t="shared" si="1"/>
        <v>18</v>
      </c>
      <c r="L21">
        <f t="shared" si="0"/>
        <v>0</v>
      </c>
    </row>
    <row r="22" spans="9:12" x14ac:dyDescent="0.35">
      <c r="K22" s="127">
        <f t="shared" si="1"/>
        <v>19</v>
      </c>
      <c r="L22">
        <f t="shared" si="0"/>
        <v>0</v>
      </c>
    </row>
    <row r="23" spans="9:12" x14ac:dyDescent="0.35">
      <c r="K23" s="127">
        <f t="shared" si="1"/>
        <v>20</v>
      </c>
      <c r="L23">
        <f t="shared" si="0"/>
        <v>0</v>
      </c>
    </row>
    <row r="24" spans="9:12" x14ac:dyDescent="0.35">
      <c r="K24" s="127">
        <f t="shared" si="1"/>
        <v>21</v>
      </c>
      <c r="L24">
        <f t="shared" si="0"/>
        <v>0</v>
      </c>
    </row>
    <row r="25" spans="9:12" x14ac:dyDescent="0.35">
      <c r="K25" s="127">
        <f t="shared" si="1"/>
        <v>22</v>
      </c>
      <c r="L25">
        <f t="shared" si="0"/>
        <v>0</v>
      </c>
    </row>
    <row r="26" spans="9:12" x14ac:dyDescent="0.35">
      <c r="K26" s="127">
        <f t="shared" si="1"/>
        <v>23</v>
      </c>
      <c r="L26">
        <f t="shared" si="0"/>
        <v>0</v>
      </c>
    </row>
    <row r="27" spans="9:12" x14ac:dyDescent="0.35">
      <c r="K27" s="127">
        <f t="shared" si="1"/>
        <v>24</v>
      </c>
      <c r="L27">
        <f t="shared" si="0"/>
        <v>0</v>
      </c>
    </row>
    <row r="28" spans="9:12" x14ac:dyDescent="0.35">
      <c r="K28" s="127">
        <f t="shared" si="1"/>
        <v>25</v>
      </c>
      <c r="L28">
        <f t="shared" si="0"/>
        <v>0</v>
      </c>
    </row>
    <row r="29" spans="9:12" x14ac:dyDescent="0.35">
      <c r="I29" s="121"/>
      <c r="K29" s="127">
        <f t="shared" si="1"/>
        <v>26</v>
      </c>
      <c r="L29">
        <f t="shared" si="0"/>
        <v>0</v>
      </c>
    </row>
    <row r="30" spans="9:12" x14ac:dyDescent="0.35">
      <c r="K30" s="127">
        <f t="shared" si="1"/>
        <v>27</v>
      </c>
      <c r="L30">
        <f t="shared" si="0"/>
        <v>0</v>
      </c>
    </row>
    <row r="31" spans="9:12" x14ac:dyDescent="0.35">
      <c r="K31" s="127">
        <f t="shared" si="1"/>
        <v>28</v>
      </c>
      <c r="L31">
        <f t="shared" si="0"/>
        <v>0</v>
      </c>
    </row>
    <row r="32" spans="9:12" x14ac:dyDescent="0.35">
      <c r="K32" s="127">
        <f t="shared" si="1"/>
        <v>29</v>
      </c>
      <c r="L32">
        <f t="shared" si="0"/>
        <v>0</v>
      </c>
    </row>
    <row r="33" spans="9:12" x14ac:dyDescent="0.35">
      <c r="K33" s="127">
        <f t="shared" si="1"/>
        <v>30</v>
      </c>
      <c r="L33">
        <f t="shared" si="0"/>
        <v>0</v>
      </c>
    </row>
    <row r="34" spans="9:12" x14ac:dyDescent="0.35">
      <c r="K34" s="127">
        <f t="shared" si="1"/>
        <v>31</v>
      </c>
      <c r="L34">
        <f t="shared" si="0"/>
        <v>0</v>
      </c>
    </row>
    <row r="35" spans="9:12" x14ac:dyDescent="0.35">
      <c r="K35" s="127">
        <f t="shared" si="1"/>
        <v>32</v>
      </c>
      <c r="L35">
        <f t="shared" si="0"/>
        <v>0</v>
      </c>
    </row>
    <row r="36" spans="9:12" x14ac:dyDescent="0.35">
      <c r="K36" s="127">
        <f t="shared" si="1"/>
        <v>33</v>
      </c>
      <c r="L36">
        <f t="shared" si="0"/>
        <v>0</v>
      </c>
    </row>
    <row r="37" spans="9:12" x14ac:dyDescent="0.35">
      <c r="K37" s="127">
        <f t="shared" si="1"/>
        <v>34</v>
      </c>
      <c r="L37">
        <f t="shared" si="0"/>
        <v>0</v>
      </c>
    </row>
    <row r="38" spans="9:12" x14ac:dyDescent="0.35">
      <c r="K38" s="127">
        <f t="shared" si="1"/>
        <v>35</v>
      </c>
      <c r="L38">
        <f t="shared" si="0"/>
        <v>0</v>
      </c>
    </row>
    <row r="39" spans="9:12" x14ac:dyDescent="0.35">
      <c r="K39" s="127">
        <f t="shared" si="1"/>
        <v>36</v>
      </c>
      <c r="L39">
        <f t="shared" si="0"/>
        <v>0</v>
      </c>
    </row>
    <row r="40" spans="9:12" x14ac:dyDescent="0.35">
      <c r="K40" s="127">
        <f t="shared" si="1"/>
        <v>37</v>
      </c>
      <c r="L40">
        <f t="shared" si="0"/>
        <v>0</v>
      </c>
    </row>
    <row r="41" spans="9:12" x14ac:dyDescent="0.35">
      <c r="I41" s="121"/>
      <c r="K41" s="127">
        <f t="shared" si="1"/>
        <v>38</v>
      </c>
      <c r="L41">
        <f t="shared" si="0"/>
        <v>0</v>
      </c>
    </row>
    <row r="42" spans="9:12" x14ac:dyDescent="0.35">
      <c r="K42" s="127">
        <f t="shared" si="1"/>
        <v>39</v>
      </c>
      <c r="L42">
        <f t="shared" si="0"/>
        <v>0</v>
      </c>
    </row>
    <row r="43" spans="9:12" x14ac:dyDescent="0.35">
      <c r="K43" s="127">
        <f t="shared" si="1"/>
        <v>40</v>
      </c>
      <c r="L43">
        <f t="shared" si="0"/>
        <v>0</v>
      </c>
    </row>
    <row r="44" spans="9:12" x14ac:dyDescent="0.35">
      <c r="K44" s="127">
        <f t="shared" si="1"/>
        <v>41</v>
      </c>
      <c r="L44">
        <f t="shared" si="0"/>
        <v>0</v>
      </c>
    </row>
    <row r="45" spans="9:12" x14ac:dyDescent="0.35">
      <c r="K45" s="127">
        <f t="shared" si="1"/>
        <v>42</v>
      </c>
      <c r="L45">
        <f t="shared" si="0"/>
        <v>0</v>
      </c>
    </row>
    <row r="46" spans="9:12" x14ac:dyDescent="0.35">
      <c r="K46" s="127">
        <f t="shared" si="1"/>
        <v>43</v>
      </c>
      <c r="L46">
        <f t="shared" si="0"/>
        <v>0</v>
      </c>
    </row>
    <row r="47" spans="9:12" x14ac:dyDescent="0.35">
      <c r="K47" s="127">
        <f t="shared" si="1"/>
        <v>44</v>
      </c>
      <c r="L47">
        <f t="shared" si="0"/>
        <v>0</v>
      </c>
    </row>
    <row r="48" spans="9:12" x14ac:dyDescent="0.35">
      <c r="K48" s="127">
        <f t="shared" si="1"/>
        <v>45</v>
      </c>
      <c r="L48">
        <f t="shared" si="0"/>
        <v>0</v>
      </c>
    </row>
    <row r="49" spans="9:12" x14ac:dyDescent="0.35">
      <c r="K49" s="127">
        <f t="shared" si="1"/>
        <v>46</v>
      </c>
      <c r="L49">
        <f t="shared" si="0"/>
        <v>0</v>
      </c>
    </row>
    <row r="50" spans="9:12" x14ac:dyDescent="0.35">
      <c r="K50" s="127">
        <f t="shared" si="1"/>
        <v>47</v>
      </c>
      <c r="L50">
        <f t="shared" si="0"/>
        <v>0</v>
      </c>
    </row>
    <row r="51" spans="9:12" x14ac:dyDescent="0.35">
      <c r="K51" s="127">
        <f t="shared" si="1"/>
        <v>48</v>
      </c>
      <c r="L51">
        <f t="shared" si="0"/>
        <v>0</v>
      </c>
    </row>
    <row r="52" spans="9:12" x14ac:dyDescent="0.35">
      <c r="K52" s="127">
        <f t="shared" si="1"/>
        <v>49</v>
      </c>
      <c r="L52">
        <f t="shared" si="0"/>
        <v>0</v>
      </c>
    </row>
    <row r="53" spans="9:12" x14ac:dyDescent="0.35">
      <c r="I53" s="121"/>
      <c r="K53" s="127">
        <f t="shared" si="1"/>
        <v>50</v>
      </c>
      <c r="L53">
        <f t="shared" si="0"/>
        <v>0</v>
      </c>
    </row>
    <row r="54" spans="9:12" x14ac:dyDescent="0.35">
      <c r="K54" s="127">
        <f t="shared" si="1"/>
        <v>51</v>
      </c>
      <c r="L54">
        <f t="shared" si="0"/>
        <v>0</v>
      </c>
    </row>
    <row r="55" spans="9:12" x14ac:dyDescent="0.35">
      <c r="K55" s="127">
        <f t="shared" si="1"/>
        <v>52</v>
      </c>
      <c r="L55">
        <f t="shared" si="0"/>
        <v>0</v>
      </c>
    </row>
    <row r="56" spans="9:12" x14ac:dyDescent="0.35">
      <c r="K56" s="127">
        <f t="shared" si="1"/>
        <v>53</v>
      </c>
      <c r="L56">
        <f t="shared" si="0"/>
        <v>0</v>
      </c>
    </row>
    <row r="57" spans="9:12" x14ac:dyDescent="0.35">
      <c r="K57" s="127">
        <f t="shared" si="1"/>
        <v>54</v>
      </c>
      <c r="L57">
        <f t="shared" si="0"/>
        <v>0</v>
      </c>
    </row>
    <row r="58" spans="9:12" x14ac:dyDescent="0.35">
      <c r="K58" s="127">
        <f t="shared" si="1"/>
        <v>55</v>
      </c>
      <c r="L58">
        <f t="shared" si="0"/>
        <v>0</v>
      </c>
    </row>
    <row r="59" spans="9:12" x14ac:dyDescent="0.35">
      <c r="K59" s="127">
        <f t="shared" si="1"/>
        <v>56</v>
      </c>
      <c r="L59">
        <f t="shared" si="0"/>
        <v>0</v>
      </c>
    </row>
    <row r="60" spans="9:12" x14ac:dyDescent="0.35">
      <c r="K60" s="127">
        <f t="shared" si="1"/>
        <v>57</v>
      </c>
      <c r="L60">
        <f t="shared" si="0"/>
        <v>0</v>
      </c>
    </row>
    <row r="61" spans="9:12" x14ac:dyDescent="0.35">
      <c r="K61" s="127">
        <f t="shared" si="1"/>
        <v>58</v>
      </c>
      <c r="L61">
        <f t="shared" si="0"/>
        <v>0</v>
      </c>
    </row>
    <row r="62" spans="9:12" x14ac:dyDescent="0.35">
      <c r="K62" s="127">
        <f t="shared" si="1"/>
        <v>59</v>
      </c>
      <c r="L62">
        <f t="shared" si="0"/>
        <v>0</v>
      </c>
    </row>
    <row r="63" spans="9:12" x14ac:dyDescent="0.35">
      <c r="K63" s="127">
        <f t="shared" si="1"/>
        <v>60</v>
      </c>
      <c r="L63">
        <f t="shared" si="0"/>
        <v>0</v>
      </c>
    </row>
    <row r="64" spans="9:12" x14ac:dyDescent="0.35">
      <c r="K64" s="127">
        <f t="shared" si="1"/>
        <v>61</v>
      </c>
      <c r="L64">
        <f t="shared" si="0"/>
        <v>0</v>
      </c>
    </row>
    <row r="65" spans="9:12" x14ac:dyDescent="0.35">
      <c r="I65" s="121"/>
      <c r="K65" s="127">
        <f t="shared" si="1"/>
        <v>62</v>
      </c>
      <c r="L65">
        <f t="shared" si="0"/>
        <v>0</v>
      </c>
    </row>
    <row r="66" spans="9:12" x14ac:dyDescent="0.35">
      <c r="K66" s="127">
        <f t="shared" si="1"/>
        <v>63</v>
      </c>
      <c r="L66">
        <f t="shared" si="0"/>
        <v>0</v>
      </c>
    </row>
    <row r="67" spans="9:12" x14ac:dyDescent="0.35">
      <c r="K67" s="127">
        <f t="shared" si="1"/>
        <v>64</v>
      </c>
      <c r="L67">
        <f t="shared" si="0"/>
        <v>0</v>
      </c>
    </row>
    <row r="68" spans="9:12" x14ac:dyDescent="0.35">
      <c r="K68" s="127">
        <f t="shared" si="1"/>
        <v>65</v>
      </c>
      <c r="L68">
        <f t="shared" ref="L68:L131" si="2">IFERROR(Monto * (   AND(MOD(Periodo, Frecuencia)=0,Periodo&gt;=PERIODO_INICIAL)   ),0)</f>
        <v>0</v>
      </c>
    </row>
    <row r="69" spans="9:12" x14ac:dyDescent="0.35">
      <c r="K69" s="127">
        <f t="shared" si="1"/>
        <v>66</v>
      </c>
      <c r="L69">
        <f t="shared" si="2"/>
        <v>0</v>
      </c>
    </row>
    <row r="70" spans="9:12" x14ac:dyDescent="0.35">
      <c r="K70" s="127">
        <f t="shared" ref="K70:K133" si="3">K69+1</f>
        <v>67</v>
      </c>
      <c r="L70">
        <f t="shared" si="2"/>
        <v>0</v>
      </c>
    </row>
    <row r="71" spans="9:12" x14ac:dyDescent="0.35">
      <c r="K71" s="127">
        <f t="shared" si="3"/>
        <v>68</v>
      </c>
      <c r="L71">
        <f t="shared" si="2"/>
        <v>0</v>
      </c>
    </row>
    <row r="72" spans="9:12" x14ac:dyDescent="0.35">
      <c r="K72" s="127">
        <f t="shared" si="3"/>
        <v>69</v>
      </c>
      <c r="L72">
        <f t="shared" si="2"/>
        <v>0</v>
      </c>
    </row>
    <row r="73" spans="9:12" x14ac:dyDescent="0.35">
      <c r="K73" s="127">
        <f t="shared" si="3"/>
        <v>70</v>
      </c>
      <c r="L73">
        <f t="shared" si="2"/>
        <v>0</v>
      </c>
    </row>
    <row r="74" spans="9:12" x14ac:dyDescent="0.35">
      <c r="K74" s="127">
        <f t="shared" si="3"/>
        <v>71</v>
      </c>
      <c r="L74">
        <f t="shared" si="2"/>
        <v>0</v>
      </c>
    </row>
    <row r="75" spans="9:12" x14ac:dyDescent="0.35">
      <c r="K75" s="127">
        <f t="shared" si="3"/>
        <v>72</v>
      </c>
      <c r="L75">
        <f t="shared" si="2"/>
        <v>0</v>
      </c>
    </row>
    <row r="76" spans="9:12" x14ac:dyDescent="0.35">
      <c r="K76" s="127">
        <f t="shared" si="3"/>
        <v>73</v>
      </c>
      <c r="L76">
        <f t="shared" si="2"/>
        <v>0</v>
      </c>
    </row>
    <row r="77" spans="9:12" x14ac:dyDescent="0.35">
      <c r="K77" s="127">
        <f t="shared" si="3"/>
        <v>74</v>
      </c>
      <c r="L77">
        <f t="shared" si="2"/>
        <v>0</v>
      </c>
    </row>
    <row r="78" spans="9:12" x14ac:dyDescent="0.35">
      <c r="K78" s="127">
        <f t="shared" si="3"/>
        <v>75</v>
      </c>
      <c r="L78">
        <f t="shared" si="2"/>
        <v>0</v>
      </c>
    </row>
    <row r="79" spans="9:12" x14ac:dyDescent="0.35">
      <c r="K79" s="127">
        <f t="shared" si="3"/>
        <v>76</v>
      </c>
      <c r="L79">
        <f t="shared" si="2"/>
        <v>0</v>
      </c>
    </row>
    <row r="80" spans="9:12" x14ac:dyDescent="0.35">
      <c r="K80" s="127">
        <f t="shared" si="3"/>
        <v>77</v>
      </c>
      <c r="L80">
        <f t="shared" si="2"/>
        <v>0</v>
      </c>
    </row>
    <row r="81" spans="11:12" x14ac:dyDescent="0.35">
      <c r="K81" s="127">
        <f t="shared" si="3"/>
        <v>78</v>
      </c>
      <c r="L81">
        <f t="shared" si="2"/>
        <v>0</v>
      </c>
    </row>
    <row r="82" spans="11:12" x14ac:dyDescent="0.35">
      <c r="K82" s="127">
        <f t="shared" si="3"/>
        <v>79</v>
      </c>
      <c r="L82">
        <f t="shared" si="2"/>
        <v>0</v>
      </c>
    </row>
    <row r="83" spans="11:12" x14ac:dyDescent="0.35">
      <c r="K83" s="127">
        <f t="shared" si="3"/>
        <v>80</v>
      </c>
      <c r="L83">
        <f t="shared" si="2"/>
        <v>0</v>
      </c>
    </row>
    <row r="84" spans="11:12" x14ac:dyDescent="0.35">
      <c r="K84" s="127">
        <f t="shared" si="3"/>
        <v>81</v>
      </c>
      <c r="L84">
        <f t="shared" si="2"/>
        <v>0</v>
      </c>
    </row>
    <row r="85" spans="11:12" x14ac:dyDescent="0.35">
      <c r="K85" s="127">
        <f t="shared" si="3"/>
        <v>82</v>
      </c>
      <c r="L85">
        <f t="shared" si="2"/>
        <v>0</v>
      </c>
    </row>
    <row r="86" spans="11:12" x14ac:dyDescent="0.35">
      <c r="K86" s="127">
        <f t="shared" si="3"/>
        <v>83</v>
      </c>
      <c r="L86">
        <f t="shared" si="2"/>
        <v>0</v>
      </c>
    </row>
    <row r="87" spans="11:12" x14ac:dyDescent="0.35">
      <c r="K87" s="127">
        <f t="shared" si="3"/>
        <v>84</v>
      </c>
      <c r="L87">
        <f t="shared" si="2"/>
        <v>0</v>
      </c>
    </row>
    <row r="88" spans="11:12" x14ac:dyDescent="0.35">
      <c r="K88" s="127">
        <f t="shared" si="3"/>
        <v>85</v>
      </c>
      <c r="L88">
        <f t="shared" si="2"/>
        <v>0</v>
      </c>
    </row>
    <row r="89" spans="11:12" x14ac:dyDescent="0.35">
      <c r="K89" s="127">
        <f t="shared" si="3"/>
        <v>86</v>
      </c>
      <c r="L89">
        <f t="shared" si="2"/>
        <v>0</v>
      </c>
    </row>
    <row r="90" spans="11:12" x14ac:dyDescent="0.35">
      <c r="K90" s="127">
        <f t="shared" si="3"/>
        <v>87</v>
      </c>
      <c r="L90">
        <f t="shared" si="2"/>
        <v>0</v>
      </c>
    </row>
    <row r="91" spans="11:12" x14ac:dyDescent="0.35">
      <c r="K91" s="127">
        <f t="shared" si="3"/>
        <v>88</v>
      </c>
      <c r="L91">
        <f t="shared" si="2"/>
        <v>0</v>
      </c>
    </row>
    <row r="92" spans="11:12" x14ac:dyDescent="0.35">
      <c r="K92" s="127">
        <f t="shared" si="3"/>
        <v>89</v>
      </c>
      <c r="L92">
        <f t="shared" si="2"/>
        <v>0</v>
      </c>
    </row>
    <row r="93" spans="11:12" x14ac:dyDescent="0.35">
      <c r="K93" s="127">
        <f t="shared" si="3"/>
        <v>90</v>
      </c>
      <c r="L93">
        <f t="shared" si="2"/>
        <v>0</v>
      </c>
    </row>
    <row r="94" spans="11:12" x14ac:dyDescent="0.35">
      <c r="K94" s="127">
        <f t="shared" si="3"/>
        <v>91</v>
      </c>
      <c r="L94">
        <f t="shared" si="2"/>
        <v>0</v>
      </c>
    </row>
    <row r="95" spans="11:12" x14ac:dyDescent="0.35">
      <c r="K95" s="127">
        <f t="shared" si="3"/>
        <v>92</v>
      </c>
      <c r="L95">
        <f t="shared" si="2"/>
        <v>0</v>
      </c>
    </row>
    <row r="96" spans="11:12" x14ac:dyDescent="0.35">
      <c r="K96" s="127">
        <f t="shared" si="3"/>
        <v>93</v>
      </c>
      <c r="L96">
        <f t="shared" si="2"/>
        <v>0</v>
      </c>
    </row>
    <row r="97" spans="11:12" x14ac:dyDescent="0.35">
      <c r="K97" s="127">
        <f t="shared" si="3"/>
        <v>94</v>
      </c>
      <c r="L97">
        <f t="shared" si="2"/>
        <v>0</v>
      </c>
    </row>
    <row r="98" spans="11:12" x14ac:dyDescent="0.35">
      <c r="K98" s="127">
        <f t="shared" si="3"/>
        <v>95</v>
      </c>
      <c r="L98">
        <f t="shared" si="2"/>
        <v>0</v>
      </c>
    </row>
    <row r="99" spans="11:12" x14ac:dyDescent="0.35">
      <c r="K99" s="127">
        <f t="shared" si="3"/>
        <v>96</v>
      </c>
      <c r="L99">
        <f t="shared" si="2"/>
        <v>0</v>
      </c>
    </row>
    <row r="100" spans="11:12" x14ac:dyDescent="0.35">
      <c r="K100" s="127">
        <f t="shared" si="3"/>
        <v>97</v>
      </c>
      <c r="L100">
        <f t="shared" si="2"/>
        <v>0</v>
      </c>
    </row>
    <row r="101" spans="11:12" x14ac:dyDescent="0.35">
      <c r="K101" s="127">
        <f t="shared" si="3"/>
        <v>98</v>
      </c>
      <c r="L101">
        <f t="shared" si="2"/>
        <v>0</v>
      </c>
    </row>
    <row r="102" spans="11:12" x14ac:dyDescent="0.35">
      <c r="K102" s="127">
        <f t="shared" si="3"/>
        <v>99</v>
      </c>
      <c r="L102">
        <f t="shared" si="2"/>
        <v>0</v>
      </c>
    </row>
    <row r="103" spans="11:12" x14ac:dyDescent="0.35">
      <c r="K103" s="127">
        <f t="shared" si="3"/>
        <v>100</v>
      </c>
      <c r="L103">
        <f t="shared" si="2"/>
        <v>0</v>
      </c>
    </row>
    <row r="104" spans="11:12" x14ac:dyDescent="0.35">
      <c r="K104" s="127">
        <f t="shared" si="3"/>
        <v>101</v>
      </c>
      <c r="L104">
        <f t="shared" si="2"/>
        <v>0</v>
      </c>
    </row>
    <row r="105" spans="11:12" x14ac:dyDescent="0.35">
      <c r="K105" s="127">
        <f t="shared" si="3"/>
        <v>102</v>
      </c>
      <c r="L105">
        <f t="shared" si="2"/>
        <v>0</v>
      </c>
    </row>
    <row r="106" spans="11:12" x14ac:dyDescent="0.35">
      <c r="K106" s="127">
        <f t="shared" si="3"/>
        <v>103</v>
      </c>
      <c r="L106">
        <f t="shared" si="2"/>
        <v>0</v>
      </c>
    </row>
    <row r="107" spans="11:12" x14ac:dyDescent="0.35">
      <c r="K107" s="127">
        <f t="shared" si="3"/>
        <v>104</v>
      </c>
      <c r="L107">
        <f t="shared" si="2"/>
        <v>0</v>
      </c>
    </row>
    <row r="108" spans="11:12" x14ac:dyDescent="0.35">
      <c r="K108" s="127">
        <f t="shared" si="3"/>
        <v>105</v>
      </c>
      <c r="L108">
        <f t="shared" si="2"/>
        <v>0</v>
      </c>
    </row>
    <row r="109" spans="11:12" x14ac:dyDescent="0.35">
      <c r="K109" s="127">
        <f t="shared" si="3"/>
        <v>106</v>
      </c>
      <c r="L109">
        <f t="shared" si="2"/>
        <v>0</v>
      </c>
    </row>
    <row r="110" spans="11:12" x14ac:dyDescent="0.35">
      <c r="K110" s="127">
        <f t="shared" si="3"/>
        <v>107</v>
      </c>
      <c r="L110">
        <f t="shared" si="2"/>
        <v>0</v>
      </c>
    </row>
    <row r="111" spans="11:12" x14ac:dyDescent="0.35">
      <c r="K111" s="127">
        <f t="shared" si="3"/>
        <v>108</v>
      </c>
      <c r="L111">
        <f t="shared" si="2"/>
        <v>0</v>
      </c>
    </row>
    <row r="112" spans="11:12" x14ac:dyDescent="0.35">
      <c r="K112" s="127">
        <f t="shared" si="3"/>
        <v>109</v>
      </c>
      <c r="L112">
        <f t="shared" si="2"/>
        <v>0</v>
      </c>
    </row>
    <row r="113" spans="11:12" x14ac:dyDescent="0.35">
      <c r="K113" s="127">
        <f t="shared" si="3"/>
        <v>110</v>
      </c>
      <c r="L113">
        <f t="shared" si="2"/>
        <v>0</v>
      </c>
    </row>
    <row r="114" spans="11:12" x14ac:dyDescent="0.35">
      <c r="K114" s="127">
        <f t="shared" si="3"/>
        <v>111</v>
      </c>
      <c r="L114">
        <f t="shared" si="2"/>
        <v>0</v>
      </c>
    </row>
    <row r="115" spans="11:12" x14ac:dyDescent="0.35">
      <c r="K115" s="127">
        <f t="shared" si="3"/>
        <v>112</v>
      </c>
      <c r="L115">
        <f t="shared" si="2"/>
        <v>0</v>
      </c>
    </row>
    <row r="116" spans="11:12" x14ac:dyDescent="0.35">
      <c r="K116" s="127">
        <f t="shared" si="3"/>
        <v>113</v>
      </c>
      <c r="L116">
        <f t="shared" si="2"/>
        <v>0</v>
      </c>
    </row>
    <row r="117" spans="11:12" x14ac:dyDescent="0.35">
      <c r="K117" s="127">
        <f t="shared" si="3"/>
        <v>114</v>
      </c>
      <c r="L117">
        <f t="shared" si="2"/>
        <v>0</v>
      </c>
    </row>
    <row r="118" spans="11:12" x14ac:dyDescent="0.35">
      <c r="K118" s="127">
        <f t="shared" si="3"/>
        <v>115</v>
      </c>
      <c r="L118">
        <f t="shared" si="2"/>
        <v>0</v>
      </c>
    </row>
    <row r="119" spans="11:12" x14ac:dyDescent="0.35">
      <c r="K119" s="127">
        <f t="shared" si="3"/>
        <v>116</v>
      </c>
      <c r="L119">
        <f t="shared" si="2"/>
        <v>0</v>
      </c>
    </row>
    <row r="120" spans="11:12" x14ac:dyDescent="0.35">
      <c r="K120" s="127">
        <f t="shared" si="3"/>
        <v>117</v>
      </c>
      <c r="L120">
        <f t="shared" si="2"/>
        <v>0</v>
      </c>
    </row>
    <row r="121" spans="11:12" x14ac:dyDescent="0.35">
      <c r="K121" s="127">
        <f t="shared" si="3"/>
        <v>118</v>
      </c>
      <c r="L121">
        <f t="shared" si="2"/>
        <v>0</v>
      </c>
    </row>
    <row r="122" spans="11:12" x14ac:dyDescent="0.35">
      <c r="K122" s="127">
        <f t="shared" si="3"/>
        <v>119</v>
      </c>
      <c r="L122">
        <f t="shared" si="2"/>
        <v>0</v>
      </c>
    </row>
    <row r="123" spans="11:12" x14ac:dyDescent="0.35">
      <c r="K123" s="127">
        <f t="shared" si="3"/>
        <v>120</v>
      </c>
      <c r="L123">
        <f t="shared" si="2"/>
        <v>0</v>
      </c>
    </row>
    <row r="124" spans="11:12" x14ac:dyDescent="0.35">
      <c r="K124" s="127">
        <f t="shared" si="3"/>
        <v>121</v>
      </c>
      <c r="L124">
        <f t="shared" si="2"/>
        <v>0</v>
      </c>
    </row>
    <row r="125" spans="11:12" x14ac:dyDescent="0.35">
      <c r="K125" s="127">
        <f t="shared" si="3"/>
        <v>122</v>
      </c>
      <c r="L125">
        <f t="shared" si="2"/>
        <v>0</v>
      </c>
    </row>
    <row r="126" spans="11:12" x14ac:dyDescent="0.35">
      <c r="K126" s="127">
        <f t="shared" si="3"/>
        <v>123</v>
      </c>
      <c r="L126">
        <f t="shared" si="2"/>
        <v>0</v>
      </c>
    </row>
    <row r="127" spans="11:12" x14ac:dyDescent="0.35">
      <c r="K127" s="127">
        <f t="shared" si="3"/>
        <v>124</v>
      </c>
      <c r="L127">
        <f t="shared" si="2"/>
        <v>0</v>
      </c>
    </row>
    <row r="128" spans="11:12" x14ac:dyDescent="0.35">
      <c r="K128" s="127">
        <f t="shared" si="3"/>
        <v>125</v>
      </c>
      <c r="L128">
        <f t="shared" si="2"/>
        <v>0</v>
      </c>
    </row>
    <row r="129" spans="11:12" x14ac:dyDescent="0.35">
      <c r="K129" s="127">
        <f t="shared" si="3"/>
        <v>126</v>
      </c>
      <c r="L129">
        <f t="shared" si="2"/>
        <v>0</v>
      </c>
    </row>
    <row r="130" spans="11:12" x14ac:dyDescent="0.35">
      <c r="K130" s="127">
        <f t="shared" si="3"/>
        <v>127</v>
      </c>
      <c r="L130">
        <f t="shared" si="2"/>
        <v>0</v>
      </c>
    </row>
    <row r="131" spans="11:12" x14ac:dyDescent="0.35">
      <c r="K131" s="127">
        <f t="shared" si="3"/>
        <v>128</v>
      </c>
      <c r="L131">
        <f t="shared" si="2"/>
        <v>0</v>
      </c>
    </row>
    <row r="132" spans="11:12" x14ac:dyDescent="0.35">
      <c r="K132" s="127">
        <f t="shared" si="3"/>
        <v>129</v>
      </c>
      <c r="L132">
        <f t="shared" ref="L132:L195" si="4">IFERROR(Monto * (   AND(MOD(Periodo, Frecuencia)=0,Periodo&gt;=PERIODO_INICIAL)   ),0)</f>
        <v>0</v>
      </c>
    </row>
    <row r="133" spans="11:12" x14ac:dyDescent="0.35">
      <c r="K133" s="127">
        <f t="shared" si="3"/>
        <v>130</v>
      </c>
      <c r="L133">
        <f t="shared" si="4"/>
        <v>0</v>
      </c>
    </row>
    <row r="134" spans="11:12" x14ac:dyDescent="0.35">
      <c r="K134" s="127">
        <f t="shared" ref="K134:K197" si="5">K133+1</f>
        <v>131</v>
      </c>
      <c r="L134">
        <f t="shared" si="4"/>
        <v>0</v>
      </c>
    </row>
    <row r="135" spans="11:12" x14ac:dyDescent="0.35">
      <c r="K135" s="127">
        <f t="shared" si="5"/>
        <v>132</v>
      </c>
      <c r="L135">
        <f t="shared" si="4"/>
        <v>0</v>
      </c>
    </row>
    <row r="136" spans="11:12" x14ac:dyDescent="0.35">
      <c r="K136" s="127">
        <f t="shared" si="5"/>
        <v>133</v>
      </c>
      <c r="L136">
        <f t="shared" si="4"/>
        <v>0</v>
      </c>
    </row>
    <row r="137" spans="11:12" x14ac:dyDescent="0.35">
      <c r="K137" s="127">
        <f t="shared" si="5"/>
        <v>134</v>
      </c>
      <c r="L137">
        <f t="shared" si="4"/>
        <v>0</v>
      </c>
    </row>
    <row r="138" spans="11:12" x14ac:dyDescent="0.35">
      <c r="K138" s="127">
        <f t="shared" si="5"/>
        <v>135</v>
      </c>
      <c r="L138">
        <f t="shared" si="4"/>
        <v>0</v>
      </c>
    </row>
    <row r="139" spans="11:12" x14ac:dyDescent="0.35">
      <c r="K139" s="127">
        <f t="shared" si="5"/>
        <v>136</v>
      </c>
      <c r="L139">
        <f t="shared" si="4"/>
        <v>0</v>
      </c>
    </row>
    <row r="140" spans="11:12" x14ac:dyDescent="0.35">
      <c r="K140" s="127">
        <f t="shared" si="5"/>
        <v>137</v>
      </c>
      <c r="L140">
        <f t="shared" si="4"/>
        <v>0</v>
      </c>
    </row>
    <row r="141" spans="11:12" x14ac:dyDescent="0.35">
      <c r="K141" s="127">
        <f t="shared" si="5"/>
        <v>138</v>
      </c>
      <c r="L141">
        <f t="shared" si="4"/>
        <v>0</v>
      </c>
    </row>
    <row r="142" spans="11:12" x14ac:dyDescent="0.35">
      <c r="K142" s="127">
        <f t="shared" si="5"/>
        <v>139</v>
      </c>
      <c r="L142">
        <f t="shared" si="4"/>
        <v>0</v>
      </c>
    </row>
    <row r="143" spans="11:12" x14ac:dyDescent="0.35">
      <c r="K143" s="127">
        <f t="shared" si="5"/>
        <v>140</v>
      </c>
      <c r="L143">
        <f t="shared" si="4"/>
        <v>0</v>
      </c>
    </row>
    <row r="144" spans="11:12" x14ac:dyDescent="0.35">
      <c r="K144" s="127">
        <f t="shared" si="5"/>
        <v>141</v>
      </c>
      <c r="L144">
        <f t="shared" si="4"/>
        <v>0</v>
      </c>
    </row>
    <row r="145" spans="11:12" x14ac:dyDescent="0.35">
      <c r="K145" s="127">
        <f t="shared" si="5"/>
        <v>142</v>
      </c>
      <c r="L145">
        <f t="shared" si="4"/>
        <v>0</v>
      </c>
    </row>
    <row r="146" spans="11:12" x14ac:dyDescent="0.35">
      <c r="K146" s="127">
        <f t="shared" si="5"/>
        <v>143</v>
      </c>
      <c r="L146">
        <f t="shared" si="4"/>
        <v>0</v>
      </c>
    </row>
    <row r="147" spans="11:12" x14ac:dyDescent="0.35">
      <c r="K147" s="127">
        <f t="shared" si="5"/>
        <v>144</v>
      </c>
      <c r="L147">
        <f t="shared" si="4"/>
        <v>0</v>
      </c>
    </row>
    <row r="148" spans="11:12" x14ac:dyDescent="0.35">
      <c r="K148" s="127">
        <f t="shared" si="5"/>
        <v>145</v>
      </c>
      <c r="L148">
        <f t="shared" si="4"/>
        <v>0</v>
      </c>
    </row>
    <row r="149" spans="11:12" x14ac:dyDescent="0.35">
      <c r="K149" s="127">
        <f t="shared" si="5"/>
        <v>146</v>
      </c>
      <c r="L149">
        <f t="shared" si="4"/>
        <v>0</v>
      </c>
    </row>
    <row r="150" spans="11:12" x14ac:dyDescent="0.35">
      <c r="K150" s="127">
        <f t="shared" si="5"/>
        <v>147</v>
      </c>
      <c r="L150">
        <f t="shared" si="4"/>
        <v>0</v>
      </c>
    </row>
    <row r="151" spans="11:12" x14ac:dyDescent="0.35">
      <c r="K151" s="127">
        <f t="shared" si="5"/>
        <v>148</v>
      </c>
      <c r="L151">
        <f t="shared" si="4"/>
        <v>0</v>
      </c>
    </row>
    <row r="152" spans="11:12" x14ac:dyDescent="0.35">
      <c r="K152" s="127">
        <f t="shared" si="5"/>
        <v>149</v>
      </c>
      <c r="L152">
        <f t="shared" si="4"/>
        <v>0</v>
      </c>
    </row>
    <row r="153" spans="11:12" x14ac:dyDescent="0.35">
      <c r="K153" s="127">
        <f t="shared" si="5"/>
        <v>150</v>
      </c>
      <c r="L153">
        <f t="shared" si="4"/>
        <v>0</v>
      </c>
    </row>
    <row r="154" spans="11:12" x14ac:dyDescent="0.35">
      <c r="K154" s="127">
        <f t="shared" si="5"/>
        <v>151</v>
      </c>
      <c r="L154">
        <f t="shared" si="4"/>
        <v>0</v>
      </c>
    </row>
    <row r="155" spans="11:12" x14ac:dyDescent="0.35">
      <c r="K155" s="127">
        <f t="shared" si="5"/>
        <v>152</v>
      </c>
      <c r="L155">
        <f t="shared" si="4"/>
        <v>0</v>
      </c>
    </row>
    <row r="156" spans="11:12" x14ac:dyDescent="0.35">
      <c r="K156" s="127">
        <f t="shared" si="5"/>
        <v>153</v>
      </c>
      <c r="L156">
        <f t="shared" si="4"/>
        <v>0</v>
      </c>
    </row>
    <row r="157" spans="11:12" x14ac:dyDescent="0.35">
      <c r="K157" s="127">
        <f t="shared" si="5"/>
        <v>154</v>
      </c>
      <c r="L157">
        <f t="shared" si="4"/>
        <v>0</v>
      </c>
    </row>
    <row r="158" spans="11:12" x14ac:dyDescent="0.35">
      <c r="K158" s="127">
        <f t="shared" si="5"/>
        <v>155</v>
      </c>
      <c r="L158">
        <f t="shared" si="4"/>
        <v>0</v>
      </c>
    </row>
    <row r="159" spans="11:12" x14ac:dyDescent="0.35">
      <c r="K159" s="127">
        <f t="shared" si="5"/>
        <v>156</v>
      </c>
      <c r="L159">
        <f t="shared" si="4"/>
        <v>0</v>
      </c>
    </row>
    <row r="160" spans="11:12" x14ac:dyDescent="0.35">
      <c r="K160" s="127">
        <f t="shared" si="5"/>
        <v>157</v>
      </c>
      <c r="L160">
        <f t="shared" si="4"/>
        <v>0</v>
      </c>
    </row>
    <row r="161" spans="11:12" x14ac:dyDescent="0.35">
      <c r="K161" s="127">
        <f t="shared" si="5"/>
        <v>158</v>
      </c>
      <c r="L161">
        <f t="shared" si="4"/>
        <v>0</v>
      </c>
    </row>
    <row r="162" spans="11:12" x14ac:dyDescent="0.35">
      <c r="K162" s="127">
        <f t="shared" si="5"/>
        <v>159</v>
      </c>
      <c r="L162">
        <f t="shared" si="4"/>
        <v>0</v>
      </c>
    </row>
    <row r="163" spans="11:12" x14ac:dyDescent="0.35">
      <c r="K163" s="127">
        <f t="shared" si="5"/>
        <v>160</v>
      </c>
      <c r="L163">
        <f t="shared" si="4"/>
        <v>0</v>
      </c>
    </row>
    <row r="164" spans="11:12" x14ac:dyDescent="0.35">
      <c r="K164" s="127">
        <f t="shared" si="5"/>
        <v>161</v>
      </c>
      <c r="L164">
        <f t="shared" si="4"/>
        <v>0</v>
      </c>
    </row>
    <row r="165" spans="11:12" x14ac:dyDescent="0.35">
      <c r="K165" s="127">
        <f t="shared" si="5"/>
        <v>162</v>
      </c>
      <c r="L165">
        <f t="shared" si="4"/>
        <v>0</v>
      </c>
    </row>
    <row r="166" spans="11:12" x14ac:dyDescent="0.35">
      <c r="K166" s="127">
        <f t="shared" si="5"/>
        <v>163</v>
      </c>
      <c r="L166">
        <f t="shared" si="4"/>
        <v>0</v>
      </c>
    </row>
    <row r="167" spans="11:12" x14ac:dyDescent="0.35">
      <c r="K167" s="127">
        <f t="shared" si="5"/>
        <v>164</v>
      </c>
      <c r="L167">
        <f t="shared" si="4"/>
        <v>0</v>
      </c>
    </row>
    <row r="168" spans="11:12" x14ac:dyDescent="0.35">
      <c r="K168" s="127">
        <f t="shared" si="5"/>
        <v>165</v>
      </c>
      <c r="L168">
        <f t="shared" si="4"/>
        <v>0</v>
      </c>
    </row>
    <row r="169" spans="11:12" x14ac:dyDescent="0.35">
      <c r="K169" s="127">
        <f t="shared" si="5"/>
        <v>166</v>
      </c>
      <c r="L169">
        <f t="shared" si="4"/>
        <v>0</v>
      </c>
    </row>
    <row r="170" spans="11:12" x14ac:dyDescent="0.35">
      <c r="K170" s="127">
        <f t="shared" si="5"/>
        <v>167</v>
      </c>
      <c r="L170">
        <f t="shared" si="4"/>
        <v>0</v>
      </c>
    </row>
    <row r="171" spans="11:12" x14ac:dyDescent="0.35">
      <c r="K171" s="127">
        <f t="shared" si="5"/>
        <v>168</v>
      </c>
      <c r="L171">
        <f t="shared" si="4"/>
        <v>0</v>
      </c>
    </row>
    <row r="172" spans="11:12" x14ac:dyDescent="0.35">
      <c r="K172" s="127">
        <f t="shared" si="5"/>
        <v>169</v>
      </c>
      <c r="L172">
        <f t="shared" si="4"/>
        <v>0</v>
      </c>
    </row>
    <row r="173" spans="11:12" x14ac:dyDescent="0.35">
      <c r="K173" s="127">
        <f t="shared" si="5"/>
        <v>170</v>
      </c>
      <c r="L173">
        <f t="shared" si="4"/>
        <v>0</v>
      </c>
    </row>
    <row r="174" spans="11:12" x14ac:dyDescent="0.35">
      <c r="K174" s="127">
        <f t="shared" si="5"/>
        <v>171</v>
      </c>
      <c r="L174">
        <f t="shared" si="4"/>
        <v>0</v>
      </c>
    </row>
    <row r="175" spans="11:12" x14ac:dyDescent="0.35">
      <c r="K175" s="127">
        <f t="shared" si="5"/>
        <v>172</v>
      </c>
      <c r="L175">
        <f t="shared" si="4"/>
        <v>0</v>
      </c>
    </row>
    <row r="176" spans="11:12" x14ac:dyDescent="0.35">
      <c r="K176" s="127">
        <f t="shared" si="5"/>
        <v>173</v>
      </c>
      <c r="L176">
        <f t="shared" si="4"/>
        <v>0</v>
      </c>
    </row>
    <row r="177" spans="11:12" x14ac:dyDescent="0.35">
      <c r="K177" s="127">
        <f t="shared" si="5"/>
        <v>174</v>
      </c>
      <c r="L177">
        <f t="shared" si="4"/>
        <v>0</v>
      </c>
    </row>
    <row r="178" spans="11:12" x14ac:dyDescent="0.35">
      <c r="K178" s="127">
        <f t="shared" si="5"/>
        <v>175</v>
      </c>
      <c r="L178">
        <f t="shared" si="4"/>
        <v>0</v>
      </c>
    </row>
    <row r="179" spans="11:12" x14ac:dyDescent="0.35">
      <c r="K179" s="127">
        <f t="shared" si="5"/>
        <v>176</v>
      </c>
      <c r="L179">
        <f t="shared" si="4"/>
        <v>0</v>
      </c>
    </row>
    <row r="180" spans="11:12" x14ac:dyDescent="0.35">
      <c r="K180" s="127">
        <f t="shared" si="5"/>
        <v>177</v>
      </c>
      <c r="L180">
        <f t="shared" si="4"/>
        <v>0</v>
      </c>
    </row>
    <row r="181" spans="11:12" x14ac:dyDescent="0.35">
      <c r="K181" s="127">
        <f t="shared" si="5"/>
        <v>178</v>
      </c>
      <c r="L181">
        <f t="shared" si="4"/>
        <v>0</v>
      </c>
    </row>
    <row r="182" spans="11:12" x14ac:dyDescent="0.35">
      <c r="K182" s="127">
        <f t="shared" si="5"/>
        <v>179</v>
      </c>
      <c r="L182">
        <f t="shared" si="4"/>
        <v>0</v>
      </c>
    </row>
    <row r="183" spans="11:12" x14ac:dyDescent="0.35">
      <c r="K183" s="127">
        <f t="shared" si="5"/>
        <v>180</v>
      </c>
      <c r="L183">
        <f t="shared" si="4"/>
        <v>0</v>
      </c>
    </row>
    <row r="184" spans="11:12" x14ac:dyDescent="0.35">
      <c r="K184" s="127">
        <f t="shared" si="5"/>
        <v>181</v>
      </c>
      <c r="L184">
        <f t="shared" si="4"/>
        <v>0</v>
      </c>
    </row>
    <row r="185" spans="11:12" x14ac:dyDescent="0.35">
      <c r="K185" s="127">
        <f t="shared" si="5"/>
        <v>182</v>
      </c>
      <c r="L185">
        <f t="shared" si="4"/>
        <v>0</v>
      </c>
    </row>
    <row r="186" spans="11:12" x14ac:dyDescent="0.35">
      <c r="K186" s="127">
        <f t="shared" si="5"/>
        <v>183</v>
      </c>
      <c r="L186">
        <f t="shared" si="4"/>
        <v>0</v>
      </c>
    </row>
    <row r="187" spans="11:12" x14ac:dyDescent="0.35">
      <c r="K187" s="127">
        <f t="shared" si="5"/>
        <v>184</v>
      </c>
      <c r="L187">
        <f t="shared" si="4"/>
        <v>0</v>
      </c>
    </row>
    <row r="188" spans="11:12" x14ac:dyDescent="0.35">
      <c r="K188" s="127">
        <f t="shared" si="5"/>
        <v>185</v>
      </c>
      <c r="L188">
        <f t="shared" si="4"/>
        <v>0</v>
      </c>
    </row>
    <row r="189" spans="11:12" x14ac:dyDescent="0.35">
      <c r="K189" s="127">
        <f t="shared" si="5"/>
        <v>186</v>
      </c>
      <c r="L189">
        <f t="shared" si="4"/>
        <v>0</v>
      </c>
    </row>
    <row r="190" spans="11:12" x14ac:dyDescent="0.35">
      <c r="K190" s="127">
        <f t="shared" si="5"/>
        <v>187</v>
      </c>
      <c r="L190">
        <f t="shared" si="4"/>
        <v>0</v>
      </c>
    </row>
    <row r="191" spans="11:12" x14ac:dyDescent="0.35">
      <c r="K191" s="127">
        <f t="shared" si="5"/>
        <v>188</v>
      </c>
      <c r="L191">
        <f t="shared" si="4"/>
        <v>0</v>
      </c>
    </row>
    <row r="192" spans="11:12" x14ac:dyDescent="0.35">
      <c r="K192" s="127">
        <f t="shared" si="5"/>
        <v>189</v>
      </c>
      <c r="L192">
        <f t="shared" si="4"/>
        <v>0</v>
      </c>
    </row>
    <row r="193" spans="11:12" x14ac:dyDescent="0.35">
      <c r="K193" s="127">
        <f t="shared" si="5"/>
        <v>190</v>
      </c>
      <c r="L193">
        <f t="shared" si="4"/>
        <v>0</v>
      </c>
    </row>
    <row r="194" spans="11:12" x14ac:dyDescent="0.35">
      <c r="K194" s="127">
        <f t="shared" si="5"/>
        <v>191</v>
      </c>
      <c r="L194">
        <f t="shared" si="4"/>
        <v>0</v>
      </c>
    </row>
    <row r="195" spans="11:12" x14ac:dyDescent="0.35">
      <c r="K195" s="127">
        <f t="shared" si="5"/>
        <v>192</v>
      </c>
      <c r="L195">
        <f t="shared" si="4"/>
        <v>0</v>
      </c>
    </row>
    <row r="196" spans="11:12" x14ac:dyDescent="0.35">
      <c r="K196" s="127">
        <f t="shared" si="5"/>
        <v>193</v>
      </c>
      <c r="L196">
        <f t="shared" ref="L196:L259" si="6">IFERROR(Monto * (   AND(MOD(Periodo, Frecuencia)=0,Periodo&gt;=PERIODO_INICIAL)   ),0)</f>
        <v>0</v>
      </c>
    </row>
    <row r="197" spans="11:12" x14ac:dyDescent="0.35">
      <c r="K197" s="127">
        <f t="shared" si="5"/>
        <v>194</v>
      </c>
      <c r="L197">
        <f t="shared" si="6"/>
        <v>0</v>
      </c>
    </row>
    <row r="198" spans="11:12" x14ac:dyDescent="0.35">
      <c r="K198" s="127">
        <f t="shared" ref="K198:K261" si="7">K197+1</f>
        <v>195</v>
      </c>
      <c r="L198">
        <f t="shared" si="6"/>
        <v>0</v>
      </c>
    </row>
    <row r="199" spans="11:12" x14ac:dyDescent="0.35">
      <c r="K199" s="127">
        <f t="shared" si="7"/>
        <v>196</v>
      </c>
      <c r="L199">
        <f t="shared" si="6"/>
        <v>0</v>
      </c>
    </row>
    <row r="200" spans="11:12" x14ac:dyDescent="0.35">
      <c r="K200" s="127">
        <f t="shared" si="7"/>
        <v>197</v>
      </c>
      <c r="L200">
        <f t="shared" si="6"/>
        <v>0</v>
      </c>
    </row>
    <row r="201" spans="11:12" x14ac:dyDescent="0.35">
      <c r="K201" s="127">
        <f t="shared" si="7"/>
        <v>198</v>
      </c>
      <c r="L201">
        <f t="shared" si="6"/>
        <v>0</v>
      </c>
    </row>
    <row r="202" spans="11:12" x14ac:dyDescent="0.35">
      <c r="K202" s="127">
        <f t="shared" si="7"/>
        <v>199</v>
      </c>
      <c r="L202">
        <f t="shared" si="6"/>
        <v>0</v>
      </c>
    </row>
    <row r="203" spans="11:12" x14ac:dyDescent="0.35">
      <c r="K203" s="127">
        <f t="shared" si="7"/>
        <v>200</v>
      </c>
      <c r="L203">
        <f t="shared" si="6"/>
        <v>0</v>
      </c>
    </row>
    <row r="204" spans="11:12" x14ac:dyDescent="0.35">
      <c r="K204" s="127">
        <f t="shared" si="7"/>
        <v>201</v>
      </c>
      <c r="L204">
        <f t="shared" si="6"/>
        <v>0</v>
      </c>
    </row>
    <row r="205" spans="11:12" x14ac:dyDescent="0.35">
      <c r="K205" s="127">
        <f t="shared" si="7"/>
        <v>202</v>
      </c>
      <c r="L205">
        <f t="shared" si="6"/>
        <v>0</v>
      </c>
    </row>
    <row r="206" spans="11:12" x14ac:dyDescent="0.35">
      <c r="K206" s="127">
        <f t="shared" si="7"/>
        <v>203</v>
      </c>
      <c r="L206">
        <f t="shared" si="6"/>
        <v>0</v>
      </c>
    </row>
    <row r="207" spans="11:12" x14ac:dyDescent="0.35">
      <c r="K207" s="127">
        <f t="shared" si="7"/>
        <v>204</v>
      </c>
      <c r="L207">
        <f t="shared" si="6"/>
        <v>0</v>
      </c>
    </row>
    <row r="208" spans="11:12" x14ac:dyDescent="0.35">
      <c r="K208" s="127">
        <f t="shared" si="7"/>
        <v>205</v>
      </c>
      <c r="L208">
        <f t="shared" si="6"/>
        <v>0</v>
      </c>
    </row>
    <row r="209" spans="11:12" x14ac:dyDescent="0.35">
      <c r="K209" s="127">
        <f t="shared" si="7"/>
        <v>206</v>
      </c>
      <c r="L209">
        <f t="shared" si="6"/>
        <v>0</v>
      </c>
    </row>
    <row r="210" spans="11:12" x14ac:dyDescent="0.35">
      <c r="K210" s="127">
        <f t="shared" si="7"/>
        <v>207</v>
      </c>
      <c r="L210">
        <f t="shared" si="6"/>
        <v>0</v>
      </c>
    </row>
    <row r="211" spans="11:12" x14ac:dyDescent="0.35">
      <c r="K211" s="127">
        <f t="shared" si="7"/>
        <v>208</v>
      </c>
      <c r="L211">
        <f t="shared" si="6"/>
        <v>0</v>
      </c>
    </row>
    <row r="212" spans="11:12" x14ac:dyDescent="0.35">
      <c r="K212" s="127">
        <f t="shared" si="7"/>
        <v>209</v>
      </c>
      <c r="L212">
        <f t="shared" si="6"/>
        <v>0</v>
      </c>
    </row>
    <row r="213" spans="11:12" x14ac:dyDescent="0.35">
      <c r="K213" s="127">
        <f t="shared" si="7"/>
        <v>210</v>
      </c>
      <c r="L213">
        <f t="shared" si="6"/>
        <v>0</v>
      </c>
    </row>
    <row r="214" spans="11:12" x14ac:dyDescent="0.35">
      <c r="K214" s="127">
        <f t="shared" si="7"/>
        <v>211</v>
      </c>
      <c r="L214">
        <f t="shared" si="6"/>
        <v>0</v>
      </c>
    </row>
    <row r="215" spans="11:12" x14ac:dyDescent="0.35">
      <c r="K215" s="127">
        <f t="shared" si="7"/>
        <v>212</v>
      </c>
      <c r="L215">
        <f t="shared" si="6"/>
        <v>0</v>
      </c>
    </row>
    <row r="216" spans="11:12" x14ac:dyDescent="0.35">
      <c r="K216" s="127">
        <f t="shared" si="7"/>
        <v>213</v>
      </c>
      <c r="L216">
        <f t="shared" si="6"/>
        <v>0</v>
      </c>
    </row>
    <row r="217" spans="11:12" x14ac:dyDescent="0.35">
      <c r="K217" s="127">
        <f t="shared" si="7"/>
        <v>214</v>
      </c>
      <c r="L217">
        <f t="shared" si="6"/>
        <v>0</v>
      </c>
    </row>
    <row r="218" spans="11:12" x14ac:dyDescent="0.35">
      <c r="K218" s="127">
        <f t="shared" si="7"/>
        <v>215</v>
      </c>
      <c r="L218">
        <f t="shared" si="6"/>
        <v>0</v>
      </c>
    </row>
    <row r="219" spans="11:12" x14ac:dyDescent="0.35">
      <c r="K219" s="127">
        <f t="shared" si="7"/>
        <v>216</v>
      </c>
      <c r="L219">
        <f t="shared" si="6"/>
        <v>0</v>
      </c>
    </row>
    <row r="220" spans="11:12" x14ac:dyDescent="0.35">
      <c r="K220" s="127">
        <f t="shared" si="7"/>
        <v>217</v>
      </c>
      <c r="L220">
        <f t="shared" si="6"/>
        <v>0</v>
      </c>
    </row>
    <row r="221" spans="11:12" x14ac:dyDescent="0.35">
      <c r="K221" s="127">
        <f t="shared" si="7"/>
        <v>218</v>
      </c>
      <c r="L221">
        <f t="shared" si="6"/>
        <v>0</v>
      </c>
    </row>
    <row r="222" spans="11:12" x14ac:dyDescent="0.35">
      <c r="K222" s="127">
        <f t="shared" si="7"/>
        <v>219</v>
      </c>
      <c r="L222">
        <f t="shared" si="6"/>
        <v>0</v>
      </c>
    </row>
    <row r="223" spans="11:12" x14ac:dyDescent="0.35">
      <c r="K223" s="127">
        <f t="shared" si="7"/>
        <v>220</v>
      </c>
      <c r="L223">
        <f t="shared" si="6"/>
        <v>0</v>
      </c>
    </row>
    <row r="224" spans="11:12" x14ac:dyDescent="0.35">
      <c r="K224" s="127">
        <f t="shared" si="7"/>
        <v>221</v>
      </c>
      <c r="L224">
        <f t="shared" si="6"/>
        <v>0</v>
      </c>
    </row>
    <row r="225" spans="11:12" x14ac:dyDescent="0.35">
      <c r="K225" s="127">
        <f t="shared" si="7"/>
        <v>222</v>
      </c>
      <c r="L225">
        <f t="shared" si="6"/>
        <v>0</v>
      </c>
    </row>
    <row r="226" spans="11:12" x14ac:dyDescent="0.35">
      <c r="K226" s="127">
        <f t="shared" si="7"/>
        <v>223</v>
      </c>
      <c r="L226">
        <f t="shared" si="6"/>
        <v>0</v>
      </c>
    </row>
    <row r="227" spans="11:12" x14ac:dyDescent="0.35">
      <c r="K227" s="127">
        <f t="shared" si="7"/>
        <v>224</v>
      </c>
      <c r="L227">
        <f t="shared" si="6"/>
        <v>0</v>
      </c>
    </row>
    <row r="228" spans="11:12" x14ac:dyDescent="0.35">
      <c r="K228" s="127">
        <f t="shared" si="7"/>
        <v>225</v>
      </c>
      <c r="L228">
        <f t="shared" si="6"/>
        <v>0</v>
      </c>
    </row>
    <row r="229" spans="11:12" x14ac:dyDescent="0.35">
      <c r="K229" s="127">
        <f t="shared" si="7"/>
        <v>226</v>
      </c>
      <c r="L229">
        <f t="shared" si="6"/>
        <v>0</v>
      </c>
    </row>
    <row r="230" spans="11:12" x14ac:dyDescent="0.35">
      <c r="K230" s="127">
        <f t="shared" si="7"/>
        <v>227</v>
      </c>
      <c r="L230">
        <f t="shared" si="6"/>
        <v>0</v>
      </c>
    </row>
    <row r="231" spans="11:12" x14ac:dyDescent="0.35">
      <c r="K231" s="127">
        <f t="shared" si="7"/>
        <v>228</v>
      </c>
      <c r="L231">
        <f t="shared" si="6"/>
        <v>0</v>
      </c>
    </row>
    <row r="232" spans="11:12" x14ac:dyDescent="0.35">
      <c r="K232" s="127">
        <f t="shared" si="7"/>
        <v>229</v>
      </c>
      <c r="L232">
        <f t="shared" si="6"/>
        <v>0</v>
      </c>
    </row>
    <row r="233" spans="11:12" x14ac:dyDescent="0.35">
      <c r="K233" s="127">
        <f t="shared" si="7"/>
        <v>230</v>
      </c>
      <c r="L233">
        <f t="shared" si="6"/>
        <v>0</v>
      </c>
    </row>
    <row r="234" spans="11:12" x14ac:dyDescent="0.35">
      <c r="K234" s="127">
        <f t="shared" si="7"/>
        <v>231</v>
      </c>
      <c r="L234">
        <f t="shared" si="6"/>
        <v>0</v>
      </c>
    </row>
    <row r="235" spans="11:12" x14ac:dyDescent="0.35">
      <c r="K235" s="127">
        <f t="shared" si="7"/>
        <v>232</v>
      </c>
      <c r="L235">
        <f t="shared" si="6"/>
        <v>0</v>
      </c>
    </row>
    <row r="236" spans="11:12" x14ac:dyDescent="0.35">
      <c r="K236" s="127">
        <f t="shared" si="7"/>
        <v>233</v>
      </c>
      <c r="L236">
        <f t="shared" si="6"/>
        <v>0</v>
      </c>
    </row>
    <row r="237" spans="11:12" x14ac:dyDescent="0.35">
      <c r="K237" s="127">
        <f t="shared" si="7"/>
        <v>234</v>
      </c>
      <c r="L237">
        <f t="shared" si="6"/>
        <v>0</v>
      </c>
    </row>
    <row r="238" spans="11:12" x14ac:dyDescent="0.35">
      <c r="K238" s="127">
        <f t="shared" si="7"/>
        <v>235</v>
      </c>
      <c r="L238">
        <f t="shared" si="6"/>
        <v>0</v>
      </c>
    </row>
    <row r="239" spans="11:12" x14ac:dyDescent="0.35">
      <c r="K239" s="127">
        <f t="shared" si="7"/>
        <v>236</v>
      </c>
      <c r="L239">
        <f t="shared" si="6"/>
        <v>0</v>
      </c>
    </row>
    <row r="240" spans="11:12" x14ac:dyDescent="0.35">
      <c r="K240" s="127">
        <f t="shared" si="7"/>
        <v>237</v>
      </c>
      <c r="L240">
        <f t="shared" si="6"/>
        <v>0</v>
      </c>
    </row>
    <row r="241" spans="11:12" x14ac:dyDescent="0.35">
      <c r="K241" s="127">
        <f t="shared" si="7"/>
        <v>238</v>
      </c>
      <c r="L241">
        <f t="shared" si="6"/>
        <v>0</v>
      </c>
    </row>
    <row r="242" spans="11:12" x14ac:dyDescent="0.35">
      <c r="K242" s="127">
        <f t="shared" si="7"/>
        <v>239</v>
      </c>
      <c r="L242">
        <f t="shared" si="6"/>
        <v>0</v>
      </c>
    </row>
    <row r="243" spans="11:12" x14ac:dyDescent="0.35">
      <c r="K243" s="127">
        <f t="shared" si="7"/>
        <v>240</v>
      </c>
      <c r="L243">
        <f t="shared" si="6"/>
        <v>0</v>
      </c>
    </row>
    <row r="244" spans="11:12" x14ac:dyDescent="0.35">
      <c r="K244" s="127">
        <f t="shared" si="7"/>
        <v>241</v>
      </c>
      <c r="L244">
        <f t="shared" si="6"/>
        <v>0</v>
      </c>
    </row>
    <row r="245" spans="11:12" x14ac:dyDescent="0.35">
      <c r="K245" s="127">
        <f t="shared" si="7"/>
        <v>242</v>
      </c>
      <c r="L245">
        <f t="shared" si="6"/>
        <v>0</v>
      </c>
    </row>
    <row r="246" spans="11:12" x14ac:dyDescent="0.35">
      <c r="K246" s="127">
        <f t="shared" si="7"/>
        <v>243</v>
      </c>
      <c r="L246">
        <f t="shared" si="6"/>
        <v>0</v>
      </c>
    </row>
    <row r="247" spans="11:12" x14ac:dyDescent="0.35">
      <c r="K247" s="127">
        <f t="shared" si="7"/>
        <v>244</v>
      </c>
      <c r="L247">
        <f t="shared" si="6"/>
        <v>0</v>
      </c>
    </row>
    <row r="248" spans="11:12" x14ac:dyDescent="0.35">
      <c r="K248" s="127">
        <f t="shared" si="7"/>
        <v>245</v>
      </c>
      <c r="L248">
        <f t="shared" si="6"/>
        <v>0</v>
      </c>
    </row>
    <row r="249" spans="11:12" x14ac:dyDescent="0.35">
      <c r="K249" s="127">
        <f t="shared" si="7"/>
        <v>246</v>
      </c>
      <c r="L249">
        <f t="shared" si="6"/>
        <v>0</v>
      </c>
    </row>
    <row r="250" spans="11:12" x14ac:dyDescent="0.35">
      <c r="K250" s="127">
        <f t="shared" si="7"/>
        <v>247</v>
      </c>
      <c r="L250">
        <f t="shared" si="6"/>
        <v>0</v>
      </c>
    </row>
    <row r="251" spans="11:12" x14ac:dyDescent="0.35">
      <c r="K251" s="127">
        <f t="shared" si="7"/>
        <v>248</v>
      </c>
      <c r="L251">
        <f t="shared" si="6"/>
        <v>0</v>
      </c>
    </row>
    <row r="252" spans="11:12" x14ac:dyDescent="0.35">
      <c r="K252" s="127">
        <f t="shared" si="7"/>
        <v>249</v>
      </c>
      <c r="L252">
        <f t="shared" si="6"/>
        <v>0</v>
      </c>
    </row>
    <row r="253" spans="11:12" x14ac:dyDescent="0.35">
      <c r="K253" s="127">
        <f t="shared" si="7"/>
        <v>250</v>
      </c>
      <c r="L253">
        <f t="shared" si="6"/>
        <v>0</v>
      </c>
    </row>
    <row r="254" spans="11:12" x14ac:dyDescent="0.35">
      <c r="K254" s="127">
        <f t="shared" si="7"/>
        <v>251</v>
      </c>
      <c r="L254">
        <f t="shared" si="6"/>
        <v>0</v>
      </c>
    </row>
    <row r="255" spans="11:12" x14ac:dyDescent="0.35">
      <c r="K255" s="127">
        <f t="shared" si="7"/>
        <v>252</v>
      </c>
      <c r="L255">
        <f t="shared" si="6"/>
        <v>0</v>
      </c>
    </row>
    <row r="256" spans="11:12" x14ac:dyDescent="0.35">
      <c r="K256" s="127">
        <f t="shared" si="7"/>
        <v>253</v>
      </c>
      <c r="L256">
        <f t="shared" si="6"/>
        <v>0</v>
      </c>
    </row>
    <row r="257" spans="11:12" x14ac:dyDescent="0.35">
      <c r="K257" s="127">
        <f t="shared" si="7"/>
        <v>254</v>
      </c>
      <c r="L257">
        <f t="shared" si="6"/>
        <v>0</v>
      </c>
    </row>
    <row r="258" spans="11:12" x14ac:dyDescent="0.35">
      <c r="K258" s="127">
        <f t="shared" si="7"/>
        <v>255</v>
      </c>
      <c r="L258">
        <f t="shared" si="6"/>
        <v>0</v>
      </c>
    </row>
    <row r="259" spans="11:12" x14ac:dyDescent="0.35">
      <c r="K259" s="127">
        <f t="shared" si="7"/>
        <v>256</v>
      </c>
      <c r="L259">
        <f t="shared" si="6"/>
        <v>0</v>
      </c>
    </row>
    <row r="260" spans="11:12" x14ac:dyDescent="0.35">
      <c r="K260" s="127">
        <f t="shared" si="7"/>
        <v>257</v>
      </c>
      <c r="L260">
        <f t="shared" ref="L260:L303" si="8">IFERROR(Monto * (   AND(MOD(Periodo, Frecuencia)=0,Periodo&gt;=PERIODO_INICIAL)   ),0)</f>
        <v>0</v>
      </c>
    </row>
    <row r="261" spans="11:12" x14ac:dyDescent="0.35">
      <c r="K261" s="127">
        <f t="shared" si="7"/>
        <v>258</v>
      </c>
      <c r="L261">
        <f t="shared" si="8"/>
        <v>0</v>
      </c>
    </row>
    <row r="262" spans="11:12" x14ac:dyDescent="0.35">
      <c r="K262" s="127">
        <f t="shared" ref="K262:K303" si="9">K261+1</f>
        <v>259</v>
      </c>
      <c r="L262">
        <f t="shared" si="8"/>
        <v>0</v>
      </c>
    </row>
    <row r="263" spans="11:12" x14ac:dyDescent="0.35">
      <c r="K263" s="127">
        <f t="shared" si="9"/>
        <v>260</v>
      </c>
      <c r="L263">
        <f t="shared" si="8"/>
        <v>0</v>
      </c>
    </row>
    <row r="264" spans="11:12" x14ac:dyDescent="0.35">
      <c r="K264" s="127">
        <f t="shared" si="9"/>
        <v>261</v>
      </c>
      <c r="L264">
        <f t="shared" si="8"/>
        <v>0</v>
      </c>
    </row>
    <row r="265" spans="11:12" x14ac:dyDescent="0.35">
      <c r="K265" s="127">
        <f t="shared" si="9"/>
        <v>262</v>
      </c>
      <c r="L265">
        <f t="shared" si="8"/>
        <v>0</v>
      </c>
    </row>
    <row r="266" spans="11:12" x14ac:dyDescent="0.35">
      <c r="K266" s="127">
        <f t="shared" si="9"/>
        <v>263</v>
      </c>
      <c r="L266">
        <f t="shared" si="8"/>
        <v>0</v>
      </c>
    </row>
    <row r="267" spans="11:12" x14ac:dyDescent="0.35">
      <c r="K267" s="127">
        <f t="shared" si="9"/>
        <v>264</v>
      </c>
      <c r="L267">
        <f t="shared" si="8"/>
        <v>0</v>
      </c>
    </row>
    <row r="268" spans="11:12" x14ac:dyDescent="0.35">
      <c r="K268" s="127">
        <f t="shared" si="9"/>
        <v>265</v>
      </c>
      <c r="L268">
        <f t="shared" si="8"/>
        <v>0</v>
      </c>
    </row>
    <row r="269" spans="11:12" x14ac:dyDescent="0.35">
      <c r="K269" s="127">
        <f t="shared" si="9"/>
        <v>266</v>
      </c>
      <c r="L269">
        <f t="shared" si="8"/>
        <v>0</v>
      </c>
    </row>
    <row r="270" spans="11:12" x14ac:dyDescent="0.35">
      <c r="K270" s="127">
        <f t="shared" si="9"/>
        <v>267</v>
      </c>
      <c r="L270">
        <f t="shared" si="8"/>
        <v>0</v>
      </c>
    </row>
    <row r="271" spans="11:12" x14ac:dyDescent="0.35">
      <c r="K271" s="127">
        <f t="shared" si="9"/>
        <v>268</v>
      </c>
      <c r="L271">
        <f t="shared" si="8"/>
        <v>0</v>
      </c>
    </row>
    <row r="272" spans="11:12" x14ac:dyDescent="0.35">
      <c r="K272" s="127">
        <f t="shared" si="9"/>
        <v>269</v>
      </c>
      <c r="L272">
        <f t="shared" si="8"/>
        <v>0</v>
      </c>
    </row>
    <row r="273" spans="11:12" x14ac:dyDescent="0.35">
      <c r="K273" s="127">
        <f t="shared" si="9"/>
        <v>270</v>
      </c>
      <c r="L273">
        <f t="shared" si="8"/>
        <v>0</v>
      </c>
    </row>
    <row r="274" spans="11:12" x14ac:dyDescent="0.35">
      <c r="K274" s="127">
        <f t="shared" si="9"/>
        <v>271</v>
      </c>
      <c r="L274">
        <f t="shared" si="8"/>
        <v>0</v>
      </c>
    </row>
    <row r="275" spans="11:12" x14ac:dyDescent="0.35">
      <c r="K275" s="127">
        <f t="shared" si="9"/>
        <v>272</v>
      </c>
      <c r="L275">
        <f t="shared" si="8"/>
        <v>0</v>
      </c>
    </row>
    <row r="276" spans="11:12" x14ac:dyDescent="0.35">
      <c r="K276" s="127">
        <f t="shared" si="9"/>
        <v>273</v>
      </c>
      <c r="L276">
        <f t="shared" si="8"/>
        <v>0</v>
      </c>
    </row>
    <row r="277" spans="11:12" x14ac:dyDescent="0.35">
      <c r="K277" s="127">
        <f t="shared" si="9"/>
        <v>274</v>
      </c>
      <c r="L277">
        <f t="shared" si="8"/>
        <v>0</v>
      </c>
    </row>
    <row r="278" spans="11:12" x14ac:dyDescent="0.35">
      <c r="K278" s="127">
        <f t="shared" si="9"/>
        <v>275</v>
      </c>
      <c r="L278">
        <f t="shared" si="8"/>
        <v>0</v>
      </c>
    </row>
    <row r="279" spans="11:12" x14ac:dyDescent="0.35">
      <c r="K279" s="127">
        <f t="shared" si="9"/>
        <v>276</v>
      </c>
      <c r="L279">
        <f t="shared" si="8"/>
        <v>0</v>
      </c>
    </row>
    <row r="280" spans="11:12" x14ac:dyDescent="0.35">
      <c r="K280" s="127">
        <f t="shared" si="9"/>
        <v>277</v>
      </c>
      <c r="L280">
        <f t="shared" si="8"/>
        <v>0</v>
      </c>
    </row>
    <row r="281" spans="11:12" x14ac:dyDescent="0.35">
      <c r="K281" s="127">
        <f t="shared" si="9"/>
        <v>278</v>
      </c>
      <c r="L281">
        <f t="shared" si="8"/>
        <v>0</v>
      </c>
    </row>
    <row r="282" spans="11:12" x14ac:dyDescent="0.35">
      <c r="K282" s="127">
        <f t="shared" si="9"/>
        <v>279</v>
      </c>
      <c r="L282">
        <f t="shared" si="8"/>
        <v>0</v>
      </c>
    </row>
    <row r="283" spans="11:12" x14ac:dyDescent="0.35">
      <c r="K283" s="127">
        <f t="shared" si="9"/>
        <v>280</v>
      </c>
      <c r="L283">
        <f t="shared" si="8"/>
        <v>0</v>
      </c>
    </row>
    <row r="284" spans="11:12" x14ac:dyDescent="0.35">
      <c r="K284" s="127">
        <f t="shared" si="9"/>
        <v>281</v>
      </c>
      <c r="L284">
        <f t="shared" si="8"/>
        <v>0</v>
      </c>
    </row>
    <row r="285" spans="11:12" x14ac:dyDescent="0.35">
      <c r="K285" s="127">
        <f t="shared" si="9"/>
        <v>282</v>
      </c>
      <c r="L285">
        <f t="shared" si="8"/>
        <v>0</v>
      </c>
    </row>
    <row r="286" spans="11:12" x14ac:dyDescent="0.35">
      <c r="K286" s="127">
        <f t="shared" si="9"/>
        <v>283</v>
      </c>
      <c r="L286">
        <f t="shared" si="8"/>
        <v>0</v>
      </c>
    </row>
    <row r="287" spans="11:12" x14ac:dyDescent="0.35">
      <c r="K287" s="127">
        <f t="shared" si="9"/>
        <v>284</v>
      </c>
      <c r="L287">
        <f t="shared" si="8"/>
        <v>0</v>
      </c>
    </row>
    <row r="288" spans="11:12" x14ac:dyDescent="0.35">
      <c r="K288" s="127">
        <f t="shared" si="9"/>
        <v>285</v>
      </c>
      <c r="L288">
        <f t="shared" si="8"/>
        <v>0</v>
      </c>
    </row>
    <row r="289" spans="11:12" x14ac:dyDescent="0.35">
      <c r="K289" s="127">
        <f t="shared" si="9"/>
        <v>286</v>
      </c>
      <c r="L289">
        <f t="shared" si="8"/>
        <v>0</v>
      </c>
    </row>
    <row r="290" spans="11:12" x14ac:dyDescent="0.35">
      <c r="K290" s="127">
        <f t="shared" si="9"/>
        <v>287</v>
      </c>
      <c r="L290">
        <f t="shared" si="8"/>
        <v>0</v>
      </c>
    </row>
    <row r="291" spans="11:12" x14ac:dyDescent="0.35">
      <c r="K291" s="127">
        <f t="shared" si="9"/>
        <v>288</v>
      </c>
      <c r="L291">
        <f t="shared" si="8"/>
        <v>0</v>
      </c>
    </row>
    <row r="292" spans="11:12" x14ac:dyDescent="0.35">
      <c r="K292" s="127">
        <f t="shared" si="9"/>
        <v>289</v>
      </c>
      <c r="L292">
        <f t="shared" si="8"/>
        <v>0</v>
      </c>
    </row>
    <row r="293" spans="11:12" x14ac:dyDescent="0.35">
      <c r="K293" s="127">
        <f t="shared" si="9"/>
        <v>290</v>
      </c>
      <c r="L293">
        <f t="shared" si="8"/>
        <v>0</v>
      </c>
    </row>
    <row r="294" spans="11:12" x14ac:dyDescent="0.35">
      <c r="K294" s="127">
        <f t="shared" si="9"/>
        <v>291</v>
      </c>
      <c r="L294">
        <f t="shared" si="8"/>
        <v>0</v>
      </c>
    </row>
    <row r="295" spans="11:12" x14ac:dyDescent="0.35">
      <c r="K295" s="127">
        <f t="shared" si="9"/>
        <v>292</v>
      </c>
      <c r="L295">
        <f t="shared" si="8"/>
        <v>0</v>
      </c>
    </row>
    <row r="296" spans="11:12" x14ac:dyDescent="0.35">
      <c r="K296" s="127">
        <f t="shared" si="9"/>
        <v>293</v>
      </c>
      <c r="L296">
        <f t="shared" si="8"/>
        <v>0</v>
      </c>
    </row>
    <row r="297" spans="11:12" x14ac:dyDescent="0.35">
      <c r="K297" s="127">
        <f t="shared" si="9"/>
        <v>294</v>
      </c>
      <c r="L297">
        <f t="shared" si="8"/>
        <v>0</v>
      </c>
    </row>
    <row r="298" spans="11:12" x14ac:dyDescent="0.35">
      <c r="K298" s="127">
        <f t="shared" si="9"/>
        <v>295</v>
      </c>
      <c r="L298">
        <f t="shared" si="8"/>
        <v>0</v>
      </c>
    </row>
    <row r="299" spans="11:12" x14ac:dyDescent="0.35">
      <c r="K299" s="127">
        <f t="shared" si="9"/>
        <v>296</v>
      </c>
      <c r="L299">
        <f t="shared" si="8"/>
        <v>0</v>
      </c>
    </row>
    <row r="300" spans="11:12" x14ac:dyDescent="0.35">
      <c r="K300" s="127">
        <f t="shared" si="9"/>
        <v>297</v>
      </c>
      <c r="L300">
        <f t="shared" si="8"/>
        <v>0</v>
      </c>
    </row>
    <row r="301" spans="11:12" x14ac:dyDescent="0.35">
      <c r="K301" s="127">
        <f t="shared" si="9"/>
        <v>298</v>
      </c>
      <c r="L301">
        <f t="shared" si="8"/>
        <v>0</v>
      </c>
    </row>
    <row r="302" spans="11:12" x14ac:dyDescent="0.35">
      <c r="K302" s="127">
        <f t="shared" si="9"/>
        <v>299</v>
      </c>
      <c r="L302">
        <f t="shared" si="8"/>
        <v>0</v>
      </c>
    </row>
    <row r="303" spans="11:12" x14ac:dyDescent="0.35">
      <c r="K303" s="127">
        <f t="shared" si="9"/>
        <v>300</v>
      </c>
      <c r="L303">
        <f t="shared" si="8"/>
        <v>0</v>
      </c>
    </row>
  </sheetData>
  <pageMargins left="0.7" right="0.7" top="0.75" bottom="0.75" header="0.3" footer="0.3"/>
  <pageSetup orientation="portrait" horizontalDpi="4294967295" verticalDpi="4294967295"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1AFE9-BD8B-491D-AA1D-95788B5EB200}">
  <sheetPr codeName="Hoja12"/>
  <dimension ref="B1:J26"/>
  <sheetViews>
    <sheetView topLeftCell="A16" workbookViewId="0">
      <selection activeCell="G5" sqref="G5"/>
    </sheetView>
  </sheetViews>
  <sheetFormatPr baseColWidth="10" defaultRowHeight="14.5" x14ac:dyDescent="0.35"/>
  <cols>
    <col min="10" max="10" width="11.453125" style="127"/>
  </cols>
  <sheetData>
    <row r="1" spans="2:10" x14ac:dyDescent="0.35">
      <c r="E1" s="127">
        <f>VLOOKUP('Tabla de Pagos Crecientes'!$C$3,E3:F5,2,0)</f>
        <v>9.5</v>
      </c>
      <c r="G1" s="578">
        <f>VLOOKUP(E1,F3:G5,2,0)</f>
        <v>2.831901037488907E-2</v>
      </c>
    </row>
    <row r="2" spans="2:10" x14ac:dyDescent="0.35">
      <c r="C2" s="105">
        <v>0.11</v>
      </c>
      <c r="D2" s="610" t="s">
        <v>582</v>
      </c>
      <c r="E2" s="7" t="s">
        <v>194</v>
      </c>
      <c r="F2" s="7" t="s">
        <v>74</v>
      </c>
      <c r="G2" s="7" t="s">
        <v>75</v>
      </c>
      <c r="I2">
        <v>14</v>
      </c>
      <c r="J2" s="611">
        <f>+E1</f>
        <v>9.5</v>
      </c>
    </row>
    <row r="3" spans="2:10" x14ac:dyDescent="0.35">
      <c r="B3" s="97">
        <v>2.5000000000000001E-3</v>
      </c>
      <c r="C3" s="105">
        <v>0.11</v>
      </c>
      <c r="D3" s="127">
        <v>38</v>
      </c>
      <c r="E3" s="8">
        <v>180</v>
      </c>
      <c r="F3" s="8">
        <v>10.76</v>
      </c>
      <c r="G3" s="10">
        <v>2.8710865597210013E-2</v>
      </c>
      <c r="I3">
        <f>+I2+12</f>
        <v>26</v>
      </c>
      <c r="J3" s="611">
        <f>+J2</f>
        <v>9.5</v>
      </c>
    </row>
    <row r="4" spans="2:10" x14ac:dyDescent="0.35">
      <c r="B4" s="97">
        <v>2.5000000000000001E-3</v>
      </c>
      <c r="C4" s="105">
        <v>0.11</v>
      </c>
      <c r="D4" s="127">
        <v>74</v>
      </c>
      <c r="E4" s="8">
        <v>240</v>
      </c>
      <c r="F4" s="15">
        <v>9.5</v>
      </c>
      <c r="G4" s="10">
        <v>2.831901037488907E-2</v>
      </c>
      <c r="I4">
        <f t="shared" ref="I4:I26" si="0">+I3+12</f>
        <v>38</v>
      </c>
      <c r="J4" s="611">
        <f>+J3</f>
        <v>9.5</v>
      </c>
    </row>
    <row r="5" spans="2:10" x14ac:dyDescent="0.35">
      <c r="E5" s="8">
        <v>300</v>
      </c>
      <c r="F5" s="15">
        <v>9.3000000000000007</v>
      </c>
      <c r="G5" s="10">
        <v>1.66E-2</v>
      </c>
      <c r="I5">
        <f t="shared" si="0"/>
        <v>50</v>
      </c>
      <c r="J5" s="611">
        <f>+J4</f>
        <v>9.5</v>
      </c>
    </row>
    <row r="6" spans="2:10" x14ac:dyDescent="0.35">
      <c r="C6" s="120"/>
      <c r="I6">
        <f t="shared" si="0"/>
        <v>62</v>
      </c>
      <c r="J6" s="611">
        <f>+J5*(1+$G$1)</f>
        <v>9.7690305985614465</v>
      </c>
    </row>
    <row r="7" spans="2:10" x14ac:dyDescent="0.35">
      <c r="D7" s="14"/>
      <c r="E7" s="14"/>
      <c r="F7" s="612"/>
      <c r="I7">
        <f t="shared" si="0"/>
        <v>74</v>
      </c>
      <c r="J7" s="611">
        <f t="shared" ref="J7:J26" si="1">+J6*(1+$G$1)</f>
        <v>10.045679877434718</v>
      </c>
    </row>
    <row r="8" spans="2:10" x14ac:dyDescent="0.35">
      <c r="D8" s="14"/>
      <c r="E8" s="14"/>
      <c r="F8" s="612"/>
      <c r="I8">
        <f t="shared" si="0"/>
        <v>86</v>
      </c>
      <c r="J8" s="611">
        <f t="shared" si="1"/>
        <v>10.330163590106608</v>
      </c>
    </row>
    <row r="9" spans="2:10" x14ac:dyDescent="0.35">
      <c r="I9">
        <f t="shared" si="0"/>
        <v>98</v>
      </c>
      <c r="J9" s="611">
        <f t="shared" si="1"/>
        <v>10.622703599989139</v>
      </c>
    </row>
    <row r="10" spans="2:10" x14ac:dyDescent="0.35">
      <c r="I10">
        <f t="shared" si="0"/>
        <v>110</v>
      </c>
      <c r="J10" s="611">
        <f t="shared" si="1"/>
        <v>10.923528053446603</v>
      </c>
    </row>
    <row r="11" spans="2:10" x14ac:dyDescent="0.35">
      <c r="I11">
        <f t="shared" si="0"/>
        <v>122</v>
      </c>
      <c r="J11" s="611">
        <f t="shared" si="1"/>
        <v>11.23287155772255</v>
      </c>
    </row>
    <row r="12" spans="2:10" x14ac:dyDescent="0.35">
      <c r="I12">
        <f t="shared" si="0"/>
        <v>134</v>
      </c>
      <c r="J12" s="611">
        <f t="shared" si="1"/>
        <v>11.550975363905492</v>
      </c>
    </row>
    <row r="13" spans="2:10" x14ac:dyDescent="0.35">
      <c r="I13">
        <f t="shared" si="0"/>
        <v>146</v>
      </c>
      <c r="J13" s="611">
        <f t="shared" si="1"/>
        <v>11.87808755507602</v>
      </c>
    </row>
    <row r="14" spans="2:10" x14ac:dyDescent="0.35">
      <c r="I14">
        <f>+I13+12</f>
        <v>158</v>
      </c>
      <c r="J14" s="611">
        <f t="shared" si="1"/>
        <v>12.214463239782059</v>
      </c>
    </row>
    <row r="15" spans="2:10" x14ac:dyDescent="0.35">
      <c r="I15">
        <f t="shared" si="0"/>
        <v>170</v>
      </c>
      <c r="J15" s="611">
        <f t="shared" si="1"/>
        <v>12.56036475099315</v>
      </c>
    </row>
    <row r="16" spans="2:10" x14ac:dyDescent="0.35">
      <c r="I16">
        <f t="shared" si="0"/>
        <v>182</v>
      </c>
      <c r="J16" s="611">
        <f t="shared" si="1"/>
        <v>12.916061850688918</v>
      </c>
    </row>
    <row r="17" spans="9:10" x14ac:dyDescent="0.35">
      <c r="I17">
        <f t="shared" si="0"/>
        <v>194</v>
      </c>
      <c r="J17" s="611">
        <f t="shared" si="1"/>
        <v>13.281831940241288</v>
      </c>
    </row>
    <row r="18" spans="9:10" x14ac:dyDescent="0.35">
      <c r="I18">
        <f t="shared" si="0"/>
        <v>206</v>
      </c>
      <c r="J18" s="611">
        <f t="shared" si="1"/>
        <v>13.657960276754515</v>
      </c>
    </row>
    <row r="19" spans="9:10" x14ac:dyDescent="0.35">
      <c r="I19">
        <f>+I18+12</f>
        <v>218</v>
      </c>
      <c r="J19" s="611">
        <f t="shared" si="1"/>
        <v>14.04474019553175</v>
      </c>
    </row>
    <row r="20" spans="9:10" x14ac:dyDescent="0.35">
      <c r="I20">
        <f t="shared" si="0"/>
        <v>230</v>
      </c>
      <c r="J20" s="611">
        <f t="shared" si="1"/>
        <v>14.442473338841637</v>
      </c>
    </row>
    <row r="21" spans="9:10" x14ac:dyDescent="0.35">
      <c r="I21">
        <f t="shared" si="0"/>
        <v>242</v>
      </c>
      <c r="J21" s="611">
        <f t="shared" si="1"/>
        <v>14.851469891163353</v>
      </c>
    </row>
    <row r="22" spans="9:10" x14ac:dyDescent="0.35">
      <c r="I22">
        <f t="shared" si="0"/>
        <v>254</v>
      </c>
      <c r="J22" s="611">
        <f t="shared" si="1"/>
        <v>15.272048821093561</v>
      </c>
    </row>
    <row r="23" spans="9:10" x14ac:dyDescent="0.35">
      <c r="I23">
        <f t="shared" si="0"/>
        <v>266</v>
      </c>
      <c r="J23" s="611">
        <f t="shared" si="1"/>
        <v>15.704538130103924</v>
      </c>
    </row>
    <row r="24" spans="9:10" x14ac:dyDescent="0.35">
      <c r="I24">
        <f t="shared" si="0"/>
        <v>278</v>
      </c>
      <c r="J24" s="611">
        <f t="shared" si="1"/>
        <v>16.149275108343179</v>
      </c>
    </row>
    <row r="25" spans="9:10" x14ac:dyDescent="0.35">
      <c r="I25">
        <f t="shared" si="0"/>
        <v>290</v>
      </c>
      <c r="J25" s="611">
        <f t="shared" si="1"/>
        <v>16.606606597683289</v>
      </c>
    </row>
    <row r="26" spans="9:10" x14ac:dyDescent="0.35">
      <c r="I26">
        <f t="shared" si="0"/>
        <v>302</v>
      </c>
      <c r="J26" s="611">
        <f t="shared" si="1"/>
        <v>17.076889262214785</v>
      </c>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FA4A8-B2FC-447B-B22E-2B4EA60A332D}">
  <sheetPr codeName="Hoja24"/>
  <dimension ref="A1:F14"/>
  <sheetViews>
    <sheetView workbookViewId="0">
      <selection activeCell="A8" sqref="A8:E12"/>
    </sheetView>
  </sheetViews>
  <sheetFormatPr baseColWidth="10" defaultRowHeight="14.5" x14ac:dyDescent="0.35"/>
  <cols>
    <col min="1" max="1" width="22.453125" bestFit="1" customWidth="1"/>
    <col min="2" max="2" width="14.1796875" bestFit="1" customWidth="1"/>
    <col min="5" max="5" width="14" bestFit="1" customWidth="1"/>
  </cols>
  <sheetData>
    <row r="1" spans="1:6" x14ac:dyDescent="0.35">
      <c r="E1" t="s">
        <v>262</v>
      </c>
      <c r="F1">
        <f>Simulador!$F$19</f>
        <v>240</v>
      </c>
    </row>
    <row r="2" spans="1:6" x14ac:dyDescent="0.35">
      <c r="A2" t="s">
        <v>485</v>
      </c>
      <c r="B2" s="109">
        <f>Simulador!$N$11</f>
        <v>3498000</v>
      </c>
      <c r="E2" t="s">
        <v>534</v>
      </c>
      <c r="F2">
        <v>12</v>
      </c>
    </row>
    <row r="3" spans="1:6" x14ac:dyDescent="0.35">
      <c r="A3" t="s">
        <v>530</v>
      </c>
      <c r="B3" s="109">
        <f>Simulador!$H$24+Simulador!$I$24</f>
        <v>0</v>
      </c>
      <c r="E3" t="s">
        <v>23</v>
      </c>
      <c r="F3" s="563">
        <v>9.4899999999999998E-2</v>
      </c>
    </row>
    <row r="4" spans="1:6" x14ac:dyDescent="0.35">
      <c r="A4" t="s">
        <v>531</v>
      </c>
      <c r="B4" s="109">
        <f>Simulador!$H$25+Simulador!$I$25</f>
        <v>0</v>
      </c>
    </row>
    <row r="5" spans="1:6" x14ac:dyDescent="0.35">
      <c r="A5" t="s">
        <v>491</v>
      </c>
      <c r="B5" s="559">
        <f>+B3/B7</f>
        <v>0</v>
      </c>
    </row>
    <row r="6" spans="1:6" x14ac:dyDescent="0.35">
      <c r="A6" t="s">
        <v>261</v>
      </c>
      <c r="B6" s="109">
        <v>75000</v>
      </c>
    </row>
    <row r="7" spans="1:6" x14ac:dyDescent="0.35">
      <c r="A7" t="s">
        <v>532</v>
      </c>
      <c r="B7" s="558">
        <v>2</v>
      </c>
    </row>
    <row r="8" spans="1:6" x14ac:dyDescent="0.35">
      <c r="A8" t="s">
        <v>237</v>
      </c>
      <c r="B8" s="109">
        <f>+B2*B9</f>
        <v>3323100</v>
      </c>
    </row>
    <row r="9" spans="1:6" x14ac:dyDescent="0.35">
      <c r="A9" t="s">
        <v>533</v>
      </c>
      <c r="B9" s="556">
        <v>0.95</v>
      </c>
    </row>
    <row r="10" spans="1:6" x14ac:dyDescent="0.35">
      <c r="A10" t="s">
        <v>492</v>
      </c>
      <c r="B10" s="448">
        <f>IF(MAX(-PV(F3/F2,F1,B5),B6)&gt;B8,B8,MAX(-PV(F3/F2,F1,B5)))</f>
        <v>0</v>
      </c>
      <c r="C10" t="s">
        <v>264</v>
      </c>
    </row>
    <row r="11" spans="1:6" x14ac:dyDescent="0.35">
      <c r="A11" t="s">
        <v>535</v>
      </c>
      <c r="B11" s="109">
        <f>+B2-B4</f>
        <v>3498000</v>
      </c>
    </row>
    <row r="12" spans="1:6" x14ac:dyDescent="0.35">
      <c r="A12" t="s">
        <v>537</v>
      </c>
      <c r="B12" s="109">
        <f>Simulador!$H$28</f>
        <v>0</v>
      </c>
    </row>
    <row r="13" spans="1:6" x14ac:dyDescent="0.35">
      <c r="A13" t="s">
        <v>538</v>
      </c>
      <c r="B13" s="109">
        <f>+B11-B12</f>
        <v>3498000</v>
      </c>
    </row>
    <row r="14" spans="1:6" x14ac:dyDescent="0.35">
      <c r="A14" s="437" t="s">
        <v>243</v>
      </c>
      <c r="B14" s="438">
        <f>IF(B13&gt;B10,B10,B13)</f>
        <v>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7C928-6B45-4EA4-AA55-06C285FC58AF}">
  <sheetPr codeName="Hoja22"/>
  <dimension ref="A1:G241"/>
  <sheetViews>
    <sheetView workbookViewId="0">
      <selection activeCell="A8" sqref="A8:E12"/>
    </sheetView>
  </sheetViews>
  <sheetFormatPr baseColWidth="10" defaultRowHeight="14.5" x14ac:dyDescent="0.35"/>
  <cols>
    <col min="1" max="1" width="29" bestFit="1" customWidth="1"/>
    <col min="2" max="2" width="14.7265625" bestFit="1" customWidth="1"/>
    <col min="6" max="6" width="16.54296875" bestFit="1" customWidth="1"/>
  </cols>
  <sheetData>
    <row r="1" spans="1:7" x14ac:dyDescent="0.35">
      <c r="A1" t="s">
        <v>281</v>
      </c>
      <c r="B1" s="556">
        <v>0.05</v>
      </c>
      <c r="E1" s="134" t="s">
        <v>16</v>
      </c>
      <c r="F1" s="134" t="s">
        <v>529</v>
      </c>
    </row>
    <row r="2" spans="1:7" x14ac:dyDescent="0.35">
      <c r="A2" t="s">
        <v>282</v>
      </c>
      <c r="B2" s="127">
        <v>2</v>
      </c>
      <c r="E2" s="127">
        <v>1</v>
      </c>
      <c r="F2" s="557">
        <v>0</v>
      </c>
      <c r="G2" s="347">
        <f>F2</f>
        <v>0</v>
      </c>
    </row>
    <row r="3" spans="1:7" x14ac:dyDescent="0.35">
      <c r="A3" t="s">
        <v>524</v>
      </c>
      <c r="B3" s="555">
        <f>Simulador!$H$24+Simulador!$I$24</f>
        <v>0</v>
      </c>
      <c r="E3" s="127">
        <f>+E2+1</f>
        <v>2</v>
      </c>
      <c r="F3" s="557">
        <v>0</v>
      </c>
      <c r="G3" s="347">
        <f t="shared" ref="G3:G66" si="0">F3</f>
        <v>0</v>
      </c>
    </row>
    <row r="4" spans="1:7" x14ac:dyDescent="0.35">
      <c r="A4" t="s">
        <v>525</v>
      </c>
      <c r="B4" s="555">
        <f>+B3*B1</f>
        <v>0</v>
      </c>
      <c r="E4" s="127">
        <f t="shared" ref="E4:E67" si="1">+E3+1</f>
        <v>3</v>
      </c>
      <c r="F4" s="557">
        <v>0</v>
      </c>
      <c r="G4" s="347">
        <f t="shared" si="0"/>
        <v>0</v>
      </c>
    </row>
    <row r="5" spans="1:7" x14ac:dyDescent="0.35">
      <c r="A5" t="s">
        <v>526</v>
      </c>
      <c r="B5" s="557">
        <f>+B4*B2</f>
        <v>0</v>
      </c>
      <c r="E5" s="127">
        <f t="shared" si="1"/>
        <v>4</v>
      </c>
      <c r="F5" s="557">
        <f>IF(ISEVEN(E5),$B$5,0)</f>
        <v>0</v>
      </c>
      <c r="G5" s="347">
        <f t="shared" si="0"/>
        <v>0</v>
      </c>
    </row>
    <row r="6" spans="1:7" x14ac:dyDescent="0.35">
      <c r="A6" t="s">
        <v>527</v>
      </c>
      <c r="B6" s="556">
        <v>0.03</v>
      </c>
      <c r="E6" s="127">
        <f t="shared" si="1"/>
        <v>5</v>
      </c>
      <c r="F6" s="557">
        <f t="shared" ref="F6:F69" si="2">IF(ISEVEN(E6),$B$5,0)</f>
        <v>0</v>
      </c>
      <c r="G6" s="347">
        <f t="shared" si="0"/>
        <v>0</v>
      </c>
    </row>
    <row r="7" spans="1:7" x14ac:dyDescent="0.35">
      <c r="A7" t="s">
        <v>528</v>
      </c>
      <c r="B7" s="127">
        <v>4</v>
      </c>
      <c r="E7" s="127">
        <f t="shared" si="1"/>
        <v>6</v>
      </c>
      <c r="F7" s="557">
        <f t="shared" si="2"/>
        <v>0</v>
      </c>
      <c r="G7" s="347">
        <f t="shared" si="0"/>
        <v>0</v>
      </c>
    </row>
    <row r="8" spans="1:7" x14ac:dyDescent="0.35">
      <c r="E8" s="127">
        <f t="shared" si="1"/>
        <v>7</v>
      </c>
      <c r="F8" s="557">
        <f t="shared" si="2"/>
        <v>0</v>
      </c>
      <c r="G8" s="347">
        <f t="shared" si="0"/>
        <v>0</v>
      </c>
    </row>
    <row r="9" spans="1:7" x14ac:dyDescent="0.35">
      <c r="E9" s="127">
        <f t="shared" si="1"/>
        <v>8</v>
      </c>
      <c r="F9" s="557">
        <f t="shared" si="2"/>
        <v>0</v>
      </c>
      <c r="G9" s="347">
        <f t="shared" si="0"/>
        <v>0</v>
      </c>
    </row>
    <row r="10" spans="1:7" x14ac:dyDescent="0.35">
      <c r="E10" s="127">
        <f t="shared" si="1"/>
        <v>9</v>
      </c>
      <c r="F10" s="557">
        <f t="shared" si="2"/>
        <v>0</v>
      </c>
      <c r="G10" s="347">
        <f t="shared" si="0"/>
        <v>0</v>
      </c>
    </row>
    <row r="11" spans="1:7" x14ac:dyDescent="0.35">
      <c r="E11" s="127">
        <f t="shared" si="1"/>
        <v>10</v>
      </c>
      <c r="F11" s="557">
        <f t="shared" si="2"/>
        <v>0</v>
      </c>
      <c r="G11" s="347">
        <f t="shared" si="0"/>
        <v>0</v>
      </c>
    </row>
    <row r="12" spans="1:7" x14ac:dyDescent="0.35">
      <c r="E12" s="127">
        <f t="shared" si="1"/>
        <v>11</v>
      </c>
      <c r="F12" s="557">
        <f t="shared" si="2"/>
        <v>0</v>
      </c>
      <c r="G12" s="347">
        <f t="shared" si="0"/>
        <v>0</v>
      </c>
    </row>
    <row r="13" spans="1:7" x14ac:dyDescent="0.35">
      <c r="E13" s="127">
        <f t="shared" si="1"/>
        <v>12</v>
      </c>
      <c r="F13" s="557">
        <f t="shared" si="2"/>
        <v>0</v>
      </c>
      <c r="G13" s="347">
        <f t="shared" si="0"/>
        <v>0</v>
      </c>
    </row>
    <row r="14" spans="1:7" x14ac:dyDescent="0.35">
      <c r="E14" s="127">
        <f t="shared" si="1"/>
        <v>13</v>
      </c>
      <c r="F14" s="557">
        <f t="shared" si="2"/>
        <v>0</v>
      </c>
      <c r="G14" s="347">
        <f t="shared" si="0"/>
        <v>0</v>
      </c>
    </row>
    <row r="15" spans="1:7" x14ac:dyDescent="0.35">
      <c r="D15" s="121"/>
      <c r="E15" s="127">
        <f t="shared" si="1"/>
        <v>14</v>
      </c>
      <c r="F15" s="557">
        <f t="shared" si="2"/>
        <v>0</v>
      </c>
      <c r="G15" s="347">
        <f t="shared" si="0"/>
        <v>0</v>
      </c>
    </row>
    <row r="16" spans="1:7" x14ac:dyDescent="0.35">
      <c r="D16" s="121"/>
      <c r="E16" s="127">
        <f t="shared" si="1"/>
        <v>15</v>
      </c>
      <c r="F16" s="557">
        <f t="shared" si="2"/>
        <v>0</v>
      </c>
      <c r="G16" s="347">
        <f t="shared" si="0"/>
        <v>0</v>
      </c>
    </row>
    <row r="17" spans="4:7" x14ac:dyDescent="0.35">
      <c r="D17" s="121"/>
      <c r="E17" s="127">
        <f t="shared" si="1"/>
        <v>16</v>
      </c>
      <c r="F17" s="557">
        <f t="shared" si="2"/>
        <v>0</v>
      </c>
      <c r="G17" s="347">
        <f t="shared" si="0"/>
        <v>0</v>
      </c>
    </row>
    <row r="18" spans="4:7" x14ac:dyDescent="0.35">
      <c r="D18" s="121"/>
      <c r="E18" s="127">
        <f t="shared" si="1"/>
        <v>17</v>
      </c>
      <c r="F18" s="557">
        <f t="shared" si="2"/>
        <v>0</v>
      </c>
      <c r="G18" s="347">
        <f t="shared" si="0"/>
        <v>0</v>
      </c>
    </row>
    <row r="19" spans="4:7" x14ac:dyDescent="0.35">
      <c r="D19" s="121"/>
      <c r="E19" s="127">
        <f t="shared" si="1"/>
        <v>18</v>
      </c>
      <c r="F19" s="557">
        <f t="shared" si="2"/>
        <v>0</v>
      </c>
      <c r="G19" s="347">
        <f t="shared" si="0"/>
        <v>0</v>
      </c>
    </row>
    <row r="20" spans="4:7" x14ac:dyDescent="0.35">
      <c r="D20" s="121"/>
      <c r="E20" s="127">
        <f t="shared" si="1"/>
        <v>19</v>
      </c>
      <c r="F20" s="557">
        <f t="shared" si="2"/>
        <v>0</v>
      </c>
      <c r="G20" s="347">
        <f t="shared" si="0"/>
        <v>0</v>
      </c>
    </row>
    <row r="21" spans="4:7" x14ac:dyDescent="0.35">
      <c r="D21" s="121"/>
      <c r="E21" s="127">
        <f t="shared" si="1"/>
        <v>20</v>
      </c>
      <c r="F21" s="557">
        <f t="shared" si="2"/>
        <v>0</v>
      </c>
      <c r="G21" s="347">
        <f t="shared" si="0"/>
        <v>0</v>
      </c>
    </row>
    <row r="22" spans="4:7" x14ac:dyDescent="0.35">
      <c r="D22" s="121"/>
      <c r="E22" s="127">
        <f t="shared" si="1"/>
        <v>21</v>
      </c>
      <c r="F22" s="557">
        <f t="shared" si="2"/>
        <v>0</v>
      </c>
      <c r="G22" s="347">
        <f t="shared" si="0"/>
        <v>0</v>
      </c>
    </row>
    <row r="23" spans="4:7" x14ac:dyDescent="0.35">
      <c r="D23" s="121"/>
      <c r="E23" s="127">
        <f t="shared" si="1"/>
        <v>22</v>
      </c>
      <c r="F23" s="557">
        <f t="shared" si="2"/>
        <v>0</v>
      </c>
      <c r="G23" s="347">
        <f t="shared" si="0"/>
        <v>0</v>
      </c>
    </row>
    <row r="24" spans="4:7" x14ac:dyDescent="0.35">
      <c r="D24" s="121"/>
      <c r="E24" s="127">
        <f t="shared" si="1"/>
        <v>23</v>
      </c>
      <c r="F24" s="557">
        <f t="shared" si="2"/>
        <v>0</v>
      </c>
      <c r="G24" s="347">
        <f t="shared" si="0"/>
        <v>0</v>
      </c>
    </row>
    <row r="25" spans="4:7" x14ac:dyDescent="0.35">
      <c r="D25" s="121"/>
      <c r="E25" s="127">
        <f t="shared" si="1"/>
        <v>24</v>
      </c>
      <c r="F25" s="557">
        <f t="shared" si="2"/>
        <v>0</v>
      </c>
      <c r="G25" s="347">
        <f t="shared" si="0"/>
        <v>0</v>
      </c>
    </row>
    <row r="26" spans="4:7" x14ac:dyDescent="0.35">
      <c r="D26" s="121"/>
      <c r="E26" s="127">
        <f t="shared" si="1"/>
        <v>25</v>
      </c>
      <c r="F26" s="557">
        <f t="shared" si="2"/>
        <v>0</v>
      </c>
      <c r="G26" s="347">
        <f t="shared" si="0"/>
        <v>0</v>
      </c>
    </row>
    <row r="27" spans="4:7" x14ac:dyDescent="0.35">
      <c r="D27" s="121"/>
      <c r="E27" s="127">
        <f t="shared" si="1"/>
        <v>26</v>
      </c>
      <c r="F27" s="557">
        <f t="shared" si="2"/>
        <v>0</v>
      </c>
      <c r="G27" s="347">
        <f t="shared" si="0"/>
        <v>0</v>
      </c>
    </row>
    <row r="28" spans="4:7" x14ac:dyDescent="0.35">
      <c r="E28" s="127">
        <f t="shared" si="1"/>
        <v>27</v>
      </c>
      <c r="F28" s="557">
        <f t="shared" si="2"/>
        <v>0</v>
      </c>
      <c r="G28" s="347">
        <f t="shared" si="0"/>
        <v>0</v>
      </c>
    </row>
    <row r="29" spans="4:7" x14ac:dyDescent="0.35">
      <c r="E29" s="127">
        <f t="shared" si="1"/>
        <v>28</v>
      </c>
      <c r="F29" s="557">
        <f t="shared" si="2"/>
        <v>0</v>
      </c>
      <c r="G29" s="347">
        <f t="shared" si="0"/>
        <v>0</v>
      </c>
    </row>
    <row r="30" spans="4:7" x14ac:dyDescent="0.35">
      <c r="E30" s="127">
        <f t="shared" si="1"/>
        <v>29</v>
      </c>
      <c r="F30" s="557">
        <f t="shared" si="2"/>
        <v>0</v>
      </c>
      <c r="G30" s="347">
        <f t="shared" si="0"/>
        <v>0</v>
      </c>
    </row>
    <row r="31" spans="4:7" x14ac:dyDescent="0.35">
      <c r="E31" s="127">
        <f t="shared" si="1"/>
        <v>30</v>
      </c>
      <c r="F31" s="557">
        <f t="shared" si="2"/>
        <v>0</v>
      </c>
      <c r="G31" s="347">
        <f t="shared" si="0"/>
        <v>0</v>
      </c>
    </row>
    <row r="32" spans="4:7" x14ac:dyDescent="0.35">
      <c r="E32" s="127">
        <f t="shared" si="1"/>
        <v>31</v>
      </c>
      <c r="F32" s="557">
        <f t="shared" si="2"/>
        <v>0</v>
      </c>
      <c r="G32" s="347">
        <f t="shared" si="0"/>
        <v>0</v>
      </c>
    </row>
    <row r="33" spans="5:7" x14ac:dyDescent="0.35">
      <c r="E33" s="127">
        <f t="shared" si="1"/>
        <v>32</v>
      </c>
      <c r="F33" s="557">
        <f t="shared" si="2"/>
        <v>0</v>
      </c>
      <c r="G33" s="347">
        <f t="shared" si="0"/>
        <v>0</v>
      </c>
    </row>
    <row r="34" spans="5:7" x14ac:dyDescent="0.35">
      <c r="E34" s="127">
        <f t="shared" si="1"/>
        <v>33</v>
      </c>
      <c r="F34" s="557">
        <f t="shared" si="2"/>
        <v>0</v>
      </c>
      <c r="G34" s="347">
        <f t="shared" si="0"/>
        <v>0</v>
      </c>
    </row>
    <row r="35" spans="5:7" x14ac:dyDescent="0.35">
      <c r="E35" s="127">
        <f t="shared" si="1"/>
        <v>34</v>
      </c>
      <c r="F35" s="557">
        <f t="shared" si="2"/>
        <v>0</v>
      </c>
      <c r="G35" s="347">
        <f t="shared" si="0"/>
        <v>0</v>
      </c>
    </row>
    <row r="36" spans="5:7" x14ac:dyDescent="0.35">
      <c r="E36" s="127">
        <f t="shared" si="1"/>
        <v>35</v>
      </c>
      <c r="F36" s="557">
        <f t="shared" si="2"/>
        <v>0</v>
      </c>
      <c r="G36" s="347">
        <f t="shared" si="0"/>
        <v>0</v>
      </c>
    </row>
    <row r="37" spans="5:7" x14ac:dyDescent="0.35">
      <c r="E37" s="127">
        <f t="shared" si="1"/>
        <v>36</v>
      </c>
      <c r="F37" s="557">
        <f t="shared" si="2"/>
        <v>0</v>
      </c>
      <c r="G37" s="347">
        <f t="shared" si="0"/>
        <v>0</v>
      </c>
    </row>
    <row r="38" spans="5:7" x14ac:dyDescent="0.35">
      <c r="E38" s="127">
        <f t="shared" si="1"/>
        <v>37</v>
      </c>
      <c r="F38" s="557">
        <f t="shared" si="2"/>
        <v>0</v>
      </c>
      <c r="G38" s="347">
        <f t="shared" si="0"/>
        <v>0</v>
      </c>
    </row>
    <row r="39" spans="5:7" x14ac:dyDescent="0.35">
      <c r="E39" s="127">
        <f t="shared" si="1"/>
        <v>38</v>
      </c>
      <c r="F39" s="557">
        <f t="shared" si="2"/>
        <v>0</v>
      </c>
      <c r="G39" s="347">
        <f t="shared" si="0"/>
        <v>0</v>
      </c>
    </row>
    <row r="40" spans="5:7" x14ac:dyDescent="0.35">
      <c r="E40" s="127">
        <f t="shared" si="1"/>
        <v>39</v>
      </c>
      <c r="F40" s="557">
        <f t="shared" si="2"/>
        <v>0</v>
      </c>
      <c r="G40" s="347">
        <f t="shared" si="0"/>
        <v>0</v>
      </c>
    </row>
    <row r="41" spans="5:7" x14ac:dyDescent="0.35">
      <c r="E41" s="127">
        <f t="shared" si="1"/>
        <v>40</v>
      </c>
      <c r="F41" s="557">
        <f t="shared" si="2"/>
        <v>0</v>
      </c>
      <c r="G41" s="347">
        <f t="shared" si="0"/>
        <v>0</v>
      </c>
    </row>
    <row r="42" spans="5:7" x14ac:dyDescent="0.35">
      <c r="E42" s="127">
        <f t="shared" si="1"/>
        <v>41</v>
      </c>
      <c r="F42" s="557">
        <f t="shared" si="2"/>
        <v>0</v>
      </c>
      <c r="G42" s="347">
        <f t="shared" si="0"/>
        <v>0</v>
      </c>
    </row>
    <row r="43" spans="5:7" x14ac:dyDescent="0.35">
      <c r="E43" s="127">
        <f t="shared" si="1"/>
        <v>42</v>
      </c>
      <c r="F43" s="557">
        <f t="shared" si="2"/>
        <v>0</v>
      </c>
      <c r="G43" s="347">
        <f t="shared" si="0"/>
        <v>0</v>
      </c>
    </row>
    <row r="44" spans="5:7" x14ac:dyDescent="0.35">
      <c r="E44" s="127">
        <f t="shared" si="1"/>
        <v>43</v>
      </c>
      <c r="F44" s="557">
        <f t="shared" si="2"/>
        <v>0</v>
      </c>
      <c r="G44" s="347">
        <f t="shared" si="0"/>
        <v>0</v>
      </c>
    </row>
    <row r="45" spans="5:7" x14ac:dyDescent="0.35">
      <c r="E45" s="127">
        <f t="shared" si="1"/>
        <v>44</v>
      </c>
      <c r="F45" s="557">
        <f t="shared" si="2"/>
        <v>0</v>
      </c>
      <c r="G45" s="347">
        <f t="shared" si="0"/>
        <v>0</v>
      </c>
    </row>
    <row r="46" spans="5:7" x14ac:dyDescent="0.35">
      <c r="E46" s="127">
        <f t="shared" si="1"/>
        <v>45</v>
      </c>
      <c r="F46" s="557">
        <f t="shared" si="2"/>
        <v>0</v>
      </c>
      <c r="G46" s="347">
        <f t="shared" si="0"/>
        <v>0</v>
      </c>
    </row>
    <row r="47" spans="5:7" x14ac:dyDescent="0.35">
      <c r="E47" s="127">
        <f t="shared" si="1"/>
        <v>46</v>
      </c>
      <c r="F47" s="557">
        <f t="shared" si="2"/>
        <v>0</v>
      </c>
      <c r="G47" s="347">
        <f t="shared" si="0"/>
        <v>0</v>
      </c>
    </row>
    <row r="48" spans="5:7" x14ac:dyDescent="0.35">
      <c r="E48" s="127">
        <f t="shared" si="1"/>
        <v>47</v>
      </c>
      <c r="F48" s="557">
        <f t="shared" si="2"/>
        <v>0</v>
      </c>
      <c r="G48" s="347">
        <f t="shared" si="0"/>
        <v>0</v>
      </c>
    </row>
    <row r="49" spans="5:7" x14ac:dyDescent="0.35">
      <c r="E49" s="127">
        <f t="shared" si="1"/>
        <v>48</v>
      </c>
      <c r="F49" s="557">
        <f t="shared" si="2"/>
        <v>0</v>
      </c>
      <c r="G49" s="347">
        <f t="shared" si="0"/>
        <v>0</v>
      </c>
    </row>
    <row r="50" spans="5:7" x14ac:dyDescent="0.35">
      <c r="E50" s="127">
        <f t="shared" si="1"/>
        <v>49</v>
      </c>
      <c r="F50" s="557">
        <f t="shared" si="2"/>
        <v>0</v>
      </c>
      <c r="G50" s="347">
        <f t="shared" si="0"/>
        <v>0</v>
      </c>
    </row>
    <row r="51" spans="5:7" x14ac:dyDescent="0.35">
      <c r="E51" s="127">
        <f t="shared" si="1"/>
        <v>50</v>
      </c>
      <c r="F51" s="557">
        <f t="shared" si="2"/>
        <v>0</v>
      </c>
      <c r="G51" s="347">
        <f t="shared" si="0"/>
        <v>0</v>
      </c>
    </row>
    <row r="52" spans="5:7" x14ac:dyDescent="0.35">
      <c r="E52" s="127">
        <f t="shared" si="1"/>
        <v>51</v>
      </c>
      <c r="F52" s="557">
        <f t="shared" si="2"/>
        <v>0</v>
      </c>
      <c r="G52" s="347">
        <f t="shared" si="0"/>
        <v>0</v>
      </c>
    </row>
    <row r="53" spans="5:7" x14ac:dyDescent="0.35">
      <c r="E53" s="127">
        <f t="shared" si="1"/>
        <v>52</v>
      </c>
      <c r="F53" s="557">
        <f t="shared" si="2"/>
        <v>0</v>
      </c>
      <c r="G53" s="347">
        <f t="shared" si="0"/>
        <v>0</v>
      </c>
    </row>
    <row r="54" spans="5:7" x14ac:dyDescent="0.35">
      <c r="E54" s="127">
        <f t="shared" si="1"/>
        <v>53</v>
      </c>
      <c r="F54" s="557">
        <f t="shared" si="2"/>
        <v>0</v>
      </c>
      <c r="G54" s="347">
        <f t="shared" si="0"/>
        <v>0</v>
      </c>
    </row>
    <row r="55" spans="5:7" x14ac:dyDescent="0.35">
      <c r="E55" s="127">
        <f t="shared" si="1"/>
        <v>54</v>
      </c>
      <c r="F55" s="557">
        <f t="shared" si="2"/>
        <v>0</v>
      </c>
      <c r="G55" s="347">
        <f t="shared" si="0"/>
        <v>0</v>
      </c>
    </row>
    <row r="56" spans="5:7" x14ac:dyDescent="0.35">
      <c r="E56" s="127">
        <f t="shared" si="1"/>
        <v>55</v>
      </c>
      <c r="F56" s="557">
        <f t="shared" si="2"/>
        <v>0</v>
      </c>
      <c r="G56" s="347">
        <f t="shared" si="0"/>
        <v>0</v>
      </c>
    </row>
    <row r="57" spans="5:7" x14ac:dyDescent="0.35">
      <c r="E57" s="127">
        <f t="shared" si="1"/>
        <v>56</v>
      </c>
      <c r="F57" s="557">
        <f t="shared" si="2"/>
        <v>0</v>
      </c>
      <c r="G57" s="347">
        <f t="shared" si="0"/>
        <v>0</v>
      </c>
    </row>
    <row r="58" spans="5:7" x14ac:dyDescent="0.35">
      <c r="E58" s="127">
        <f t="shared" si="1"/>
        <v>57</v>
      </c>
      <c r="F58" s="557">
        <f t="shared" si="2"/>
        <v>0</v>
      </c>
      <c r="G58" s="347">
        <f t="shared" si="0"/>
        <v>0</v>
      </c>
    </row>
    <row r="59" spans="5:7" x14ac:dyDescent="0.35">
      <c r="E59" s="127">
        <f t="shared" si="1"/>
        <v>58</v>
      </c>
      <c r="F59" s="557">
        <f t="shared" si="2"/>
        <v>0</v>
      </c>
      <c r="G59" s="347">
        <f t="shared" si="0"/>
        <v>0</v>
      </c>
    </row>
    <row r="60" spans="5:7" x14ac:dyDescent="0.35">
      <c r="E60" s="127">
        <f t="shared" si="1"/>
        <v>59</v>
      </c>
      <c r="F60" s="557">
        <f t="shared" si="2"/>
        <v>0</v>
      </c>
      <c r="G60" s="347">
        <f t="shared" si="0"/>
        <v>0</v>
      </c>
    </row>
    <row r="61" spans="5:7" x14ac:dyDescent="0.35">
      <c r="E61" s="127">
        <f t="shared" si="1"/>
        <v>60</v>
      </c>
      <c r="F61" s="557">
        <f t="shared" si="2"/>
        <v>0</v>
      </c>
      <c r="G61" s="347">
        <f t="shared" si="0"/>
        <v>0</v>
      </c>
    </row>
    <row r="62" spans="5:7" x14ac:dyDescent="0.35">
      <c r="E62" s="127">
        <f t="shared" si="1"/>
        <v>61</v>
      </c>
      <c r="F62" s="557">
        <f t="shared" si="2"/>
        <v>0</v>
      </c>
      <c r="G62" s="347">
        <f t="shared" si="0"/>
        <v>0</v>
      </c>
    </row>
    <row r="63" spans="5:7" x14ac:dyDescent="0.35">
      <c r="E63" s="127">
        <f t="shared" si="1"/>
        <v>62</v>
      </c>
      <c r="F63" s="557">
        <f t="shared" si="2"/>
        <v>0</v>
      </c>
      <c r="G63" s="347">
        <f t="shared" si="0"/>
        <v>0</v>
      </c>
    </row>
    <row r="64" spans="5:7" x14ac:dyDescent="0.35">
      <c r="E64" s="127">
        <f t="shared" si="1"/>
        <v>63</v>
      </c>
      <c r="F64" s="557">
        <f t="shared" si="2"/>
        <v>0</v>
      </c>
      <c r="G64" s="347">
        <f t="shared" si="0"/>
        <v>0</v>
      </c>
    </row>
    <row r="65" spans="5:7" x14ac:dyDescent="0.35">
      <c r="E65" s="127">
        <f t="shared" si="1"/>
        <v>64</v>
      </c>
      <c r="F65" s="557">
        <f t="shared" si="2"/>
        <v>0</v>
      </c>
      <c r="G65" s="347">
        <f t="shared" si="0"/>
        <v>0</v>
      </c>
    </row>
    <row r="66" spans="5:7" x14ac:dyDescent="0.35">
      <c r="E66" s="127">
        <f t="shared" si="1"/>
        <v>65</v>
      </c>
      <c r="F66" s="557">
        <f t="shared" si="2"/>
        <v>0</v>
      </c>
      <c r="G66" s="347">
        <f t="shared" si="0"/>
        <v>0</v>
      </c>
    </row>
    <row r="67" spans="5:7" x14ac:dyDescent="0.35">
      <c r="E67" s="127">
        <f t="shared" si="1"/>
        <v>66</v>
      </c>
      <c r="F67" s="557">
        <f t="shared" si="2"/>
        <v>0</v>
      </c>
      <c r="G67" s="347">
        <f t="shared" ref="G67:G130" si="3">F67</f>
        <v>0</v>
      </c>
    </row>
    <row r="68" spans="5:7" x14ac:dyDescent="0.35">
      <c r="E68" s="127">
        <f t="shared" ref="E68:E131" si="4">+E67+1</f>
        <v>67</v>
      </c>
      <c r="F68" s="557">
        <f t="shared" si="2"/>
        <v>0</v>
      </c>
      <c r="G68" s="347">
        <f t="shared" si="3"/>
        <v>0</v>
      </c>
    </row>
    <row r="69" spans="5:7" x14ac:dyDescent="0.35">
      <c r="E69" s="127">
        <f t="shared" si="4"/>
        <v>68</v>
      </c>
      <c r="F69" s="557">
        <f t="shared" si="2"/>
        <v>0</v>
      </c>
      <c r="G69" s="347">
        <f t="shared" si="3"/>
        <v>0</v>
      </c>
    </row>
    <row r="70" spans="5:7" x14ac:dyDescent="0.35">
      <c r="E70" s="127">
        <f t="shared" si="4"/>
        <v>69</v>
      </c>
      <c r="F70" s="557">
        <f t="shared" ref="F70:F133" si="5">IF(ISEVEN(E70),$B$5,0)</f>
        <v>0</v>
      </c>
      <c r="G70" s="347">
        <f t="shared" si="3"/>
        <v>0</v>
      </c>
    </row>
    <row r="71" spans="5:7" x14ac:dyDescent="0.35">
      <c r="E71" s="127">
        <f t="shared" si="4"/>
        <v>70</v>
      </c>
      <c r="F71" s="557">
        <f t="shared" si="5"/>
        <v>0</v>
      </c>
      <c r="G71" s="347">
        <f t="shared" si="3"/>
        <v>0</v>
      </c>
    </row>
    <row r="72" spans="5:7" x14ac:dyDescent="0.35">
      <c r="E72" s="127">
        <f t="shared" si="4"/>
        <v>71</v>
      </c>
      <c r="F72" s="557">
        <f t="shared" si="5"/>
        <v>0</v>
      </c>
      <c r="G72" s="347">
        <f t="shared" si="3"/>
        <v>0</v>
      </c>
    </row>
    <row r="73" spans="5:7" x14ac:dyDescent="0.35">
      <c r="E73" s="127">
        <f t="shared" si="4"/>
        <v>72</v>
      </c>
      <c r="F73" s="557">
        <f t="shared" si="5"/>
        <v>0</v>
      </c>
      <c r="G73" s="347">
        <f t="shared" si="3"/>
        <v>0</v>
      </c>
    </row>
    <row r="74" spans="5:7" x14ac:dyDescent="0.35">
      <c r="E74" s="127">
        <f t="shared" si="4"/>
        <v>73</v>
      </c>
      <c r="F74" s="557">
        <f t="shared" si="5"/>
        <v>0</v>
      </c>
      <c r="G74" s="347">
        <f t="shared" si="3"/>
        <v>0</v>
      </c>
    </row>
    <row r="75" spans="5:7" x14ac:dyDescent="0.35">
      <c r="E75" s="127">
        <f t="shared" si="4"/>
        <v>74</v>
      </c>
      <c r="F75" s="557">
        <f t="shared" si="5"/>
        <v>0</v>
      </c>
      <c r="G75" s="347">
        <f t="shared" si="3"/>
        <v>0</v>
      </c>
    </row>
    <row r="76" spans="5:7" x14ac:dyDescent="0.35">
      <c r="E76" s="127">
        <f t="shared" si="4"/>
        <v>75</v>
      </c>
      <c r="F76" s="557">
        <f t="shared" si="5"/>
        <v>0</v>
      </c>
      <c r="G76" s="347">
        <f t="shared" si="3"/>
        <v>0</v>
      </c>
    </row>
    <row r="77" spans="5:7" x14ac:dyDescent="0.35">
      <c r="E77" s="127">
        <f t="shared" si="4"/>
        <v>76</v>
      </c>
      <c r="F77" s="557">
        <f t="shared" si="5"/>
        <v>0</v>
      </c>
      <c r="G77" s="347">
        <f t="shared" si="3"/>
        <v>0</v>
      </c>
    </row>
    <row r="78" spans="5:7" x14ac:dyDescent="0.35">
      <c r="E78" s="127">
        <f t="shared" si="4"/>
        <v>77</v>
      </c>
      <c r="F78" s="557">
        <f t="shared" si="5"/>
        <v>0</v>
      </c>
      <c r="G78" s="347">
        <f t="shared" si="3"/>
        <v>0</v>
      </c>
    </row>
    <row r="79" spans="5:7" x14ac:dyDescent="0.35">
      <c r="E79" s="127">
        <f t="shared" si="4"/>
        <v>78</v>
      </c>
      <c r="F79" s="557">
        <f t="shared" si="5"/>
        <v>0</v>
      </c>
      <c r="G79" s="347">
        <f t="shared" si="3"/>
        <v>0</v>
      </c>
    </row>
    <row r="80" spans="5:7" x14ac:dyDescent="0.35">
      <c r="E80" s="127">
        <f t="shared" si="4"/>
        <v>79</v>
      </c>
      <c r="F80" s="557">
        <f t="shared" si="5"/>
        <v>0</v>
      </c>
      <c r="G80" s="347">
        <f t="shared" si="3"/>
        <v>0</v>
      </c>
    </row>
    <row r="81" spans="5:7" x14ac:dyDescent="0.35">
      <c r="E81" s="127">
        <f t="shared" si="4"/>
        <v>80</v>
      </c>
      <c r="F81" s="557">
        <f t="shared" si="5"/>
        <v>0</v>
      </c>
      <c r="G81" s="347">
        <f t="shared" si="3"/>
        <v>0</v>
      </c>
    </row>
    <row r="82" spans="5:7" x14ac:dyDescent="0.35">
      <c r="E82" s="127">
        <f t="shared" si="4"/>
        <v>81</v>
      </c>
      <c r="F82" s="557">
        <f t="shared" si="5"/>
        <v>0</v>
      </c>
      <c r="G82" s="347">
        <f t="shared" si="3"/>
        <v>0</v>
      </c>
    </row>
    <row r="83" spans="5:7" x14ac:dyDescent="0.35">
      <c r="E83" s="127">
        <f t="shared" si="4"/>
        <v>82</v>
      </c>
      <c r="F83" s="557">
        <f t="shared" si="5"/>
        <v>0</v>
      </c>
      <c r="G83" s="347">
        <f t="shared" si="3"/>
        <v>0</v>
      </c>
    </row>
    <row r="84" spans="5:7" x14ac:dyDescent="0.35">
      <c r="E84" s="127">
        <f t="shared" si="4"/>
        <v>83</v>
      </c>
      <c r="F84" s="557">
        <f t="shared" si="5"/>
        <v>0</v>
      </c>
      <c r="G84" s="347">
        <f t="shared" si="3"/>
        <v>0</v>
      </c>
    </row>
    <row r="85" spans="5:7" x14ac:dyDescent="0.35">
      <c r="E85" s="127">
        <f t="shared" si="4"/>
        <v>84</v>
      </c>
      <c r="F85" s="557">
        <f t="shared" si="5"/>
        <v>0</v>
      </c>
      <c r="G85" s="347">
        <f t="shared" si="3"/>
        <v>0</v>
      </c>
    </row>
    <row r="86" spans="5:7" x14ac:dyDescent="0.35">
      <c r="E86" s="127">
        <f t="shared" si="4"/>
        <v>85</v>
      </c>
      <c r="F86" s="557">
        <f t="shared" si="5"/>
        <v>0</v>
      </c>
      <c r="G86" s="347">
        <f t="shared" si="3"/>
        <v>0</v>
      </c>
    </row>
    <row r="87" spans="5:7" x14ac:dyDescent="0.35">
      <c r="E87" s="127">
        <f t="shared" si="4"/>
        <v>86</v>
      </c>
      <c r="F87" s="557">
        <f t="shared" si="5"/>
        <v>0</v>
      </c>
      <c r="G87" s="347">
        <f t="shared" si="3"/>
        <v>0</v>
      </c>
    </row>
    <row r="88" spans="5:7" x14ac:dyDescent="0.35">
      <c r="E88" s="127">
        <f t="shared" si="4"/>
        <v>87</v>
      </c>
      <c r="F88" s="557">
        <f t="shared" si="5"/>
        <v>0</v>
      </c>
      <c r="G88" s="347">
        <f t="shared" si="3"/>
        <v>0</v>
      </c>
    </row>
    <row r="89" spans="5:7" x14ac:dyDescent="0.35">
      <c r="E89" s="127">
        <f t="shared" si="4"/>
        <v>88</v>
      </c>
      <c r="F89" s="557">
        <f t="shared" si="5"/>
        <v>0</v>
      </c>
      <c r="G89" s="347">
        <f t="shared" si="3"/>
        <v>0</v>
      </c>
    </row>
    <row r="90" spans="5:7" x14ac:dyDescent="0.35">
      <c r="E90" s="127">
        <f t="shared" si="4"/>
        <v>89</v>
      </c>
      <c r="F90" s="557">
        <f t="shared" si="5"/>
        <v>0</v>
      </c>
      <c r="G90" s="347">
        <f t="shared" si="3"/>
        <v>0</v>
      </c>
    </row>
    <row r="91" spans="5:7" x14ac:dyDescent="0.35">
      <c r="E91" s="127">
        <f t="shared" si="4"/>
        <v>90</v>
      </c>
      <c r="F91" s="557">
        <f t="shared" si="5"/>
        <v>0</v>
      </c>
      <c r="G91" s="347">
        <f t="shared" si="3"/>
        <v>0</v>
      </c>
    </row>
    <row r="92" spans="5:7" x14ac:dyDescent="0.35">
      <c r="E92" s="127">
        <f t="shared" si="4"/>
        <v>91</v>
      </c>
      <c r="F92" s="557">
        <f t="shared" si="5"/>
        <v>0</v>
      </c>
      <c r="G92" s="347">
        <f t="shared" si="3"/>
        <v>0</v>
      </c>
    </row>
    <row r="93" spans="5:7" x14ac:dyDescent="0.35">
      <c r="E93" s="127">
        <f t="shared" si="4"/>
        <v>92</v>
      </c>
      <c r="F93" s="557">
        <f t="shared" si="5"/>
        <v>0</v>
      </c>
      <c r="G93" s="347">
        <f t="shared" si="3"/>
        <v>0</v>
      </c>
    </row>
    <row r="94" spans="5:7" x14ac:dyDescent="0.35">
      <c r="E94" s="127">
        <f t="shared" si="4"/>
        <v>93</v>
      </c>
      <c r="F94" s="557">
        <f t="shared" si="5"/>
        <v>0</v>
      </c>
      <c r="G94" s="347">
        <f t="shared" si="3"/>
        <v>0</v>
      </c>
    </row>
    <row r="95" spans="5:7" x14ac:dyDescent="0.35">
      <c r="E95" s="127">
        <f t="shared" si="4"/>
        <v>94</v>
      </c>
      <c r="F95" s="557">
        <f t="shared" si="5"/>
        <v>0</v>
      </c>
      <c r="G95" s="347">
        <f t="shared" si="3"/>
        <v>0</v>
      </c>
    </row>
    <row r="96" spans="5:7" x14ac:dyDescent="0.35">
      <c r="E96" s="127">
        <f t="shared" si="4"/>
        <v>95</v>
      </c>
      <c r="F96" s="557">
        <f t="shared" si="5"/>
        <v>0</v>
      </c>
      <c r="G96" s="347">
        <f t="shared" si="3"/>
        <v>0</v>
      </c>
    </row>
    <row r="97" spans="5:7" x14ac:dyDescent="0.35">
      <c r="E97" s="127">
        <f t="shared" si="4"/>
        <v>96</v>
      </c>
      <c r="F97" s="557">
        <f t="shared" si="5"/>
        <v>0</v>
      </c>
      <c r="G97" s="347">
        <f t="shared" si="3"/>
        <v>0</v>
      </c>
    </row>
    <row r="98" spans="5:7" x14ac:dyDescent="0.35">
      <c r="E98" s="127">
        <f t="shared" si="4"/>
        <v>97</v>
      </c>
      <c r="F98" s="557">
        <f t="shared" si="5"/>
        <v>0</v>
      </c>
      <c r="G98" s="347">
        <f t="shared" si="3"/>
        <v>0</v>
      </c>
    </row>
    <row r="99" spans="5:7" x14ac:dyDescent="0.35">
      <c r="E99" s="127">
        <f t="shared" si="4"/>
        <v>98</v>
      </c>
      <c r="F99" s="557">
        <f t="shared" si="5"/>
        <v>0</v>
      </c>
      <c r="G99" s="347">
        <f t="shared" si="3"/>
        <v>0</v>
      </c>
    </row>
    <row r="100" spans="5:7" x14ac:dyDescent="0.35">
      <c r="E100" s="127">
        <f t="shared" si="4"/>
        <v>99</v>
      </c>
      <c r="F100" s="557">
        <f t="shared" si="5"/>
        <v>0</v>
      </c>
      <c r="G100" s="347">
        <f t="shared" si="3"/>
        <v>0</v>
      </c>
    </row>
    <row r="101" spans="5:7" x14ac:dyDescent="0.35">
      <c r="E101" s="127">
        <f t="shared" si="4"/>
        <v>100</v>
      </c>
      <c r="F101" s="557">
        <f t="shared" si="5"/>
        <v>0</v>
      </c>
      <c r="G101" s="347">
        <f t="shared" si="3"/>
        <v>0</v>
      </c>
    </row>
    <row r="102" spans="5:7" x14ac:dyDescent="0.35">
      <c r="E102" s="127">
        <f t="shared" si="4"/>
        <v>101</v>
      </c>
      <c r="F102" s="557">
        <f t="shared" si="5"/>
        <v>0</v>
      </c>
      <c r="G102" s="347">
        <f t="shared" si="3"/>
        <v>0</v>
      </c>
    </row>
    <row r="103" spans="5:7" x14ac:dyDescent="0.35">
      <c r="E103" s="127">
        <f t="shared" si="4"/>
        <v>102</v>
      </c>
      <c r="F103" s="557">
        <f t="shared" si="5"/>
        <v>0</v>
      </c>
      <c r="G103" s="347">
        <f t="shared" si="3"/>
        <v>0</v>
      </c>
    </row>
    <row r="104" spans="5:7" x14ac:dyDescent="0.35">
      <c r="E104" s="127">
        <f t="shared" si="4"/>
        <v>103</v>
      </c>
      <c r="F104" s="557">
        <f t="shared" si="5"/>
        <v>0</v>
      </c>
      <c r="G104" s="347">
        <f t="shared" si="3"/>
        <v>0</v>
      </c>
    </row>
    <row r="105" spans="5:7" x14ac:dyDescent="0.35">
      <c r="E105" s="127">
        <f t="shared" si="4"/>
        <v>104</v>
      </c>
      <c r="F105" s="557">
        <f t="shared" si="5"/>
        <v>0</v>
      </c>
      <c r="G105" s="347">
        <f t="shared" si="3"/>
        <v>0</v>
      </c>
    </row>
    <row r="106" spans="5:7" x14ac:dyDescent="0.35">
      <c r="E106" s="127">
        <f t="shared" si="4"/>
        <v>105</v>
      </c>
      <c r="F106" s="557">
        <f t="shared" si="5"/>
        <v>0</v>
      </c>
      <c r="G106" s="347">
        <f t="shared" si="3"/>
        <v>0</v>
      </c>
    </row>
    <row r="107" spans="5:7" x14ac:dyDescent="0.35">
      <c r="E107" s="127">
        <f t="shared" si="4"/>
        <v>106</v>
      </c>
      <c r="F107" s="557">
        <f t="shared" si="5"/>
        <v>0</v>
      </c>
      <c r="G107" s="347">
        <f t="shared" si="3"/>
        <v>0</v>
      </c>
    </row>
    <row r="108" spans="5:7" x14ac:dyDescent="0.35">
      <c r="E108" s="127">
        <f t="shared" si="4"/>
        <v>107</v>
      </c>
      <c r="F108" s="557">
        <f t="shared" si="5"/>
        <v>0</v>
      </c>
      <c r="G108" s="347">
        <f t="shared" si="3"/>
        <v>0</v>
      </c>
    </row>
    <row r="109" spans="5:7" x14ac:dyDescent="0.35">
      <c r="E109" s="127">
        <f t="shared" si="4"/>
        <v>108</v>
      </c>
      <c r="F109" s="557">
        <f t="shared" si="5"/>
        <v>0</v>
      </c>
      <c r="G109" s="347">
        <f t="shared" si="3"/>
        <v>0</v>
      </c>
    </row>
    <row r="110" spans="5:7" x14ac:dyDescent="0.35">
      <c r="E110" s="127">
        <f t="shared" si="4"/>
        <v>109</v>
      </c>
      <c r="F110" s="557">
        <f t="shared" si="5"/>
        <v>0</v>
      </c>
      <c r="G110" s="347">
        <f t="shared" si="3"/>
        <v>0</v>
      </c>
    </row>
    <row r="111" spans="5:7" x14ac:dyDescent="0.35">
      <c r="E111" s="127">
        <f t="shared" si="4"/>
        <v>110</v>
      </c>
      <c r="F111" s="557">
        <f t="shared" si="5"/>
        <v>0</v>
      </c>
      <c r="G111" s="347">
        <f t="shared" si="3"/>
        <v>0</v>
      </c>
    </row>
    <row r="112" spans="5:7" x14ac:dyDescent="0.35">
      <c r="E112" s="127">
        <f t="shared" si="4"/>
        <v>111</v>
      </c>
      <c r="F112" s="557">
        <f t="shared" si="5"/>
        <v>0</v>
      </c>
      <c r="G112" s="347">
        <f t="shared" si="3"/>
        <v>0</v>
      </c>
    </row>
    <row r="113" spans="5:7" x14ac:dyDescent="0.35">
      <c r="E113" s="127">
        <f t="shared" si="4"/>
        <v>112</v>
      </c>
      <c r="F113" s="557">
        <f t="shared" si="5"/>
        <v>0</v>
      </c>
      <c r="G113" s="347">
        <f t="shared" si="3"/>
        <v>0</v>
      </c>
    </row>
    <row r="114" spans="5:7" x14ac:dyDescent="0.35">
      <c r="E114" s="127">
        <f t="shared" si="4"/>
        <v>113</v>
      </c>
      <c r="F114" s="557">
        <f t="shared" si="5"/>
        <v>0</v>
      </c>
      <c r="G114" s="347">
        <f t="shared" si="3"/>
        <v>0</v>
      </c>
    </row>
    <row r="115" spans="5:7" x14ac:dyDescent="0.35">
      <c r="E115" s="127">
        <f t="shared" si="4"/>
        <v>114</v>
      </c>
      <c r="F115" s="557">
        <f t="shared" si="5"/>
        <v>0</v>
      </c>
      <c r="G115" s="347">
        <f t="shared" si="3"/>
        <v>0</v>
      </c>
    </row>
    <row r="116" spans="5:7" x14ac:dyDescent="0.35">
      <c r="E116" s="127">
        <f t="shared" si="4"/>
        <v>115</v>
      </c>
      <c r="F116" s="557">
        <f t="shared" si="5"/>
        <v>0</v>
      </c>
      <c r="G116" s="347">
        <f t="shared" si="3"/>
        <v>0</v>
      </c>
    </row>
    <row r="117" spans="5:7" x14ac:dyDescent="0.35">
      <c r="E117" s="127">
        <f t="shared" si="4"/>
        <v>116</v>
      </c>
      <c r="F117" s="557">
        <f t="shared" si="5"/>
        <v>0</v>
      </c>
      <c r="G117" s="347">
        <f t="shared" si="3"/>
        <v>0</v>
      </c>
    </row>
    <row r="118" spans="5:7" x14ac:dyDescent="0.35">
      <c r="E118" s="127">
        <f t="shared" si="4"/>
        <v>117</v>
      </c>
      <c r="F118" s="557">
        <f t="shared" si="5"/>
        <v>0</v>
      </c>
      <c r="G118" s="347">
        <f t="shared" si="3"/>
        <v>0</v>
      </c>
    </row>
    <row r="119" spans="5:7" x14ac:dyDescent="0.35">
      <c r="E119" s="127">
        <f t="shared" si="4"/>
        <v>118</v>
      </c>
      <c r="F119" s="557">
        <f t="shared" si="5"/>
        <v>0</v>
      </c>
      <c r="G119" s="347">
        <f t="shared" si="3"/>
        <v>0</v>
      </c>
    </row>
    <row r="120" spans="5:7" x14ac:dyDescent="0.35">
      <c r="E120" s="127">
        <f t="shared" si="4"/>
        <v>119</v>
      </c>
      <c r="F120" s="557">
        <f t="shared" si="5"/>
        <v>0</v>
      </c>
      <c r="G120" s="347">
        <f t="shared" si="3"/>
        <v>0</v>
      </c>
    </row>
    <row r="121" spans="5:7" x14ac:dyDescent="0.35">
      <c r="E121" s="127">
        <f t="shared" si="4"/>
        <v>120</v>
      </c>
      <c r="F121" s="557">
        <f t="shared" si="5"/>
        <v>0</v>
      </c>
      <c r="G121" s="347">
        <f t="shared" si="3"/>
        <v>0</v>
      </c>
    </row>
    <row r="122" spans="5:7" x14ac:dyDescent="0.35">
      <c r="E122" s="127">
        <f t="shared" si="4"/>
        <v>121</v>
      </c>
      <c r="F122" s="557">
        <f t="shared" si="5"/>
        <v>0</v>
      </c>
      <c r="G122" s="347">
        <f t="shared" si="3"/>
        <v>0</v>
      </c>
    </row>
    <row r="123" spans="5:7" x14ac:dyDescent="0.35">
      <c r="E123" s="127">
        <f t="shared" si="4"/>
        <v>122</v>
      </c>
      <c r="F123" s="557">
        <f t="shared" si="5"/>
        <v>0</v>
      </c>
      <c r="G123" s="347">
        <f t="shared" si="3"/>
        <v>0</v>
      </c>
    </row>
    <row r="124" spans="5:7" x14ac:dyDescent="0.35">
      <c r="E124" s="127">
        <f t="shared" si="4"/>
        <v>123</v>
      </c>
      <c r="F124" s="557">
        <f t="shared" si="5"/>
        <v>0</v>
      </c>
      <c r="G124" s="347">
        <f t="shared" si="3"/>
        <v>0</v>
      </c>
    </row>
    <row r="125" spans="5:7" x14ac:dyDescent="0.35">
      <c r="E125" s="127">
        <f t="shared" si="4"/>
        <v>124</v>
      </c>
      <c r="F125" s="557">
        <f t="shared" si="5"/>
        <v>0</v>
      </c>
      <c r="G125" s="347">
        <f t="shared" si="3"/>
        <v>0</v>
      </c>
    </row>
    <row r="126" spans="5:7" x14ac:dyDescent="0.35">
      <c r="E126" s="127">
        <f t="shared" si="4"/>
        <v>125</v>
      </c>
      <c r="F126" s="557">
        <f t="shared" si="5"/>
        <v>0</v>
      </c>
      <c r="G126" s="347">
        <f t="shared" si="3"/>
        <v>0</v>
      </c>
    </row>
    <row r="127" spans="5:7" x14ac:dyDescent="0.35">
      <c r="E127" s="127">
        <f t="shared" si="4"/>
        <v>126</v>
      </c>
      <c r="F127" s="557">
        <f t="shared" si="5"/>
        <v>0</v>
      </c>
      <c r="G127" s="347">
        <f t="shared" si="3"/>
        <v>0</v>
      </c>
    </row>
    <row r="128" spans="5:7" x14ac:dyDescent="0.35">
      <c r="E128" s="127">
        <f t="shared" si="4"/>
        <v>127</v>
      </c>
      <c r="F128" s="557">
        <f t="shared" si="5"/>
        <v>0</v>
      </c>
      <c r="G128" s="347">
        <f t="shared" si="3"/>
        <v>0</v>
      </c>
    </row>
    <row r="129" spans="5:7" x14ac:dyDescent="0.35">
      <c r="E129" s="127">
        <f t="shared" si="4"/>
        <v>128</v>
      </c>
      <c r="F129" s="557">
        <f t="shared" si="5"/>
        <v>0</v>
      </c>
      <c r="G129" s="347">
        <f t="shared" si="3"/>
        <v>0</v>
      </c>
    </row>
    <row r="130" spans="5:7" x14ac:dyDescent="0.35">
      <c r="E130" s="127">
        <f t="shared" si="4"/>
        <v>129</v>
      </c>
      <c r="F130" s="557">
        <f t="shared" si="5"/>
        <v>0</v>
      </c>
      <c r="G130" s="347">
        <f t="shared" si="3"/>
        <v>0</v>
      </c>
    </row>
    <row r="131" spans="5:7" x14ac:dyDescent="0.35">
      <c r="E131" s="127">
        <f t="shared" si="4"/>
        <v>130</v>
      </c>
      <c r="F131" s="557">
        <f t="shared" si="5"/>
        <v>0</v>
      </c>
      <c r="G131" s="347">
        <f t="shared" ref="G131:G194" si="6">F131</f>
        <v>0</v>
      </c>
    </row>
    <row r="132" spans="5:7" x14ac:dyDescent="0.35">
      <c r="E132" s="127">
        <f t="shared" ref="E132:E195" si="7">+E131+1</f>
        <v>131</v>
      </c>
      <c r="F132" s="557">
        <f t="shared" si="5"/>
        <v>0</v>
      </c>
      <c r="G132" s="347">
        <f t="shared" si="6"/>
        <v>0</v>
      </c>
    </row>
    <row r="133" spans="5:7" x14ac:dyDescent="0.35">
      <c r="E133" s="127">
        <f t="shared" si="7"/>
        <v>132</v>
      </c>
      <c r="F133" s="557">
        <f t="shared" si="5"/>
        <v>0</v>
      </c>
      <c r="G133" s="347">
        <f t="shared" si="6"/>
        <v>0</v>
      </c>
    </row>
    <row r="134" spans="5:7" x14ac:dyDescent="0.35">
      <c r="E134" s="127">
        <f t="shared" si="7"/>
        <v>133</v>
      </c>
      <c r="F134" s="557">
        <f t="shared" ref="F134:F197" si="8">IF(ISEVEN(E134),$B$5,0)</f>
        <v>0</v>
      </c>
      <c r="G134" s="347">
        <f t="shared" si="6"/>
        <v>0</v>
      </c>
    </row>
    <row r="135" spans="5:7" x14ac:dyDescent="0.35">
      <c r="E135" s="127">
        <f t="shared" si="7"/>
        <v>134</v>
      </c>
      <c r="F135" s="557">
        <f t="shared" si="8"/>
        <v>0</v>
      </c>
      <c r="G135" s="347">
        <f t="shared" si="6"/>
        <v>0</v>
      </c>
    </row>
    <row r="136" spans="5:7" x14ac:dyDescent="0.35">
      <c r="E136" s="127">
        <f t="shared" si="7"/>
        <v>135</v>
      </c>
      <c r="F136" s="557">
        <f t="shared" si="8"/>
        <v>0</v>
      </c>
      <c r="G136" s="347">
        <f t="shared" si="6"/>
        <v>0</v>
      </c>
    </row>
    <row r="137" spans="5:7" x14ac:dyDescent="0.35">
      <c r="E137" s="127">
        <f t="shared" si="7"/>
        <v>136</v>
      </c>
      <c r="F137" s="557">
        <f t="shared" si="8"/>
        <v>0</v>
      </c>
      <c r="G137" s="347">
        <f t="shared" si="6"/>
        <v>0</v>
      </c>
    </row>
    <row r="138" spans="5:7" x14ac:dyDescent="0.35">
      <c r="E138" s="127">
        <f t="shared" si="7"/>
        <v>137</v>
      </c>
      <c r="F138" s="557">
        <f t="shared" si="8"/>
        <v>0</v>
      </c>
      <c r="G138" s="347">
        <f t="shared" si="6"/>
        <v>0</v>
      </c>
    </row>
    <row r="139" spans="5:7" x14ac:dyDescent="0.35">
      <c r="E139" s="127">
        <f t="shared" si="7"/>
        <v>138</v>
      </c>
      <c r="F139" s="557">
        <f t="shared" si="8"/>
        <v>0</v>
      </c>
      <c r="G139" s="347">
        <f t="shared" si="6"/>
        <v>0</v>
      </c>
    </row>
    <row r="140" spans="5:7" x14ac:dyDescent="0.35">
      <c r="E140" s="127">
        <f t="shared" si="7"/>
        <v>139</v>
      </c>
      <c r="F140" s="557">
        <f t="shared" si="8"/>
        <v>0</v>
      </c>
      <c r="G140" s="347">
        <f t="shared" si="6"/>
        <v>0</v>
      </c>
    </row>
    <row r="141" spans="5:7" x14ac:dyDescent="0.35">
      <c r="E141" s="127">
        <f t="shared" si="7"/>
        <v>140</v>
      </c>
      <c r="F141" s="557">
        <f t="shared" si="8"/>
        <v>0</v>
      </c>
      <c r="G141" s="347">
        <f t="shared" si="6"/>
        <v>0</v>
      </c>
    </row>
    <row r="142" spans="5:7" x14ac:dyDescent="0.35">
      <c r="E142" s="127">
        <f t="shared" si="7"/>
        <v>141</v>
      </c>
      <c r="F142" s="557">
        <f t="shared" si="8"/>
        <v>0</v>
      </c>
      <c r="G142" s="347">
        <f t="shared" si="6"/>
        <v>0</v>
      </c>
    </row>
    <row r="143" spans="5:7" x14ac:dyDescent="0.35">
      <c r="E143" s="127">
        <f t="shared" si="7"/>
        <v>142</v>
      </c>
      <c r="F143" s="557">
        <f t="shared" si="8"/>
        <v>0</v>
      </c>
      <c r="G143" s="347">
        <f t="shared" si="6"/>
        <v>0</v>
      </c>
    </row>
    <row r="144" spans="5:7" x14ac:dyDescent="0.35">
      <c r="E144" s="127">
        <f t="shared" si="7"/>
        <v>143</v>
      </c>
      <c r="F144" s="557">
        <f t="shared" si="8"/>
        <v>0</v>
      </c>
      <c r="G144" s="347">
        <f t="shared" si="6"/>
        <v>0</v>
      </c>
    </row>
    <row r="145" spans="5:7" x14ac:dyDescent="0.35">
      <c r="E145" s="127">
        <f t="shared" si="7"/>
        <v>144</v>
      </c>
      <c r="F145" s="557">
        <f t="shared" si="8"/>
        <v>0</v>
      </c>
      <c r="G145" s="347">
        <f t="shared" si="6"/>
        <v>0</v>
      </c>
    </row>
    <row r="146" spans="5:7" x14ac:dyDescent="0.35">
      <c r="E146" s="127">
        <f t="shared" si="7"/>
        <v>145</v>
      </c>
      <c r="F146" s="557">
        <f t="shared" si="8"/>
        <v>0</v>
      </c>
      <c r="G146" s="347">
        <f t="shared" si="6"/>
        <v>0</v>
      </c>
    </row>
    <row r="147" spans="5:7" x14ac:dyDescent="0.35">
      <c r="E147" s="127">
        <f t="shared" si="7"/>
        <v>146</v>
      </c>
      <c r="F147" s="557">
        <f t="shared" si="8"/>
        <v>0</v>
      </c>
      <c r="G147" s="347">
        <f t="shared" si="6"/>
        <v>0</v>
      </c>
    </row>
    <row r="148" spans="5:7" x14ac:dyDescent="0.35">
      <c r="E148" s="127">
        <f t="shared" si="7"/>
        <v>147</v>
      </c>
      <c r="F148" s="557">
        <f t="shared" si="8"/>
        <v>0</v>
      </c>
      <c r="G148" s="347">
        <f t="shared" si="6"/>
        <v>0</v>
      </c>
    </row>
    <row r="149" spans="5:7" x14ac:dyDescent="0.35">
      <c r="E149" s="127">
        <f t="shared" si="7"/>
        <v>148</v>
      </c>
      <c r="F149" s="557">
        <f t="shared" si="8"/>
        <v>0</v>
      </c>
      <c r="G149" s="347">
        <f t="shared" si="6"/>
        <v>0</v>
      </c>
    </row>
    <row r="150" spans="5:7" x14ac:dyDescent="0.35">
      <c r="E150" s="127">
        <f t="shared" si="7"/>
        <v>149</v>
      </c>
      <c r="F150" s="557">
        <f t="shared" si="8"/>
        <v>0</v>
      </c>
      <c r="G150" s="347">
        <f t="shared" si="6"/>
        <v>0</v>
      </c>
    </row>
    <row r="151" spans="5:7" x14ac:dyDescent="0.35">
      <c r="E151" s="127">
        <f t="shared" si="7"/>
        <v>150</v>
      </c>
      <c r="F151" s="557">
        <f t="shared" si="8"/>
        <v>0</v>
      </c>
      <c r="G151" s="347">
        <f t="shared" si="6"/>
        <v>0</v>
      </c>
    </row>
    <row r="152" spans="5:7" x14ac:dyDescent="0.35">
      <c r="E152" s="127">
        <f t="shared" si="7"/>
        <v>151</v>
      </c>
      <c r="F152" s="557">
        <f t="shared" si="8"/>
        <v>0</v>
      </c>
      <c r="G152" s="347">
        <f t="shared" si="6"/>
        <v>0</v>
      </c>
    </row>
    <row r="153" spans="5:7" x14ac:dyDescent="0.35">
      <c r="E153" s="127">
        <f t="shared" si="7"/>
        <v>152</v>
      </c>
      <c r="F153" s="557">
        <f t="shared" si="8"/>
        <v>0</v>
      </c>
      <c r="G153" s="347">
        <f t="shared" si="6"/>
        <v>0</v>
      </c>
    </row>
    <row r="154" spans="5:7" x14ac:dyDescent="0.35">
      <c r="E154" s="127">
        <f t="shared" si="7"/>
        <v>153</v>
      </c>
      <c r="F154" s="557">
        <f t="shared" si="8"/>
        <v>0</v>
      </c>
      <c r="G154" s="347">
        <f t="shared" si="6"/>
        <v>0</v>
      </c>
    </row>
    <row r="155" spans="5:7" x14ac:dyDescent="0.35">
      <c r="E155" s="127">
        <f t="shared" si="7"/>
        <v>154</v>
      </c>
      <c r="F155" s="557">
        <f t="shared" si="8"/>
        <v>0</v>
      </c>
      <c r="G155" s="347">
        <f t="shared" si="6"/>
        <v>0</v>
      </c>
    </row>
    <row r="156" spans="5:7" x14ac:dyDescent="0.35">
      <c r="E156" s="127">
        <f t="shared" si="7"/>
        <v>155</v>
      </c>
      <c r="F156" s="557">
        <f t="shared" si="8"/>
        <v>0</v>
      </c>
      <c r="G156" s="347">
        <f t="shared" si="6"/>
        <v>0</v>
      </c>
    </row>
    <row r="157" spans="5:7" x14ac:dyDescent="0.35">
      <c r="E157" s="127">
        <f t="shared" si="7"/>
        <v>156</v>
      </c>
      <c r="F157" s="557">
        <f t="shared" si="8"/>
        <v>0</v>
      </c>
      <c r="G157" s="347">
        <f t="shared" si="6"/>
        <v>0</v>
      </c>
    </row>
    <row r="158" spans="5:7" x14ac:dyDescent="0.35">
      <c r="E158" s="127">
        <f t="shared" si="7"/>
        <v>157</v>
      </c>
      <c r="F158" s="557">
        <f t="shared" si="8"/>
        <v>0</v>
      </c>
      <c r="G158" s="347">
        <f t="shared" si="6"/>
        <v>0</v>
      </c>
    </row>
    <row r="159" spans="5:7" x14ac:dyDescent="0.35">
      <c r="E159" s="127">
        <f t="shared" si="7"/>
        <v>158</v>
      </c>
      <c r="F159" s="557">
        <f t="shared" si="8"/>
        <v>0</v>
      </c>
      <c r="G159" s="347">
        <f t="shared" si="6"/>
        <v>0</v>
      </c>
    </row>
    <row r="160" spans="5:7" x14ac:dyDescent="0.35">
      <c r="E160" s="127">
        <f t="shared" si="7"/>
        <v>159</v>
      </c>
      <c r="F160" s="557">
        <f t="shared" si="8"/>
        <v>0</v>
      </c>
      <c r="G160" s="347">
        <f t="shared" si="6"/>
        <v>0</v>
      </c>
    </row>
    <row r="161" spans="5:7" x14ac:dyDescent="0.35">
      <c r="E161" s="127">
        <f t="shared" si="7"/>
        <v>160</v>
      </c>
      <c r="F161" s="557">
        <f t="shared" si="8"/>
        <v>0</v>
      </c>
      <c r="G161" s="347">
        <f t="shared" si="6"/>
        <v>0</v>
      </c>
    </row>
    <row r="162" spans="5:7" x14ac:dyDescent="0.35">
      <c r="E162" s="127">
        <f t="shared" si="7"/>
        <v>161</v>
      </c>
      <c r="F162" s="557">
        <f t="shared" si="8"/>
        <v>0</v>
      </c>
      <c r="G162" s="347">
        <f t="shared" si="6"/>
        <v>0</v>
      </c>
    </row>
    <row r="163" spans="5:7" x14ac:dyDescent="0.35">
      <c r="E163" s="127">
        <f t="shared" si="7"/>
        <v>162</v>
      </c>
      <c r="F163" s="557">
        <f t="shared" si="8"/>
        <v>0</v>
      </c>
      <c r="G163" s="347">
        <f t="shared" si="6"/>
        <v>0</v>
      </c>
    </row>
    <row r="164" spans="5:7" x14ac:dyDescent="0.35">
      <c r="E164" s="127">
        <f t="shared" si="7"/>
        <v>163</v>
      </c>
      <c r="F164" s="557">
        <f t="shared" si="8"/>
        <v>0</v>
      </c>
      <c r="G164" s="347">
        <f t="shared" si="6"/>
        <v>0</v>
      </c>
    </row>
    <row r="165" spans="5:7" x14ac:dyDescent="0.35">
      <c r="E165" s="127">
        <f t="shared" si="7"/>
        <v>164</v>
      </c>
      <c r="F165" s="557">
        <f t="shared" si="8"/>
        <v>0</v>
      </c>
      <c r="G165" s="347">
        <f t="shared" si="6"/>
        <v>0</v>
      </c>
    </row>
    <row r="166" spans="5:7" x14ac:dyDescent="0.35">
      <c r="E166" s="127">
        <f t="shared" si="7"/>
        <v>165</v>
      </c>
      <c r="F166" s="557">
        <f t="shared" si="8"/>
        <v>0</v>
      </c>
      <c r="G166" s="347">
        <f t="shared" si="6"/>
        <v>0</v>
      </c>
    </row>
    <row r="167" spans="5:7" x14ac:dyDescent="0.35">
      <c r="E167" s="127">
        <f t="shared" si="7"/>
        <v>166</v>
      </c>
      <c r="F167" s="557">
        <f t="shared" si="8"/>
        <v>0</v>
      </c>
      <c r="G167" s="347">
        <f t="shared" si="6"/>
        <v>0</v>
      </c>
    </row>
    <row r="168" spans="5:7" x14ac:dyDescent="0.35">
      <c r="E168" s="127">
        <f t="shared" si="7"/>
        <v>167</v>
      </c>
      <c r="F168" s="557">
        <f t="shared" si="8"/>
        <v>0</v>
      </c>
      <c r="G168" s="347">
        <f t="shared" si="6"/>
        <v>0</v>
      </c>
    </row>
    <row r="169" spans="5:7" x14ac:dyDescent="0.35">
      <c r="E169" s="127">
        <f t="shared" si="7"/>
        <v>168</v>
      </c>
      <c r="F169" s="557">
        <f t="shared" si="8"/>
        <v>0</v>
      </c>
      <c r="G169" s="347">
        <f t="shared" si="6"/>
        <v>0</v>
      </c>
    </row>
    <row r="170" spans="5:7" x14ac:dyDescent="0.35">
      <c r="E170" s="127">
        <f t="shared" si="7"/>
        <v>169</v>
      </c>
      <c r="F170" s="557">
        <f t="shared" si="8"/>
        <v>0</v>
      </c>
      <c r="G170" s="347">
        <f t="shared" si="6"/>
        <v>0</v>
      </c>
    </row>
    <row r="171" spans="5:7" x14ac:dyDescent="0.35">
      <c r="E171" s="127">
        <f t="shared" si="7"/>
        <v>170</v>
      </c>
      <c r="F171" s="557">
        <f t="shared" si="8"/>
        <v>0</v>
      </c>
      <c r="G171" s="347">
        <f t="shared" si="6"/>
        <v>0</v>
      </c>
    </row>
    <row r="172" spans="5:7" x14ac:dyDescent="0.35">
      <c r="E172" s="127">
        <f t="shared" si="7"/>
        <v>171</v>
      </c>
      <c r="F172" s="557">
        <f t="shared" si="8"/>
        <v>0</v>
      </c>
      <c r="G172" s="347">
        <f t="shared" si="6"/>
        <v>0</v>
      </c>
    </row>
    <row r="173" spans="5:7" x14ac:dyDescent="0.35">
      <c r="E173" s="127">
        <f t="shared" si="7"/>
        <v>172</v>
      </c>
      <c r="F173" s="557">
        <f t="shared" si="8"/>
        <v>0</v>
      </c>
      <c r="G173" s="347">
        <f t="shared" si="6"/>
        <v>0</v>
      </c>
    </row>
    <row r="174" spans="5:7" x14ac:dyDescent="0.35">
      <c r="E174" s="127">
        <f t="shared" si="7"/>
        <v>173</v>
      </c>
      <c r="F174" s="557">
        <f t="shared" si="8"/>
        <v>0</v>
      </c>
      <c r="G174" s="347">
        <f t="shared" si="6"/>
        <v>0</v>
      </c>
    </row>
    <row r="175" spans="5:7" x14ac:dyDescent="0.35">
      <c r="E175" s="127">
        <f t="shared" si="7"/>
        <v>174</v>
      </c>
      <c r="F175" s="557">
        <f t="shared" si="8"/>
        <v>0</v>
      </c>
      <c r="G175" s="347">
        <f t="shared" si="6"/>
        <v>0</v>
      </c>
    </row>
    <row r="176" spans="5:7" x14ac:dyDescent="0.35">
      <c r="E176" s="127">
        <f t="shared" si="7"/>
        <v>175</v>
      </c>
      <c r="F176" s="557">
        <f t="shared" si="8"/>
        <v>0</v>
      </c>
      <c r="G176" s="347">
        <f t="shared" si="6"/>
        <v>0</v>
      </c>
    </row>
    <row r="177" spans="5:7" x14ac:dyDescent="0.35">
      <c r="E177" s="127">
        <f t="shared" si="7"/>
        <v>176</v>
      </c>
      <c r="F177" s="557">
        <f t="shared" si="8"/>
        <v>0</v>
      </c>
      <c r="G177" s="347">
        <f t="shared" si="6"/>
        <v>0</v>
      </c>
    </row>
    <row r="178" spans="5:7" x14ac:dyDescent="0.35">
      <c r="E178" s="127">
        <f t="shared" si="7"/>
        <v>177</v>
      </c>
      <c r="F178" s="557">
        <f t="shared" si="8"/>
        <v>0</v>
      </c>
      <c r="G178" s="347">
        <f t="shared" si="6"/>
        <v>0</v>
      </c>
    </row>
    <row r="179" spans="5:7" x14ac:dyDescent="0.35">
      <c r="E179" s="127">
        <f t="shared" si="7"/>
        <v>178</v>
      </c>
      <c r="F179" s="557">
        <f t="shared" si="8"/>
        <v>0</v>
      </c>
      <c r="G179" s="347">
        <f t="shared" si="6"/>
        <v>0</v>
      </c>
    </row>
    <row r="180" spans="5:7" x14ac:dyDescent="0.35">
      <c r="E180" s="127">
        <f t="shared" si="7"/>
        <v>179</v>
      </c>
      <c r="F180" s="557">
        <f t="shared" si="8"/>
        <v>0</v>
      </c>
      <c r="G180" s="347">
        <f t="shared" si="6"/>
        <v>0</v>
      </c>
    </row>
    <row r="181" spans="5:7" x14ac:dyDescent="0.35">
      <c r="E181" s="127">
        <f t="shared" si="7"/>
        <v>180</v>
      </c>
      <c r="F181" s="557">
        <f t="shared" si="8"/>
        <v>0</v>
      </c>
      <c r="G181" s="347">
        <f t="shared" si="6"/>
        <v>0</v>
      </c>
    </row>
    <row r="182" spans="5:7" x14ac:dyDescent="0.35">
      <c r="E182" s="127">
        <f t="shared" si="7"/>
        <v>181</v>
      </c>
      <c r="F182" s="557">
        <f t="shared" si="8"/>
        <v>0</v>
      </c>
      <c r="G182" s="347">
        <f t="shared" si="6"/>
        <v>0</v>
      </c>
    </row>
    <row r="183" spans="5:7" x14ac:dyDescent="0.35">
      <c r="E183" s="127">
        <f t="shared" si="7"/>
        <v>182</v>
      </c>
      <c r="F183" s="557">
        <f t="shared" si="8"/>
        <v>0</v>
      </c>
      <c r="G183" s="347">
        <f t="shared" si="6"/>
        <v>0</v>
      </c>
    </row>
    <row r="184" spans="5:7" x14ac:dyDescent="0.35">
      <c r="E184" s="127">
        <f t="shared" si="7"/>
        <v>183</v>
      </c>
      <c r="F184" s="557">
        <f t="shared" si="8"/>
        <v>0</v>
      </c>
      <c r="G184" s="347">
        <f t="shared" si="6"/>
        <v>0</v>
      </c>
    </row>
    <row r="185" spans="5:7" x14ac:dyDescent="0.35">
      <c r="E185" s="127">
        <f t="shared" si="7"/>
        <v>184</v>
      </c>
      <c r="F185" s="557">
        <f t="shared" si="8"/>
        <v>0</v>
      </c>
      <c r="G185" s="347">
        <f t="shared" si="6"/>
        <v>0</v>
      </c>
    </row>
    <row r="186" spans="5:7" x14ac:dyDescent="0.35">
      <c r="E186" s="127">
        <f t="shared" si="7"/>
        <v>185</v>
      </c>
      <c r="F186" s="557">
        <f t="shared" si="8"/>
        <v>0</v>
      </c>
      <c r="G186" s="347">
        <f t="shared" si="6"/>
        <v>0</v>
      </c>
    </row>
    <row r="187" spans="5:7" x14ac:dyDescent="0.35">
      <c r="E187" s="127">
        <f t="shared" si="7"/>
        <v>186</v>
      </c>
      <c r="F187" s="557">
        <f t="shared" si="8"/>
        <v>0</v>
      </c>
      <c r="G187" s="347">
        <f t="shared" si="6"/>
        <v>0</v>
      </c>
    </row>
    <row r="188" spans="5:7" x14ac:dyDescent="0.35">
      <c r="E188" s="127">
        <f t="shared" si="7"/>
        <v>187</v>
      </c>
      <c r="F188" s="557">
        <f t="shared" si="8"/>
        <v>0</v>
      </c>
      <c r="G188" s="347">
        <f t="shared" si="6"/>
        <v>0</v>
      </c>
    </row>
    <row r="189" spans="5:7" x14ac:dyDescent="0.35">
      <c r="E189" s="127">
        <f t="shared" si="7"/>
        <v>188</v>
      </c>
      <c r="F189" s="557">
        <f t="shared" si="8"/>
        <v>0</v>
      </c>
      <c r="G189" s="347">
        <f t="shared" si="6"/>
        <v>0</v>
      </c>
    </row>
    <row r="190" spans="5:7" x14ac:dyDescent="0.35">
      <c r="E190" s="127">
        <f t="shared" si="7"/>
        <v>189</v>
      </c>
      <c r="F190" s="557">
        <f t="shared" si="8"/>
        <v>0</v>
      </c>
      <c r="G190" s="347">
        <f t="shared" si="6"/>
        <v>0</v>
      </c>
    </row>
    <row r="191" spans="5:7" x14ac:dyDescent="0.35">
      <c r="E191" s="127">
        <f t="shared" si="7"/>
        <v>190</v>
      </c>
      <c r="F191" s="557">
        <f t="shared" si="8"/>
        <v>0</v>
      </c>
      <c r="G191" s="347">
        <f t="shared" si="6"/>
        <v>0</v>
      </c>
    </row>
    <row r="192" spans="5:7" x14ac:dyDescent="0.35">
      <c r="E192" s="127">
        <f t="shared" si="7"/>
        <v>191</v>
      </c>
      <c r="F192" s="557">
        <f t="shared" si="8"/>
        <v>0</v>
      </c>
      <c r="G192" s="347">
        <f t="shared" si="6"/>
        <v>0</v>
      </c>
    </row>
    <row r="193" spans="5:7" x14ac:dyDescent="0.35">
      <c r="E193" s="127">
        <f t="shared" si="7"/>
        <v>192</v>
      </c>
      <c r="F193" s="557">
        <f t="shared" si="8"/>
        <v>0</v>
      </c>
      <c r="G193" s="347">
        <f t="shared" si="6"/>
        <v>0</v>
      </c>
    </row>
    <row r="194" spans="5:7" x14ac:dyDescent="0.35">
      <c r="E194" s="127">
        <f t="shared" si="7"/>
        <v>193</v>
      </c>
      <c r="F194" s="557">
        <f t="shared" si="8"/>
        <v>0</v>
      </c>
      <c r="G194" s="347">
        <f t="shared" si="6"/>
        <v>0</v>
      </c>
    </row>
    <row r="195" spans="5:7" x14ac:dyDescent="0.35">
      <c r="E195" s="127">
        <f t="shared" si="7"/>
        <v>194</v>
      </c>
      <c r="F195" s="557">
        <f t="shared" si="8"/>
        <v>0</v>
      </c>
      <c r="G195" s="347">
        <f t="shared" ref="G195:G241" si="9">F195</f>
        <v>0</v>
      </c>
    </row>
    <row r="196" spans="5:7" x14ac:dyDescent="0.35">
      <c r="E196" s="127">
        <f t="shared" ref="E196:E241" si="10">+E195+1</f>
        <v>195</v>
      </c>
      <c r="F196" s="557">
        <f t="shared" si="8"/>
        <v>0</v>
      </c>
      <c r="G196" s="347">
        <f t="shared" si="9"/>
        <v>0</v>
      </c>
    </row>
    <row r="197" spans="5:7" x14ac:dyDescent="0.35">
      <c r="E197" s="127">
        <f t="shared" si="10"/>
        <v>196</v>
      </c>
      <c r="F197" s="557">
        <f t="shared" si="8"/>
        <v>0</v>
      </c>
      <c r="G197" s="347">
        <f t="shared" si="9"/>
        <v>0</v>
      </c>
    </row>
    <row r="198" spans="5:7" x14ac:dyDescent="0.35">
      <c r="E198" s="127">
        <f t="shared" si="10"/>
        <v>197</v>
      </c>
      <c r="F198" s="557">
        <f t="shared" ref="F198:F241" si="11">IF(ISEVEN(E198),$B$5,0)</f>
        <v>0</v>
      </c>
      <c r="G198" s="347">
        <f t="shared" si="9"/>
        <v>0</v>
      </c>
    </row>
    <row r="199" spans="5:7" x14ac:dyDescent="0.35">
      <c r="E199" s="127">
        <f t="shared" si="10"/>
        <v>198</v>
      </c>
      <c r="F199" s="557">
        <f t="shared" si="11"/>
        <v>0</v>
      </c>
      <c r="G199" s="347">
        <f t="shared" si="9"/>
        <v>0</v>
      </c>
    </row>
    <row r="200" spans="5:7" x14ac:dyDescent="0.35">
      <c r="E200" s="127">
        <f t="shared" si="10"/>
        <v>199</v>
      </c>
      <c r="F200" s="557">
        <f t="shared" si="11"/>
        <v>0</v>
      </c>
      <c r="G200" s="347">
        <f t="shared" si="9"/>
        <v>0</v>
      </c>
    </row>
    <row r="201" spans="5:7" x14ac:dyDescent="0.35">
      <c r="E201" s="127">
        <f t="shared" si="10"/>
        <v>200</v>
      </c>
      <c r="F201" s="557">
        <f t="shared" si="11"/>
        <v>0</v>
      </c>
      <c r="G201" s="347">
        <f t="shared" si="9"/>
        <v>0</v>
      </c>
    </row>
    <row r="202" spans="5:7" x14ac:dyDescent="0.35">
      <c r="E202" s="127">
        <f t="shared" si="10"/>
        <v>201</v>
      </c>
      <c r="F202" s="557">
        <f t="shared" si="11"/>
        <v>0</v>
      </c>
      <c r="G202" s="347">
        <f t="shared" si="9"/>
        <v>0</v>
      </c>
    </row>
    <row r="203" spans="5:7" x14ac:dyDescent="0.35">
      <c r="E203" s="127">
        <f t="shared" si="10"/>
        <v>202</v>
      </c>
      <c r="F203" s="557">
        <f t="shared" si="11"/>
        <v>0</v>
      </c>
      <c r="G203" s="347">
        <f t="shared" si="9"/>
        <v>0</v>
      </c>
    </row>
    <row r="204" spans="5:7" x14ac:dyDescent="0.35">
      <c r="E204" s="127">
        <f t="shared" si="10"/>
        <v>203</v>
      </c>
      <c r="F204" s="557">
        <f t="shared" si="11"/>
        <v>0</v>
      </c>
      <c r="G204" s="347">
        <f t="shared" si="9"/>
        <v>0</v>
      </c>
    </row>
    <row r="205" spans="5:7" x14ac:dyDescent="0.35">
      <c r="E205" s="127">
        <f t="shared" si="10"/>
        <v>204</v>
      </c>
      <c r="F205" s="557">
        <f t="shared" si="11"/>
        <v>0</v>
      </c>
      <c r="G205" s="347">
        <f t="shared" si="9"/>
        <v>0</v>
      </c>
    </row>
    <row r="206" spans="5:7" x14ac:dyDescent="0.35">
      <c r="E206" s="127">
        <f t="shared" si="10"/>
        <v>205</v>
      </c>
      <c r="F206" s="557">
        <f t="shared" si="11"/>
        <v>0</v>
      </c>
      <c r="G206" s="347">
        <f t="shared" si="9"/>
        <v>0</v>
      </c>
    </row>
    <row r="207" spans="5:7" x14ac:dyDescent="0.35">
      <c r="E207" s="127">
        <f t="shared" si="10"/>
        <v>206</v>
      </c>
      <c r="F207" s="557">
        <f t="shared" si="11"/>
        <v>0</v>
      </c>
      <c r="G207" s="347">
        <f t="shared" si="9"/>
        <v>0</v>
      </c>
    </row>
    <row r="208" spans="5:7" x14ac:dyDescent="0.35">
      <c r="E208" s="127">
        <f t="shared" si="10"/>
        <v>207</v>
      </c>
      <c r="F208" s="557">
        <f t="shared" si="11"/>
        <v>0</v>
      </c>
      <c r="G208" s="347">
        <f t="shared" si="9"/>
        <v>0</v>
      </c>
    </row>
    <row r="209" spans="5:7" x14ac:dyDescent="0.35">
      <c r="E209" s="127">
        <f t="shared" si="10"/>
        <v>208</v>
      </c>
      <c r="F209" s="557">
        <f t="shared" si="11"/>
        <v>0</v>
      </c>
      <c r="G209" s="347">
        <f t="shared" si="9"/>
        <v>0</v>
      </c>
    </row>
    <row r="210" spans="5:7" x14ac:dyDescent="0.35">
      <c r="E210" s="127">
        <f t="shared" si="10"/>
        <v>209</v>
      </c>
      <c r="F210" s="557">
        <f t="shared" si="11"/>
        <v>0</v>
      </c>
      <c r="G210" s="347">
        <f t="shared" si="9"/>
        <v>0</v>
      </c>
    </row>
    <row r="211" spans="5:7" x14ac:dyDescent="0.35">
      <c r="E211" s="127">
        <f t="shared" si="10"/>
        <v>210</v>
      </c>
      <c r="F211" s="557">
        <f t="shared" si="11"/>
        <v>0</v>
      </c>
      <c r="G211" s="347">
        <f t="shared" si="9"/>
        <v>0</v>
      </c>
    </row>
    <row r="212" spans="5:7" x14ac:dyDescent="0.35">
      <c r="E212" s="127">
        <f t="shared" si="10"/>
        <v>211</v>
      </c>
      <c r="F212" s="557">
        <f t="shared" si="11"/>
        <v>0</v>
      </c>
      <c r="G212" s="347">
        <f t="shared" si="9"/>
        <v>0</v>
      </c>
    </row>
    <row r="213" spans="5:7" x14ac:dyDescent="0.35">
      <c r="E213" s="127">
        <f t="shared" si="10"/>
        <v>212</v>
      </c>
      <c r="F213" s="557">
        <f t="shared" si="11"/>
        <v>0</v>
      </c>
      <c r="G213" s="347">
        <f t="shared" si="9"/>
        <v>0</v>
      </c>
    </row>
    <row r="214" spans="5:7" x14ac:dyDescent="0.35">
      <c r="E214" s="127">
        <f t="shared" si="10"/>
        <v>213</v>
      </c>
      <c r="F214" s="557">
        <f t="shared" si="11"/>
        <v>0</v>
      </c>
      <c r="G214" s="347">
        <f t="shared" si="9"/>
        <v>0</v>
      </c>
    </row>
    <row r="215" spans="5:7" x14ac:dyDescent="0.35">
      <c r="E215" s="127">
        <f t="shared" si="10"/>
        <v>214</v>
      </c>
      <c r="F215" s="557">
        <f t="shared" si="11"/>
        <v>0</v>
      </c>
      <c r="G215" s="347">
        <f t="shared" si="9"/>
        <v>0</v>
      </c>
    </row>
    <row r="216" spans="5:7" x14ac:dyDescent="0.35">
      <c r="E216" s="127">
        <f t="shared" si="10"/>
        <v>215</v>
      </c>
      <c r="F216" s="557">
        <f t="shared" si="11"/>
        <v>0</v>
      </c>
      <c r="G216" s="347">
        <f t="shared" si="9"/>
        <v>0</v>
      </c>
    </row>
    <row r="217" spans="5:7" x14ac:dyDescent="0.35">
      <c r="E217" s="127">
        <f t="shared" si="10"/>
        <v>216</v>
      </c>
      <c r="F217" s="557">
        <f t="shared" si="11"/>
        <v>0</v>
      </c>
      <c r="G217" s="347">
        <f t="shared" si="9"/>
        <v>0</v>
      </c>
    </row>
    <row r="218" spans="5:7" x14ac:dyDescent="0.35">
      <c r="E218" s="127">
        <f t="shared" si="10"/>
        <v>217</v>
      </c>
      <c r="F218" s="557">
        <f t="shared" si="11"/>
        <v>0</v>
      </c>
      <c r="G218" s="347">
        <f t="shared" si="9"/>
        <v>0</v>
      </c>
    </row>
    <row r="219" spans="5:7" x14ac:dyDescent="0.35">
      <c r="E219" s="127">
        <f t="shared" si="10"/>
        <v>218</v>
      </c>
      <c r="F219" s="557">
        <f t="shared" si="11"/>
        <v>0</v>
      </c>
      <c r="G219" s="347">
        <f t="shared" si="9"/>
        <v>0</v>
      </c>
    </row>
    <row r="220" spans="5:7" x14ac:dyDescent="0.35">
      <c r="E220" s="127">
        <f t="shared" si="10"/>
        <v>219</v>
      </c>
      <c r="F220" s="557">
        <f t="shared" si="11"/>
        <v>0</v>
      </c>
      <c r="G220" s="347">
        <f t="shared" si="9"/>
        <v>0</v>
      </c>
    </row>
    <row r="221" spans="5:7" x14ac:dyDescent="0.35">
      <c r="E221" s="127">
        <f t="shared" si="10"/>
        <v>220</v>
      </c>
      <c r="F221" s="557">
        <f t="shared" si="11"/>
        <v>0</v>
      </c>
      <c r="G221" s="347">
        <f t="shared" si="9"/>
        <v>0</v>
      </c>
    </row>
    <row r="222" spans="5:7" x14ac:dyDescent="0.35">
      <c r="E222" s="127">
        <f t="shared" si="10"/>
        <v>221</v>
      </c>
      <c r="F222" s="557">
        <f t="shared" si="11"/>
        <v>0</v>
      </c>
      <c r="G222" s="347">
        <f t="shared" si="9"/>
        <v>0</v>
      </c>
    </row>
    <row r="223" spans="5:7" x14ac:dyDescent="0.35">
      <c r="E223" s="127">
        <f t="shared" si="10"/>
        <v>222</v>
      </c>
      <c r="F223" s="557">
        <f t="shared" si="11"/>
        <v>0</v>
      </c>
      <c r="G223" s="347">
        <f t="shared" si="9"/>
        <v>0</v>
      </c>
    </row>
    <row r="224" spans="5:7" x14ac:dyDescent="0.35">
      <c r="E224" s="127">
        <f t="shared" si="10"/>
        <v>223</v>
      </c>
      <c r="F224" s="557">
        <f t="shared" si="11"/>
        <v>0</v>
      </c>
      <c r="G224" s="347">
        <f t="shared" si="9"/>
        <v>0</v>
      </c>
    </row>
    <row r="225" spans="5:7" x14ac:dyDescent="0.35">
      <c r="E225" s="127">
        <f t="shared" si="10"/>
        <v>224</v>
      </c>
      <c r="F225" s="557">
        <f t="shared" si="11"/>
        <v>0</v>
      </c>
      <c r="G225" s="347">
        <f t="shared" si="9"/>
        <v>0</v>
      </c>
    </row>
    <row r="226" spans="5:7" x14ac:dyDescent="0.35">
      <c r="E226" s="127">
        <f t="shared" si="10"/>
        <v>225</v>
      </c>
      <c r="F226" s="557">
        <f t="shared" si="11"/>
        <v>0</v>
      </c>
      <c r="G226" s="347">
        <f t="shared" si="9"/>
        <v>0</v>
      </c>
    </row>
    <row r="227" spans="5:7" x14ac:dyDescent="0.35">
      <c r="E227" s="127">
        <f t="shared" si="10"/>
        <v>226</v>
      </c>
      <c r="F227" s="557">
        <f t="shared" si="11"/>
        <v>0</v>
      </c>
      <c r="G227" s="347">
        <f t="shared" si="9"/>
        <v>0</v>
      </c>
    </row>
    <row r="228" spans="5:7" x14ac:dyDescent="0.35">
      <c r="E228" s="127">
        <f t="shared" si="10"/>
        <v>227</v>
      </c>
      <c r="F228" s="557">
        <f t="shared" si="11"/>
        <v>0</v>
      </c>
      <c r="G228" s="347">
        <f t="shared" si="9"/>
        <v>0</v>
      </c>
    </row>
    <row r="229" spans="5:7" x14ac:dyDescent="0.35">
      <c r="E229" s="127">
        <f t="shared" si="10"/>
        <v>228</v>
      </c>
      <c r="F229" s="557">
        <f t="shared" si="11"/>
        <v>0</v>
      </c>
      <c r="G229" s="347">
        <f t="shared" si="9"/>
        <v>0</v>
      </c>
    </row>
    <row r="230" spans="5:7" x14ac:dyDescent="0.35">
      <c r="E230" s="127">
        <f t="shared" si="10"/>
        <v>229</v>
      </c>
      <c r="F230" s="557">
        <f t="shared" si="11"/>
        <v>0</v>
      </c>
      <c r="G230" s="347">
        <f t="shared" si="9"/>
        <v>0</v>
      </c>
    </row>
    <row r="231" spans="5:7" x14ac:dyDescent="0.35">
      <c r="E231" s="127">
        <f t="shared" si="10"/>
        <v>230</v>
      </c>
      <c r="F231" s="557">
        <f t="shared" si="11"/>
        <v>0</v>
      </c>
      <c r="G231" s="347">
        <f t="shared" si="9"/>
        <v>0</v>
      </c>
    </row>
    <row r="232" spans="5:7" x14ac:dyDescent="0.35">
      <c r="E232" s="127">
        <f t="shared" si="10"/>
        <v>231</v>
      </c>
      <c r="F232" s="557">
        <f t="shared" si="11"/>
        <v>0</v>
      </c>
      <c r="G232" s="347">
        <f t="shared" si="9"/>
        <v>0</v>
      </c>
    </row>
    <row r="233" spans="5:7" x14ac:dyDescent="0.35">
      <c r="E233" s="127">
        <f t="shared" si="10"/>
        <v>232</v>
      </c>
      <c r="F233" s="557">
        <f t="shared" si="11"/>
        <v>0</v>
      </c>
      <c r="G233" s="347">
        <f t="shared" si="9"/>
        <v>0</v>
      </c>
    </row>
    <row r="234" spans="5:7" x14ac:dyDescent="0.35">
      <c r="E234" s="127">
        <f t="shared" si="10"/>
        <v>233</v>
      </c>
      <c r="F234" s="557">
        <f t="shared" si="11"/>
        <v>0</v>
      </c>
      <c r="G234" s="347">
        <f t="shared" si="9"/>
        <v>0</v>
      </c>
    </row>
    <row r="235" spans="5:7" x14ac:dyDescent="0.35">
      <c r="E235" s="127">
        <f t="shared" si="10"/>
        <v>234</v>
      </c>
      <c r="F235" s="557">
        <f t="shared" si="11"/>
        <v>0</v>
      </c>
      <c r="G235" s="347">
        <f t="shared" si="9"/>
        <v>0</v>
      </c>
    </row>
    <row r="236" spans="5:7" x14ac:dyDescent="0.35">
      <c r="E236" s="127">
        <f t="shared" si="10"/>
        <v>235</v>
      </c>
      <c r="F236" s="557">
        <f t="shared" si="11"/>
        <v>0</v>
      </c>
      <c r="G236" s="347">
        <f t="shared" si="9"/>
        <v>0</v>
      </c>
    </row>
    <row r="237" spans="5:7" x14ac:dyDescent="0.35">
      <c r="E237" s="127">
        <f t="shared" si="10"/>
        <v>236</v>
      </c>
      <c r="F237" s="557">
        <f t="shared" si="11"/>
        <v>0</v>
      </c>
      <c r="G237" s="347">
        <f t="shared" si="9"/>
        <v>0</v>
      </c>
    </row>
    <row r="238" spans="5:7" x14ac:dyDescent="0.35">
      <c r="E238" s="127">
        <f t="shared" si="10"/>
        <v>237</v>
      </c>
      <c r="F238" s="557">
        <f t="shared" si="11"/>
        <v>0</v>
      </c>
      <c r="G238" s="347">
        <f t="shared" si="9"/>
        <v>0</v>
      </c>
    </row>
    <row r="239" spans="5:7" x14ac:dyDescent="0.35">
      <c r="E239" s="127">
        <f t="shared" si="10"/>
        <v>238</v>
      </c>
      <c r="F239" s="557">
        <f t="shared" si="11"/>
        <v>0</v>
      </c>
      <c r="G239" s="347">
        <f t="shared" si="9"/>
        <v>0</v>
      </c>
    </row>
    <row r="240" spans="5:7" x14ac:dyDescent="0.35">
      <c r="E240" s="127">
        <f t="shared" si="10"/>
        <v>239</v>
      </c>
      <c r="F240" s="557">
        <f t="shared" si="11"/>
        <v>0</v>
      </c>
      <c r="G240" s="347">
        <f t="shared" si="9"/>
        <v>0</v>
      </c>
    </row>
    <row r="241" spans="5:7" x14ac:dyDescent="0.35">
      <c r="E241" s="127">
        <f t="shared" si="10"/>
        <v>240</v>
      </c>
      <c r="F241" s="557">
        <f t="shared" si="11"/>
        <v>0</v>
      </c>
      <c r="G241" s="347">
        <f t="shared" si="9"/>
        <v>0</v>
      </c>
    </row>
  </sheetData>
  <pageMargins left="0.7" right="0.7" top="0.75" bottom="0.75" header="0.3" footer="0.3"/>
</worksheet>
</file>

<file path=docMetadata/LabelInfo.xml><?xml version="1.0" encoding="utf-8"?>
<clbl:labelList xmlns:clbl="http://schemas.microsoft.com/office/2020/mipLabelMetadata">
  <clbl:label id="{f553da26-04fc-4848-a738-5684ab93d77b}" enabled="1" method="Standard" siteId="{5d638bf1-7afd-4f6e-a308-2245d53ac2db}"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30</vt:i4>
      </vt:variant>
      <vt:variant>
        <vt:lpstr>Rangos con nombre</vt:lpstr>
      </vt:variant>
      <vt:variant>
        <vt:i4>129</vt:i4>
      </vt:variant>
    </vt:vector>
  </HeadingPairs>
  <TitlesOfParts>
    <vt:vector size="159" baseType="lpstr">
      <vt:lpstr>Simulador</vt:lpstr>
      <vt:lpstr>COFINAVIT</vt:lpstr>
      <vt:lpstr>Notariales</vt:lpstr>
      <vt:lpstr>Tabla Notaría</vt:lpstr>
      <vt:lpstr>Oferta Vinculante</vt:lpstr>
      <vt:lpstr>CLAUSULADO ANTICIPADO</vt:lpstr>
      <vt:lpstr>Nuevos % Notarios</vt:lpstr>
      <vt:lpstr>Sheet1</vt:lpstr>
      <vt:lpstr>Tabla Parámetros</vt:lpstr>
      <vt:lpstr>Estados y Datos Notariales</vt:lpstr>
      <vt:lpstr>Rangos Puebla</vt:lpstr>
      <vt:lpstr>Tabla Fijos</vt:lpstr>
      <vt:lpstr>Tabla de Pagos Crecientes</vt:lpstr>
      <vt:lpstr>Aforos</vt:lpstr>
      <vt:lpstr>Pago x mil</vt:lpstr>
      <vt:lpstr>Fecha Pago</vt:lpstr>
      <vt:lpstr>CAT</vt:lpstr>
      <vt:lpstr>CAT Flujo Cero</vt:lpstr>
      <vt:lpstr>Tabla Fijos CAT</vt:lpstr>
      <vt:lpstr>Tabla Construcción Fijos</vt:lpstr>
      <vt:lpstr>Tabla Construcción Fijos CAT</vt:lpstr>
      <vt:lpstr>Tabla Construcción Crecientes</vt:lpstr>
      <vt:lpstr>Tabla Construcción CAT crecient</vt:lpstr>
      <vt:lpstr>CVTO Crecientes</vt:lpstr>
      <vt:lpstr>CVTO Fijos</vt:lpstr>
      <vt:lpstr>Ecotecnologias</vt:lpstr>
      <vt:lpstr>AportPat</vt:lpstr>
      <vt:lpstr>Tabla de Incrementos</vt:lpstr>
      <vt:lpstr>Fovissste</vt:lpstr>
      <vt:lpstr>AportPatFov</vt:lpstr>
      <vt:lpstr>AportPat!_AutoExport</vt:lpstr>
      <vt:lpstr>'Tabla Parámetros'!_Factor_Tarifa</vt:lpstr>
      <vt:lpstr>'Oferta Vinculante'!_Inciso_Apoyo</vt:lpstr>
      <vt:lpstr>'Oferta Vinculante'!_Inciso_Cofinavit</vt:lpstr>
      <vt:lpstr>'Oferta Vinculante'!_Inciso_Gravamen_Separado</vt:lpstr>
      <vt:lpstr>'Oferta Vinculante'!_Inciso_Vigilancia</vt:lpstr>
      <vt:lpstr>'Tabla Parámetros'!_Leyenda_Tope</vt:lpstr>
      <vt:lpstr>'Tabla Parámetros'!_MILLAR</vt:lpstr>
      <vt:lpstr>'Tabla Parámetros'!_Mínimo</vt:lpstr>
      <vt:lpstr>'Tabla Parámetros'!_Monto_por_Tarifa</vt:lpstr>
      <vt:lpstr>'Tabla Parámetros'!_Tarifa_al_Millar</vt:lpstr>
      <vt:lpstr>'Tabla Parámetros'!_Tarifas_Avalúo</vt:lpstr>
      <vt:lpstr>'Tabla Parámetros'!_Tope_Mínimo?</vt:lpstr>
      <vt:lpstr>Adquisición</vt:lpstr>
      <vt:lpstr>'Oferta Vinculante'!Aforo</vt:lpstr>
      <vt:lpstr>'Fecha Pago'!Anterior</vt:lpstr>
      <vt:lpstr>COFINAVIT!Aportación_Obligada_Tentativa</vt:lpstr>
      <vt:lpstr>COFINAVIT!Aportación_Opcional</vt:lpstr>
      <vt:lpstr>COFINAVIT!Aportación_Sobrante</vt:lpstr>
      <vt:lpstr>AportPat!Aportaciones</vt:lpstr>
      <vt:lpstr>'Oferta Vinculante'!Área_de_impresión</vt:lpstr>
      <vt:lpstr>Simulador!Área_de_impresión</vt:lpstr>
      <vt:lpstr>'Tabla Notaría'!Área_de_impresión</vt:lpstr>
      <vt:lpstr>COFINAVIT!Avalúo</vt:lpstr>
      <vt:lpstr>COFINAVIT!Avalúo_Ajustado</vt:lpstr>
      <vt:lpstr>'Oferta Vinculante'!Cálculo_Interés_CAT</vt:lpstr>
      <vt:lpstr>COFINAVIT!COMISIÓN_CRÉDITO</vt:lpstr>
      <vt:lpstr>'Pago x mil'!Comisión_Dif</vt:lpstr>
      <vt:lpstr>Compra_Venta_Termino_Obra</vt:lpstr>
      <vt:lpstr>Construcción</vt:lpstr>
      <vt:lpstr>'Oferta Vinculante'!Contenido_Notarial</vt:lpstr>
      <vt:lpstr>COFINAVIT!Crédito_Banorte_Definitivo</vt:lpstr>
      <vt:lpstr>COFINAVIT!Crédito_Banorte_Máximo</vt:lpstr>
      <vt:lpstr>COFINAVIT!Crédito_Banorte_Mínimo</vt:lpstr>
      <vt:lpstr>COFINAVIT!Crédito_Banorte_Tentativo</vt:lpstr>
      <vt:lpstr>COFINAVIT!Crédito_Cónyuge</vt:lpstr>
      <vt:lpstr>COFINAVIT!Crédito_Institución</vt:lpstr>
      <vt:lpstr>COFINAVIT!Crédito_por_Diferencia</vt:lpstr>
      <vt:lpstr>COFINAVIT!Crédito_por_Ingreso</vt:lpstr>
      <vt:lpstr>COFINAVIT!Crédito_Titular</vt:lpstr>
      <vt:lpstr>AportPat!Db.\Constantes</vt:lpstr>
      <vt:lpstr>DDDD</vt:lpstr>
      <vt:lpstr>COFINAVIT!Descuento_Cónyuge</vt:lpstr>
      <vt:lpstr>COFINAVIT!Descuento_Titular</vt:lpstr>
      <vt:lpstr>COFINAVIT!Descuento_Total</vt:lpstr>
      <vt:lpstr>'Tabla Parámetros'!Factor_Daños</vt:lpstr>
      <vt:lpstr>COFINAVIT!FACTOR_INCREMENTO_AVALÚO</vt:lpstr>
      <vt:lpstr>COFINAVIT!FACTOR_SMM</vt:lpstr>
      <vt:lpstr>'CAT Flujo Cero'!Flujo_Cero_Parcial</vt:lpstr>
      <vt:lpstr>AportPat!Frecuencia</vt:lpstr>
      <vt:lpstr>high</vt:lpstr>
      <vt:lpstr>Hipoteca_Fuerte</vt:lpstr>
      <vt:lpstr>'Oferta Vinculante'!i.Aclaración_Tasa</vt:lpstr>
      <vt:lpstr>'Pago x mil'!i.Apertura_Sin_IVA</vt:lpstr>
      <vt:lpstr>'Pago x mil'!i.Aplica_IVA?</vt:lpstr>
      <vt:lpstr>'Pago x mil'!i.Avalúo_con_IVA</vt:lpstr>
      <vt:lpstr>'Oferta Vinculante'!i.CAT</vt:lpstr>
      <vt:lpstr>'Oferta Vinculante'!i.Com_Inv_Etiqueta</vt:lpstr>
      <vt:lpstr>'Oferta Vinculante'!i.Comisión_Autorización</vt:lpstr>
      <vt:lpstr>'Pago x mil'!i.Comisión_Diferida</vt:lpstr>
      <vt:lpstr>'Oferta Vinculante'!i.Comisión_Investigación</vt:lpstr>
      <vt:lpstr>'Oferta Vinculante'!i.Comisión_Supervisión_Obra</vt:lpstr>
      <vt:lpstr>'Oferta Vinculante'!i.Destino</vt:lpstr>
      <vt:lpstr>'Pago x mil'!i.Días_PMT</vt:lpstr>
      <vt:lpstr>'Tabla Parámetros'!i.Días_PMT</vt:lpstr>
      <vt:lpstr>'Pago x mil'!i.Etiqueta_Apertura</vt:lpstr>
      <vt:lpstr>'Pago x mil'!i.Etiqueta_Seguro</vt:lpstr>
      <vt:lpstr>'Oferta Vinculante'!i.Etiqueta_Tasas_Interés</vt:lpstr>
      <vt:lpstr>'Pago x mil'!i.Factor_Seguro_Daños</vt:lpstr>
      <vt:lpstr>'Pago x mil'!i.Factor_Seguro_Vida</vt:lpstr>
      <vt:lpstr>'Oferta Vinculante'!i.Fecha_Cotización</vt:lpstr>
      <vt:lpstr>'Pago x mil'!i.Gastos_Notariales</vt:lpstr>
      <vt:lpstr>'Oferta Vinculante'!i.Importe_Solicitado</vt:lpstr>
      <vt:lpstr>'Tabla Parámetros'!i.Iva</vt:lpstr>
      <vt:lpstr>'Pago x mil'!i.IVA_Intereses</vt:lpstr>
      <vt:lpstr>'Pago x mil'!i.Monto_Total_Crédito</vt:lpstr>
      <vt:lpstr>'Pago x mil'!i.Nombre_Producto</vt:lpstr>
      <vt:lpstr>'Oferta Vinculante'!i.Nomenclatura_Notarial</vt:lpstr>
      <vt:lpstr>'Pago x mil'!i.Plazo_Crédito</vt:lpstr>
      <vt:lpstr>'Tabla Parámetros'!i.Plazo_Crédito</vt:lpstr>
      <vt:lpstr>'Oferta Vinculante'!i.Plazo_en_Años</vt:lpstr>
      <vt:lpstr>'Pago x mil'!i.Producto_Multitasa?</vt:lpstr>
      <vt:lpstr>'Pago x mil'!i.Relación_Ingreso_Pago</vt:lpstr>
      <vt:lpstr>'Oferta Vinculante'!i.Tasa_Ordinaria</vt:lpstr>
      <vt:lpstr>'Pago x mil'!i.Tasas_Gémini</vt:lpstr>
      <vt:lpstr>'Tabla Parámetros'!i.Tasas_Gémini</vt:lpstr>
      <vt:lpstr>'Pago x mil'!I.V.A.</vt:lpstr>
      <vt:lpstr>'Tabla Parámetros'!i.Valor_Avalúo</vt:lpstr>
      <vt:lpstr>'Oferta Vinculante'!i.Valor_Garantía</vt:lpstr>
      <vt:lpstr>'Pago x mil'!i.Valor_Vivienda</vt:lpstr>
      <vt:lpstr>AportPat!Id</vt:lpstr>
      <vt:lpstr>COFINAVIT!Incremento_Avalúo</vt:lpstr>
      <vt:lpstr>COFINAVIT!Incremento_Programa</vt:lpstr>
      <vt:lpstr>COFINAVIT!Ingreso</vt:lpstr>
      <vt:lpstr>COFINAVIT!Ingreso_Cónyuge</vt:lpstr>
      <vt:lpstr>COFINAVIT!Ingreso_Neto</vt:lpstr>
      <vt:lpstr>COFINAVIT!Ingreso_Titular</vt:lpstr>
      <vt:lpstr>Liquidez</vt:lpstr>
      <vt:lpstr>Mejora</vt:lpstr>
      <vt:lpstr>Mejora_más_Remodelación</vt:lpstr>
      <vt:lpstr>AportPat!Monto</vt:lpstr>
      <vt:lpstr>'Oferta Vinculante'!Nombre_Cliente</vt:lpstr>
      <vt:lpstr>COFINAVIT!Num_Periodos</vt:lpstr>
      <vt:lpstr>Simulador!OLE_LINK1</vt:lpstr>
      <vt:lpstr>'Pago x mil'!Pago_Crédito</vt:lpstr>
      <vt:lpstr>'Pago x mil'!Pago_por_Mil</vt:lpstr>
      <vt:lpstr>'Pago x mil'!Pago_Total_Mensual</vt:lpstr>
      <vt:lpstr>AportPat!Periodo</vt:lpstr>
      <vt:lpstr>AportPat!PERIODO_INICIAL</vt:lpstr>
      <vt:lpstr>COFINAVIT!Periodos_por_Año</vt:lpstr>
      <vt:lpstr>COFINAVIT!Recurso_Inicial</vt:lpstr>
      <vt:lpstr>Remodelación</vt:lpstr>
      <vt:lpstr>COFINAVIT!Saldo_Subcuenta</vt:lpstr>
      <vt:lpstr>'Pago x mil'!Seguro_de_Daños</vt:lpstr>
      <vt:lpstr>'Pago x mil'!Seguro_de_Vida</vt:lpstr>
      <vt:lpstr>COFINAVIT!Selección_de_Incremento</vt:lpstr>
      <vt:lpstr>COFINAVIT!SMD_INGRESO_MIN</vt:lpstr>
      <vt:lpstr>COFINAVIT!Subcuenta_Cónyuge</vt:lpstr>
      <vt:lpstr>COFINAVIT!Subcuenta_Titular</vt:lpstr>
      <vt:lpstr>COFINAVIT!Tasa</vt:lpstr>
      <vt:lpstr>'Pago x mil'!Tasa_Interés</vt:lpstr>
      <vt:lpstr>'Tabla Parámetros'!Tasa_Interés</vt:lpstr>
      <vt:lpstr>'Oferta Vinculante'!Tasa_Moratoria</vt:lpstr>
      <vt:lpstr>Terreno_más_Construcción</vt:lpstr>
      <vt:lpstr>Terreno_Urbanizado</vt:lpstr>
      <vt:lpstr>Simulador!Títulos_a_imprimir</vt:lpstr>
      <vt:lpstr>'Tabla Notaría'!Títulos_a_imprimir</vt:lpstr>
      <vt:lpstr>COFINAVIT!UMBRAL_INCREMENTO_AVALÚO</vt:lpstr>
      <vt:lpstr>COFINAVIT!VSMM_INGRESO_MIN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GERARDO ARTURO GUADARRAMA GUADARRAMA</dc:creator>
  <cp:lastModifiedBy>GERARDO ARTURO GUADARRAMA GUADARRAMA</cp:lastModifiedBy>
  <cp:lastPrinted>2026-05-13T20:11:01Z</cp:lastPrinted>
  <dcterms:created xsi:type="dcterms:W3CDTF">2019-05-27T14:58:12Z</dcterms:created>
  <dcterms:modified xsi:type="dcterms:W3CDTF">2026-05-26T18:49:48Z</dcterms:modified>
</cp:coreProperties>
</file>